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hidden" name="Existing ao 05232019" sheetId="2" r:id="rId5"/>
    <sheet state="hidden" name="ao July 2020" sheetId="3" r:id="rId6"/>
    <sheet state="hidden" name="ao Sep 2020" sheetId="4" r:id="rId7"/>
    <sheet state="hidden" name="ao Oct 2020" sheetId="5" r:id="rId8"/>
    <sheet state="hidden" name="ao Nov 2020" sheetId="6" r:id="rId9"/>
    <sheet state="hidden" name="Subscriber Level ao Sept 2022" sheetId="7" r:id="rId10"/>
    <sheet state="visible" name="Subscriber Level" sheetId="8" r:id="rId11"/>
    <sheet state="hidden" name="SCV Customer Level ao Sept 2022" sheetId="9" r:id="rId12"/>
    <sheet state="visible" name="SCV Level - B2C" sheetId="10" r:id="rId13"/>
    <sheet state="visible" name="SCV Level - B2B" sheetId="11" r:id="rId14"/>
    <sheet state="hidden" name="ao Sep 11" sheetId="12" r:id="rId15"/>
    <sheet state="hidden" name="Reference" sheetId="13" r:id="rId16"/>
  </sheets>
  <definedNames>
    <definedName name="Brand">Reference!$B$1:$B$6</definedName>
    <definedName hidden="1" localSheetId="1" name="_xlnm._FilterDatabase">'Existing ao 05232019'!$A$1:$K$237</definedName>
    <definedName hidden="1" localSheetId="3" name="_xlnm._FilterDatabase">'ao Sep 2020'!$A$1:$Q$376</definedName>
    <definedName hidden="1" localSheetId="4" name="_xlnm._FilterDatabase">'ao Oct 2020'!$A$1:$Q$428</definedName>
    <definedName hidden="1" localSheetId="5" name="_xlnm._FilterDatabase">'ao Nov 2020'!$A$1:$Q$473</definedName>
    <definedName hidden="1" localSheetId="6" name="_xlnm._FilterDatabase">'Subscriber Level ao Sept 2022'!$A$1:$T$1050</definedName>
    <definedName hidden="1" localSheetId="8" name="_xlnm._FilterDatabase">'SCV Customer Level ao Sept 2022'!$A$1:$N$32</definedName>
    <definedName hidden="1" localSheetId="7" name="Z_C429261C_367A_43DB_B9AA_64DF8E8992AB_.wvu.FilterData">'Subscriber Level'!$A$1:$M$939</definedName>
    <definedName hidden="1" localSheetId="6" name="Z_2998B474_13BD_47CC_90E7_D8162D7A4903_.wvu.FilterData">'Subscriber Level ao Sept 2022'!$A$1:$T$1050</definedName>
    <definedName hidden="1" localSheetId="8" name="Z_2998B474_13BD_47CC_90E7_D8162D7A4903_.wvu.FilterData">'SCV Customer Level ao Sept 2022'!$A$1:$N$999</definedName>
    <definedName hidden="1" localSheetId="7" name="Z_93317466_9196_4832_A27A_423782D92678_.wvu.FilterData">'Subscriber Level'!$A$1:$M$939</definedName>
    <definedName hidden="1" localSheetId="6" name="Z_BCD54235_CCFD_4740_BCA2_6B2493B68D17_.wvu.FilterData">'Subscriber Level ao Sept 2022'!$A$1:$T$1050</definedName>
    <definedName hidden="1" localSheetId="8" name="Z_BCD54235_CCFD_4740_BCA2_6B2493B68D17_.wvu.FilterData">'SCV Customer Level ao Sept 2022'!$A$1:$N$32</definedName>
    <definedName hidden="1" localSheetId="6" name="Z_F49BD01F_F1D8_4C9A_B81C_2D842B37B535_.wvu.FilterData">'Subscriber Level ao Sept 2022'!$A$1:$S$783</definedName>
    <definedName hidden="1" localSheetId="1" name="Z_F263A3AC_1237_40A8_82F2_25CFE72B494B_.wvu.FilterData">'Existing ao 05232019'!$A$1:$K$237</definedName>
    <definedName hidden="1" localSheetId="2" name="Z_F263A3AC_1237_40A8_82F2_25CFE72B494B_.wvu.FilterData">'ao July 2020'!$A$1:$Q$365</definedName>
    <definedName hidden="1" localSheetId="3" name="Z_F263A3AC_1237_40A8_82F2_25CFE72B494B_.wvu.FilterData">'ao Sep 2020'!$A$1:$Q$960</definedName>
    <definedName hidden="1" localSheetId="4" name="Z_F263A3AC_1237_40A8_82F2_25CFE72B494B_.wvu.FilterData">'ao Oct 2020'!$A$1:$Q$428</definedName>
    <definedName hidden="1" localSheetId="5" name="Z_F263A3AC_1237_40A8_82F2_25CFE72B494B_.wvu.FilterData">'ao Nov 2020'!$A$1:$Q$473</definedName>
    <definedName hidden="1" localSheetId="6" name="Z_F263A3AC_1237_40A8_82F2_25CFE72B494B_.wvu.FilterData">'Subscriber Level ao Sept 2022'!$A$1:$T$980</definedName>
    <definedName hidden="1" localSheetId="7" name="Z_F263A3AC_1237_40A8_82F2_25CFE72B494B_.wvu.FilterData">'Subscriber Level'!$A$1:$O$939</definedName>
    <definedName hidden="1" localSheetId="2" name="Z_112B2F37_635A_4F63_81FB_4A2B7385E434_.wvu.FilterData">'ao July 2020'!$A$1:$Q$365</definedName>
    <definedName hidden="1" localSheetId="3" name="Z_112B2F37_635A_4F63_81FB_4A2B7385E434_.wvu.FilterData">'ao Sep 2020'!$A$1:$Q$960</definedName>
    <definedName hidden="1" localSheetId="4" name="Z_112B2F37_635A_4F63_81FB_4A2B7385E434_.wvu.FilterData">'ao Oct 2020'!$A$1:$Q$428</definedName>
    <definedName hidden="1" localSheetId="5" name="Z_112B2F37_635A_4F63_81FB_4A2B7385E434_.wvu.FilterData">'ao Nov 2020'!$A$1:$Q$473</definedName>
    <definedName hidden="1" localSheetId="2" name="Z_59C0E738_1DB3_4C16_9509_25842C0188FC_.wvu.FilterData">'ao July 2020'!$A$1:$Q$365</definedName>
    <definedName hidden="1" localSheetId="3" name="Z_59C0E738_1DB3_4C16_9509_25842C0188FC_.wvu.FilterData">'ao Sep 2020'!$A$1:$Q$960</definedName>
    <definedName hidden="1" localSheetId="4" name="Z_59C0E738_1DB3_4C16_9509_25842C0188FC_.wvu.FilterData">'ao Oct 2020'!$A$1:$Q$428</definedName>
    <definedName hidden="1" localSheetId="5" name="Z_59C0E738_1DB3_4C16_9509_25842C0188FC_.wvu.FilterData">'ao Nov 2020'!$A$1:$Q$473</definedName>
    <definedName hidden="1" localSheetId="2" name="Z_8B378AE7_0C74_42B2_BC27_27B7CA7C7A7C_.wvu.FilterData">'ao July 2020'!$A$1:$Q$365</definedName>
    <definedName hidden="1" localSheetId="6" name="Z_1DAB321B_C9A5_41F1_8BE8_50629E57B4B4_.wvu.FilterData">'Subscriber Level ao Sept 2022'!$A$1:$T$1050</definedName>
    <definedName hidden="1" localSheetId="2" name="Z_7114D13A_8790_4B2D_8534_441FDE4A663B_.wvu.FilterData">'ao July 2020'!$A$1:$Q$358</definedName>
    <definedName hidden="1" localSheetId="3" name="Z_7114D13A_8790_4B2D_8534_441FDE4A663B_.wvu.FilterData">'ao Sep 2020'!$A$1:$Q$960</definedName>
    <definedName hidden="1" localSheetId="4" name="Z_7114D13A_8790_4B2D_8534_441FDE4A663B_.wvu.FilterData">'ao Oct 2020'!$A$1:$Q$428</definedName>
    <definedName hidden="1" localSheetId="5" name="Z_7114D13A_8790_4B2D_8534_441FDE4A663B_.wvu.FilterData">'ao Nov 2020'!$A$1:$Q$473</definedName>
    <definedName hidden="1" localSheetId="7" name="Z_7114D13A_8790_4B2D_8534_441FDE4A663B_.wvu.FilterData">'Subscriber Level'!$A$1:$M$939</definedName>
    <definedName hidden="1" localSheetId="2" name="Z_23DB66D6_4560_464F_9E10_928E38F337A9_.wvu.FilterData">'ao July 2020'!$A$1:$Q$365</definedName>
  </definedNames>
  <calcPr/>
  <customWorkbookViews>
    <customWorkbookView activeSheetId="0" maximized="1" windowHeight="0" windowWidth="0" guid="{1DAB321B-C9A5-41F1-8BE8-50629E57B4B4}" name="CTorres"/>
    <customWorkbookView activeSheetId="0" maximized="1" windowHeight="0" windowWidth="0" guid="{93317466-9196-4832-A27A-423782D92678}" name="Wireline"/>
    <customWorkbookView activeSheetId="0" maximized="1" windowHeight="0" windowWidth="0" guid="{C429261C-367A-43DB-B9AA-64DF8E8992AB}" name="CP"/>
    <customWorkbookView activeSheetId="0" maximized="1" windowHeight="0" windowWidth="0" guid="{23DB66D6-4560-464F-9E10-928E38F337A9}" name="Filter 6"/>
    <customWorkbookView activeSheetId="0" maximized="1" windowHeight="0" windowWidth="0" guid="{112B2F37-635A-4F63-81FB-4A2B7385E434}" name="Filter 4"/>
    <customWorkbookView activeSheetId="0" maximized="1" windowHeight="0" windowWidth="0" guid="{8B378AE7-0C74-42B2-BC27-27B7CA7C7A7C}" name="Filter 5"/>
    <customWorkbookView activeSheetId="0" maximized="1" windowHeight="0" windowWidth="0" guid="{7114D13A-8790-4B2D-8534-441FDE4A663B}" name="Filter 2"/>
    <customWorkbookView activeSheetId="0" maximized="1" windowHeight="0" windowWidth="0" guid="{BCD54235-CCFD-4740-BCA2-6B2493B68D17}" name="Ren L"/>
    <customWorkbookView activeSheetId="0" maximized="1" windowHeight="0" windowWidth="0" guid="{59C0E738-1DB3-4C16-9509-25842C0188FC}" name="Filter 3"/>
    <customWorkbookView activeSheetId="0" maximized="1" windowHeight="0" windowWidth="0" guid="{F263A3AC-1237-40A8-82F2-25CFE72B494B}" name="Filter 1"/>
    <customWorkbookView activeSheetId="0" maximized="1" windowHeight="0" windowWidth="0" guid="{F49BD01F-F1D8-4C9A-B81C-2D842B37B535}" name="DTomanan"/>
    <customWorkbookView activeSheetId="0" maximized="1" windowHeight="0" windowWidth="0" guid="{2998B474-13BD-47CC-90E7-D8162D7A4903}" name="Ina"/>
  </customWorkbookViews>
  <pivotCaches>
    <pivotCache cacheId="0" r:id="rId17"/>
  </pivotCaches>
</workbook>
</file>

<file path=xl/comments1.xml><?xml version="1.0" encoding="utf-8"?>
<comments xmlns:r="http://schemas.openxmlformats.org/officeDocument/2006/relationships" xmlns="http://schemas.openxmlformats.org/spreadsheetml/2006/main">
  <authors>
    <author/>
  </authors>
  <commentList>
    <comment authorId="0" ref="H28">
      <text>
        <t xml:space="preserve">June 2019 - 90.77%
July 2019 -  67.65%
	-Rina Daguman
	-model scored last</t>
      </text>
    </comment>
    <comment authorId="0" ref="H24">
      <text>
        <t xml:space="preserve">June 2019 - 89.36%
July 2019 - 100.00%
	-Rina Daguman
	-model scored last</t>
      </text>
    </comment>
    <comment authorId="0" ref="H20">
      <text>
        <t xml:space="preserve">model scored last July 2019
	-Rina Daguman</t>
      </text>
    </comment>
    <comment authorId="0" ref="H18">
      <text>
        <t xml:space="preserve">model scored last July 2019
	-Rina Daguman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54">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C256">
      <text>
        <t xml:space="preserve">
AMAX transactions availment indicator (can be LOAD OR GYRO)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50">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C252">
      <text>
        <t xml:space="preserve">
AMAX transactions availment indicator (can be LOAD OR GYRO)
</t>
      </text>
    </comment>
  </commentList>
</comments>
</file>

<file path=xl/comments4.xml><?xml version="1.0" encoding="utf-8"?>
<comments xmlns:r="http://schemas.openxmlformats.org/officeDocument/2006/relationships" xmlns="http://schemas.openxmlformats.org/spreadsheetml/2006/main">
  <authors>
    <author/>
  </authors>
  <commentList>
    <comment authorId="0" ref="C247">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C249">
      <text>
        <t xml:space="preserve">
AMAX transactions availment indicator (can be LOAD OR GYRO)
</t>
      </text>
    </comment>
  </commentList>
</comments>
</file>

<file path=xl/comments5.xml><?xml version="1.0" encoding="utf-8"?>
<comments xmlns:r="http://schemas.openxmlformats.org/officeDocument/2006/relationships" xmlns="http://schemas.openxmlformats.org/spreadsheetml/2006/main">
  <authors>
    <author/>
  </authors>
  <commentList>
    <comment authorId="0" ref="C247">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C249">
      <text>
        <t xml:space="preserve">
AMAX transactions availment indicator (can be LOAD OR GYRO)
</t>
      </text>
    </comment>
  </commentList>
</comments>
</file>

<file path=xl/comments6.xml><?xml version="1.0" encoding="utf-8"?>
<comments xmlns:r="http://schemas.openxmlformats.org/officeDocument/2006/relationships" xmlns="http://schemas.openxmlformats.org/spreadsheetml/2006/main">
  <authors>
    <author/>
  </authors>
  <commentList>
    <comment authorId="0" ref="E228">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E230">
      <text>
        <t xml:space="preserve">
AMAX transactions availment indicator (can be LOAD OR GYRO)
</t>
      </text>
    </comment>
  </commentList>
</comments>
</file>

<file path=xl/comments7.xml><?xml version="1.0" encoding="utf-8"?>
<comments xmlns:r="http://schemas.openxmlformats.org/officeDocument/2006/relationships" xmlns="http://schemas.openxmlformats.org/spreadsheetml/2006/main">
  <authors>
    <author/>
  </authors>
  <commentList>
    <comment authorId="0" ref="C250">
      <text>
        <t xml:space="preserve">The first expiry date is determined either by the top-up or promo registration depending on which date is later. The first expiry date is: 
 For a top-up: it is one year later from the date of last top-up 
 For a promo registration: the latest day of promo validity</t>
      </text>
    </comment>
    <comment authorId="0" ref="C252">
      <text>
        <t xml:space="preserve">
AMAX transactions availment indicator (can be LOAD OR GYRO)
</t>
      </text>
    </comment>
  </commentList>
</comments>
</file>

<file path=xl/sharedStrings.xml><?xml version="1.0" encoding="utf-8"?>
<sst xmlns="http://schemas.openxmlformats.org/spreadsheetml/2006/main" count="51746" uniqueCount="3663">
  <si>
    <t>Column</t>
  </si>
  <si>
    <t>Description</t>
  </si>
  <si>
    <t>Attribute Name</t>
  </si>
  <si>
    <t>Physical name of the attribute</t>
  </si>
  <si>
    <t>Data Category</t>
  </si>
  <si>
    <t>The following attributes categorization, describes the purpose of Business used, and  indicates the data groups to which the attributes belong.
(1) Audience/Persona
(2) Demographic/Affluence
(3) Behavioral
(4) Campaign History
(5) Customer PII
(6) Geographic
(7) Globe ID
(8) Loyalty and Retention
(9) Profitability</t>
  </si>
  <si>
    <t>Sub-Category</t>
  </si>
  <si>
    <t>The existence of relevant data from the main category</t>
  </si>
  <si>
    <t>Definition</t>
  </si>
  <si>
    <t>Description of the attribute</t>
  </si>
  <si>
    <t>Derivation Type</t>
  </si>
  <si>
    <t>Three (3) types of derivation are input into the UUP database:
Direct Pull Data - personal or specific information that an individual willingly shares by filling out of a form, completing an online survey or taking another purposeful action.
Inferred data - is information that a business has not collected either passively or actively from the subscriber, but rather has inferred using data about a sample population.
Derived Data - Data resulting from the derivation process; this data and characteristics assigned to a person based on their activities and behaviors online, often based around content consumption.</t>
  </si>
  <si>
    <t>Data Type</t>
  </si>
  <si>
    <t>The classification that specifies which type of value the attribute has.</t>
  </si>
  <si>
    <t>Sample Values</t>
  </si>
  <si>
    <t>Sample of expected data values available in the UUP database</t>
  </si>
  <si>
    <t>Data Owner</t>
  </si>
  <si>
    <t>Defines and owns the business policies and processes around data definition and business rules.</t>
  </si>
  <si>
    <t>Data Requestor</t>
  </si>
  <si>
    <t>Defines and owns the business use case objective around data definition and its criticality.</t>
  </si>
  <si>
    <t>Data User</t>
  </si>
  <si>
    <t>An individual or group of people from the business who consumes UUP attributes for certain use cases.</t>
  </si>
  <si>
    <t>Daily Extract</t>
  </si>
  <si>
    <t>An Indicator if part of Daily extract to DPA</t>
  </si>
  <si>
    <t>Monthly Extract</t>
  </si>
  <si>
    <t>An Indicator if part of Monthly extract to DPA</t>
  </si>
  <si>
    <t>Accuracy</t>
  </si>
  <si>
    <t>Refers to the accuracy of the two primary attributes characterize data quality. 
Inferred data - c/o EDO-AA (sampling data)
Direct Pull - c/o EDO-DQ (based on pre-defined business rules)</t>
  </si>
  <si>
    <t>Frequency of Refresh</t>
  </si>
  <si>
    <t>Rate at which loading of data records to UUP occurs (Daily, Monthly/Quarterly)
*Adhoc - Triggered manually</t>
  </si>
  <si>
    <t>Data Source</t>
  </si>
  <si>
    <t>It is the primary data source, which can be located in the data lake. Attribute data has an even wider variety of data sources.</t>
  </si>
  <si>
    <t>Last refresh date</t>
  </si>
  <si>
    <t>Refers to the latest specific date (e.g. July 30, 2019) when attribute data was loaded in the UUP database</t>
  </si>
  <si>
    <t>Brand</t>
  </si>
  <si>
    <t>Brand to which a subscriber has been tagged.
Valid Values:
GHP
GHP-PREPAID
PW
TM
WIRELINE
GLOBE
BAYAN</t>
  </si>
  <si>
    <t>CFU</t>
  </si>
  <si>
    <t>Customer facing unit type description. 
Valid Values:
Consumer
EG
SG
In-House</t>
  </si>
  <si>
    <t>Redshift Table Name</t>
  </si>
  <si>
    <t>Table name in Redshift database where the attribute is stored.</t>
  </si>
  <si>
    <t>Dynamo Table Name</t>
  </si>
  <si>
    <t>Table name in Dynamo database where the attribute is stored.</t>
  </si>
  <si>
    <t>NULL/NA</t>
  </si>
  <si>
    <t>NULL/NA instead of BLANK value is used to indicate when information in a certain cell is not provided, because the info is not available.</t>
  </si>
  <si>
    <t>Customer PII</t>
  </si>
  <si>
    <t>Data that can be used to distinguish or trace an individual’s identity including any information that is linked or linkable to that individual.</t>
  </si>
  <si>
    <t>Audience/Persona</t>
  </si>
  <si>
    <t>Attributes relating to personality, values, attitudes, interests, or lifestyle of the customer.</t>
  </si>
  <si>
    <t>Behavioral</t>
  </si>
  <si>
    <t>Subscriber information and derived or aggregated values from transactional data that can influence preference and decision-making of the subscriber.</t>
  </si>
  <si>
    <t>Globe ID/# Level (Raw)</t>
  </si>
  <si>
    <t>Globe internal identifiers, subscription details, handset information and Globe products availed by the customer.</t>
  </si>
  <si>
    <t>Campaign History</t>
  </si>
  <si>
    <t xml:space="preserve">Data related to promo registrations and availments.
</t>
  </si>
  <si>
    <t>Demographic/Affluence</t>
  </si>
  <si>
    <t>Non-Customer PII characteristics of the subscriber based on factors such as age, race, sex, affluence, SEC, employment, education, marriage rates, birth date, etc.</t>
  </si>
  <si>
    <t>Geographics</t>
  </si>
  <si>
    <t>Inferred geographic location of the subscriber.</t>
  </si>
  <si>
    <t>Profitability</t>
  </si>
  <si>
    <t>Revenue and cost-related data associated with the customer.</t>
  </si>
  <si>
    <t>Loyalty &amp; Retention</t>
  </si>
  <si>
    <t>Data measuring the customer's loyalty, satisfaction and probability of churning.</t>
  </si>
  <si>
    <t>Subscriber Level</t>
  </si>
  <si>
    <t>DATA CATEGORY</t>
  </si>
  <si>
    <t>Attributes Count</t>
  </si>
  <si>
    <t>Customer PII - Masked</t>
  </si>
  <si>
    <t>Non-PII</t>
  </si>
  <si>
    <t>Grand Total</t>
  </si>
  <si>
    <t>SCV/Customer Level</t>
  </si>
  <si>
    <t>ATTRIBUTE NAME</t>
  </si>
  <si>
    <t>Main Category</t>
  </si>
  <si>
    <t>DEFINITION</t>
  </si>
  <si>
    <t>DATA TYPES</t>
  </si>
  <si>
    <t>SAMPLE VALUES</t>
  </si>
  <si>
    <t>DATA OWNER</t>
  </si>
  <si>
    <t>ACCURACY (%)</t>
  </si>
  <si>
    <t>DATA REQUESTOR</t>
  </si>
  <si>
    <t>DATA USER</t>
  </si>
  <si>
    <t>LAST REFRESH DATE</t>
  </si>
  <si>
    <t>msisdn_value</t>
  </si>
  <si>
    <t>Account Information</t>
  </si>
  <si>
    <t>Customer Information</t>
  </si>
  <si>
    <t>Mobile number of the subscriber</t>
  </si>
  <si>
    <t>Direct Pull</t>
  </si>
  <si>
    <t>NTG-CPEI</t>
  </si>
  <si>
    <t>NA</t>
  </si>
  <si>
    <t>EDO-DI</t>
  </si>
  <si>
    <t>DPA
EDO-DI</t>
  </si>
  <si>
    <t>subscriber_id</t>
  </si>
  <si>
    <t>Subscriber identifier</t>
  </si>
  <si>
    <t>NULL</t>
  </si>
  <si>
    <t>DPA</t>
  </si>
  <si>
    <t>customer_id</t>
  </si>
  <si>
    <t>Customer unique identifer</t>
  </si>
  <si>
    <t>subscriber_status_code</t>
  </si>
  <si>
    <t>Subscriber status code</t>
  </si>
  <si>
    <t>A</t>
  </si>
  <si>
    <t>subscriber_status_date</t>
  </si>
  <si>
    <t>Date when the current subscriber status becomes effective</t>
  </si>
  <si>
    <t>2015-12-05 18:47:12.0</t>
  </si>
  <si>
    <t>subscriber_status_reason_key</t>
  </si>
  <si>
    <t>Reason code of the subscriber status change</t>
  </si>
  <si>
    <t>Calculated</t>
  </si>
  <si>
    <t>14CREQ</t>
  </si>
  <si>
    <t>subscriber_sub_brand</t>
  </si>
  <si>
    <t>Subscriber brand based from credit score</t>
  </si>
  <si>
    <t>TM-REGULAR</t>
  </si>
  <si>
    <t>subscriber_type_description</t>
  </si>
  <si>
    <t>Description of the subscriber</t>
  </si>
  <si>
    <t>GSM-PBX</t>
  </si>
  <si>
    <t>brand_type_description</t>
  </si>
  <si>
    <t>Subscriber brand: 
 GHP-PREPAID, GHP-POSTPAID, TM</t>
  </si>
  <si>
    <t>TM</t>
  </si>
  <si>
    <t>activation_date</t>
  </si>
  <si>
    <t>Specific date from which the subcriber's account has been activated</t>
  </si>
  <si>
    <t>2015-12-05 18:47:25.0</t>
  </si>
  <si>
    <t>tenure_count</t>
  </si>
  <si>
    <t>Tenure count based from the activation date of the subscriber</t>
  </si>
  <si>
    <t>original_activation_date</t>
  </si>
  <si>
    <t>Original activation date of the previous subscriber reassigned as new subscriber</t>
  </si>
  <si>
    <t>active_subscriber_indicator</t>
  </si>
  <si>
    <t>Indicator if a subscriber has activity from the last 2 weeks</t>
  </si>
  <si>
    <t>0 or 1</t>
  </si>
  <si>
    <t>churn_date</t>
  </si>
  <si>
    <t>Date when the subscriber churned</t>
  </si>
  <si>
    <t>first_name</t>
  </si>
  <si>
    <t>Demographic</t>
  </si>
  <si>
    <t>Personal Information</t>
  </si>
  <si>
    <t>First name of the postpaid subscriber</t>
  </si>
  <si>
    <t>Juan</t>
  </si>
  <si>
    <t>last_name</t>
  </si>
  <si>
    <t>Last name of the postpaid subscriber</t>
  </si>
  <si>
    <t>Dela Cruz</t>
  </si>
  <si>
    <t>derived_age_number</t>
  </si>
  <si>
    <t>Inferred age of the subscriber</t>
  </si>
  <si>
    <t>Inferred</t>
  </si>
  <si>
    <t>EDO-AA</t>
  </si>
  <si>
    <t>calculated_birth_date</t>
  </si>
  <si>
    <t>Birthdate calculated from inferred age</t>
  </si>
  <si>
    <t>gender_type_description</t>
  </si>
  <si>
    <t>Gender of a subscriber (Postpaid - Actual and Prepaid - inferred)</t>
  </si>
  <si>
    <t>ADH: Direct Pull
AA Model: Inferred</t>
  </si>
  <si>
    <t>Male</t>
  </si>
  <si>
    <t>middle_name</t>
  </si>
  <si>
    <t>Middle name of the postpaid subscriber</t>
  </si>
  <si>
    <t>Smith</t>
  </si>
  <si>
    <t>marital_status_type_description</t>
  </si>
  <si>
    <t>Marital status of a subscriber (Postpaid - Actual and Prepaid - inferred)</t>
  </si>
  <si>
    <t>Single</t>
  </si>
  <si>
    <t>birth_date</t>
  </si>
  <si>
    <t>Birth date of the postpaid subscriber</t>
  </si>
  <si>
    <t>home_barangay_name</t>
  </si>
  <si>
    <t>Geographic</t>
  </si>
  <si>
    <t>Barangay location where the subcriber home address resides</t>
  </si>
  <si>
    <t>Caupasan (Pob.)</t>
  </si>
  <si>
    <t>home_city_name</t>
  </si>
  <si>
    <t>City location where the subcriber home address resides</t>
  </si>
  <si>
    <t>DANGLAS</t>
  </si>
  <si>
    <t>home_province_name</t>
  </si>
  <si>
    <t>Province location where the subcriber home address resides</t>
  </si>
  <si>
    <t>ABRA</t>
  </si>
  <si>
    <t>home_region_name</t>
  </si>
  <si>
    <t>Region location where the subcriber home address resides</t>
  </si>
  <si>
    <t>CAR - Cordillera Administrative Region</t>
  </si>
  <si>
    <t>work_barangay_name</t>
  </si>
  <si>
    <t>Barangay location where the subcriber work address</t>
  </si>
  <si>
    <t>work_city_name</t>
  </si>
  <si>
    <t>City location where the subcriber work addiress</t>
  </si>
  <si>
    <t>work_province_name</t>
  </si>
  <si>
    <t>Province location where the subcriber work address</t>
  </si>
  <si>
    <t>work_region_name</t>
  </si>
  <si>
    <t>Region location where the subcriber work address</t>
  </si>
  <si>
    <t>age_bracket_name</t>
  </si>
  <si>
    <t>Age group of subscriber having approximately the same age</t>
  </si>
  <si>
    <t>18 to 25</t>
  </si>
  <si>
    <t>income_segment_code</t>
  </si>
  <si>
    <t>Financial</t>
  </si>
  <si>
    <t>An income bracket of subscribers based on the amount of their income.
 A-B: 154750 - above
 C: 50250 - 154749
 D: 15917 - 50249
 E: below- 15916</t>
  </si>
  <si>
    <t>D</t>
  </si>
  <si>
    <t>Postpaid: EDO-DI
Prepaid: EDO-AA</t>
  </si>
  <si>
    <t>handset_lte_capable_indicator</t>
  </si>
  <si>
    <t>Handset Information</t>
  </si>
  <si>
    <t>Indicator if a subscriber's handset device is a LTE capable based from data usage for a month</t>
  </si>
  <si>
    <t>handset_manufacturer_name</t>
  </si>
  <si>
    <t>Manufacturer of latest device used based on sms, voice and data usages for a month</t>
  </si>
  <si>
    <t>Derived</t>
  </si>
  <si>
    <t>SAMSUNG</t>
  </si>
  <si>
    <t>handset_model_name</t>
  </si>
  <si>
    <t>Phone model name of latest device used based on sms, voice and data usages for a month</t>
  </si>
  <si>
    <t>SM-J100H</t>
  </si>
  <si>
    <t>handset_os_name</t>
  </si>
  <si>
    <t>Operating System of the latest handset being used by the subscriber based sms, voice and all data usages for a month</t>
  </si>
  <si>
    <t>ANDROID</t>
  </si>
  <si>
    <t>handset_type_name</t>
  </si>
  <si>
    <t>Type of latest device used based on sms, voice and data usages for a month</t>
  </si>
  <si>
    <t>SMART PHONE</t>
  </si>
  <si>
    <t>Affluent Barangay</t>
  </si>
  <si>
    <t>Behavioural</t>
  </si>
  <si>
    <t>Usage</t>
  </si>
  <si>
    <t>Affluence is a derived socio-economic status based on the Affluence and Lifestyle model of AMP. Segments are the following:
 Prepaid:
 Affluent: SEC A-B
 Emerging: SEC C1C2
 Struggling: DE
 Postpaid:
 Affluent: SEC A-B
 Emerging: SEC C1
 Aspiring: SEC C2
 Struggling: DE</t>
  </si>
  <si>
    <t>2: EMERGING</t>
  </si>
  <si>
    <t>MSH-AMP</t>
  </si>
  <si>
    <t>mds_journey</t>
  </si>
  <si>
    <t>Subscriber tagging based on MDS journey segmentation to determine how savvy the subscriber in using MDS. The following segments are:
 - Education: Non MDS User
 - Trial A: Free MDS User with usage &lt;5MB
 - Trial B: Free MDS User with usage &gt;5MB
 - Value: Paid Light MDS User 
 - Investment: Paid Medium MDS User
 - Habit: Paid High MDS User</t>
  </si>
  <si>
    <t xml:space="preserve">
INVESTMENT
</t>
  </si>
  <si>
    <t>lifestage</t>
  </si>
  <si>
    <t>Psychographic</t>
  </si>
  <si>
    <t>Customer Segments</t>
  </si>
  <si>
    <t>Lifestage is a derived value based on the Affluence and Lifestyle model of AMP. Segments are the following:
 Student: Gen Z (&lt;20yrs old)
 Yuppie: Young Millenial (21-28yrs old)
 Transitioner: Ageing Millenial (29-37yrs old); and Young Millenial (21-28yrs old) who are married
 Balancer: Gen X (38-51 yrs old)
 Retiree: Baby Boomer (52yrs old &amp; above)</t>
  </si>
  <si>
    <t>4: BALANCER</t>
  </si>
  <si>
    <t>multisim_tag</t>
  </si>
  <si>
    <t>Tagging indicating whether if subscriber owns more than one sim card</t>
  </si>
  <si>
    <t>airtime_loan_10_availer_topup_propensity_score</t>
  </si>
  <si>
    <t>Propensity of a Prepaid/TM subscriber to avail airtime loan based on top-up denomination score (10)</t>
  </si>
  <si>
    <t>airtime_loan_15_availer_topup_propensity_score</t>
  </si>
  <si>
    <t>Propensity of a Prepaid/TM subscriber to avail airtime loan based on top-up denomination score (15)</t>
  </si>
  <si>
    <t>airtime_loan_20_availer_topup_propensity_score</t>
  </si>
  <si>
    <t>Propensity of a Prepaid/TM subscriber to avail airtime loan based on top-up denomination score (20)</t>
  </si>
  <si>
    <t>airtime_loan_25_availer_topup_propensity_score</t>
  </si>
  <si>
    <t>Propensity of a Prepaid/TM subscriber to avail airtime loan based on top-up denomination score (25)</t>
  </si>
  <si>
    <t>airtime_loan_30_availer_topup_propensity_score</t>
  </si>
  <si>
    <t>Propensity of a Prepaid/TM subscriber to avail airtime loan based on top-up denomination score (30)</t>
  </si>
  <si>
    <t>airtime_loan_40_availer_topup_propensity_score</t>
  </si>
  <si>
    <t>Propensity of a Prepaid/TM subscriber to avail airtime loan based on top-up denomination score (40)</t>
  </si>
  <si>
    <t>airtime_loan_5_availer_topup_propensity_score</t>
  </si>
  <si>
    <t>Propensity of a Prepaid/TM subscriber to avail airtime loan based on top-up denomination score (5)</t>
  </si>
  <si>
    <t>airtime_loan_50_availer_topup_propensity_score</t>
  </si>
  <si>
    <t>Propensity of a Prepaid/TM subscriber to avail airtime loan based on top-up denomination score (50)</t>
  </si>
  <si>
    <t>postpaid_clv_segment_name</t>
  </si>
  <si>
    <t>Inferred data for a customer lifetime value (CLV) model that will help determine which from the subscriber base gives the highest profit to Globe. This also help determine optimal handset subsidy model for Globe and as inputs to improved retention and loyalty programs.
Valid Values:
01 STARS
02 HIGH - VALUE
03 MEDIUM - VALUE
04 LOW - VALUE
05 NOMINAL - VALUE
06 NEGATIVE - VALUE</t>
  </si>
  <si>
    <t>01 STARS</t>
  </si>
  <si>
    <t>prepaid_income_score</t>
  </si>
  <si>
    <t>Estimate Income Bracket to fill up missing values for Customer Base profiling specific to Prepaid</t>
  </si>
  <si>
    <t>prepaid_topup_segmentation_score</t>
  </si>
  <si>
    <t>Prepaid top-up segment based on their top-up score
 1 - Tingi Loaders
 2 - Live by the day
 3 - Sporadic Users
 4 - Bulk Loaders
 5 - Regular Loaders</t>
  </si>
  <si>
    <t>content_games_propensity_score</t>
  </si>
  <si>
    <t>Propensity of a subscriber to avail games content based on games behavior</t>
  </si>
  <si>
    <t>0.0008</t>
  </si>
  <si>
    <t>Content Business</t>
  </si>
  <si>
    <t>content_music_propensity_score</t>
  </si>
  <si>
    <t>Propensity of a subscriber to avail music content based on music behavior</t>
  </si>
  <si>
    <t>0.0027</t>
  </si>
  <si>
    <t>content_video_propensity_score</t>
  </si>
  <si>
    <t>Propensity of a subscriber to avail video content based on video behavior</t>
  </si>
  <si>
    <t>0.0034</t>
  </si>
  <si>
    <t>postpaid_churn_propensity_decile</t>
  </si>
  <si>
    <t>Propensity to Churn</t>
  </si>
  <si>
    <t>Propensity of a postpaid subscriber to churn based on propensity decile</t>
  </si>
  <si>
    <t>postpaid_churn_propensity_score</t>
  </si>
  <si>
    <t>Propensity of a postpaid subscriber to churn based on propensity score</t>
  </si>
  <si>
    <t>postpaid_data_usage_segment_name</t>
  </si>
  <si>
    <t>Transaction Data</t>
  </si>
  <si>
    <t>Postpaid customer data usage segment based on core and data usage behavior
Valid Values:
DORMANT
TRAD
DATA
EVOLVING
WELLROUNDED</t>
  </si>
  <si>
    <t>WELLROUNDED</t>
  </si>
  <si>
    <t>postpaid_interaction_segment_name</t>
  </si>
  <si>
    <t>Interaction</t>
  </si>
  <si>
    <t>Postpaid customer interaction segment based on interactions:
Valid Values:
CURIOUS CARL
COMPLAINING CONNIE
INQUISITIVE IRISH
NAGGING NANCY
TEDIOUS TED
UNSATISFIED USHER
DEMANDING DORA</t>
  </si>
  <si>
    <t>NAGGING NANCY</t>
  </si>
  <si>
    <t>owns_car_indicator</t>
  </si>
  <si>
    <t>Ownership Details</t>
  </si>
  <si>
    <t>Indicator of postpaid subscriber who owns a car</t>
  </si>
  <si>
    <t>owns_credit_card_indicator</t>
  </si>
  <si>
    <t>Indicator of postpaid subscriber who owns a credit card</t>
  </si>
  <si>
    <t>owns_house_indicator</t>
  </si>
  <si>
    <t>Indicator of postpaid subscriber who owns a house</t>
  </si>
  <si>
    <t>traveler_indicator</t>
  </si>
  <si>
    <t>Indicator if a subscriber is a traveler based from the network voice usages and has been detected in hotels/resorts and in travel expo</t>
  </si>
  <si>
    <t>mrt_user_indicator</t>
  </si>
  <si>
    <t>Indicator if a subscriber has been detected in MRT stations based from network voice and sms usages</t>
  </si>
  <si>
    <t>music_concert_goer_indicator</t>
  </si>
  <si>
    <t>Indicator if a subscriber is a concert goer based from network sms usages</t>
  </si>
  <si>
    <t>gamer_indicator</t>
  </si>
  <si>
    <t>Indicator if a subscriber has been detected in e-sports events based from network sms and voice usages</t>
  </si>
  <si>
    <t>fastfood_caller_indicator</t>
  </si>
  <si>
    <t>Indicator if a subscriber contacted any fastfood establishment delivery hotlines</t>
  </si>
  <si>
    <t>insurance_caller_indicator</t>
  </si>
  <si>
    <t>Indicator if a subscriber called insurance companies base from network voice usages</t>
  </si>
  <si>
    <t>banking_caller_indicator</t>
  </si>
  <si>
    <t>Indicator if a subscriber called banks for possible product users (with credit card and/or bank account) based from network voice usages</t>
  </si>
  <si>
    <t>motorists_enthusiast_indicator</t>
  </si>
  <si>
    <t>Indicator if a subscriber is a car enthusiast</t>
  </si>
  <si>
    <t>browsing_interest_edutainment_site_indicator</t>
  </si>
  <si>
    <t>Lifestyle &amp; Interest</t>
  </si>
  <si>
    <t>Indicator if the subscriber who has interest in educational entertainment</t>
  </si>
  <si>
    <t>browsing_interest_games_site_indicator</t>
  </si>
  <si>
    <t>Indicator if the subscriber who has interest in games</t>
  </si>
  <si>
    <t>browsing_interest_lifestyle_ecommerce_site_indicator</t>
  </si>
  <si>
    <t>Indicator if the subscriber who has interest in lifestyle ecommerce</t>
  </si>
  <si>
    <t>browsing_interest_music_site_indicator</t>
  </si>
  <si>
    <t>Indicator if the subscriber who has interest in music</t>
  </si>
  <si>
    <t>browsing_interest_site_category_name</t>
  </si>
  <si>
    <t>Website category visited by a subscriber for one whole month</t>
  </si>
  <si>
    <t>Social Media</t>
  </si>
  <si>
    <t>browsing_interest_sports_site_indicator</t>
  </si>
  <si>
    <t>Indicator if the subscriber has interest in sports</t>
  </si>
  <si>
    <t>browsing_interest_video_site_indicator</t>
  </si>
  <si>
    <t>Indicator if the subscriber has interest in video</t>
  </si>
  <si>
    <t>contract_indicator</t>
  </si>
  <si>
    <t>Indicator that a postpaid subscriber's contract is LI = Locked-In and OB = Open Base</t>
  </si>
  <si>
    <t>OB</t>
  </si>
  <si>
    <t>im_apps_kakao_talk_indicator</t>
  </si>
  <si>
    <t>Indicator if a subscriber downloaded/used kakao talk mobile application</t>
  </si>
  <si>
    <t>im_apps_skype_indicator</t>
  </si>
  <si>
    <t>Indicator if a subscriber downloaded/used skype mobile application</t>
  </si>
  <si>
    <t>interest_segmentation_score</t>
  </si>
  <si>
    <t>Subscriber's (Top 3) interests based on browsing behavior</t>
  </si>
  <si>
    <t>MUSIC|TRAVEL|SHOPPING</t>
  </si>
  <si>
    <t>Variables with significant shift: 0%</t>
  </si>
  <si>
    <t>mdm_type_code</t>
  </si>
  <si>
    <t>Type of MDM table where master ID for customer has been derived:
S - Suspects
C - Confidence
U - Uniques</t>
  </si>
  <si>
    <t>S</t>
  </si>
  <si>
    <t>EDO</t>
  </si>
  <si>
    <t>average_data_usage_rolling_3_months_quantity</t>
  </si>
  <si>
    <t>Average mobile data (MDS) usage for the past 3 months</t>
  </si>
  <si>
    <t>projected_data_usage_quantity</t>
  </si>
  <si>
    <t>Projected data utilization of the postpaid subscriber for the bill cycle</t>
  </si>
  <si>
    <t>most_frequent_availed_all_day_roam_surf_variant_name</t>
  </si>
  <si>
    <t>Detect the most frequently availed all day roam surf promo/add-on within 90 days</t>
  </si>
  <si>
    <t>ROAMSURF_399_GP</t>
  </si>
  <si>
    <t>prepaid_churn_propensity_decile</t>
  </si>
  <si>
    <t>Propensity of a prepaid subscriber to churn based on propensity decile</t>
  </si>
  <si>
    <t>prepaid_churn_propensity_score</t>
  </si>
  <si>
    <t>Propensity of a prepaid subscriber to churn based on propensity score</t>
  </si>
  <si>
    <t>0.6448</t>
  </si>
  <si>
    <t>easy_roam_149_availer_indicator</t>
  </si>
  <si>
    <t>Indicator if a postpaid subscriber availed easy roam 149 promo within a year</t>
  </si>
  <si>
    <t>easy_roam_149_latest_expiry_date</t>
  </si>
  <si>
    <t>Latest expiration date of easy roam 149 availment of postpaid subscriber within a year</t>
  </si>
  <si>
    <t>all_day_roam_surf_last_registration_date</t>
  </si>
  <si>
    <t>The last registration date of all day roam surf in the past 365 days
 Postpaid - Product catalog
 Prepaid (promos) - subscribers</t>
  </si>
  <si>
    <t>most_frequent_availed_reward_type_3mos</t>
  </si>
  <si>
    <t>Most availed reward type by the subscriber within 90 days</t>
  </si>
  <si>
    <t>SMAC</t>
  </si>
  <si>
    <t>income_amount</t>
  </si>
  <si>
    <t>Gross monthly income earned by a postpaid subscriber</t>
  </si>
  <si>
    <t>CBRM</t>
  </si>
  <si>
    <t>roaming_propensity_decile</t>
  </si>
  <si>
    <t>Propensity decile of the subscriber to travel abroad based from previous roaming promo subscriptions.</t>
  </si>
  <si>
    <t>Postpaid is 49% 
Prepaid is 46% (Top 2 deciles)</t>
  </si>
  <si>
    <t>roaming_propensity_score</t>
  </si>
  <si>
    <t>Propensity score of the subscriber to travel abroad based from previous roaming promo subscriptions.</t>
  </si>
  <si>
    <t>Postpaid 49% 
Prepaid is 46% (Top 2 scores)</t>
  </si>
  <si>
    <t>sim_lte_capable_indicator</t>
  </si>
  <si>
    <t>Indicator if a subcriber's issued sim card is LTE capable</t>
  </si>
  <si>
    <t>email_address_text</t>
  </si>
  <si>
    <t>Email address of the postpaid subscriber from the point of application</t>
  </si>
  <si>
    <t>yeaurika@gmail.com</t>
  </si>
  <si>
    <t>occupation_text</t>
  </si>
  <si>
    <t>Occupation of the postpaid subscriber</t>
  </si>
  <si>
    <t>HR MANAGER</t>
  </si>
  <si>
    <t>industry_description</t>
  </si>
  <si>
    <t>Business Industries</t>
  </si>
  <si>
    <t>TELECOMMUNICATION</t>
  </si>
  <si>
    <t>student_indicator</t>
  </si>
  <si>
    <t>Indicator if a subscriber has been detected in schools/universities based from the whitelist</t>
  </si>
  <si>
    <t>opt_out_indicator</t>
  </si>
  <si>
    <t>Campaign Response</t>
  </si>
  <si>
    <t>Campaign Takeup</t>
  </si>
  <si>
    <t>Indicator if a subscriber has opted out from all campaigns based from whitelist provided</t>
  </si>
  <si>
    <t>MSH-CLM</t>
  </si>
  <si>
    <t>favorite_social_media_app_name</t>
  </si>
  <si>
    <t>Most frequently used social media app by the subscriber for the past 7-days</t>
  </si>
  <si>
    <t>FACEBOOK</t>
  </si>
  <si>
    <t>ofw_relative_indicator</t>
  </si>
  <si>
    <t>Indicator if a postpaid subscriber is a overseas filipino worker based from the plan availed by the postpaid</t>
  </si>
  <si>
    <t>international_traveller_indicator</t>
  </si>
  <si>
    <t>Indicator if a subscriber is an international traveller</t>
  </si>
  <si>
    <t>latest_topup_date</t>
  </si>
  <si>
    <t>Latest reload transaction date of subscriber within 90 days</t>
  </si>
  <si>
    <t>2018-11-11 12:55:06.0</t>
  </si>
  <si>
    <t>most_availed_topup_rolling_30_days_amount</t>
  </si>
  <si>
    <t>Amount of most availed reload of the subscriber within 30 days</t>
  </si>
  <si>
    <t>previous_balance_amount</t>
  </si>
  <si>
    <t>Payment &amp; Billing</t>
  </si>
  <si>
    <t>Total amount due from the previous billing statement for a postpaid subscriber</t>
  </si>
  <si>
    <t>roaming_services_indicator</t>
  </si>
  <si>
    <t>Indicator if a subscriber is a roaming services user</t>
  </si>
  <si>
    <t>rewards_apps_indicator</t>
  </si>
  <si>
    <t>Indicator if the subscriber used the Globe Rewards app for the past 90-days</t>
  </si>
  <si>
    <t>segment_id</t>
  </si>
  <si>
    <t>Calculated identifier based from subscriber's brand, sub-brand, customer type, customer sub type and product type</t>
  </si>
  <si>
    <t>total_daily_topup_rolling_30_days_amount</t>
  </si>
  <si>
    <t>Total daily reload amount for the last rolling 30 days</t>
  </si>
  <si>
    <t>max_daily_topup_rolling_30_days_amount</t>
  </si>
  <si>
    <t>Maximum daily reload amount for the past rolling 30 days</t>
  </si>
  <si>
    <t>average_monthly_topup_rolling_90_days_amount</t>
  </si>
  <si>
    <t>Average topup amount for the past rolling 90 days (divided by 3 months)</t>
  </si>
  <si>
    <t>average_topup_amount_3mos</t>
  </si>
  <si>
    <t>Average topup amount for the past 3 months (divided by distinct days with transactions)</t>
  </si>
  <si>
    <t>unpaid_billed_amount</t>
  </si>
  <si>
    <t>Sum of previous balance amount and financial activities amount of a postpaid subscriber</t>
  </si>
  <si>
    <t>gid</t>
  </si>
  <si>
    <t>Group ID (System generated hexadecimal in MDM) is identifier of a customer with different product availed</t>
  </si>
  <si>
    <t>46db2c95-9e9c-459a-a1b3-ee7648fc0873</t>
  </si>
  <si>
    <t>AMP</t>
  </si>
  <si>
    <t>arpu_category_code</t>
  </si>
  <si>
    <t>Average revenue per user/subscriber
 Postpaid - Monthly Service Fee (MSF)
 Prepaid - Monthly Reload
 e.g. A - Php 8,000 and up 
 B - Php 7,000 to Php 7,999 
 C - Php 6000 to Php 6999 
 D - Php 5000 to Php 5999 
 E - Php 4000 to Php 4999 
 F - Php 3000 to Php 3999 
 G - Php 2000 to Php 2999 
 H - Php 1,000 to Php 1,999 
 I - Php 300 to Php 999 
 J - Below Php 300</t>
  </si>
  <si>
    <t>bill_email</t>
  </si>
  <si>
    <t>Email address where the subscriber receives his/her monthly bill</t>
  </si>
  <si>
    <t>ASDQF@YAHOO.COM</t>
  </si>
  <si>
    <t>bill_delivery_mode_code</t>
  </si>
  <si>
    <t>Unique code to indicate the billing delivery mode either email or physical billing of the postpaid subscriber</t>
  </si>
  <si>
    <t>0E</t>
  </si>
  <si>
    <t>bill_number</t>
  </si>
  <si>
    <t>A unique sequence number identifying the record of Statement of Account (SOA)</t>
  </si>
  <si>
    <t>billing_offer_desc</t>
  </si>
  <si>
    <t>Subscriber's Main Plan</t>
  </si>
  <si>
    <t>Plan 299</t>
  </si>
  <si>
    <t>billing_offer_id</t>
  </si>
  <si>
    <t>Represent the main Priceplan of the Subscriber</t>
  </si>
  <si>
    <t>contract_start_date</t>
  </si>
  <si>
    <t>Contract start date of the postpaid subscriber</t>
  </si>
  <si>
    <t>contract_expiry</t>
  </si>
  <si>
    <t>Contract expiry date of the postpaid subscriber</t>
  </si>
  <si>
    <t>credit_limit_amount</t>
  </si>
  <si>
    <t>Customer Spending Limit (CSL)- Amount automatically assigned based on the Gross Monthly Income (GMI)
 - Maximum financial exposure Globe is willing to give customers based on PMI depending on the type of customer</t>
  </si>
  <si>
    <t>customer_credit_limit</t>
  </si>
  <si>
    <t>Subscription Spending Limit (SSL)Balance allowance between the subscriber's Credit Limit and all monthly recurring fees</t>
  </si>
  <si>
    <t>account_credit_limit</t>
  </si>
  <si>
    <t>Financial Account Spending Limit (FASL)Used as a control which determines the allowable plan for the customer</t>
  </si>
  <si>
    <t>customer_facing_unit_type_description</t>
  </si>
  <si>
    <t>Customer facing unit type description. 
 Valid Values:
 CONSUMER
 EG
 SG</t>
  </si>
  <si>
    <t>CONSUMER</t>
  </si>
  <si>
    <t>customer_facing_unit_sub_type_description</t>
  </si>
  <si>
    <t>Customer facing unit sub-type description. 
 Valid Values:
 REGULAR
 PLATINUM ELITE
 HYBRID</t>
  </si>
  <si>
    <t>REGULAR</t>
  </si>
  <si>
    <t>customer_sub_type_key</t>
  </si>
  <si>
    <t>Subscriber indicator:
 P - Platinum
 H - Hybrid
 E - Elite
 B - Blue
 C - Corporate
 R - Regular</t>
  </si>
  <si>
    <t>R</t>
  </si>
  <si>
    <t>cutoff_date</t>
  </si>
  <si>
    <t>Postpaid subscriber billing cycle cut off date</t>
  </si>
  <si>
    <t>total_amount</t>
  </si>
  <si>
    <t>Total of all new charges and credits (including discounts) since the previous bill</t>
  </si>
  <si>
    <t>deposit_date</t>
  </si>
  <si>
    <t>Postpaid subscriber payment deposit date</t>
  </si>
  <si>
    <t>due_date</t>
  </si>
  <si>
    <t>Due date of the postpaid subscriber's bill</t>
  </si>
  <si>
    <t>total_due_amount</t>
  </si>
  <si>
    <t>Total amount required to be paid by the subscriber</t>
  </si>
  <si>
    <t>payment_date</t>
  </si>
  <si>
    <t>Latest payment done by postpaid subscriber</t>
  </si>
  <si>
    <t>financial_activities_amount</t>
  </si>
  <si>
    <t>The total amount of the financial activities including tax for postpaid subscriber for the completed billing cycle</t>
  </si>
  <si>
    <t>imsi_number_value</t>
  </si>
  <si>
    <t>Unique identifier of the SIM card</t>
  </si>
  <si>
    <t>CMG</t>
  </si>
  <si>
    <t>main_address_key</t>
  </si>
  <si>
    <t>Subscriber address code</t>
  </si>
  <si>
    <t>A608618972</t>
  </si>
  <si>
    <t>main_contact_key</t>
  </si>
  <si>
    <t>Subscriber contact code</t>
  </si>
  <si>
    <t>MRF</t>
  </si>
  <si>
    <t>Monthly Recurring Fee of the pospaid subscriber, (base plan + other usage recurring charges) - based from actual incurred charges</t>
  </si>
  <si>
    <t>MSF</t>
  </si>
  <si>
    <t>Monthly service fee of a postpaid subscriber</t>
  </si>
  <si>
    <t>payment_category_description</t>
  </si>
  <si>
    <t>Carrier plan type description (GHP-POSTPAID, GHP-PREPAID)</t>
  </si>
  <si>
    <t>PREPAID</t>
  </si>
  <si>
    <t>prepaid_balance_status_code</t>
  </si>
  <si>
    <t>Prepaid balance status code 
 O–Preactive 
 A– Active
 G– Credit expiry 
 C– Subscriber expiry</t>
  </si>
  <si>
    <t>O</t>
  </si>
  <si>
    <t>previous_payment_category_key</t>
  </si>
  <si>
    <t>Carrier plan type description (Postpaid, Prepaid) of migrated or re-assigned subscriber</t>
  </si>
  <si>
    <t>POST</t>
  </si>
  <si>
    <t>calculated_payment_category_key</t>
  </si>
  <si>
    <t>Carrier plan type code. 
 Valid values:
 BOTH
 PRE
 POST</t>
  </si>
  <si>
    <t>PRE</t>
  </si>
  <si>
    <t>previous_subscriber_key</t>
  </si>
  <si>
    <t>Previous subscriber identifier for migrated or re-assigned subscriber</t>
  </si>
  <si>
    <t>primary_resource_type_key</t>
  </si>
  <si>
    <t>Subscriber Primary Resource Type</t>
  </si>
  <si>
    <t>C</t>
  </si>
  <si>
    <t>usage_monthly_total_sms_sent</t>
  </si>
  <si>
    <t>Transactional Data</t>
  </si>
  <si>
    <t>Usage History</t>
  </si>
  <si>
    <t>Total no. of SMS sent by the subscriber for the past 1 month</t>
  </si>
  <si>
    <t>Omni/VoC</t>
  </si>
  <si>
    <t>usage_monthly_total_outgoing_call_minutes</t>
  </si>
  <si>
    <t>Total no. of minutes of outgoing calls made by the subscirber for the 1 month</t>
  </si>
  <si>
    <t>usage_monthly_total_kb_data_used</t>
  </si>
  <si>
    <t>Total no. of data (KB format) consumed by the subscirber for the 1 month</t>
  </si>
  <si>
    <t>usage_average_amount_past_30days</t>
  </si>
  <si>
    <t>Average usage amount for the past 30 days</t>
  </si>
  <si>
    <t>usage_average_amount_past_120days</t>
  </si>
  <si>
    <t>Average of usage amount used by the subscriber for the past 120 days prior to past 30 days</t>
  </si>
  <si>
    <t>usage_data_count_past_120days</t>
  </si>
  <si>
    <t>No. of data usages used by the subscriber for the past 120 days prior to past 30 days</t>
  </si>
  <si>
    <t>usage_total_amount_past_30days</t>
  </si>
  <si>
    <t>Total of usage amount used by the subscriber for the past 30 days</t>
  </si>
  <si>
    <t>network_monthly_top_1_voice_location_region</t>
  </si>
  <si>
    <t>Top 1 Location (Region) of the subscriber based on call/voice usages in 1 month</t>
  </si>
  <si>
    <t>network_monthly_top_1_voice_location_province</t>
  </si>
  <si>
    <t>Top 1 Location (Province) of the subscriber based on call/voice usages in 1 month</t>
  </si>
  <si>
    <t>network_monthly_top_1_voice_location_town</t>
  </si>
  <si>
    <t>Top 1 Location (Town) of the subscriber based on call/voice usages in 1 month</t>
  </si>
  <si>
    <t>network_monthly_top_1_voice_location_barangay</t>
  </si>
  <si>
    <t>Top 1 Location (Barangay) of the subscriber based on call/voice usages in 1 month</t>
  </si>
  <si>
    <t>network_monthly_top_1_sms_location_region</t>
  </si>
  <si>
    <t>Top 1 Location (Region) of the subscriber based on SMS usages in 1 month</t>
  </si>
  <si>
    <t>network_monthly_top_1_sms_location_province</t>
  </si>
  <si>
    <t>Top 1 Location (Province) of the subscriber based on SMS usages in 1 month</t>
  </si>
  <si>
    <t>network_monthly_top_1_sms_location_town</t>
  </si>
  <si>
    <t>Top 1 Location (Town) of the subscriber based on SMS usage sin 1 month</t>
  </si>
  <si>
    <t>network_monthly_top_1_sms_location_barangay</t>
  </si>
  <si>
    <t>Top 1 Location (Barangay) of the subscriber based on SMS usages in 1 month</t>
  </si>
  <si>
    <t>network_monthly_top_1_data_location_region</t>
  </si>
  <si>
    <t>Top 1 Location (Region) of the subscriber based on data usages in 1 month</t>
  </si>
  <si>
    <t>network_monthly_top_1_data_location_province</t>
  </si>
  <si>
    <t>Top 1 Location (Province) of the subscriber based on data usages in 1 month</t>
  </si>
  <si>
    <t>network_monthly_top_1_data_location_town</t>
  </si>
  <si>
    <t>Top 1 Location (Town) of the subscriber based on data usages in 1 month</t>
  </si>
  <si>
    <t>network_monthly_top_1_data_location_barangay</t>
  </si>
  <si>
    <t>Top 1 Location (Barangay) of the subscriber based on data usages in 1 month</t>
  </si>
  <si>
    <t>active_days_past_2days_indicator</t>
  </si>
  <si>
    <t>Indicator if a subscriber is a Multiplayer Online Battle Arena (MOBA) games such as Mobile Legends, Arena of Valor, Heroes Evolved, Vainglory, Dota2, League of Legends</t>
  </si>
  <si>
    <t>moba_gamer_indicator</t>
  </si>
  <si>
    <t>Psychographic Data</t>
  </si>
  <si>
    <t>EDO-ERI</t>
  </si>
  <si>
    <t>moba_gamer_bucket</t>
  </si>
  <si>
    <t xml:space="preserve">Bucketing based on the intensity of data burn relevant to MOBA games.
Valid values: 
Low - Less than or equal to 1.6MB burn
Mid - Greater than 1.6MB but less than or equal to 2.4MB burn
High - Greater than 2.4MB and higher burn </t>
  </si>
  <si>
    <t>High</t>
  </si>
  <si>
    <t>moba_gamer_details</t>
  </si>
  <si>
    <t>Top Multiplayer Online Battle Arena (MOBA) games being accessed by the subscriber</t>
  </si>
  <si>
    <t xml:space="preserve">heroes_evolved | league_of_legends| vainsglory </t>
  </si>
  <si>
    <t>battle_royale_indicator</t>
  </si>
  <si>
    <t>Indicator if a subscriber is using Battle Royale games such as Rules of Survival, PUBG Mobile, Free Fire, Fortnite Mobile</t>
  </si>
  <si>
    <t>battle_royale_bucket</t>
  </si>
  <si>
    <t>Bucketing based on the intensity of data burn relevant to Battle Royale games.
Valid values: 
Low - Less than or equal 2.4MB burn
Mid - Greater than 2.4MB but less than or equal to  3.1MB burn
High - Greater than 3.1MB and higher burn</t>
  </si>
  <si>
    <t>battle_royale_details</t>
  </si>
  <si>
    <t>Top Battle Royale games being accessed by the subscriber</t>
  </si>
  <si>
    <t>rules_of_survival | pubg | fortnite | free_fire</t>
  </si>
  <si>
    <t>kpop_fan_indicator</t>
  </si>
  <si>
    <t>Indicator if a subscriber is watching Korean entertainment via apps ie. Viki, Viu, Dramafever</t>
  </si>
  <si>
    <t>kpop_fan_bucket</t>
  </si>
  <si>
    <t>Bucketing based on the intensity monthly hits relevant to KPOP.
Valid values: 
Low - Below or equal to 8 hits
Mid - Greater than 8 hits but below or equal to 12 hits
High - Greater than 12 hits</t>
  </si>
  <si>
    <t>kpop_fan_details</t>
  </si>
  <si>
    <t>Top KPOP related content being accessed by the subscriber</t>
  </si>
  <si>
    <t>viki | viu | dramafever</t>
  </si>
  <si>
    <t>music_streamer_indicator</t>
  </si>
  <si>
    <t>Indicator if a subscriber streamed music via music apps and sites such as Apple Music and Spotify</t>
  </si>
  <si>
    <t>music_streamer_bucket</t>
  </si>
  <si>
    <t>Bucketing based on the intensity a subsciber downloaded and listened music online
Valid values: 
Low - Less than or equal to 15 songs played/downloaded in a day.
Mid - Greater than 15 but less than or equal to 51 songs played/downloaded in a day.
High - More than 51 songs played downloaded in a day.</t>
  </si>
  <si>
    <t>music_streamer_details</t>
  </si>
  <si>
    <t>Top music streaming related apps/websites being accessed by the subscriber</t>
  </si>
  <si>
    <t>spotify_app | apple_music | spotify_site</t>
  </si>
  <si>
    <t>beauty_skin_care_fan_indicator</t>
  </si>
  <si>
    <t>Indicator if a subscriber access websites related to beauty and skincare. ie. Loreal, Ponds</t>
  </si>
  <si>
    <t>beauty_skin_care_fan_bucket</t>
  </si>
  <si>
    <t>Bucketing based on the number of hits conducted by the subscriber.
Valid values: 
Looker -  if monthly hits on the below site = 3 
Fan/Buyer -  if monthly hits on the below site = 4-5 
Avid Fan/Buyer - if monthly hits on the below site = &gt; 5</t>
  </si>
  <si>
    <t>Looker</t>
  </si>
  <si>
    <t>beauty_skin_care_fan_details</t>
  </si>
  <si>
    <t>Top beauty skin care related websites being accessed by the subscriber</t>
  </si>
  <si>
    <t xml:space="preserve">Avon | Dove | Estee Lauder | Garnier | Kiehls | Loreal | Maybelline | NYX Cosmetics | Toni and Guy </t>
  </si>
  <si>
    <t>video_streamer_indicator</t>
  </si>
  <si>
    <t>Indicator if a subscriber used streaming apps and sites. ie. Netflix, Hooq</t>
  </si>
  <si>
    <t>video_streamer_bucket</t>
  </si>
  <si>
    <t xml:space="preserve">Bucketing based on the intensity of data burn relevant to Video streaming.
Valid values: 
Low - Below or equal to 2.7GB
Mid - Greater than 2.7GB but below or equal to 4.5 GB 
High - Greater than 4.5GB </t>
  </si>
  <si>
    <t>video_streamer_details</t>
  </si>
  <si>
    <t>Top video streaming related apps/websites being accessed by the subscriber</t>
  </si>
  <si>
    <t>hooq | abs_cbn | disney_app | beam_tv | tv_plus | crunchyroll | muvinow | rappler | hbo_now | nickelodeon</t>
  </si>
  <si>
    <t>online_shopper_indicator</t>
  </si>
  <si>
    <t>Indicator if a subscriber is using shopping apps: Amazon, Lazada, Shopee and Zalora</t>
  </si>
  <si>
    <t>online_shopper_bucket</t>
  </si>
  <si>
    <t>Bucketing based on the number of hits relevant to shopping apps/websites.
Valid values: 
Low - &lt;=5 times a month
Mid - 6-22 times a month
High -  &gt; 22 times a month</t>
  </si>
  <si>
    <t>online_shopper_details</t>
  </si>
  <si>
    <t>Top online shopping related apps/websites being accessed by the subscriber</t>
  </si>
  <si>
    <t>zalora | shopee | amazon_online_store | lazada</t>
  </si>
  <si>
    <t>sale_shopper_indicator</t>
  </si>
  <si>
    <t>Profile based on total number of sessions per month spent in using Amazon, Lazada, Shopee and Zalora apps on sale dates identified with high spikes in usage indicating seasonal or regular sales</t>
  </si>
  <si>
    <t>sale_shopper_bucket</t>
  </si>
  <si>
    <t>Bucketing based on the number of hits relevant to shopping apps/websites.
Valid values: 
Low: 1 - 12
Mid: 13 - 16
High: &gt; 17</t>
  </si>
  <si>
    <t>sale_shopper_details</t>
  </si>
  <si>
    <t>Top sale related apps/websites being accessed by the subscriber</t>
  </si>
  <si>
    <t>shopee | amazon_online_store | lazada | lazada</t>
  </si>
  <si>
    <t>travel_enthusiast_indicator</t>
  </si>
  <si>
    <t>Profile based on total number of sessions per month accessing sites and apps related to travel. ie. Airline Apps, Booking Apps</t>
  </si>
  <si>
    <t>travel_enthusiast_bucket</t>
  </si>
  <si>
    <t xml:space="preserve">Bucketing based on the number data burn related to travel.
Valid values: 
Low -  253375 bytes and &lt; 687753 bytes 
Mid - 687753 bytes and &lt; 2332915 bytes 
High - 2332915 bytes </t>
  </si>
  <si>
    <t>travel_enthusiast_details</t>
  </si>
  <si>
    <t>Top travel apps/websites being accessed by the subscriber</t>
  </si>
  <si>
    <t>sky_jet_air |jeju_air |travel_2go |vanilla_air |delta |etihad_airways |tripit |malaysia_airlines |ethiopian_airlines |gulf_air |</t>
  </si>
  <si>
    <t>health_buff_indicator</t>
  </si>
  <si>
    <t>Profile based on total number of sessions per month using sites and apps related to fitness. ie. Nike+, Getfit etc</t>
  </si>
  <si>
    <t>health_buff_bucket</t>
  </si>
  <si>
    <t>Bucketing based on the number hits related to fitness. ie. Nike+, Getfit etc
Valid values: 
Low - &lt;=5 times a month
Mid - 6-10 times a month
High - &gt;10 times a month</t>
  </si>
  <si>
    <t>health_buff_details</t>
  </si>
  <si>
    <t>Top websites and apps related to fitness. ie. Nike+, Getfit etcbeing accessed by the subscriber</t>
  </si>
  <si>
    <t>fitbit |fitnessfirst |garmin |goldsgym |kfit |slimmersworld |anytimefitness |caloriecounter |celebrityfitness |dailyyoga |</t>
  </si>
  <si>
    <t>ott_user_indicator</t>
  </si>
  <si>
    <t>Profile based on daily average number of sessions per month in accessing messaging apps such as Viber, Whatsapp, Wechat, QQ, Facebook Messenger, Telegram, Kakao, Line</t>
  </si>
  <si>
    <t>ott_user_bucket</t>
  </si>
  <si>
    <t>Bucketing based on the number hits related to fitness. ie. Nike+, Getfit etc
Valid values: 
Low -  7 and &lt;= 15 
Mid - 15  and &lt;= 24 
High - 24</t>
  </si>
  <si>
    <t>ott_user_details</t>
  </si>
  <si>
    <t>Top Over-The-Top (OTT) related apps accessed by the subscriber</t>
  </si>
  <si>
    <t xml:space="preserve">viber |line |telegram |wechat |fb_messenger |kakao_talk |whatsapp |
</t>
  </si>
  <si>
    <t>social_media_maverick_indicator</t>
  </si>
  <si>
    <t>Profile based on average daily number of sessions per month accessing social media sites such as Facebook, Twitter, Instagram, Snapchat and LinkedIn</t>
  </si>
  <si>
    <t>social_media_maverick_bucket</t>
  </si>
  <si>
    <t>Bucketing based on the number hits related to social media sites.
Low - &lt; 5 and &gt;= 16 hits
Mid - &lt; 16 and &gt;= 28 hits 
High - &gt;= 28 hits</t>
  </si>
  <si>
    <t>social_media_maverick_details</t>
  </si>
  <si>
    <t>Top social media related apps/websites accessed by the subscriber</t>
  </si>
  <si>
    <t>twitter |instagram |facebook |linkedin |snapchat |</t>
  </si>
  <si>
    <t>mobile_wallet_user_indicator</t>
  </si>
  <si>
    <t>Profile based on total number of sessions per month using apps related to Mobile Payment ie. GCash and Paymaya</t>
  </si>
  <si>
    <t>mobile_wallet_user_bucket</t>
  </si>
  <si>
    <t xml:space="preserve">Bucketing based on the number hits related to mobile payment.
Low - &gt; 1 and &lt;= 5
Mid - &gt; 5 and &lt;= 11
High - &gt; 11 </t>
  </si>
  <si>
    <t>mobile_wallet_user_details</t>
  </si>
  <si>
    <t>Top mobile wallet related apps/websites used by the subscriber</t>
  </si>
  <si>
    <t>GCASH | PAYMAYA</t>
  </si>
  <si>
    <t>road_warrior_indicator</t>
  </si>
  <si>
    <t>Profile based on digital behavior who is using Waze and Google Maps</t>
  </si>
  <si>
    <t>road_warrior_bucket</t>
  </si>
  <si>
    <t>Bucketing based on the number of hits on Waze and Google Maps
Low - &lt; 6
Mid - &gt;= 6 and hits &lt; 9
High - &gt;= 9</t>
  </si>
  <si>
    <t>road_warrior_details</t>
  </si>
  <si>
    <t>Top map related apps/websites used by the subscriber</t>
  </si>
  <si>
    <t>Google Maps | Waze</t>
  </si>
  <si>
    <t>health_conscious_indicator</t>
  </si>
  <si>
    <t>Profile based on digital behavior showing interest in medical related apps. ie. Konsulta</t>
  </si>
  <si>
    <t>health_conscious_bucket</t>
  </si>
  <si>
    <t xml:space="preserve">Bucketing based on the number hits related to medical consulting website.
Low - 2-3 hits
Mid - 4-6 hits
High - 7 and above </t>
  </si>
  <si>
    <t>health_conscious_details</t>
  </si>
  <si>
    <t>Top medical related apps/websites used by the subscriber</t>
  </si>
  <si>
    <t>Aide |Konsulta MD |Mayo Clinic |Salamat Dok |Web MD |</t>
  </si>
  <si>
    <t>financial_wellness_devotee_indicator</t>
  </si>
  <si>
    <t>Profile based on accessing bank, insurance and stock related sites</t>
  </si>
  <si>
    <t>financial_wellness_devotee_bucket</t>
  </si>
  <si>
    <t>Bucketing based on the number insurance partner or online bank partner a subsciber has.
Low - 4
Mid - 5 - 6
High -  6 and above</t>
  </si>
  <si>
    <t>financial_wellness_devotee_details</t>
  </si>
  <si>
    <t>Top  insurance partner or online bank partner apps/websites used by the subscriber</t>
  </si>
  <si>
    <t>AUB |AXAPHIL |BDO |BPI |CBC |CBS |CIMB |CITI |CITYSAVINGS |DBS |</t>
  </si>
  <si>
    <t>online_learner_indicator</t>
  </si>
  <si>
    <t>Profile based on accessing learning apps and sites such as Udemy, Coursera</t>
  </si>
  <si>
    <t>online_learner_bucket</t>
  </si>
  <si>
    <t>Bucketing based on the number of website hits related to leaning. 
Low - &gt;= 4 and &lt;= 6
Mid -  6 and &lt;= 12
High - &gt; 12</t>
  </si>
  <si>
    <t>online_learner_details</t>
  </si>
  <si>
    <t>Top online learner related apps/websites used by the subscriber</t>
  </si>
  <si>
    <t xml:space="preserve">coursera |khanacademy |tutorialspoint |udemy |w3schools |
</t>
  </si>
  <si>
    <t>online_reader_indicator</t>
  </si>
  <si>
    <t>Profile based on digital behavior in using online reading apps. ie. Aldiko</t>
  </si>
  <si>
    <t>online_reader_bucket</t>
  </si>
  <si>
    <t>Bucketing based on the number of hits on online reading apps/websites
Low - &gt;= 8 and &lt;= 10
Mid - &gt; 10 and &lt;= 20
High - &gt; 20</t>
  </si>
  <si>
    <t>online_reader_details</t>
  </si>
  <si>
    <t>Top online reading related apps/websites used by the subscriber</t>
  </si>
  <si>
    <t xml:space="preserve">aldiko |dreame |flipboard |goodreads |kobo |mangafox |mangareader |mangarock |moboreader |scribd |
</t>
  </si>
  <si>
    <t>tnvs_user_indicator</t>
  </si>
  <si>
    <t xml:space="preserve">Indicator if a subscriber is using ride hailing apps such as Grab, Angkas, Micab, Sakay.ph </t>
  </si>
  <si>
    <t>tnvs_user_bucket</t>
  </si>
  <si>
    <t>Bucketing based on the number of hits on ride hailing apps
Low -  &lt;= 3
Mid -  &gt; 3 and  &lt;= 7
High - &gt; 7</t>
  </si>
  <si>
    <t>tnvs_user_details</t>
  </si>
  <si>
    <t>Top online hailing related apps/websites used by the subscriber</t>
  </si>
  <si>
    <t>Angkas |Hirna |Wunder |Golag |Hypertansport |Grab |Micab |Owto |moboreader |scribd |</t>
  </si>
  <si>
    <t>digital_creative_indicator</t>
  </si>
  <si>
    <t>Indicator if a subscriber is using apps related to photography and layouting. ie Canva, Snapseed</t>
  </si>
  <si>
    <t>digital_creative_bucket</t>
  </si>
  <si>
    <t>Bucketing based on the number of hits about photography and layouting apps/websites
Valid Values:
Low -  &gt;= 10 and &lt;= 18
Mid -  &gt; 18 and &lt;= 26
High - &gt; 26</t>
  </si>
  <si>
    <t>digital_creative_details</t>
  </si>
  <si>
    <t>Top photography and layouting related apps/websites used by the subscriber</t>
  </si>
  <si>
    <t xml:space="preserve">camera360 |photogrid |picsart |pixlr |snapseed |tiktokv |canva |instagram |photocollagepro |prisma </t>
  </si>
  <si>
    <t>online_banker_indicator</t>
  </si>
  <si>
    <t>Indicator if a subscrber is using online banking apps</t>
  </si>
  <si>
    <t>online_banker_bucket</t>
  </si>
  <si>
    <t>Bucketing based on the number of hits about online banking related apps/websites
Valid Values:
LOW -  &gt;= 1 and &lt;= 2
MID - = 3 and &lt;= 6
HIGH -  &gt; 6</t>
  </si>
  <si>
    <t>online_banker_details</t>
  </si>
  <si>
    <t>Top online banking related apps/websites used by the subscriber</t>
  </si>
  <si>
    <t xml:space="preserve">AUB |BDO |BPI |Bank of Commerce |Bank of Makati |CIMB |China Bank Savings |Chinabank |Citibank |City Saving Bank </t>
  </si>
  <si>
    <t>loyalty_card_owner_indicator</t>
  </si>
  <si>
    <t>Indicator if a subscriber has a membership to a Loyalty Program such as SMAC based on sms notifications</t>
  </si>
  <si>
    <t>loyalty_card_owner_bucket</t>
  </si>
  <si>
    <t>Bucketing based on the number of active memberhsip card/s a subscriber has.
Valid Values:
Low - 1
Mid - &gt;= 2 and &lt;= 3
High - &gt; 3</t>
  </si>
  <si>
    <t>loyalty_card_owner_details</t>
  </si>
  <si>
    <t>Top Loyalty Program membership used by the subscriber</t>
  </si>
  <si>
    <t xml:space="preserve">7-ELEVEN |ABENSON |ALDO |ARC |BENCH |CLIQQ |CLN |EVER NEW |GENERIKA |LANDERSPH </t>
  </si>
  <si>
    <t>kid_friendly_app_user_indicator</t>
  </si>
  <si>
    <t>Indicator if a subscriber isn accessing apps focused on kid friendly content such as Cartoon Network, Discovery Kids,Disney App, Disney Site, Disneylife, Disney Junior, NatGeo Kids, Nickelodeon and Youtube Kids</t>
  </si>
  <si>
    <t>kid_friendly_app_user_bucket</t>
  </si>
  <si>
    <t xml:space="preserve">Bucketing based on the number of hits about  kid friendly content  related websites
Valid Values:
Low - 7-9        
Mid - 10&lt;=20       
High - &gt;=21        </t>
  </si>
  <si>
    <t>kid_friendly_app_user_details</t>
  </si>
  <si>
    <t>Top kid friendly content  related websites used by the subscriber</t>
  </si>
  <si>
    <t>cartoon_network |discovery_kids |disney_app |disney_junior |disney_site |disneylife |nat_geo_kids |nickelodeon |youtube_kids_app |</t>
  </si>
  <si>
    <t>DERIVATION TYPE</t>
  </si>
  <si>
    <t>DATA TYPE</t>
  </si>
  <si>
    <t>FREQUENCY OF REFRESH</t>
  </si>
  <si>
    <t>FREQUENCY</t>
  </si>
  <si>
    <t>BRAND</t>
  </si>
  <si>
    <t>Unique subscriber identifier</t>
  </si>
  <si>
    <t>varchar</t>
  </si>
  <si>
    <t>UUP</t>
  </si>
  <si>
    <t>Daily</t>
  </si>
  <si>
    <t>Daily (day-1)</t>
  </si>
  <si>
    <t>GHP
GHP-PREPAID
PW
TM
WIRELINE</t>
  </si>
  <si>
    <t>Consumer
EG
SG
In House</t>
  </si>
  <si>
    <t>customer_profile</t>
  </si>
  <si>
    <t>GHP
GHP-PREPAID
PW
TM</t>
  </si>
  <si>
    <t>IMSI_number_value</t>
  </si>
  <si>
    <t>bigint</t>
  </si>
  <si>
    <t>515000000000000</t>
  </si>
  <si>
    <t>Globe ID</t>
  </si>
  <si>
    <t>Date when the sim card is activated</t>
  </si>
  <si>
    <t>timestamp</t>
  </si>
  <si>
    <t>main_billing_offer_id</t>
  </si>
  <si>
    <t>Represent the main Price plan of the Subscriber</t>
  </si>
  <si>
    <t>GHP</t>
  </si>
  <si>
    <t>product_profile</t>
  </si>
  <si>
    <t>payment_category_code</t>
  </si>
  <si>
    <t>Code that refers to the plan type of the subscriber
Valid values:
BOTH - Prepaid and Postpaid
PRE - Prepaid
POST - Postpaid</t>
  </si>
  <si>
    <t>payment_profile</t>
  </si>
  <si>
    <t>customer_facing_unit_type_code</t>
  </si>
  <si>
    <t>Code that refers to which Customer Facing Unit (business) the customer is tagged.
Valid Values:
C - Consumer
E - Enterprise
S - Small and Medium Business
I - In House</t>
  </si>
  <si>
    <t>main_address_id</t>
  </si>
  <si>
    <t>main_contact_id</t>
  </si>
  <si>
    <t>brand_sub_type_code</t>
  </si>
  <si>
    <t>Subscriber's subscription status.
Valid Values: 
A - ACTIVE
C - CANCELLED 
D - OD_SUS_FROM_SUSPEND 
L - OD_CANCEL 
N - NOT_APPLICATIVE 
P - PREACTIVE 
R - RESERVED
S - SUSPENDED
T - TERMINATED</t>
  </si>
  <si>
    <t>Combination of all corresponding keys of subscriber's brand, sub-brand, customer type, customer sub type and product type in number format, which is then to be used in lookup table. Primarily being used by DPA as CFU identifier</t>
  </si>
  <si>
    <t>integer</t>
  </si>
  <si>
    <t>Adhoc</t>
  </si>
  <si>
    <t>product_type_description</t>
  </si>
  <si>
    <t>Description of subscriber's product type</t>
  </si>
  <si>
    <t>brand_type_code</t>
  </si>
  <si>
    <t>Subscriber brand: 
 GHP-PREPAID, GHP-POSTPAID, TM, PW</t>
  </si>
  <si>
    <t>Derived indicator if a subscriber is an international traveler based on promo availment and usage.</t>
  </si>
  <si>
    <t>Boolean</t>
  </si>
  <si>
    <t>availment_profile</t>
  </si>
  <si>
    <t>Indicator if a subscriber is active for the past 2 days based on promo availment and topup activities.</t>
  </si>
  <si>
    <t>FVT</t>
  </si>
  <si>
    <t>usage_profile</t>
  </si>
  <si>
    <t>availment_all_day_roam_surf_last_registration_90days_date</t>
  </si>
  <si>
    <t>The last registration date of all day roam surf in the past 90 days
 Postpaid - Product catalog
 Prepaid (promos) - subscribers</t>
  </si>
  <si>
    <t>GHP
GHP-PREPAID</t>
  </si>
  <si>
    <t>availment_easy_roam_149_90days_indicator</t>
  </si>
  <si>
    <t>Indicator if a subscriber availed easy roam 149 promo within 90 days.</t>
  </si>
  <si>
    <t>availment_easy_roam_149_latest_expiry_90days_date</t>
  </si>
  <si>
    <t>Latest expiration date of easy roam 149 availment of subscriber within 90 days.</t>
  </si>
  <si>
    <t>Consumer</t>
  </si>
  <si>
    <t>availment_enhanced_past_4_clmweeks_indicator</t>
  </si>
  <si>
    <t>Indicator if a subscriber has an overlapping promo availment on top of his/her any existing promo for the past 4 weeks.</t>
  </si>
  <si>
    <t>GHP-PREPAID
PW
TM</t>
  </si>
  <si>
    <t>Consumer
EG
SG</t>
  </si>
  <si>
    <t>availment_most_availed_all_day_roam_surf_variant_90days_name</t>
  </si>
  <si>
    <t>Detect the most frequently availed all day roam surf promo/add-on within 90 days.</t>
  </si>
  <si>
    <t>gcash_user_indicator</t>
  </si>
  <si>
    <t xml:space="preserve">Indicates that the subscriber is a registered GCASH user. Flags subscriber as true if subscriber is a registered GCASH user, else false 
</t>
  </si>
  <si>
    <t>GHP
GHP-PREPAID
TM</t>
  </si>
  <si>
    <t>lock_in_end_date</t>
  </si>
  <si>
    <t>Contract expiry date of the postpaid subscriber. Format: YYYY-MM-DD</t>
  </si>
  <si>
    <t>contract_profile</t>
  </si>
  <si>
    <t>reward_campaign_profile</t>
  </si>
  <si>
    <t>last_core_ppu_date</t>
  </si>
  <si>
    <t>Latest core pay-per-use date for past 90 days</t>
  </si>
  <si>
    <t>Code that refers to the average revenue per user/subscriber
Postpaid: One-time Charge + Recurring Charge + Usage Charge 
Prepaid: promo registration + Pay-per-use + credit expired
e.g. A - Php 8,000 and up 
B - Php 7,000 to Php 7,999 
C - Php 6000 to Php 6999 
D - Php 5000 to Php 5999 
E - Php 4000 to Php 4999 
F - Php 3000 to Php 3999 
G - Php 2000 to Php 2999 
H - Php 1,000 to Php 1,999 
I - Php 300 to Php 999 
J - below Php 300</t>
  </si>
  <si>
    <t>Monthly</t>
  </si>
  <si>
    <t>revenue_profile</t>
  </si>
  <si>
    <t>last_data_ppu_date</t>
  </si>
  <si>
    <t>Latest data pay-per-use date for past 90 days</t>
  </si>
  <si>
    <t>last_promo_reg_date</t>
  </si>
  <si>
    <t>Latest promo registration date availed by the subscriber for past 90 days</t>
  </si>
  <si>
    <t>last_promo_reg_name</t>
  </si>
  <si>
    <t>Latest promo registered name availed by the subscriber for past 90 days</t>
  </si>
  <si>
    <t>COMBO15_TM_GOYA15</t>
  </si>
  <si>
    <t>reload_average_txn_interval_rolling_90_days</t>
  </si>
  <si>
    <t>Subscriber's average no. of days in between top-ups for the past 90 days</t>
  </si>
  <si>
    <t>Daily (day-2)</t>
  </si>
  <si>
    <t>reload_profile</t>
  </si>
  <si>
    <t>Prepaid top-up segment based on their top-up score
1 - Tingi Loaders
2 - Live by the day
3 - Sporadic Users
4 - Bulk Loaders
5 - Regular Loaders</t>
  </si>
  <si>
    <t>Monthly/Quarterly</t>
  </si>
  <si>
    <t>GHP-PREPAID
TM</t>
  </si>
  <si>
    <t xml:space="preserve">The type(s) of data resource(s) associated to a subscriber
Valid Values:
DUO - Duo Number
EFAX -  EFAX
I - IMSI number
IP - IP Address
LTP - Load Tipid Plan
P - Primo
S - SIM card number
SDIR - Super US Direct Number
VOIP - VOIP Number
C - Voice Line MSISDN
</t>
  </si>
  <si>
    <t>reload_daily_average_rolling_90days_amount</t>
  </si>
  <si>
    <t>Average top-up amount for the past 3 months (divided by distinct days with transactions)</t>
  </si>
  <si>
    <t>numeric(21,2)</t>
  </si>
  <si>
    <t>period_coverage_end_date</t>
  </si>
  <si>
    <t>Postpaid subscriber's billing cycle cutoff date</t>
  </si>
  <si>
    <t>invoice_profile</t>
  </si>
  <si>
    <t>Due date of the postpaid subscriber's bill for the current billing cycle</t>
  </si>
  <si>
    <t>Total amount of the financial activities, including tax, for the completed billing cycle of a postpaid subscriber</t>
  </si>
  <si>
    <t>numeric(38,2)</t>
  </si>
  <si>
    <t>msf</t>
  </si>
  <si>
    <t>Monthly service fee of a subscriber</t>
  </si>
  <si>
    <t>numeric(19,4)</t>
  </si>
  <si>
    <t>spending_limit_amount</t>
  </si>
  <si>
    <t>Subscription Spending Limit (SSL) Balance allowance between the subscriber's Credit Limit and all monthly recurring fees</t>
  </si>
  <si>
    <t>reload_daily_max_rolling_30days_amount</t>
  </si>
  <si>
    <t>MUSIC| TRAVEL| SHOPPING</t>
  </si>
  <si>
    <t>network_profile</t>
  </si>
  <si>
    <t>Inferred data for a customer lifetime value (CLV) model that will help determine which from the subscriber base gives the highest profit to Globe. This also helps determine optimal handset subsidy model for Globe and as inputs to improved retention and loyalty programs.
 Valid Values:
 01 STARS
 02 HIGH - VALUE
 03 MEDIUM - VALUE
 04 LOW - VALUE
 05 NOMINAL - VALUE
 06 NEGATIVE - VALUE</t>
  </si>
  <si>
    <t>numeric(19,15)</t>
  </si>
  <si>
    <t>0.003485612</t>
  </si>
  <si>
    <t>contract_type_code</t>
  </si>
  <si>
    <t>Indicator that postpaid subscriber contract is locked-in to Globe or not</t>
  </si>
  <si>
    <t>financial_account_profile</t>
  </si>
  <si>
    <t>mrf</t>
  </si>
  <si>
    <t>Monthly Recurring Fee of the subscriber, (base plan + other usage recurring charges) - based from actual incurred charges</t>
  </si>
  <si>
    <t>Indicator if a subscriber's handset device is LTE capable based from data usage for a month</t>
  </si>
  <si>
    <t>Direct Pull for Postpaid
Inferred for Prepaid</t>
  </si>
  <si>
    <t>RDB: Daily (day-1)
 AA Model: Monthly</t>
  </si>
  <si>
    <t>gross_monthly_income_amount</t>
  </si>
  <si>
    <t>The customer group in which the subscriber belongs to.
Valid Values:
Consumer
Enterprise
Small and Medium Business
In House</t>
  </si>
  <si>
    <t xml:space="preserve">The customer sub-type group in which the subscriber belongs to.
Valid Values:
Consumer - Blue 
Consumer - Employee 
Consumer - Hybrid 
Consumer - Hybrid MVNO 
Consumer - Platinum 
Consumer - Platinum Blue 
Consumer - Platinum Elite 
Consumer - Platinum Premier 
Consumer - Regular 
Consumer - Super Home Phone / Home Phone 
Consumer - VIP 
Enterprise - Corporate 
Enterprise - Hybrid 
Enterprise - Individual 
IBG - Traveler 
In House - Executive 
In House - Regular 
SMB - Corp Partner 
SMB - Corp Preferred 
SMB - Corp Premium 1 
SMB - Corp Premium 2 
SMB - Individual Partner 
SMB - Individual VIP 
SMB - MA - Corporate 
SMB - MA - Individual 
SMB - MD - Corporate 
SMB - MD - Individual 
</t>
  </si>
  <si>
    <t>Consumer - Regular</t>
  </si>
  <si>
    <t>Latest payment done by postpaid subscriber for past 30 days</t>
  </si>
  <si>
    <t>Postpaid subscriber payment deposit date for past 30 days</t>
  </si>
  <si>
    <t>Declared marital status of a postpaid subscriber</t>
  </si>
  <si>
    <t>Direct Pull for Postpaid</t>
  </si>
  <si>
    <t>RDB: Daily (day-1)
 AA Model: Monthly / Quarterly</t>
  </si>
  <si>
    <t>customer_facing_unit_sub_type_code</t>
  </si>
  <si>
    <t>Unique indicator whether a subscriber is Platinum, Hybrid, Elite, Blue, Corporate, Regular and its code</t>
  </si>
  <si>
    <t>reload_daily_total_rolling_30days_amount</t>
  </si>
  <si>
    <t>billing_delivery_mode_code</t>
  </si>
  <si>
    <t>reload_latest_transaction_90days_date</t>
  </si>
  <si>
    <t>Latest reload transaction date of subscriber within 90 days.</t>
  </si>
  <si>
    <t>Inferred data of most frequently used social media application by the subscriber for the past 7-days limited to FACEBOOK, VIBER, INSTAGRAM</t>
  </si>
  <si>
    <t>Daily (day-3)</t>
  </si>
  <si>
    <t>reload_max_tu_tra_rolling_30_days_amount</t>
  </si>
  <si>
    <t>Maximum top-up amount for the past 30 days</t>
  </si>
  <si>
    <t>reload_max_tu_tra_rolling_90_days_amount</t>
  </si>
  <si>
    <t>Maximum top-up amount for the past 90 days</t>
  </si>
  <si>
    <t>reload_mode_tu_tra_rolling_30_days_amount</t>
  </si>
  <si>
    <t>Most frequent Top-up amount availed for the past 30 days</t>
  </si>
  <si>
    <t>reload_mode_tu_tra_rolling_90_days_amount</t>
  </si>
  <si>
    <t>Most frequent Top-up amount availed for the past 90 days</t>
  </si>
  <si>
    <t>reload_monthly_average_rolling_90days_amount</t>
  </si>
  <si>
    <t>Average top-up amount for the past rolling 90 days (divided by 3 months)</t>
  </si>
  <si>
    <t>reload_most_availed_rolling_30days_amount</t>
  </si>
  <si>
    <t>Inferred barangay location from which the home address of the subscriber is found. The inferred location is pulled from the available latched cellsites data of the subscriber within the timeframe specified (10pm to 5am).</t>
  </si>
  <si>
    <t>Inferred city location from which the home address of the subscriber is found. The inferred location is pulled from the available latched cellsites data of the subscriber within the timeframe specified (10pm to 5am).</t>
  </si>
  <si>
    <t>Inferred province location from which the home address of the subscriber is found. The inferred location is pulled from the available latched cellsites data of the subscriber within the timeframe specified (10pm to 5am).</t>
  </si>
  <si>
    <t>Inferred region location from which the home address of the subscriber is found. The inferred location is pulled from the available latched cellsites data of the subscriber within the timeframe specified (10pm to 5am).</t>
  </si>
  <si>
    <t>Inferred barangay location from which the work address of the subscriber is found. The inferred location is pulled from the available latched cellsites data of the subscriber within the timeframe specified (10pm to 5am).</t>
  </si>
  <si>
    <t>Inferred city location from which the work address of the subscriber is found. The inferred location is pulled from the available latched cellsites data of the subscriber within the timeframe specified (10pm to 5am).</t>
  </si>
  <si>
    <t>Inferred province location from which the work address of the subscriber is found. The inferred location is pulled from the available latched cellsites data of the subscriber within the timeframe specified (10pm to 5am).</t>
  </si>
  <si>
    <t>Inferred region location from which the work address of the subscriber is found. The inferred location is pulled from the available latched cellsites data of the subscriber within the timeframe specified (10pm to 5am).</t>
  </si>
  <si>
    <t>Tenure count of days is activation date of the subscriber minus the current date</t>
  </si>
  <si>
    <t>Postpaid subscriber indicator who owns a credit card</t>
  </si>
  <si>
    <t>Indicates that the subscriber is an OFW dependent based from plan availed by postpaid subscriber</t>
  </si>
  <si>
    <t>customer_email_address_text</t>
  </si>
  <si>
    <t>Email address of the postpaid customer from the point of application</t>
  </si>
  <si>
    <t>MSH</t>
  </si>
  <si>
    <t>Customer unique identifier</t>
  </si>
  <si>
    <t xml:space="preserve">Prepaid balance status code. Indicates the subscriber prepaid balance status:
O - Pre - Active
Initial status after subscriber is created during the mass activation process. The sim and credit expiry date will be set based on defined policy and will be an input to the bulk pre-activation process.
A - Active 
Status will change from ‘pre-active’ to ‘active’ once subscriber has done a first access on the network (as defined in the prepaid activation triggers). Subscriber will have access to incoming and outgoing services (e.g. calls, texts, and data) that can be used accordingly based on relevant offers. The sim and credit expiry date will be reset based on defined policy.
N - Near Credit Expiry
Status will change x days before credit expiration date based on defined policy. Subscriber will still have access to incoming and outgoing services.
Status will change to ‘Active‘ when subscriber does a recharge.
G - Credit Expiry
Status will change once credit expiry date defined in the policy has been reached.
After credit expiry, remaining balance on the main account is zeroed out. Subscriber will still have access to outgoing services and will only be able to access defined emergency and free access numbers.
Status will change to ‘Active‘ when subscriber does a recharge.
S - Near Subscription Expiry
Status will change x days after credit expiry based on defined policy. Subscriber will still have access to outgoing services and will only be able to access defined emergency and free access numbers. 
Status will change to ‘Active‘ when subscriber does a recharge. 
E - Expiry
Status will change x days after credit expiry based on defined policy. Subscriber is permanently disconnected from the network and will not have access to any incoming and outgoing services. 
</t>
  </si>
  <si>
    <t>Postpaid subscriber indicator who owns a car</t>
  </si>
  <si>
    <t>true or false</t>
  </si>
  <si>
    <t>reward_most_availed_90days_type</t>
  </si>
  <si>
    <t>affluence</t>
  </si>
  <si>
    <t>Affluence</t>
  </si>
  <si>
    <t>Lifestage is a derived value based on the Affluence and Lifestyle model of AMP. Segments are the following:
 Student: Gen Z (&lt;20yrs old)
 Yuppie: Young Millennial (21-28yrs old)
 Transitioner: Ageing Millennial (29-37yrs old); and Young Millennial (21-28yrs old) who are married
 Balancer: Gen X (38-51 yrs. old)
 Retiree: Baby Boomer (52yrs old &amp; above)</t>
  </si>
  <si>
    <t>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t>
  </si>
  <si>
    <t>INVESTMENT</t>
  </si>
  <si>
    <t>Postpaid: Daily (day-1)
 Prepaid: Monthly</t>
  </si>
  <si>
    <t>industry_type_description</t>
  </si>
  <si>
    <t>Describes what type of industry a postpaid subsrciber belongs to</t>
  </si>
  <si>
    <t>Active subscribers with transaction in the past 2 weeks based from usage and reload transactions</t>
  </si>
  <si>
    <t>usage_average_data_quantity_rolling_90days_mb</t>
  </si>
  <si>
    <t>Average mobile data (MDS) usage for the past 3 months in Megabytes (MB)</t>
  </si>
  <si>
    <t>Inferred propensity decile of the subscriber to travel abroad based from previous roaming promo subscriptions.</t>
  </si>
  <si>
    <t>Postpaid is 49% 
 Prepaid is 46% (Top 2 deciles)</t>
  </si>
  <si>
    <t>Postpaid subscriber indicator who owns a house</t>
  </si>
  <si>
    <t>Postpaid 49% 
 Prepaid is 46% (Top 2 scores)</t>
  </si>
  <si>
    <t>usage_data_rolling_30_days_quantity</t>
  </si>
  <si>
    <t>Data usage utilization for the past rolling 1 month</t>
  </si>
  <si>
    <t>credit_loan_scoring_date</t>
  </si>
  <si>
    <t>The date as to when the score for the credit loan amount was made</t>
  </si>
  <si>
    <t>credit_loan_limit_amount</t>
  </si>
  <si>
    <t>The amount of credit loan limit of a subscriber</t>
  </si>
  <si>
    <t>credit_loan_score</t>
  </si>
  <si>
    <t>The predicted credit value of the loan top-up</t>
  </si>
  <si>
    <t>numeric(21,5)</t>
  </si>
  <si>
    <t>credit_loan_tag</t>
  </si>
  <si>
    <t>The credit loan tagging to a subscriber</t>
  </si>
  <si>
    <t>GP_LOANER</t>
  </si>
  <si>
    <t>primary_rewards_segmentation</t>
  </si>
  <si>
    <t>Subscriber's segments based on the reward transactions earned. This is to understand their behavior and be able to increase other reward transactions</t>
  </si>
  <si>
    <t>HIGH VALUE REDEEMERS</t>
  </si>
  <si>
    <t>reload_average_amount_past_120days</t>
  </si>
  <si>
    <t>The average top-up amount for the past 120 days prior to past 30 days (Starting from the 5th week up to 16th week)</t>
  </si>
  <si>
    <t>reload_date_count_past_120days</t>
  </si>
  <si>
    <t>The number of distinct top-up days for the past 120 days prior to past 30 days (Starting from the 5th week up to 16th week)</t>
  </si>
  <si>
    <t>reload_amount_latest_past_90days</t>
  </si>
  <si>
    <t>Latest top-up amount availed by the subscriber for the past 90 days</t>
  </si>
  <si>
    <t>50</t>
  </si>
  <si>
    <t>reload_max_daily_sum_past_120days</t>
  </si>
  <si>
    <t>The maximum sum of daily top-up amount availed by the subscriber for the past 120 days (5th - 16th week)</t>
  </si>
  <si>
    <t>reload_transaction_count_past_120days</t>
  </si>
  <si>
    <t>Number of top-up transactions for the past 120 days prior to 30 days</t>
  </si>
  <si>
    <t>reload_max_denom_past_120days</t>
  </si>
  <si>
    <t>Maximum top-up denominations for the past 120 days</t>
  </si>
  <si>
    <t>reward_activity_count_past_30days</t>
  </si>
  <si>
    <t>Total number of rewards transactions for the past 30 days</t>
  </si>
  <si>
    <t>reward_date_latest_past_90days</t>
  </si>
  <si>
    <t>Date of last Rewards successful transactions past 90 days.</t>
  </si>
  <si>
    <t>usage_data_rolling_90_days_mb</t>
  </si>
  <si>
    <t>Data usage utilization for the past rolling 3 months</t>
  </si>
  <si>
    <t>usage_sum_outbound_inter_voice_30days_mins</t>
  </si>
  <si>
    <t>Total no. of outgoing calls in minutes by the subscriber for 30 days</t>
  </si>
  <si>
    <t>availment_amount_past_30days</t>
  </si>
  <si>
    <t>Total amount promo registrations availed by the subscriber for the past 30 days</t>
  </si>
  <si>
    <t>13</t>
  </si>
  <si>
    <t>availment_amount_past_120days</t>
  </si>
  <si>
    <t>Total amount promo registrations availed by the subscriber for the past 120 days</t>
  </si>
  <si>
    <t>availment_count_past_30days</t>
  </si>
  <si>
    <t>The number of promo registrations availed by the subscriber for the past 30 days</t>
  </si>
  <si>
    <t>availment_count_past_120days</t>
  </si>
  <si>
    <t>Total number of promo registrations availed by the subscriber for the past 120 days (5th-16th week)</t>
  </si>
  <si>
    <t>availment_data_amount_past_30days</t>
  </si>
  <si>
    <t>Total amount of data promo registrations consumed by the subscriber for the past 30 days</t>
  </si>
  <si>
    <t>availment_data_amount_past_120days</t>
  </si>
  <si>
    <t>Total amount of data promo registrations consumed by the subscriber for the past 120 days (5th-16th week)</t>
  </si>
  <si>
    <t>active_days_past_30days</t>
  </si>
  <si>
    <t>The number of days the subscriber is active for the past 30 days. This includes OB usage and top-up activities.</t>
  </si>
  <si>
    <t>active_days_past_120days</t>
  </si>
  <si>
    <t>The number of days the subscriber is active for the past 120 days prior to past 30 days. This includes OB usage and top-up activities.</t>
  </si>
  <si>
    <t>usage_data_mb_rolling_120days_quantity</t>
  </si>
  <si>
    <t>Total data utilization (MB) for the past 120 days prior to past 30 days</t>
  </si>
  <si>
    <t>first_data_usage_date</t>
  </si>
  <si>
    <t>Date from which the subscriber first started using data allocation, applicable for Prepaid Wifi only</t>
  </si>
  <si>
    <t>PW</t>
  </si>
  <si>
    <t>Consumer
SG</t>
  </si>
  <si>
    <t>inferred_location</t>
  </si>
  <si>
    <t>Inferred top 2 locations (CGI Column - Cell Global Identifier) based from the first 7 days usage of the Prepaid Wifi subscriber.</t>
  </si>
  <si>
    <t>515023840134518, 515023840107535</t>
  </si>
  <si>
    <t>Average of usage amount used by the subscriber for the past 30 days</t>
  </si>
  <si>
    <t>Average of usage amount used by the subscriber for the past 120 days (5th - 16th week)</t>
  </si>
  <si>
    <t>Number of data usage used by the subscriber for the past 120 days (5th - 16th week)</t>
  </si>
  <si>
    <t>NATIONAL CAPITAL REGION (NCR)</t>
  </si>
  <si>
    <t>NCR, SECOND DISTRICT (Not a Province)</t>
  </si>
  <si>
    <t>QUEZON CITY</t>
  </si>
  <si>
    <t>Camp Aguinaldo</t>
  </si>
  <si>
    <t>REGION XIII (Caraga)</t>
  </si>
  <si>
    <t>AGUSAN DEL NORTE</t>
  </si>
  <si>
    <t>CITY OF BUTUAN (Capital)</t>
  </si>
  <si>
    <t>Bayanihan Pob. (Bgy. 27)</t>
  </si>
  <si>
    <t>NCR, FOURTH DISTRICT (Not a Province)</t>
  </si>
  <si>
    <t>PASAY CITY</t>
  </si>
  <si>
    <t>Barangay 169</t>
  </si>
  <si>
    <t>usage_projected_data_quantity_30days_mb</t>
  </si>
  <si>
    <t>Projected data utilization of the subscriber for the bill cycle in megabytes (MB)</t>
  </si>
  <si>
    <t>Indicator if a subscriber plays Multiplayer Online Battle Arena (MOBA) games such as Mobile Legends, Arena of Valor, Heroes Evolved, Vainglory, Dota2, League of Legends</t>
  </si>
  <si>
    <t>Bucketing based on identified metric for MOBA gamer profile
Metric: Average Daily Data Burn in a Month
Valid values: 
LOW: &lt;=1.6 MB
MID: &gt; 1.6 MB &amp; &lt;= 2.4 MB
HIGH: &gt; 2.4 MB</t>
  </si>
  <si>
    <t>HIGH</t>
  </si>
  <si>
    <t>Metric used and value for MOBA Gamer profile</t>
  </si>
  <si>
    <t>{“Average Daily Data Burn in Bytes in a Month”: 26999157}</t>
  </si>
  <si>
    <t>Indicator if a subscriber plays Battle Royale games such as Rules of Survival, PUBG Mobile, Free Fire, Fortnite Mobile</t>
  </si>
  <si>
    <t>Bucketing based on identified metric for Battle Royale gamer profile
Metric: Average Daily Data Burn in a Month
Valid values: 
LOW: &lt;= 2.4 MB
MID: &gt; 2.4 MB &amp; &lt;= 3.1 MB
HIGH: &gt; 3.1 MB</t>
  </si>
  <si>
    <t>Metric used and value for Battle Royale Gamer profile</t>
  </si>
  <si>
    <t>{“Average Daily Data Burn in Bytes in a Month”: 7046137}</t>
  </si>
  <si>
    <t>Indicator if a subscriber watches Korean series in Viu, Viki, Dramafever; visits online Korean stores or websites Heraposh, Sthsweet, Mixxmix, Chuu, Stylenanda, 87mm-worldwide, Etudehouse, Althea, Search Results
GoBloomAndGlow, Tonymoly, T &amp; J Salon, Innisfree, Innisfreeworld, YG Family, Blackpink Update, YG Select, Blackpink Official, KPOP Town, KPOP Shop, Ktown4u, Kprofiles, KPOP College, Nature Republic</t>
  </si>
  <si>
    <t>Bucketing based on identified metric for KPOP fan profile
Metric: Total Hits in a Month
Valid values: 
LOW: &lt;= 8 hits
MID: &gt; 8 &amp; &lt;= 12 hits
HIGH: &gt; 12 hits</t>
  </si>
  <si>
    <t>Metric used and value for KPOP fan profile</t>
  </si>
  <si>
    <t>{“Total hits in a Month”: 15}</t>
  </si>
  <si>
    <t>Indicator if a subscriber streamed music via music apps and sites such as Accuradio, Apple Music, Deezer, iheart, Jango, Spinnr, Spotify, Streamsquid, Wish1075, Youtube Music</t>
  </si>
  <si>
    <t>Bucketing based on identified metric for Music Streamer profile
Metric: Average Daily Data Burn in a Month
Valid values: 
LOW: &lt;= 47,185,920 bytes
MID: &gt; 47,185,920 &amp; &lt;= 160,432,128 bytes
HIGH: &gt; 160,432,128 bytes</t>
  </si>
  <si>
    <t>Metric used and value for Music Streamer profile</t>
  </si>
  <si>
    <t>{"Average Daily Data Burn in a Month": 28160502}</t>
  </si>
  <si>
    <t>Indicator if a subscriber visits websites related to beauty and skincare like Avon, Garnier, Maybelline, NYX Cosmetics, Kiehls, Kerastase, Vaseline, Dove, Estee Lauder, Tresemme, Toni and Guy</t>
  </si>
  <si>
    <t>Bucketing based on identified metric for Beauty Skincare profile
Metric: Total Hits in a Month
Valid values: 
LOW: &lt;= 3 hits
MID: &gt; 3 &amp; &lt;= 5 hits
HIGH: &gt;5 hits</t>
  </si>
  <si>
    <t>Metric used and value for Beauty and Skincare Fan profile</t>
  </si>
  <si>
    <t>{“Total Hits in a Month”: 4}</t>
  </si>
  <si>
    <t>Indicator if a subscriber visits streaming apps and sites, specifically: ABS-CBN, ABS-CBN News, Amazon Video, BBC, Beam Tv, Blink, Bloomberg, Cartoon Network, Cignal, CNN, CNN Philippines, Crunchy Roll, Dailymotion, Disney App, Disney Junior, Disney Life, Disney Site, Drama Fever, Facebook Live, Facebook Video, Fox Plus, GMA, HBO, HBO Asia, HBO Go, HBO Go Asia, HBO Now, Hooq, Iflix, Iwant, Mavshack, Muvinow, Nat Geo, Netflix, Nickelodeon, Rappler, Simultv, Skycable, Tribe, Tvplus, Viki, Vimeo, Viu, Xbox Video, Youtube, Youtube HD, Youtube Kids</t>
  </si>
  <si>
    <t>Bucketing based on identified metric for Video Streamer profile
Metric: Total Data Burn in a Month
Valid values: 
LOW: &lt;= 2.7 GB
MID: &gt; 2.7  &amp; &lt;= 4.5 GB
HIGH: &gt; 4.5 GB</t>
  </si>
  <si>
    <t>Metric used and value for Video Streamer profile</t>
  </si>
  <si>
    <t>{“Total Data Burn in Bytes in a Month”: 5548867605}</t>
  </si>
  <si>
    <t>Indicator if a subscriber visits shopping apps/sites: Amazon, Lazada, Shopee, Zalora, Aliexpress , Alibaba, Banggood, Ebay, Goswak, Zaful, and Wish</t>
  </si>
  <si>
    <t>Bucketing based on identified metric for Online Shopper profile
Metric: Total Hits in a Month
Valid values: 
LOW: &lt;= 5 hits
MID: &gt; 5 &amp; &lt;= 22 hits
HIGH: &gt; 22 hits</t>
  </si>
  <si>
    <t>Metric used and value for Online Shopper profile</t>
  </si>
  <si>
    <t>{“Total Hits in a Month”: 76}</t>
  </si>
  <si>
    <t>Indicator if a subscriber visits Lazada, Shopee and Zalora during same-day regular sale dates</t>
  </si>
  <si>
    <t>Bucketing based on identified metric for Sale Shopper profile
Metric: Average Daily Hits in a Month
Valid values: 
LOW: &lt;= 12 hits
MID: &gt; 12  &amp; &lt;= 16 hits
HIGH: &gt; 16 hits</t>
  </si>
  <si>
    <t>Metric used and value for Sale Shopper profile</t>
  </si>
  <si>
    <t>{“Average Daily hits in a Month”: 13}</t>
  </si>
  <si>
    <t>Indicator if a subscriber access sites and apps related to accommodation, transportation, tours, government agencies and travel blogs, specifically: airasia, air_asia_big, airbnb, air_busan, air_canada, air_china, air_france, air_niugini, air_swift, ana_all_nippon_airways, asia_miles, cathay_pacific, china_eastern, cebu_pacific, china_airlines, china_southern, delta, emirates, ethiopian_airlines, etihad_airways, eva_air, flight_scanner, asiana_airlines, fly_dubai, flypalexpress, fly_royal_brunei, scoot, flyseair, garuda_indonesia, get_go, gulf_air, hongkong_airlines, jal, jeju_air, jetstar, jin_air, klm, korean_air, kuwait_airways, mabuhay_miles, malaysia_airlines, oman_air, philippineairlines, qantas, qatar_airways, saudia, silk_air, singapore_air, sky_jet_air, sky_scanner, thai_airways, turkish_airlines, united, vanilla_air, vietnam_airlines, xiamen_air, adrenalineromance, awanderfulsole, biyaherongbarat, bluedreamer27, bukidnononline, celineism, detourista, eazytraveler, escapejournal, experience_philippines, freedomwall, iamaileen, ilovephilippines, ironwulf, ivanhenares, joanathx, jonas, juanderfulpinoy, lakadpilipinas, lakas, lakwatsero, loveeatwander, meanttogo, mywanderstory, outoftownblog, pinaytraveljunkie, pinoyadventurista, pinoytravelfreak, psimonmyway, solitarywanderer, thejerny, thelittlelai, thepinaysolobackpacker, thepinoytraveler, thepoortraveler, travelbook, travelingmorion, traveling-up, twomonkeystravelgroup, wanderlass, department_of_foreign_affairs, passport, tourism_website, agoda, asia_travel, booking, expedia, find_hotel, find_resorts, gopalawan, hotels, hotels_combined, hotwire, kayak, kkday, klook, obitz, oyo, philippinehotelreservations, priceline, reddoorz, travelocity, traveloka, trip, tripadvisor, tripit, tripkada, trip_mo_ba, trivago, wego, zen_rooms, travel_2go, fastcat</t>
  </si>
  <si>
    <t>Bucketing based on identified metric for Travel Enthusiast profile
Metric: Total Data Burn in a Month
Valid values: 
LOW: &lt;= 687753 bytes
MID: &gt; 687753 &amp; &lt;= 2332915 bytes
HIGH: &gt; 2332915 bytes</t>
  </si>
  <si>
    <t>Metric used and value for Travel Enthusiast profile</t>
  </si>
  <si>
    <t>{“Total Data Burn in Bytes in a Month”: 337620}</t>
  </si>
  <si>
    <t>Indicator if a subscriber access apps and sites related to fitness, specifically: Kfit, Guavapass, My Fitness Pal, Nike+, Nike Training Club, Daily Yoga, Fitbit, Nike Run Club, Garmin, Anytime Fitness, Getfit, Golds Gym, Fitness First, Slimmers World, Celebrity Fitness, Calorie Counter, Mifit, Fitbit</t>
  </si>
  <si>
    <t>Bucketing based on identified metric for Health Buff profile
Metric: Total Hits in a Month
Valid values: 
LOW: &lt;= 5 hits
MID: &gt; 5 &amp; &lt;= 10 hits
HIGH: &gt; 10 hits</t>
  </si>
  <si>
    <t>Metric used and value for Health Buff profile</t>
  </si>
  <si>
    <t>{“Total Hits in a Month”: 114}</t>
  </si>
  <si>
    <t>Indicator if a subscriber access messaging apps and sites such as Imo, KakaoTalk, Line, Messenger, Telegram, Viber, WeChat, WhatsApp</t>
  </si>
  <si>
    <t>Bucketing based on identified metric for OTT User profile
Metric: Average Daily Hits in a Month
Valid values: 
LOW: &lt;= 15 hits
MID: &gt; 15 &amp; &lt;= 24 hits
HIGH: &gt; 24 hits</t>
  </si>
  <si>
    <t>LOW</t>
  </si>
  <si>
    <t>Metric used and value for OTT User profile</t>
  </si>
  <si>
    <t>{“Average Daily Hits in a Month”: 6}</t>
  </si>
  <si>
    <t>Indicator if a subscriber access social media apps and sites Facebook, Twitter, Snapchat, Instagram, Linkedin, and Tiktok</t>
  </si>
  <si>
    <t>Bucketing based on identified metric for Social Media Maverick profile
Metric: 
Valid values: 
LOW: &lt;= 9 hits
MID: &gt; 9 &amp; &lt;= 18 hits
HIGH: &gt; 18 hits</t>
  </si>
  <si>
    <t>MID</t>
  </si>
  <si>
    <t>Metric used and value for Social Media Maverick profile</t>
  </si>
  <si>
    <t>{“Average Daily Hits in a Month”: 21}</t>
  </si>
  <si>
    <t>Indicator if a subscriber access mobile payment apps and sites such as BPI BanKO, 7-Eleven CLIQQ, Coins PH, Gcash, GrabPay, Moneygment, Paymaya, PayPal</t>
  </si>
  <si>
    <t>Bucketing based on identified metric for Mobile Wallet User profile
Metric: Total Hits in a Month
Valid values: 
LOW: &lt;= 5 hits
MID: &gt; 5 &amp; &lt;= 11 hits
HIGH: &gt; 11 hits</t>
  </si>
  <si>
    <t>Metric used and value for Mobile Wallet User profile</t>
  </si>
  <si>
    <t>{“Total Hits in a Month”: 15}</t>
  </si>
  <si>
    <t>Indicator if a subscriber access electronic maps like Waze and Google Maps</t>
  </si>
  <si>
    <t>Bucketing based on identified metric for Road Warrior profile
Metric: Average Daily Hits in a Month
Valid values: 
LOW: &lt;= 6
MID: &gt; 6 &amp; &lt;= 9 hits
HIGH: &gt; 9 hits</t>
  </si>
  <si>
    <t>Metric used and value for Road Warrior profile</t>
  </si>
  <si>
    <t>{“Average Daily Hits in a Month”: 7}</t>
  </si>
  <si>
    <t>Indicator if a subscriber access Telemed apps and sites or health informative pages: Aide, Dr. Willie Ong, GMA Pinoy MD, Healing Galing, Healthnow, Insular Health Care, Intellicare, Konsulta MD, Maxicare, Maxihealth, Mayo Clinic, Medgate, Medicard, My Health, PNTHealth, Practo, Salamat Dok, Valucare, Web MD</t>
  </si>
  <si>
    <t>Bucketing based on identified metric for Health Conscious profile
Metric: Total Hits in a Month
Valid values: 
LOW: &lt;= 3 hits
MID: &gt; 3 &amp; &lt;= 6 hits
HIGH: &gt; 6 hits</t>
  </si>
  <si>
    <t>Metric used and value for Health Conscious profile</t>
  </si>
  <si>
    <t>{“Total Hits in a Month”: 2}</t>
  </si>
  <si>
    <t>Indicator if a subscriber access learning apps and sites such as Coursera, Khanacademy, Tutorials Point, Udemy, W3schools</t>
  </si>
  <si>
    <t>Bucketing based on identified metric for Online Learner profile
Metric: Total Hits in a Month
Valid values: 
LOW: &lt;= 6 hits
MID: &gt; 6 &amp; &lt;= 12 hits
HIGH: &gt; 12 hits</t>
  </si>
  <si>
    <t>Metric used and value for Online Learner profile</t>
  </si>
  <si>
    <t>{“Total Hits in a Month”: 10}</t>
  </si>
  <si>
    <t>Indicator if a subscriber access reading apps and sites such Aldiko, Dreame, Flipboard, Goodreads, Kobo, Kobo Books, MangaFox, MangaReader, MangaRock, MangaRockhd, MoboReader, Scribd, Wattpad</t>
  </si>
  <si>
    <t>Bucketing based on identified metric for Online Reader profile
Metric: Total Hits in a Month
Valid values: 
LOW: &lt;= 13 hits
MID: &gt; 13 &amp; &lt;= 21 hits
HIGH: &gt; 21 hits</t>
  </si>
  <si>
    <t>Metric used and value for Online Reader profile</t>
  </si>
  <si>
    <t>Indicator if a subscriber uses hailing apps such as Angkas, Grab, Grabtaxi, Grabcar, Golag, Hirna, Hypetransport, Micab, Owto</t>
  </si>
  <si>
    <t>Bucketing based on identified metric for TNVS User profile
Metric: Total Hits in a Month
Valid values: 
LOW: &lt;= 3 hits
MID: &gt; 3 &amp; &lt;= 7 hits
HIGH: &gt; 7 hits</t>
  </si>
  <si>
    <t>Metric used and value for TNVS User profile</t>
  </si>
  <si>
    <t>{“Total Hits in a Month”: 41}</t>
  </si>
  <si>
    <t>Indicator if a subscriber use apps or sites related to photography and layouting, specifically Camera360, Canva, Instagram, PhotoCollage Pro, Photogrid, Picsart, Pixlr, Prisma, Retrica, Snapseed, Tiktokv, VSCO</t>
  </si>
  <si>
    <t>Bucketing based on identified metric for Digital Creative profile
Metric: Total Hits in a Month
Valid values: 
LOW: &lt;= 18 hits
MID: &gt; 18 &amp; &lt;= 26 hits
HIGH: &gt; 26 hits</t>
  </si>
  <si>
    <t>Metric used and value for Digital Creative profile</t>
  </si>
  <si>
    <t>{“Total Hits in a Month”: 50}</t>
  </si>
  <si>
    <t>Indicator if a subscriber uses online banking apps based on data usage and SMS coming from banks: Asia United Bank, Bank of Commerce, Bank of Makati, Banco de Oro, Bank of the Philippine Islands, Chinabank, China Bank Savings, CIMB, Citibank, City Savings Bank, DBS Bank, EastWest Bank, Equicom Savings Bank, FairBank, Landbank, Mashreq Bank, Maybank, Metrobank, Philippine Bank of Communications, PNB, PSBank, Robinsons Bank, Rizal Commercial Banking Corp., Security Bank, Sterling Bank of Asia, United Coconut Planters Bank, UnionBank, United Overseas Bank</t>
  </si>
  <si>
    <t>Bucketing based on identified metric for Online Banker profile
Metric: Total Hits in a Month
Valid values: 
LOW: &lt;= 2 hits
MID: &gt; 2 &amp; &lt;= 6 hits
HIGH: &gt; 6 hits</t>
  </si>
  <si>
    <t>Metric used and value for Online Banker profile</t>
  </si>
  <si>
    <t>{“Total Hits in a Month”: 1}</t>
  </si>
  <si>
    <t>Indicator if a subscriber has a membership to a loyalty program based on SMS notifications from 7-ELEVEN, ABENSON, ALDO, ARC, BENCH, CLIQQ, CLN, EVER NEW, GENERIKA, LANDERSPH, M&amp;S, MANGO, METRO MRC, PLUSREWARDS, PURE GOLD, ROBREWARDS, RUSTANSPH, SMAC, SMAC ALERT, SMAC-OTP, SMACP, SMAC_ALERT, TRAVELCLUB, WATSONS, WATSONSCARD and WATSONSCLUB</t>
  </si>
  <si>
    <t xml:space="preserve">Bucketing based on identified metric for Loyalty Card Owner profile
Metric: Total Hits in a Month
Valid values: 
LOW: 
MID: 
HIGH: </t>
  </si>
  <si>
    <t>Metric used and value for Loyalty Card Owner profile</t>
  </si>
  <si>
    <t>{“Total Active Card per Subs in 6 Months”: 1}</t>
  </si>
  <si>
    <t>Indicator if a subscriber access kid friendly content apps or sites such as Cartoon Network, Discovery Kids, Disney App, Disney Site, Disney Life, Disney Junior, NatGeo Kids, Nickelodeon and Youtube Kids</t>
  </si>
  <si>
    <t>Bucketing based on identified metric for Kid Friendly App User profile
Metric: Total Hits in a Month
Valid values: 
LOW: = 1 hit
MID: &gt; 1 &amp; &lt;= 3 hits
HIGH: &gt; 3 hits</t>
  </si>
  <si>
    <t>Metric used and value for Kid Friendly App User profile</t>
  </si>
  <si>
    <t>{“Total Hits in a Month”: 8}</t>
  </si>
  <si>
    <t>Total no. of outgoing calls in minutes by the subscriber for the 1 month</t>
  </si>
  <si>
    <t>Total no. of data (KB format) consumed by the subscriber for the 1 month</t>
  </si>
  <si>
    <t>foodie_online_delivery_indicator</t>
  </si>
  <si>
    <t>Indicator if a subscriber visits online food delivery apps or sites such as FoodPanda, JollibeeDelivery, LalaFood, GrabFood, Chowkingdelivery, McDelivery, and AmberDelivery</t>
  </si>
  <si>
    <t>foodie_online_delivery_bucket</t>
  </si>
  <si>
    <t>Bucketing based on identified metric for Foodie Online Delivery profile
Metric: Total Hits in a Month
Valid values: 
LOW: &lt;= 5 hits
MID: &gt; 5 &amp; &lt;= 10 hits
HIGH: &gt; 10 hits</t>
  </si>
  <si>
    <t>foodie_online_delivery_details</t>
  </si>
  <si>
    <t>Metric used and value for Foodie Online Delivery profile</t>
  </si>
  <si>
    <t>{“Total Hits in a Month”: 3}</t>
  </si>
  <si>
    <t>foodie_restaurant_finder_indicator</t>
  </si>
  <si>
    <t>Indicator if a subscriber visits restaurant finder apps or sites such as Zomato and Eatigo</t>
  </si>
  <si>
    <t>foodie_restaurant_finder_bucket</t>
  </si>
  <si>
    <t>Bucketing based on identified metric for Restaurant Finder profile
Metric: Total Hits in a Month
Valid values: 
LOW: &lt;= 3 hits
MID: &gt; 3 &amp; &lt;= 5 hits
HIGH: &gt; 5 hits</t>
  </si>
  <si>
    <t>foodie_restaurant_finder_details</t>
  </si>
  <si>
    <t>Metric used and value for Restaurant Finder profile</t>
  </si>
  <si>
    <t>availment_data_bundle_exp_date_past_90days</t>
  </si>
  <si>
    <t>Last data bundle expiration date in past 90 days. Format: YYYY-MM-DD</t>
  </si>
  <si>
    <t>availment_data_latest_date_past_30days</t>
  </si>
  <si>
    <t>Latest date for data promo availed in past 30 days. Format: YYYY-MM-DD</t>
  </si>
  <si>
    <t>availment_data_count_past_30days</t>
  </si>
  <si>
    <t>Total data promo registration count in past 30 days</t>
  </si>
  <si>
    <t>availment_data_count_past_120days</t>
  </si>
  <si>
    <t>Total data promo registration count in past 120 days prior to past 30 days</t>
  </si>
  <si>
    <t>reload_2nd_max_past_120days</t>
  </si>
  <si>
    <t>No. of days between current date and latest topup date</t>
  </si>
  <si>
    <t>hpw_inactivity_tag</t>
  </si>
  <si>
    <t>Tagging if home prepaid wifi user is inactive</t>
  </si>
  <si>
    <t>BB</t>
  </si>
  <si>
    <t>DPA-BB</t>
  </si>
  <si>
    <t>bb_app_indicator</t>
  </si>
  <si>
    <t>Tagging if subscriber downloaded the broadband app and registered their number.</t>
  </si>
  <si>
    <t>reload_most_frequent_sharer_msisdn_value</t>
  </si>
  <si>
    <t>A-number who is often shared a load to B-number</t>
  </si>
  <si>
    <t>reload_most_frequent_sharer_subscriber_id</t>
  </si>
  <si>
    <t>Subscriber ID assigned to A-number</t>
  </si>
  <si>
    <t>active_subscriber_1wk_indicator</t>
  </si>
  <si>
    <t>Indicator if a subscriber has activity for 1 week based from usage and reload activities</t>
  </si>
  <si>
    <t>reload_max_daily_sum_past_30days</t>
  </si>
  <si>
    <t>The maximum sum of daily top-up amount availed by the subscriber for the past 30 days prior to past 30 days.</t>
  </si>
  <si>
    <t>reload_max_denom_past_30days</t>
  </si>
  <si>
    <t>Maximum top-up denominations for the past 30 days</t>
  </si>
  <si>
    <t>remaining_financial_account_credit_limit</t>
  </si>
  <si>
    <t>Subscriber's remaining FACL (financial account credit limit) after deducting recurring fees (RC)</t>
  </si>
  <si>
    <t>DPA-RS</t>
  </si>
  <si>
    <t>historically_purchased_phone_indicator</t>
  </si>
  <si>
    <t>Subscriber who availed postpaid plan with phone</t>
  </si>
  <si>
    <t>monthly_excess_usage_fee_amount</t>
  </si>
  <si>
    <t>Summary of MRF with Excess Usage</t>
  </si>
  <si>
    <t>monthly_vas_UC</t>
  </si>
  <si>
    <t>Summary of MRF with VAS usage charges</t>
  </si>
  <si>
    <t>monthly_roaming_UC</t>
  </si>
  <si>
    <t>Monthly roaming usage charges</t>
  </si>
  <si>
    <t>subscriber_first_expiry</t>
  </si>
  <si>
    <t>Subscriber's first expiry, governed by topup and/or promo subscription (promo expiry, topup exhaustion, topup expiry or topup date + 365 days)</t>
  </si>
  <si>
    <t>reload_gcash_channel_indicator</t>
  </si>
  <si>
    <t>Subscriber who top-up via GCash app</t>
  </si>
  <si>
    <t>reload_amax_channel_indicator</t>
  </si>
  <si>
    <t>Subscriber who top-up via AMAX</t>
  </si>
  <si>
    <t>hpw_inactivity_score</t>
  </si>
  <si>
    <t>Score of inactive home prepaid wifi user</t>
  </si>
  <si>
    <t>theplanplus_msf_status</t>
  </si>
  <si>
    <t>Subscriber's main plan and its MSF status (retain/upgrade) with ThePLAN PLUS</t>
  </si>
  <si>
    <t>unbarred_by_payment_indicator</t>
  </si>
  <si>
    <t>Tagging that a subscriber has been barred by maximizing SSL, then gets unbarred thru payment.</t>
  </si>
  <si>
    <t>availment_mode_promo_90days</t>
  </si>
  <si>
    <t>Frequently availed promo SKUs for the past 3 months.</t>
  </si>
  <si>
    <t>GOSURF_RHES50</t>
  </si>
  <si>
    <t>availment_highest_denom_sku_90days</t>
  </si>
  <si>
    <t>The highest value availed promo SKUs of the subscriber for the past 3 months.</t>
  </si>
  <si>
    <t>CAP_CHARGE99</t>
  </si>
  <si>
    <t>arpu_value</t>
  </si>
  <si>
    <t>Monthly ARPU of subscriber</t>
  </si>
  <si>
    <t>remaining_subscriber_spending_limit</t>
  </si>
  <si>
    <t>Difference between postpaid subscriber spending limit and unpaid charges.</t>
  </si>
  <si>
    <t>total_paid_amount</t>
  </si>
  <si>
    <t>Subscriber's latest paid amount</t>
  </si>
  <si>
    <t>postpaid_arpu_30days</t>
  </si>
  <si>
    <t>Gets sum of gross service revenue indicative amount of postpaid subscriber in the past 30 days</t>
  </si>
  <si>
    <t>Decimal(21,2)</t>
  </si>
  <si>
    <t>postpaid_arpu_60days</t>
  </si>
  <si>
    <t>Gets monthly average of gross service revenue indicative amount of postpaid subscriber in the past 60 days</t>
  </si>
  <si>
    <t>postpaid_arpu_UC_30days</t>
  </si>
  <si>
    <t>Gets sum of usage charge amount of postpaid subscriber in the past 30 days</t>
  </si>
  <si>
    <t>postpaid_arpu_UC_60days</t>
  </si>
  <si>
    <t>Gets monthly average of usage charge amount of postpaid subscriber in the past 60 days</t>
  </si>
  <si>
    <t>postpaid_arpu_OC_30days</t>
  </si>
  <si>
    <t>Gets sum of one time charge amount of postpaid subscriber in the past 30 days</t>
  </si>
  <si>
    <t>postpaid_arpu_OC_60days</t>
  </si>
  <si>
    <t>Gets monthly average of one time charge amount of postpaid subscriber in the past 60 days</t>
  </si>
  <si>
    <t>reload_ave_transaction_count_30days</t>
  </si>
  <si>
    <t>Gets average transaction of subscriber in the past 30 days</t>
  </si>
  <si>
    <t>Integer</t>
  </si>
  <si>
    <t>reload_ave_transaction_count_60days</t>
  </si>
  <si>
    <t>Gets average transaction of subscriber in the past 2 months</t>
  </si>
  <si>
    <t>reload_ave_transaction_count_90days</t>
  </si>
  <si>
    <t>Gets average transaction of subscriber in the past 3 months</t>
  </si>
  <si>
    <t>sub_rewards_segmentation</t>
  </si>
  <si>
    <t>To segment subscribers based on reward transactions to understand their behavior and increase reward transactions.</t>
  </si>
  <si>
    <t>HIGH ROLLERS</t>
  </si>
  <si>
    <t>Subscriber's age calculated from birthdate (for postpaid only)</t>
  </si>
  <si>
    <t>ALL</t>
  </si>
  <si>
    <t>Subscriber's age bracket</t>
  </si>
  <si>
    <t>55-59</t>
  </si>
  <si>
    <t>postpaid_arpu_RC_90days</t>
  </si>
  <si>
    <t>ARPU of subscriber covering 90 days recurring charges (RC) divided by 3 months</t>
  </si>
  <si>
    <t>postpaid_arpu_RC_60days</t>
  </si>
  <si>
    <t>ARPU of subscriber covering 60 days recurring charges (RC) divided by 2 months</t>
  </si>
  <si>
    <t>postpaid_arpu_RC_30days</t>
  </si>
  <si>
    <t>ARPU of subscriber covering 30 days recurring charges (RC)</t>
  </si>
  <si>
    <t>usage_data_ppu_amount_past_30days</t>
  </si>
  <si>
    <t>Sum of PPU data spend in the past 30 days</t>
  </si>
  <si>
    <t>usage_sms_ppu_amount_past_30days</t>
  </si>
  <si>
    <t>Sum of PPU sms spend in the past 30 days</t>
  </si>
  <si>
    <t>usage_voice_ppu_amount_past_30days</t>
  </si>
  <si>
    <t>Sum of PPU voice spend in the past 30 days</t>
  </si>
  <si>
    <t>reload_transaction_count_past_30days</t>
  </si>
  <si>
    <t>Count of top-up transactions within 30 days</t>
  </si>
  <si>
    <t>reload_transaction_count_past_60days</t>
  </si>
  <si>
    <t>Count of top-up transactions within 60 days</t>
  </si>
  <si>
    <t>reload_transaction_count_past_90days</t>
  </si>
  <si>
    <t>Count of top-up transactions within 90 days</t>
  </si>
  <si>
    <t>postpaid_arpu_90days</t>
  </si>
  <si>
    <t>Gets monthly average of gross service revenue indicative amount of postpaid subscriber in the past 90 days</t>
  </si>
  <si>
    <t>postpaid_arpu_UC_90days</t>
  </si>
  <si>
    <t>Gets monthly average of usage charge amount of postpaid subscriber in the past 90 days</t>
  </si>
  <si>
    <t>postpaid_arpu_OC_90days</t>
  </si>
  <si>
    <t>Gets monthly average of one time charge amount of postpaid subscriber in the past 90 days</t>
  </si>
  <si>
    <t>missed_registration_score</t>
  </si>
  <si>
    <t>Identify subscribers’ time to register to a promo from the time of top-up;
Identify subscribers who breach their “usual” threshold.</t>
  </si>
  <si>
    <t>Monthly (month-1)</t>
  </si>
  <si>
    <t>usage_sum_outbound_intra_voice_90days_mins</t>
  </si>
  <si>
    <t>Gets total minutes of call of subscriber under intraconnect network</t>
  </si>
  <si>
    <t>availment_combo_bundle_exp_date_past_30days</t>
  </si>
  <si>
    <t>Last combo promo expiration date in the past 30 days</t>
  </si>
  <si>
    <t>availment_combo_latest_amount_past_30days</t>
  </si>
  <si>
    <t>Latest amount for combo promo availed in past 30 days</t>
  </si>
  <si>
    <t>availment_combo_latest_date_past_30days</t>
  </si>
  <si>
    <t>Latest date for combo promo availed in past 30 days</t>
  </si>
  <si>
    <t>availment_combo_spend_past_30days</t>
  </si>
  <si>
    <t>Sum of spend for combo availment in past 30 days</t>
  </si>
  <si>
    <t>availment_data_ave_days_in_between_past_120days</t>
  </si>
  <si>
    <t>Average days in between data promo registration in past 120 days prior to 30days</t>
  </si>
  <si>
    <t>availment_data_latest_amount_past_30days</t>
  </si>
  <si>
    <t>Latest amount for data promo availed in past 30 days</t>
  </si>
  <si>
    <t>availment_sms_latest_amount_past_30days</t>
  </si>
  <si>
    <t>Latest amount for sms promo availed in past 30 days</t>
  </si>
  <si>
    <t>availment_sms_latest_date_past_30days</t>
  </si>
  <si>
    <t>Latest date for sms promo availed in past 30 days</t>
  </si>
  <si>
    <t>availment_voice_bundle_exp_date_past_30days</t>
  </si>
  <si>
    <t>Latest voice expiration for voice promo availed in past 30 days</t>
  </si>
  <si>
    <t>availment_voice_latest_amount_past_30days</t>
  </si>
  <si>
    <t>Latest amount for voice promo availed in past 30 days</t>
  </si>
  <si>
    <t>availment_voice_latest_date_past_30days</t>
  </si>
  <si>
    <t>Latest date for voice promo availed in past 30 days</t>
  </si>
  <si>
    <t>NSAT_indicator</t>
  </si>
  <si>
    <t>Indicator if a postpaid subscriber is dissatisfied on mobile data services</t>
  </si>
  <si>
    <t>CX</t>
  </si>
  <si>
    <t>NSAT_probability</t>
  </si>
  <si>
    <t>Probability of a postpaid subscriber to be dissatisfied on mobile data services</t>
  </si>
  <si>
    <t>Decimal(19,4)</t>
  </si>
  <si>
    <t>Type of latest device used based on sms, voice and data usages for past 90 days</t>
  </si>
  <si>
    <t>loan_total_paid_amount_90days</t>
  </si>
  <si>
    <t>Total topup and promo loan amount paid</t>
  </si>
  <si>
    <t>loan_total_paid_service_fee_amount_90days</t>
  </si>
  <si>
    <t>Total service fee amount for the paid topup and promo loan</t>
  </si>
  <si>
    <t>availment_sms_bundle_exp_date_past_30days</t>
  </si>
  <si>
    <t>Latest sms expiration for sms promo availed in past 30 days</t>
  </si>
  <si>
    <t>Timestamp</t>
  </si>
  <si>
    <t>reward_type_latest_past_90days</t>
  </si>
  <si>
    <t>Type of last Rewards transaction for the past 90 days</t>
  </si>
  <si>
    <t>NON-TELCO</t>
  </si>
  <si>
    <t>reward_point_balance</t>
  </si>
  <si>
    <t>Reward points in past 90 days</t>
  </si>
  <si>
    <t>reload_loan_min_denom_30days</t>
  </si>
  <si>
    <t>Minimum denomination of topup loaned within 30 days</t>
  </si>
  <si>
    <t>reload_loan_min_denom_60days</t>
  </si>
  <si>
    <t>Minimum denomination of topup loaned within 60 days</t>
  </si>
  <si>
    <t>reload_loan_min_denom_90days</t>
  </si>
  <si>
    <t>Minimum denomination of topup loaned within 90 days</t>
  </si>
  <si>
    <t>loan_availer_last_30days</t>
  </si>
  <si>
    <t>Reload and promo loaning behavior / engagement for the past 30 days</t>
  </si>
  <si>
    <t>loan_availer_last31_60days</t>
  </si>
  <si>
    <t>Reload and promo loaning behavior / engagement for the past 60 days</t>
  </si>
  <si>
    <t>loan_availer_last61_90days</t>
  </si>
  <si>
    <t>Reload and promo loaning behavior / engagement for the past 90 days</t>
  </si>
  <si>
    <t>reload_loan_max_denom_30days</t>
  </si>
  <si>
    <t>Maximum denomination of topup loaned within 30 days</t>
  </si>
  <si>
    <t>reload_loan_max_denom_60days</t>
  </si>
  <si>
    <t>Maximum denomination of topup loaned within 60 days</t>
  </si>
  <si>
    <t>reload_loan_max_denom_90days</t>
  </si>
  <si>
    <t>Maximum denomination of topup loaned within 90 days</t>
  </si>
  <si>
    <t>reload_loan_mode_denom_30days</t>
  </si>
  <si>
    <t>Most availed topup loan (denom) within 30 days</t>
  </si>
  <si>
    <t>reload_loan_mode_denom_60days</t>
  </si>
  <si>
    <t>Most availed topup loan (denom) within 60 days</t>
  </si>
  <si>
    <t>reload_loan_mode_denom_90days</t>
  </si>
  <si>
    <t>Most availed topup loan (denom) within 90 days</t>
  </si>
  <si>
    <t>loan_max_denom_90days</t>
  </si>
  <si>
    <t>Maximum denom of topup loaned with 90 days</t>
  </si>
  <si>
    <t>loan_mode_denom_90days</t>
  </si>
  <si>
    <t>Most availed loan (denom)</t>
  </si>
  <si>
    <t>availment_loan_transactions_count_30days</t>
  </si>
  <si>
    <t>Number of promo loans availed within 30 days</t>
  </si>
  <si>
    <t>availment_loan_transactions_count_60days</t>
  </si>
  <si>
    <t>Number of promo loans availed within 60 days</t>
  </si>
  <si>
    <t>availment_loan_transactions_count_90days</t>
  </si>
  <si>
    <t>Number of promo loans availed within 90 days</t>
  </si>
  <si>
    <t>availment_loan_total_amount_30days</t>
  </si>
  <si>
    <t>Amount of promo loans availed within 30 days</t>
  </si>
  <si>
    <t>availment_loan_total_amount_60days</t>
  </si>
  <si>
    <t>Amount of promo loans availed within 60 days</t>
  </si>
  <si>
    <t>availment_loan_total_amount_90days</t>
  </si>
  <si>
    <t>Amount of promo loans availed within 90 days</t>
  </si>
  <si>
    <t>availment_loan_max_denom_90days</t>
  </si>
  <si>
    <t>Maximum denom of promo loaned with 90 days</t>
  </si>
  <si>
    <t>availment_loan_mode_sku_90days</t>
  </si>
  <si>
    <t>SKU of most availed promo loan within 90 days</t>
  </si>
  <si>
    <t>LOAN_GOSURF30</t>
  </si>
  <si>
    <t>reload_average_txn_interval_rolling_120_days</t>
  </si>
  <si>
    <t>Average of transaction intervals in the past 120 days</t>
  </si>
  <si>
    <t>reload_2nd_max_daily_sum_past_120days</t>
  </si>
  <si>
    <t>Second highest sum of daily topup amount in the past 120 days prior to past 30 days (5th-16th week).</t>
  </si>
  <si>
    <t>reload_max_total_monthly_past_90days</t>
  </si>
  <si>
    <t>Maximum total monthly topup in 90 days</t>
  </si>
  <si>
    <t>reload_amount_latest_past_30days</t>
  </si>
  <si>
    <t>Latest topup amount in the past 30 days</t>
  </si>
  <si>
    <t>reload_amount_latest_past_60days</t>
  </si>
  <si>
    <t>Latest topup amount in the past 60 days</t>
  </si>
  <si>
    <t>reload_mode_tu_tra_rolling_60_days_amount</t>
  </si>
  <si>
    <t>Most availed top-up within 60 days</t>
  </si>
  <si>
    <t>reload_latest_week_90days</t>
  </si>
  <si>
    <t>Latest topup week within 90 days (reload days from last txn convert to weeks, should be round up)</t>
  </si>
  <si>
    <t>reload_days_from_last_txn</t>
  </si>
  <si>
    <t>reload_loan_transactions_count_30days</t>
  </si>
  <si>
    <t>Number of topup loans availed in 30 days</t>
  </si>
  <si>
    <t>reload_loan_transactions_count_60days</t>
  </si>
  <si>
    <t>Number of topup loans availed in 60 days</t>
  </si>
  <si>
    <t>reload_loan_transactions_count_90days</t>
  </si>
  <si>
    <t>Number of topup loans availed in 90 days</t>
  </si>
  <si>
    <t>reload_loan_total_amount_30days</t>
  </si>
  <si>
    <t>Total amount of topup loaned in 30 days</t>
  </si>
  <si>
    <t>reload_loan_total_amount_60days</t>
  </si>
  <si>
    <t>Total amount of topup loaned in 60 days</t>
  </si>
  <si>
    <t>reload_loan_total_amount_90days</t>
  </si>
  <si>
    <t>Total amount of topup loaned in 90 days</t>
  </si>
  <si>
    <t>loan_total_transactions_30days</t>
  </si>
  <si>
    <t>Number of promo loans availed (topup and loan) in 30 days</t>
  </si>
  <si>
    <t>loan_total_transactions_60days</t>
  </si>
  <si>
    <t>Number of promo loans availed (topup and loan) in 60 days</t>
  </si>
  <si>
    <t>loan_total_transactions_90days</t>
  </si>
  <si>
    <t>Number of promo loans availed (topup and loan) in 90 days</t>
  </si>
  <si>
    <t>loan_total_amount_30days</t>
  </si>
  <si>
    <t>Total Amount Loaned (topup and promo) within 30 days</t>
  </si>
  <si>
    <t>loan_total_amount_60days</t>
  </si>
  <si>
    <t>Total Amount Loaned (topup and promo) within 60 days</t>
  </si>
  <si>
    <t>loan_total_amount_90days</t>
  </si>
  <si>
    <t>Total Amount Loaned (topup and promo) within 90 days</t>
  </si>
  <si>
    <t>reload_top_channel_30days</t>
  </si>
  <si>
    <t>Most used reload channel within 30 days</t>
  </si>
  <si>
    <t>GCash Channel</t>
  </si>
  <si>
    <t>reload_top_channel_60days</t>
  </si>
  <si>
    <t>Most used reload channel within 60 days</t>
  </si>
  <si>
    <t>reload_top_channel_90days</t>
  </si>
  <si>
    <t>Most used reload channel within 90 days</t>
  </si>
  <si>
    <t>reload_latest_channel_30days</t>
  </si>
  <si>
    <t>Latest reload channel within 30 days</t>
  </si>
  <si>
    <t>reload_latest_channel_60days</t>
  </si>
  <si>
    <t>Latest reload channel within 60 days</t>
  </si>
  <si>
    <t>reload_latest_channel_90days</t>
  </si>
  <si>
    <t>Latest reload channel within 90 days</t>
  </si>
  <si>
    <t>postpaid_contract_status_type</t>
  </si>
  <si>
    <t>Indicates if contract is New or Recontract</t>
  </si>
  <si>
    <t>Recontract</t>
  </si>
  <si>
    <t>prepaid_spending_arpu_30days</t>
  </si>
  <si>
    <t>Prepaid Spending ARPU for 30 days (promo registrations, ppu, topup a promo)</t>
  </si>
  <si>
    <t>Decimal</t>
  </si>
  <si>
    <t>prepaid_spending_arpu_60days</t>
  </si>
  <si>
    <t>Prepaid Spending ARPU for 60 days (promo registrations, ppu, topup a promo)</t>
  </si>
  <si>
    <t>prepaid_spending_arpu_90days</t>
  </si>
  <si>
    <t>Prepaid Spending ARPU for 90 days (promo registrations, ppu, topup a promo)</t>
  </si>
  <si>
    <t>contract_type_description</t>
  </si>
  <si>
    <t>Locked in a promo contract with handset (bill rebates or gift certificate)
Locked in a promo contract without handset
Open base /Out of lock up - subscribers without contracts</t>
  </si>
  <si>
    <t>String</t>
  </si>
  <si>
    <t>Open base /Out of lock up - subscribers without contracts</t>
  </si>
  <si>
    <t>usage_data_ppu_ave_amount_past_30days</t>
  </si>
  <si>
    <t>Average PPU data usage amount past 30 days</t>
  </si>
  <si>
    <t>FVT (Pontis)</t>
  </si>
  <si>
    <t>usage_data_ppu_ave_amount_past_120days</t>
  </si>
  <si>
    <t>Average PPU data usage amount past 120 days prior 30 days</t>
  </si>
  <si>
    <t>string</t>
  </si>
  <si>
    <t>BAYAN
GHP
GHP-PREPAID
GLOBE
PW
TM
WIRELINE</t>
  </si>
  <si>
    <t>BAYAN
GHP
GHP-PREPAID
GLOBE
WIRELINE</t>
  </si>
  <si>
    <t>Consumer
EG
In house</t>
  </si>
  <si>
    <t>The unique identifier of the main billing offer associated with the transaction.</t>
  </si>
  <si>
    <t>BAYAN
GHP
GLOBE
WIRELINE</t>
  </si>
  <si>
    <t>Brand to which subscriber has been tagged. Values are GHP-PREPAID, GHP, TM, PW and WIRELINE.</t>
  </si>
  <si>
    <t>The end date of the billed period for the current invoice.</t>
  </si>
  <si>
    <t>FVT/DPA</t>
  </si>
  <si>
    <t>Monthly service fee of a subscriber (inclusive of tax)</t>
  </si>
  <si>
    <t>decimal(19,4)</t>
  </si>
  <si>
    <t>GHP
BAYAN
WIRELINE
GLOBE</t>
  </si>
  <si>
    <t>0.0049</t>
  </si>
  <si>
    <t>decimal(38,2)</t>
  </si>
  <si>
    <t>GHP
WIRELINE</t>
  </si>
  <si>
    <t>The unique identifier of the customer</t>
  </si>
  <si>
    <t>online_gamer_indicator</t>
  </si>
  <si>
    <t>online_gamer_bucket</t>
  </si>
  <si>
    <t>online_gamer_details</t>
  </si>
  <si>
    <t>telemedicine_indicator</t>
  </si>
  <si>
    <t>telemedicine_bucket</t>
  </si>
  <si>
    <t>telemedicine_details</t>
  </si>
  <si>
    <t>Bucketing based on identified metric for Loyalty Card Owner profile
Metric: Total Hits in a Month
Valid values: 
LOW: 1 hit
MID: &gt; 1 &amp; &lt;= 3 hits
HIGH: &gt; 3 hits</t>
  </si>
  <si>
    <t>restaurant_finder_indicator</t>
  </si>
  <si>
    <t>restaurant_finder_bucket</t>
  </si>
  <si>
    <t>restaurant_finder_details</t>
  </si>
  <si>
    <t>Direct Pull for Postpaid
 Inferred for Prepaid</t>
  </si>
  <si>
    <t>GHP-PREPAID
TM
PW</t>
  </si>
  <si>
    <t>Average PPU data usage amout (spend) past 30 days</t>
  </si>
  <si>
    <t>Average PPU data usage amount (spend) past 120 days prior 30 days</t>
  </si>
  <si>
    <t>usage_data_latest_date_past_120days</t>
  </si>
  <si>
    <t>Gets latest event_start_date with data filter</t>
  </si>
  <si>
    <t>Date</t>
  </si>
  <si>
    <t>FVT CRM HPW/BB</t>
  </si>
  <si>
    <t>availment_amount_past_60days</t>
  </si>
  <si>
    <t>Sum of promo registrations in past 60 days</t>
  </si>
  <si>
    <t>availment_amount_past_90days</t>
  </si>
  <si>
    <t>Sum of promo registrations in past 90 days</t>
  </si>
  <si>
    <t>prepaid_spending_arpu_120days</t>
  </si>
  <si>
    <t>Prepaid Spending ARPU (promo registrations, ppu, topup a promo) for 120 days
divided by 4 (months)</t>
  </si>
  <si>
    <t>availment_hpw_sampler_exp_date_past_90days</t>
  </si>
  <si>
    <t>Expiration date of promo (sampler 10GB) - applicable to HPW subs only</t>
  </si>
  <si>
    <t>network_monthly_top_2_data_location_province</t>
  </si>
  <si>
    <t>Top 2 Location (Province) of Customer based on customer's data usage from previous month</t>
  </si>
  <si>
    <t>National Capital Region (NCR)</t>
  </si>
  <si>
    <t>FVT CRM Hoarding</t>
  </si>
  <si>
    <t>Daily, Monthly</t>
  </si>
  <si>
    <t>Daily (day-1),
Monthly</t>
  </si>
  <si>
    <t>network_monthly_top_2_data_location_town</t>
  </si>
  <si>
    <t>Top 2 Location (Town) of Customer based on customer's data usage from previous month</t>
  </si>
  <si>
    <t>CITY OF MAKATI</t>
  </si>
  <si>
    <t>network_monthly_top_3_data_location_province</t>
  </si>
  <si>
    <t>Top 3 Location (Province) of Customer based on customer's data usage from previous month</t>
  </si>
  <si>
    <t>network_monthly_top_3_data_location_town</t>
  </si>
  <si>
    <t>Top 3 Location (Town) of Customer based on customer's data usage from previous month</t>
  </si>
  <si>
    <t>ecq_region_name</t>
  </si>
  <si>
    <t>Top region location during community quarantine based on SMS voice, and data</t>
  </si>
  <si>
    <t>REGION IV-A (CALABARZON)</t>
  </si>
  <si>
    <t>ERI</t>
  </si>
  <si>
    <t>Consumer
EG
In-House
SG
IBG - Traveler</t>
  </si>
  <si>
    <t>ecq_province_name</t>
  </si>
  <si>
    <t>Top province location during community quarantine based on SMS voice, and data</t>
  </si>
  <si>
    <t>CAVITE</t>
  </si>
  <si>
    <t>ecq_town_name</t>
  </si>
  <si>
    <t>Top town location during community quarantine based on SMS voice, and data</t>
  </si>
  <si>
    <t>BACOOR CITY</t>
  </si>
  <si>
    <t>ecq_barangay_name</t>
  </si>
  <si>
    <t>Top barangay location during community quarantine based on SMS voice, and data</t>
  </si>
  <si>
    <t>NIOG I</t>
  </si>
  <si>
    <t>reload_amount_total_past_90days</t>
  </si>
  <si>
    <t>Total of top-up amount for the past 90 days</t>
  </si>
  <si>
    <t>hpw_prepaid_topup_segmentation_score</t>
  </si>
  <si>
    <t>Gets score of hpw_topup_segmentation model</t>
  </si>
  <si>
    <t>Frequent</t>
  </si>
  <si>
    <t>previous_main_billing_offer_id</t>
  </si>
  <si>
    <t>The previous main plan ID of the subscriber</t>
  </si>
  <si>
    <t>FVT CRM BB Postpaid</t>
  </si>
  <si>
    <t>previous_billing_offer_desc</t>
  </si>
  <si>
    <t>The previous main plan of the subscriber</t>
  </si>
  <si>
    <t>EXECUTIVE PLAN</t>
  </si>
  <si>
    <t>previous_msf</t>
  </si>
  <si>
    <t>Previous monthly subscription fee amount</t>
  </si>
  <si>
    <t>previous_contract_start_date</t>
  </si>
  <si>
    <t>Previous contract start date</t>
  </si>
  <si>
    <t>FVT CRM Mobile</t>
  </si>
  <si>
    <t>bb_technology_value</t>
  </si>
  <si>
    <t>Indicates if contract is New or Recon</t>
  </si>
  <si>
    <t>DSL</t>
  </si>
  <si>
    <t>GLOBE
BAYAN
WIRELINE</t>
  </si>
  <si>
    <t>Consumer
SG
EG</t>
  </si>
  <si>
    <t>bb_previous_technology_value</t>
  </si>
  <si>
    <t>Technology value of the subscriber's previous contract plan.</t>
  </si>
  <si>
    <t>contract_period_value</t>
  </si>
  <si>
    <t>Duration of the contract for the product</t>
  </si>
  <si>
    <t>previous_contract_period_value</t>
  </si>
  <si>
    <t>Length of the postpaid subscriber's previous contract in months.</t>
  </si>
  <si>
    <t>financial_account_id</t>
  </si>
  <si>
    <t>The unique identifier of the financial account of the subscriber.</t>
  </si>
  <si>
    <t>customer_contact_email_id</t>
  </si>
  <si>
    <t>The primary e-mail address of the contact.</t>
  </si>
  <si>
    <t>marie@gmail.com</t>
  </si>
  <si>
    <t>customer_contact_msisdn_value</t>
  </si>
  <si>
    <t>Contact number of the customer contact</t>
  </si>
  <si>
    <t>bb_installation_sequence_number</t>
  </si>
  <si>
    <t>Installation sequence number, only applicable for subscriber in ICCBS, not applicable for BSS migrated subs</t>
  </si>
  <si>
    <t>GLOBE
BAYAN</t>
  </si>
  <si>
    <t xml:space="preserve">Consumer
SG
EG
</t>
  </si>
  <si>
    <t>NPS_topup_indicator</t>
  </si>
  <si>
    <t>Indicator if a prepaid subscriber is a detractor based on NPS score for topup</t>
  </si>
  <si>
    <t>CX/VoC</t>
  </si>
  <si>
    <t>NPS_promo_indicator</t>
  </si>
  <si>
    <t>Indicator if a prepaid subscriber is a detractor based on NPS score for promo</t>
  </si>
  <si>
    <t>NPS_rewards_indicator</t>
  </si>
  <si>
    <t>Indicator if a prepaid subscriber is a detractor based on NPS score for rewards</t>
  </si>
  <si>
    <t>NPS_consistent_detractor_indicator</t>
  </si>
  <si>
    <t>Indicator if a prepaid subscriber is a detractor based on ALL NPS scores for topup, promo, and rewards</t>
  </si>
  <si>
    <t>NPS_consistent_non_detractor_indicator</t>
  </si>
  <si>
    <t>Indicator if a prepaid subscriber is NOT a detractor based on NPS scores for topup, promo, and rewards</t>
  </si>
  <si>
    <t>NPS_journey_detractor_indicator</t>
  </si>
  <si>
    <t>Indicator if a prepaid subscriber is a detractor in at least 1 NPS Score for topup, promo, and rewards</t>
  </si>
  <si>
    <t>fashionista_indicator</t>
  </si>
  <si>
    <t>Indicator if a subscriber visits online fashion stores</t>
  </si>
  <si>
    <t>fashionista_bucket</t>
  </si>
  <si>
    <t>Bucketing based on identified metric for Fashionista profile</t>
  </si>
  <si>
    <t>fashionista_details</t>
  </si>
  <si>
    <t>Metric used and value for Fashionista profile</t>
  </si>
  <si>
    <t>json list</t>
  </si>
  <si>
    <t>{"Total Hits in a Month": 4}</t>
  </si>
  <si>
    <t>iot_user_indicator</t>
  </si>
  <si>
    <t>Indicator if a subscriber uses Smartthings app</t>
  </si>
  <si>
    <t>iot_user_bucket</t>
  </si>
  <si>
    <t>Bucketing based on identified metric for IOT User profile</t>
  </si>
  <si>
    <t>iot_user_details</t>
  </si>
  <si>
    <t>Metric used and value for IOT User profile</t>
  </si>
  <si>
    <t>{"Average Daily Hits in a Month": 22}</t>
  </si>
  <si>
    <t>gcash_user_consented_indicator</t>
  </si>
  <si>
    <t>Indicates that the subscriber is a consented GCASH member, who agree to share GCASH information details.</t>
  </si>
  <si>
    <t>bb_cabinet_id</t>
  </si>
  <si>
    <t>Cabinet ID of broadband subscriber connection</t>
  </si>
  <si>
    <t>CATAL2H-242572-1</t>
  </si>
  <si>
    <t>bb_data_sim_msisdn_value</t>
  </si>
  <si>
    <t>Mobile number of the broadband sim card</t>
  </si>
  <si>
    <t>bb_data_sim_serial_value</t>
  </si>
  <si>
    <t>Serial number of the broadband sim card</t>
  </si>
  <si>
    <t>89634191910210104443</t>
  </si>
  <si>
    <t>bb_port_number_value</t>
  </si>
  <si>
    <t>Number of the broadband port</t>
  </si>
  <si>
    <t>int</t>
  </si>
  <si>
    <t>bb_distribution_point_id</t>
  </si>
  <si>
    <t>Distribution ID of broadband subscriber connection</t>
  </si>
  <si>
    <t>APLAYAH-1</t>
  </si>
  <si>
    <t>reload_amount_delta_30days_60days_percent</t>
  </si>
  <si>
    <t>Relative change in the top-up amount from the past 30 days over the past 60 days</t>
  </si>
  <si>
    <t>decimal(21,2)</t>
  </si>
  <si>
    <t>prepaid_subscriber_balance</t>
  </si>
  <si>
    <t>The ending balance amount of the prepaid subscriber (day-1).</t>
  </si>
  <si>
    <t>usage_monthly_vas_amount</t>
  </si>
  <si>
    <t>Monthly value added services amount.</t>
  </si>
  <si>
    <t>usage_sms_ppu_amount_past_90days</t>
  </si>
  <si>
    <t>Sum of pay-per-use spent in sms in the past 90 days</t>
  </si>
  <si>
    <t>FVT CRM Postpaid</t>
  </si>
  <si>
    <t>usage_voice_ppu_amount_past_90days</t>
  </si>
  <si>
    <t>Sum of pay-per-use spent in voice in the past 90 days</t>
  </si>
  <si>
    <t>usage_data_quantity_per_bill_cycle_mb</t>
  </si>
  <si>
    <t>Data usage of the subscriber for the bill cycle in megabytes (MB)</t>
  </si>
  <si>
    <t>ThePLAN 799</t>
  </si>
  <si>
    <t>Daily
Monthly</t>
  </si>
  <si>
    <t>Prepaid balance status code. Indicates the subscriber prepaid balance status:
O - Pre - Active
Initial status after subscriber is created during the mass activation process. The sim and credit expiry date will be set based on defined policy and will be an input to the bulk pre-activation process.
A - Active 
Status will change from ‘pre-active’ to ‘active’ once subscriber has done a first access on the network (as defined in the prepaid activation triggers). Subscriber will have access to incoming and outgoing services (e.g. calls, texts, and data) that can be used accordingly based on relevant offers. The sim and credit expiry date will be reset based on defined policy.
N - Near Credit Expiry
Status will change x days before credit expiration date based on defined policy. Subscriber will still have access to incoming and outgoing services.
Status will change to ‘Active‘ when subscriber does a recharge.
G - Credit Expiry
Status will change once credit expiry date defined in the policy has been reached.
After credit expiry, remaining balance on the main account is zeroed out. Subscriber will still have access to outgoing services and will only be able to access defined emergency and free access numbers.
Status will change to ‘Active‘ when subscriber does a recharge.
S - Near Subscription Expiry
Status will change x days after credit expiry based on defined policy. Subscriber will still have access to outgoing services and will only be able to access defined emergency and free access numbers. 
Status will change to ‘Active‘ when subscriber does a recharge. 
E - Expiry
Status will change x days after credit expiry based on defined policy. Subscriber is permanently disconnected from the network and will not have access to any incoming and outgoing services.</t>
  </si>
  <si>
    <t>GP_NEW_LOANER</t>
  </si>
  <si>
    <t>Consumer
EG
SG
In House
Others</t>
  </si>
  <si>
    <t>AMAX Channel</t>
  </si>
  <si>
    <t>ecq_city_name</t>
  </si>
  <si>
    <t>lifestage_aa</t>
  </si>
  <si>
    <t>Inferred lifestage by AA</t>
  </si>
  <si>
    <t>25-39</t>
  </si>
  <si>
    <t>logistics_delivery_app_indicator</t>
  </si>
  <si>
    <t>Indicator if a subscriber accesses logistics and delivery apps and sites:
gogo
j&amp;t
joyride
lalamove
lbc
moveit
mr_speedy
ninja_van
transportify
xend</t>
  </si>
  <si>
    <t>logistics_delivery_app_bucket</t>
  </si>
  <si>
    <t>Bucketing based on identified metric for Logistics and Delivery App User profile
Metric: Total Hits in a Month
Valid values: 
LOW: &lt;= 5 hits
MID &gt; 5 &amp; &lt;= 12 hits
HIGH: &gt; 12 hits</t>
  </si>
  <si>
    <t>varchar (1000)</t>
  </si>
  <si>
    <t>logistics_delivery_app_details</t>
  </si>
  <si>
    <t>Metric used and value for Logistics and Delivery App USer</t>
  </si>
  <si>
    <t>{"Total Hits in a Month": 46}</t>
  </si>
  <si>
    <t>active_latest_date_past_120days</t>
  </si>
  <si>
    <t>Latest date when the subscriber is active for the past 120 days</t>
  </si>
  <si>
    <t>globeone_user_indicator</t>
  </si>
  <si>
    <t>Indicator if a subscriber uses the GlobeOne application</t>
  </si>
  <si>
    <t>boolean</t>
  </si>
  <si>
    <t>globeone_user_bucket</t>
  </si>
  <si>
    <t>Bucketing based on identified metric for the GlobeOne User profile
Metric: Total Hits in a Month
Valid values:
LOW: &lt;= 3
MID: &gt; 3 &amp; &lt;= 7
HIGH: &gt; 7</t>
  </si>
  <si>
    <t>globeone_user_details</t>
  </si>
  <si>
    <t>Metric used and value for GlobeOne User profile</t>
  </si>
  <si>
    <t>{"Total Hits in a Month": 40}</t>
  </si>
  <si>
    <t>availment_data_days_past_90days</t>
  </si>
  <si>
    <t>Number days the subscriber is registered to data promo for the past 90 days</t>
  </si>
  <si>
    <t>inbound_hotline_call_count_past_30days</t>
  </si>
  <si>
    <t>Number of Inbound Calls received in last 30 Days</t>
  </si>
  <si>
    <t>customer_service_profile</t>
  </si>
  <si>
    <t>bb_monthly_content_amount</t>
  </si>
  <si>
    <t>Monthly content amount for broadband subscriptions</t>
  </si>
  <si>
    <t>reload_days_below_5_balance_past_90days</t>
  </si>
  <si>
    <t>Number of days when the subscriber's closing load balance amount is less than 5.00 within the last 90 days</t>
  </si>
  <si>
    <t>gsave_deposit_amount_monthly_avg_last_90days</t>
  </si>
  <si>
    <t>Average monthly deposit amount in the last three months (rolling) of a consented GCash user who uses GSave.</t>
  </si>
  <si>
    <t>Brands/EDO/MSH</t>
  </si>
  <si>
    <t>adjustment_profile</t>
  </si>
  <si>
    <t>gsave_withdraw_amount_monthly_avg_last_90days</t>
  </si>
  <si>
    <t>Average monthly withdraw amount in the last three months (rolling) of a consented GCash user who uses GSave.</t>
  </si>
  <si>
    <t xml:space="preserve">GHP
GHP-PREPAID
TM
</t>
  </si>
  <si>
    <t>inferred_paymaya_sub_indicator_last_180days</t>
  </si>
  <si>
    <t>Indicator if a subscriber used the Paymaya app or has a monthly SMS received &gt; 0 from Paymaya, Paymayadeal, etc in the last six months.</t>
  </si>
  <si>
    <t>inferred_paymaya_sub_bucket_last_180days</t>
  </si>
  <si>
    <t>Group indicating the average monthly SMS received by an inferred Paymaya user in the last six months.
Metric: Average Monthly SMS received
LOW: less than 5 SMS
MID: 5 to 15 SMS
HIGH: more than 15 SMS</t>
  </si>
  <si>
    <t>inferred_coinsph_sub_indicator_last_180days</t>
  </si>
  <si>
    <t>inferred_coinsph_sub_bucket_last_180days</t>
  </si>
  <si>
    <t>APP USAGE ONLY</t>
  </si>
  <si>
    <t>gcash_reloader_indicator_last_180days</t>
  </si>
  <si>
    <t>Indicator if a GCash Globe subscriber received at least one load or topup from a GCash user in the last six months.</t>
  </si>
  <si>
    <t>inferred_banked_cc_bucket_last_180days</t>
  </si>
  <si>
    <t>Group indicating the number of distinct banks from which SMS was received by a subscriber in the last six months.
Metric: Distinct bank or credit card service numbers
LOW: 1 distinct bank only
MID: 2-3 distinct banks
HIGH: 4 or more distinct banks</t>
  </si>
  <si>
    <t>inferred_cimb_bank_user_indicator_last_180days</t>
  </si>
  <si>
    <t>Indicator if a subscriber received an SMS from CIMB in the last six months</t>
  </si>
  <si>
    <t>inferred_gcash_load_retailer_bucket_last_180days</t>
  </si>
  <si>
    <t>Group indicating the average daily load amount sent to other subscribers.
Metric: Daily average of load amount sent
LOW: less than P500
MID: P500 to P999
HIGH: P1000 and above</t>
  </si>
  <si>
    <t>inferred_gcash_load_retailer_indicator_last_180days</t>
  </si>
  <si>
    <t>Indicator if a Globe GCash user has 3 or more topups average daily to other subscribers.</t>
  </si>
  <si>
    <t>inferred_gcash_sub_bucket_last_180days</t>
  </si>
  <si>
    <t>Group indicating the average monthly SMS received by an inferred GCash user.
Metric: Average Monthly SMS received
LOW: less than 5 SMS
MID: 5 to 15 SMS
HIGH: more than 15 SMS</t>
  </si>
  <si>
    <t>inferred_grab_sub_bucket_last_180days</t>
  </si>
  <si>
    <t>Group indicating the average monthly SMS received by an inferred Grab user. Metric: Average Monthly SMS received LOW: less than 5 SMS MID: 5 to 15 SMS HIGH: more than 15 SMS</t>
  </si>
  <si>
    <t>inferred_grab_sub_indicator_last_180days</t>
  </si>
  <si>
    <t>Indicator if a subscriber used the Grab app or has a monthly SMS received &gt; 0 from Grab, etc in the last six months.</t>
  </si>
  <si>
    <t>inferred_sub_with_bank_acct_indicator_last_180days</t>
  </si>
  <si>
    <t>Indicator if a Globe subscriber received at least one SMS from any bank service numbers (e.g. BPI-OTP) in the last six months</t>
  </si>
  <si>
    <t>inferred_sub_with_credit_card_indicator_last_180days</t>
  </si>
  <si>
    <t>Indicator if a Globe subscriber received at least one SMS from any credit card service numbers (e.g. CITI) in the last six months</t>
  </si>
  <si>
    <t>non_gcash_reloader_indicator_last_180days</t>
  </si>
  <si>
    <t>Indicator if a non-GCash Globe subscriber received at least one load or topup from a GCash user in the last six months.</t>
  </si>
  <si>
    <t xml:space="preserve">GHP-PREPAID
TM
</t>
  </si>
  <si>
    <t>webpay_transaction_monthly_avg_last_90days</t>
  </si>
  <si>
    <t>Average monthly webpay transaction amount in the last three months (rolling) of a consented GCash user who uses Webpay.</t>
  </si>
  <si>
    <t>bb_plan_migration_type_value</t>
  </si>
  <si>
    <t>Classification whether there is a change on the monthly service fee from the previous plan.
Valid values:
UPGRADE - increase in MSF
DOWNGRADE - decrease in MSF
RETAIN - equal MSF</t>
  </si>
  <si>
    <t>RETAIN</t>
  </si>
  <si>
    <t xml:space="preserve">Consumer
EG
SG
In house
</t>
  </si>
  <si>
    <t>The original activation date of the moved subscriber.</t>
  </si>
  <si>
    <t>FVT CRM MNP</t>
  </si>
  <si>
    <t>GHP
GHP-PREPAID
TM
PW
GLOBE
BAYHAN</t>
  </si>
  <si>
    <r>
      <rPr>
        <rFont val="Arial"/>
        <color rgb="FF000000"/>
        <sz val="10.0"/>
      </rPr>
      <t xml:space="preserve">Consumer
EG
SG
</t>
    </r>
    <r>
      <rPr>
        <rFont val="Arial"/>
        <color rgb="FFFF0000"/>
        <sz val="10.0"/>
      </rPr>
      <t xml:space="preserve">IBG - Traveler
</t>
    </r>
    <r>
      <rPr>
        <rFont val="Arial"/>
        <color rgb="FF000000"/>
        <sz val="10.0"/>
      </rPr>
      <t>In house</t>
    </r>
  </si>
  <si>
    <t>lifetime_tenure_count</t>
  </si>
  <si>
    <t>Number of years of subscriber's tenure.</t>
  </si>
  <si>
    <t>long</t>
  </si>
  <si>
    <t xml:space="preserve">BAYAN
GHP
GHP-PREPAID
GLOBE
PW
TM
</t>
  </si>
  <si>
    <r>
      <rPr>
        <rFont val="Arial"/>
        <color rgb="FF000000"/>
        <sz val="10.0"/>
      </rPr>
      <t xml:space="preserve">Consumer
EG
SG
</t>
    </r>
    <r>
      <rPr>
        <rFont val="Arial"/>
        <color rgb="FFFF0000"/>
        <sz val="10.0"/>
      </rPr>
      <t xml:space="preserve">IBG - Traveler
</t>
    </r>
    <r>
      <rPr>
        <rFont val="Arial"/>
        <color rgb="FF000000"/>
        <sz val="10.0"/>
      </rPr>
      <t>In house</t>
    </r>
  </si>
  <si>
    <t>platinum_subscriber_indicator</t>
  </si>
  <si>
    <t>Indicator whether the subscriber is a platinum subscriber</t>
  </si>
  <si>
    <t xml:space="preserve">BAYAN
GHP
GLOBE
WIRELINE
</t>
  </si>
  <si>
    <t>bb_data_cap_value</t>
  </si>
  <si>
    <t>Data limit of a subscriber</t>
  </si>
  <si>
    <t>40GB</t>
  </si>
  <si>
    <t>bb_data_sim_imsi_value</t>
  </si>
  <si>
    <t>bb_installation_barangay_name</t>
  </si>
  <si>
    <t>Installation area name</t>
  </si>
  <si>
    <t>Tandang Sora</t>
  </si>
  <si>
    <t>bb_installation_building_name</t>
  </si>
  <si>
    <t>Building name of the installation address</t>
  </si>
  <si>
    <t>Filinvest East Homes</t>
  </si>
  <si>
    <t>bb_installation_city_name</t>
  </si>
  <si>
    <t>City name of the installation address</t>
  </si>
  <si>
    <t>Cainta</t>
  </si>
  <si>
    <t>bb_installation_house_number</t>
  </si>
  <si>
    <t>House number of the installation address</t>
  </si>
  <si>
    <t>B1 L10 #10</t>
  </si>
  <si>
    <t>bb_installation_postal_code</t>
  </si>
  <si>
    <t>The zip or other postal code for the specified address</t>
  </si>
  <si>
    <t>bb_installation_street_name</t>
  </si>
  <si>
    <t>Installation street name</t>
  </si>
  <si>
    <t>Phoenix West Fairview Villa Orion</t>
  </si>
  <si>
    <t>bb_installation_province_name</t>
  </si>
  <si>
    <t>Installation province name</t>
  </si>
  <si>
    <t>Metro Manila</t>
  </si>
  <si>
    <t>bb_data_cap_freq_refresh_value</t>
  </si>
  <si>
    <t>Schedule of refresh for data capping (i.e. Monthly, Daily)</t>
  </si>
  <si>
    <t>bb_plan_type_value</t>
  </si>
  <si>
    <t>The type of product availed by the subscriber --
Valid values:
Bundle
DataOnlyPlan
VoiceOnlyPlan</t>
  </si>
  <si>
    <t>Bundle</t>
  </si>
  <si>
    <t>subscriber_contact_landline_value</t>
  </si>
  <si>
    <t>Telephone number of the customer</t>
  </si>
  <si>
    <t xml:space="preserve">BAYAN
GHP
GHP-PREPAID
GLOBE
PW
TM
WIRELINE
</t>
  </si>
  <si>
    <r>
      <rPr>
        <rFont val="Arial"/>
        <color rgb="FF000000"/>
        <sz val="10.0"/>
      </rPr>
      <t xml:space="preserve">Consumer
EG
SG
</t>
    </r>
    <r>
      <rPr>
        <rFont val="Arial"/>
        <color rgb="FFFF0000"/>
        <sz val="10.0"/>
      </rPr>
      <t xml:space="preserve">IBG - Traveler
</t>
    </r>
    <r>
      <rPr>
        <rFont val="Arial"/>
        <color rgb="FF000000"/>
        <sz val="10.0"/>
      </rPr>
      <t>In house</t>
    </r>
  </si>
  <si>
    <t>subscriber_contact_msisdn_value</t>
  </si>
  <si>
    <t>The mobile number of the contact.</t>
  </si>
  <si>
    <r>
      <rPr>
        <rFont val="Arial"/>
        <color rgb="FF000000"/>
        <sz val="10.0"/>
      </rPr>
      <t xml:space="preserve">Consumer
EG
SG
</t>
    </r>
    <r>
      <rPr>
        <rFont val="Arial"/>
        <color rgb="FFFF0000"/>
        <sz val="10.0"/>
      </rPr>
      <t xml:space="preserve">IBG - Traveler
</t>
    </r>
    <r>
      <rPr>
        <rFont val="Arial"/>
        <color rgb="FF000000"/>
        <sz val="10.0"/>
      </rPr>
      <t>In house</t>
    </r>
  </si>
  <si>
    <t>mau_last_30_days_indicator</t>
  </si>
  <si>
    <t>Indicator if a consented GCash subscriber is a monthly active user (MAU). MAUs are GCash users with at least one GCash transaction in the last 30 days except receive load.</t>
  </si>
  <si>
    <t xml:space="preserve">GHP
GHP-PREPAID
TM
</t>
  </si>
  <si>
    <r>
      <rPr>
        <rFont val="Arial"/>
        <color rgb="FF000000"/>
        <sz val="10.0"/>
      </rPr>
      <t xml:space="preserve">Consumer
</t>
    </r>
    <r>
      <rPr>
        <rFont val="Arial"/>
        <color rgb="FFFF0000"/>
        <sz val="10.0"/>
      </rPr>
      <t>IBG - Traveler</t>
    </r>
    <r>
      <rPr>
        <rFont val="Arial"/>
        <color rgb="FF000000"/>
        <sz val="10.0"/>
      </rPr>
      <t xml:space="preserve">
</t>
    </r>
  </si>
  <si>
    <t>inferred_gcash_load_retailer_details_last_180days</t>
  </si>
  <si>
    <t>Actual daily average amount of load sent and daily average transaction count of load sent</t>
  </si>
  <si>
    <t>Map(Daily average transaction count of load sent -&gt; 3.3000, Daily average amount of load sent -&gt; 139.5000)</t>
  </si>
  <si>
    <r>
      <rPr>
        <rFont val="Arial"/>
        <color rgb="FF000000"/>
        <sz val="10.0"/>
      </rPr>
      <t xml:space="preserve">Consumer
EG
SG
</t>
    </r>
    <r>
      <rPr>
        <rFont val="Arial"/>
        <color rgb="FFFF0000"/>
        <sz val="10.0"/>
      </rPr>
      <t xml:space="preserve">IBG - Traveler
</t>
    </r>
    <r>
      <rPr>
        <rFont val="Arial"/>
        <color rgb="FF000000"/>
        <sz val="10.0"/>
      </rPr>
      <t>In house</t>
    </r>
  </si>
  <si>
    <t>inferred_gcash_sub_indicator_last_180days</t>
  </si>
  <si>
    <t>Indicator if a subscriber used the GCash app or has a monthly SMS received &gt; 0 from 2882, GCASH, or GCash in the last six months. Sub could also be tagged as a consented GCash user.</t>
  </si>
  <si>
    <r>
      <rPr>
        <rFont val="Arial"/>
        <color rgb="FF000000"/>
        <sz val="10.0"/>
      </rPr>
      <t xml:space="preserve">Consumer
</t>
    </r>
    <r>
      <rPr>
        <rFont val="Arial"/>
        <color rgb="FFFF0000"/>
        <sz val="10.0"/>
      </rPr>
      <t>IBG - Traveler</t>
    </r>
    <r>
      <rPr>
        <rFont val="Arial"/>
        <color rgb="FF000000"/>
        <sz val="10.0"/>
      </rPr>
      <t xml:space="preserve">
</t>
    </r>
  </si>
  <si>
    <t>availment_bb_app_channel_indicator</t>
  </si>
  <si>
    <t>Indicator whether the subscriber used the BB APP to register to SKUs</t>
  </si>
  <si>
    <t>spending_segment</t>
  </si>
  <si>
    <t>Spending behavior of a subscriber
GHP:
HIGH ROLLER
FRUGAL SPENDER
RURAL SAVER
YOLO
GHP-Prepaid:
HIGH ROLLER
FRUGAL SPENDER
SPEND TO CONNECT
PAY PER USE
TM:
HIGH ROLLER
FRUGAL SPENDER
SPEND TO CONNECT
LIGHT SPENDER</t>
  </si>
  <si>
    <t>HIGH ROLLER</t>
  </si>
  <si>
    <t>Data Innovations</t>
  </si>
  <si>
    <t>GHP
GHP-Prepaid
TM</t>
  </si>
  <si>
    <t>spending_by_brand_bucket</t>
  </si>
  <si>
    <t>Spending level of a subscriber per brand
Values:
HIGH
MID
LOW</t>
  </si>
  <si>
    <t>spending_overall_bucket</t>
  </si>
  <si>
    <t>Spending level of a subscriber overall (regardless of brand)
Values:
HIGH
MID
LOW</t>
  </si>
  <si>
    <t>GHP
GHP-PREPAID
TM
PW
GLOBE
BAYAN
WIRELINE</t>
  </si>
  <si>
    <t>30 days Average Revenue Per User (ARPU) of subscriber</t>
  </si>
  <si>
    <t>FVT CRM Broadband</t>
  </si>
  <si>
    <t>60 days Average Revenue Per User (ARPU) of subscriber</t>
  </si>
  <si>
    <t>Gets sum of usage charge amount of BB postpaid subscriber in the past 30 days</t>
  </si>
  <si>
    <t>Gets monthly average of usage charge amount of BB postpaid subscriber in the past 60 days</t>
  </si>
  <si>
    <t>Gets sum of one time charge amount of BB postpaid subscriber in the past 30 days</t>
  </si>
  <si>
    <t>Gets monthly average of one time charge amount of BB postpaid subscriber in the past 60 days</t>
  </si>
  <si>
    <t>Gets monthly average of recurring charge amount of BB postpaid subscriber in the past 90 days</t>
  </si>
  <si>
    <t>Gets monthly average of recurring charge amount of BB postpaid subscriber in the past 60 days</t>
  </si>
  <si>
    <t>Gets sum of recurring charge amount of BB postpaid subscriber in the past 30 days</t>
  </si>
  <si>
    <t>90 days Average Revenue Per User (ARPU) of subscriber</t>
  </si>
  <si>
    <t>Gets monthly average of usage charge amount of BB postpaid subscriber in the past 90 days</t>
  </si>
  <si>
    <t>Gets monthly average of one time charge amount of BB postpaid subscriber in the past 90 days</t>
  </si>
  <si>
    <t>inferred_globeone_user_indicator</t>
  </si>
  <si>
    <t>inferred_globeone_user_bucket</t>
  </si>
  <si>
    <t>inferred_globeone_user_details</t>
  </si>
  <si>
    <r>
      <rPr>
        <rFont val="Calibri"/>
        <color rgb="FF000000"/>
        <sz val="11.0"/>
      </rPr>
      <t xml:space="preserve">Consumer
EG
SG
</t>
    </r>
    <r>
      <rPr>
        <rFont val="Calibri"/>
        <color rgb="FFFF0000"/>
        <sz val="11.0"/>
      </rPr>
      <t xml:space="preserve">IBG - Traveler
</t>
    </r>
    <r>
      <rPr>
        <rFont val="Calibri"/>
        <color rgb="FF000000"/>
        <sz val="11.0"/>
      </rPr>
      <t>In house</t>
    </r>
  </si>
  <si>
    <r>
      <rPr>
        <rFont val="Calibri"/>
        <color rgb="FF000000"/>
        <sz val="11.0"/>
      </rPr>
      <t xml:space="preserve">Consumer
EG
SG
</t>
    </r>
    <r>
      <rPr>
        <rFont val="Calibri"/>
        <color rgb="FFFF0000"/>
        <sz val="11.0"/>
      </rPr>
      <t xml:space="preserve">IBG - Traveler
</t>
    </r>
    <r>
      <rPr>
        <rFont val="Calibri"/>
        <color rgb="FF000000"/>
        <sz val="11.0"/>
      </rPr>
      <t>In house</t>
    </r>
  </si>
  <si>
    <r>
      <rPr>
        <rFont val="Calibri"/>
        <color rgb="FF000000"/>
        <sz val="11.0"/>
      </rPr>
      <t xml:space="preserve">Consumer
EG
SG
</t>
    </r>
    <r>
      <rPr>
        <rFont val="Calibri"/>
        <color rgb="FFFF0000"/>
        <sz val="11.0"/>
      </rPr>
      <t xml:space="preserve">IBG - Traveler
</t>
    </r>
    <r>
      <rPr>
        <rFont val="Calibri"/>
        <color rgb="FF000000"/>
        <sz val="11.0"/>
      </rPr>
      <t>In house</t>
    </r>
  </si>
  <si>
    <r>
      <rPr>
        <rFont val="Calibri"/>
        <color rgb="FF000000"/>
        <sz val="11.0"/>
      </rPr>
      <t xml:space="preserve">Consumer
EG
SG
</t>
    </r>
    <r>
      <rPr>
        <rFont val="Calibri"/>
        <color rgb="FFFF0000"/>
        <sz val="11.0"/>
      </rPr>
      <t xml:space="preserve">IBG - Traveler
</t>
    </r>
    <r>
      <rPr>
        <rFont val="Calibri"/>
        <color rgb="FF000000"/>
        <sz val="11.0"/>
      </rPr>
      <t>In house</t>
    </r>
  </si>
  <si>
    <r>
      <rPr>
        <rFont val="Calibri"/>
        <color rgb="FF000000"/>
        <sz val="11.0"/>
      </rPr>
      <t xml:space="preserve">Consumer
</t>
    </r>
    <r>
      <rPr>
        <rFont val="Calibri"/>
        <color rgb="FFFF0000"/>
        <sz val="11.0"/>
      </rPr>
      <t>IBG - Traveler</t>
    </r>
    <r>
      <rPr>
        <rFont val="Calibri"/>
        <color rgb="FF000000"/>
        <sz val="11.0"/>
      </rPr>
      <t xml:space="preserve">
</t>
    </r>
  </si>
  <si>
    <r>
      <rPr>
        <rFont val="Calibri"/>
        <color rgb="FF000000"/>
        <sz val="11.0"/>
      </rPr>
      <t xml:space="preserve">Consumer
EG
SG
</t>
    </r>
    <r>
      <rPr>
        <rFont val="Calibri"/>
        <color rgb="FFFF0000"/>
        <sz val="11.0"/>
      </rPr>
      <t xml:space="preserve">IBG - Traveler
</t>
    </r>
    <r>
      <rPr>
        <rFont val="Calibri"/>
        <color rgb="FF000000"/>
        <sz val="11.0"/>
      </rPr>
      <t>In house</t>
    </r>
  </si>
  <si>
    <r>
      <rPr>
        <rFont val="Calibri"/>
        <color rgb="FF000000"/>
        <sz val="11.0"/>
      </rPr>
      <t xml:space="preserve">Consumer
</t>
    </r>
    <r>
      <rPr>
        <rFont val="Calibri"/>
        <color rgb="FFFF0000"/>
        <sz val="11.0"/>
      </rPr>
      <t>IBG - Traveler</t>
    </r>
    <r>
      <rPr>
        <rFont val="Calibri"/>
        <color rgb="FF000000"/>
        <sz val="11.0"/>
      </rPr>
      <t xml:space="preserve">
</t>
    </r>
  </si>
  <si>
    <t>reward_redeemed_points_past_120days</t>
  </si>
  <si>
    <t>Total redeemed points in the  past 120 days</t>
  </si>
  <si>
    <t>Int</t>
  </si>
  <si>
    <t>FVT Rewards</t>
  </si>
  <si>
    <t xml:space="preserve">GHP
GHP-PREPAID
PW
TM
</t>
  </si>
  <si>
    <t>postpaid_redeemer_rewards_propensity_cohort_score</t>
  </si>
  <si>
    <t>Model score to determine the propensity of customer to redeem rewards sku's</t>
  </si>
  <si>
    <t>GHP
Wireilne</t>
  </si>
  <si>
    <t>prepaid_load_low_balance_threshold_score</t>
  </si>
  <si>
    <t>To identify when the subscriber’s load wallet balance becomes really “LOW” and identify subscribers who breach their “usual” threshold</t>
  </si>
  <si>
    <t>latest_punishment_level_code</t>
  </si>
  <si>
    <t>Level_1 - All services barred
Level_2 - Subscriber Intra voice and Globe to TM services is barred
Level_3 - Subscriber local data services is barred
Level_4 - All subscriber services except Voice Intra, Voice TM, and Local Data is barred.</t>
  </si>
  <si>
    <t>Level 4</t>
  </si>
  <si>
    <t>usage_top_loc_timeblock1_past_30days</t>
  </si>
  <si>
    <t>Top location (cell_site_town_name and cell_site_province_name) where 'DATA' transaction usage of the subscriber mostly happen during this specific time 01:00 AM - 04:59 AM for the past 30 days</t>
  </si>
  <si>
    <t>NORZAGARAY|BULACAN</t>
  </si>
  <si>
    <t>Daily (day-7)</t>
  </si>
  <si>
    <t>usage_top_loc_timeblock2_past_30days</t>
  </si>
  <si>
    <t>Top location (cell_site_town_name and cell_site_province_name) where 'DATA' transaction usage of the subscriber mostly happen during this specific time 05:00 AM - 08:59 AM for the past 30 days</t>
  </si>
  <si>
    <t>SAN NARCISO|QUEZON</t>
  </si>
  <si>
    <t>usage_top_loc_timeblock3_past_30days</t>
  </si>
  <si>
    <t>Top location (cell_site_town_name and cell_site_province_name) where 'DATA' transaction usage of the subscriber mostly happen during this specific time 09:00 AM - 12:59 PM for the past 30 days</t>
  </si>
  <si>
    <t>CAVITE CITY|CAVITE</t>
  </si>
  <si>
    <t>usage_top_loc_timeblock4_past_30days</t>
  </si>
  <si>
    <t>Top location (cell_site_town_name and cell_site_province_name) where 'DATA' transaction usage of the subscriber mostly happen during this specific time 01:00 PM - 04:59 PM for the past 30 days</t>
  </si>
  <si>
    <t>SAN MIGUEL|BULACAN</t>
  </si>
  <si>
    <t>usage_top_loc_timeblock5_past_30days</t>
  </si>
  <si>
    <t>Top location (cell_site_town_name and cell_site_province_name) where 'DATA' transaction usage of the subscriber mostly happen during this specific time 05:00 PM - 08:59 PM for the past 30 days</t>
  </si>
  <si>
    <t>usage_top_loc_timeblock6_past_30days</t>
  </si>
  <si>
    <t>Top location (cell_site_town_name and cell_site_province_name) where 'DATA' transaction usage of the subscriber mostly happen during this specific time 09:00 PM - 12:59 AM for the past 30 days</t>
  </si>
  <si>
    <t>usage_top_loc_timeblock1_past_60days</t>
  </si>
  <si>
    <t>Top location (cell_site_town_name and cell_site_province_name) where 'DATA' transaction usage of the subscriber mostly happen during this specific time 01:00 AM - 04:59 AM for the past 60 days</t>
  </si>
  <si>
    <t>IMUS CITY|CAVITE</t>
  </si>
  <si>
    <t>usage_top_loc_timeblock2_past_60days</t>
  </si>
  <si>
    <t>Top location (cell_site_town_name and cell_site_province_name) where 'DATA' transaction usage of the subscriber mostly happen during this specific time 05:00 AM - 08:59 AM for the past 60 days</t>
  </si>
  <si>
    <t>usage_top_loc_timeblock3_past_60days</t>
  </si>
  <si>
    <t>Top location (cell_site_town_name and cell_site_province_name) where 'DATA' transaction usage of the subscriber mostly happen during this specific time 09:00 AM - 12:59 PM for the past 60 days</t>
  </si>
  <si>
    <t>usage_top_loc_timeblock4_past_60days</t>
  </si>
  <si>
    <t>Top location (cell_site_town_name and cell_site_province_name) where 'DATA' transaction usage of the subscriber mostly happen during this specific time 01:00 PM - 04:59 PM for the past 60 days</t>
  </si>
  <si>
    <t>usage_top_loc_timeblock5_past_60days</t>
  </si>
  <si>
    <t>Top location (cell_site_town_name and cell_site_province_name) where 'DATA' transaction usage of the subscriber mostly happen during this specific time 05:00 PM - 08:59 PM for the past 60 days</t>
  </si>
  <si>
    <t>usage_top_loc_timeblock6_past_60days</t>
  </si>
  <si>
    <t>Top location (cell_site_town_name and cell_site_province_name) where 'DATA' transaction usage of the subscriber mostly happen during this specific time 09:00 PM - 12:59 AM for the past 60 days</t>
  </si>
  <si>
    <t>usage_top_loc_timeblock1_past_90days</t>
  </si>
  <si>
    <t>Top location (cell_site_town_name and cell_site_province_name) where 'DATA' transaction usage of the subscriber mostly happen during this specific time 01:00 AM - 04:59 AM for the past 90 days</t>
  </si>
  <si>
    <t>usage_top_loc_timeblock2_past_90days</t>
  </si>
  <si>
    <t>Top location (cell_site_town_name and cell_site_province_name) where 'DATA' transaction usage of the subscriber mostly happen during this specific time 05:00 AM - 08:59 AM for the past 90 days</t>
  </si>
  <si>
    <t>usage_top_loc_timeblock3_past_90days</t>
  </si>
  <si>
    <t>Top location (cell_site_town_name and cell_site_province_name) where 'DATA' transaction usage of the subscriber mostly happen during this specific time 09:00 AM - 12:59 PM for the past 90 days</t>
  </si>
  <si>
    <t>usage_top_loc_timeblock4_past_90days</t>
  </si>
  <si>
    <t>Top location (cell_site_town_name and cell_site_province_name) where 'DATA' transaction usage of the subscriber mostly happen during this specific time 01:00 PM - 04:59 PM for the past 90 days</t>
  </si>
  <si>
    <t>usage_top_loc_timeblock5_past_90days</t>
  </si>
  <si>
    <t>Top location (cell_site_town_name and cell_site_province_name) where 'DATA' transaction usage of the subscriber mostly happen during this specific time 05:00 PM - 08:59 PM for the past 90 days</t>
  </si>
  <si>
    <t>usage_top_loc_timeblock6_past_90days</t>
  </si>
  <si>
    <t>Top location (cell_site_town_name and cell_site_province_name) where 'DATA' transaction usage of the subscriber mostly happen during this specific time 09:00 PM - 12:59 AM for the past 90 days</t>
  </si>
  <si>
    <t>usage_data_amount_timeblock1_past_30days</t>
  </si>
  <si>
    <t>Total data volume used in megabytes from 01:00 AM - 04:59 AM for the past 30 days</t>
  </si>
  <si>
    <t>BigInt</t>
  </si>
  <si>
    <t>GHP
GHP-PREPAID
TM
PW
WIRELINE</t>
  </si>
  <si>
    <t>usage_data_amount_timeblock2_past_30days</t>
  </si>
  <si>
    <t>Total data volume used in megabytes from 05:00 AM - 08:59 AM for the past 30 days</t>
  </si>
  <si>
    <t>usage_data_amount_timeblock3_past_30days</t>
  </si>
  <si>
    <t>Total data volume used in megabytes from 09:00 AM - 12:59 PM for the past 30 days</t>
  </si>
  <si>
    <t>usage_data_amount_timeblock4_past_30days</t>
  </si>
  <si>
    <t>Total data volume used in megabytes from 01:00 PM - 04:59 PM for the past 30 days</t>
  </si>
  <si>
    <t>usage_data_amount_timeblock5_past_30days</t>
  </si>
  <si>
    <t>Total data volume used in megabytes from 05:00 PM - 08:59 PM for the past 30 days</t>
  </si>
  <si>
    <t>usage_data_amount_timeblock6_past_30days</t>
  </si>
  <si>
    <t>Total data volume used in megabytes from 09:00 PM - 12:59 AM for the past 30 days</t>
  </si>
  <si>
    <t>usage_data_amount_timeblock1_past_60days</t>
  </si>
  <si>
    <t>Total data volume used in megabytes from 01:00 AM - 04:59 AM for the past 60 days</t>
  </si>
  <si>
    <t>usage_data_amount_timeblock2_past_60days</t>
  </si>
  <si>
    <t>Total data volume used in megabytes from 05:00 AM - 08:59 AM for the past 60 days</t>
  </si>
  <si>
    <t>usage_data_amount_timeblock3_past_60days</t>
  </si>
  <si>
    <t>Total data volume used in megabytes from 09:00 AM - 12:59 PM for the past 60 days</t>
  </si>
  <si>
    <t>usage_data_amount_timeblock4_past_60days</t>
  </si>
  <si>
    <t>Total data volume used in megabytes from 01:00 PM - 04:59 PM for the past 60 days</t>
  </si>
  <si>
    <t>usage_data_amount_timeblock5_past_60days</t>
  </si>
  <si>
    <t>Total data volume used in megabytes from 05:00 PM - 08:59 PM for the past 60 days</t>
  </si>
  <si>
    <t>usage_data_amount_timeblock6_past_60days</t>
  </si>
  <si>
    <t>Total data volume used in megabytes from 09:00 PM - 12:59 AM for the past 60 days</t>
  </si>
  <si>
    <t>usage_data_amount_timeblock1_past_90days</t>
  </si>
  <si>
    <t>Total data volume used in megabytes from 01:00 AM - 04:59 AM for the past 90 days</t>
  </si>
  <si>
    <t>usage_data_amount_timeblock2_past_90days</t>
  </si>
  <si>
    <t>Total data volume used in megabytes from 05:00 AM - 08:59 AM for the past 90 days</t>
  </si>
  <si>
    <t>usage_data_amount_timeblock3_past_90days</t>
  </si>
  <si>
    <t>Total data volume used in megabytes from 09:00 AM - 12:59 PM for the past 90 days</t>
  </si>
  <si>
    <t>usage_data_amount_timeblock4_past_90days</t>
  </si>
  <si>
    <t>Total data volume used in megabytes from 01:00 PM - 04:59 PM for the past 90 days</t>
  </si>
  <si>
    <t>usage_data_amount_timeblock5_past_90days</t>
  </si>
  <si>
    <t>Total data volume used in megabytes from 05:00 PM - 08:59 PM for the past 90 days</t>
  </si>
  <si>
    <t>usage_data_amount_timeblock6_past_90days</t>
  </si>
  <si>
    <t>Total data volume used in megabytes from 09:00 PM - 12:59 AM for the past 90 days</t>
  </si>
  <si>
    <t>usage_data_instagram_mb_past_30days</t>
  </si>
  <si>
    <t>Total data volume used in megabytes in Instagram for the past 30 days</t>
  </si>
  <si>
    <t>GHP
GHP-PREPAID
TM
PW
WIRELINE</t>
  </si>
  <si>
    <t>usage_data_tiktok_mb_past_30days</t>
  </si>
  <si>
    <t>Total data volume used in megabytes in Tiktok for the past 30 days</t>
  </si>
  <si>
    <t>globe_website_last_visit_date_rolling_90days</t>
  </si>
  <si>
    <t>Last visit date of the customer to Globe website for the past 90 days</t>
  </si>
  <si>
    <t>FVT CRM</t>
  </si>
  <si>
    <t>BB/HPW/Mobile</t>
  </si>
  <si>
    <t>globe_website_visit_count_rolling_30days</t>
  </si>
  <si>
    <t>Number of visits to Globe website for the past 30 days</t>
  </si>
  <si>
    <t>globe_website_visit_average_count_rolling_90days</t>
  </si>
  <si>
    <t>Average number of visits to Globe website for the past 90 days</t>
  </si>
  <si>
    <t>SUB CATEGORY</t>
  </si>
  <si>
    <t>DEFINITION (OLD)</t>
  </si>
  <si>
    <t>Status</t>
  </si>
  <si>
    <t>varchar(1000)</t>
  </si>
  <si>
    <t>EDO-UUP</t>
  </si>
  <si>
    <t>GHP, GHP-PREPAID, TM, PW, GOMO, WIRELINE, BAYAN, GLOBE</t>
  </si>
  <si>
    <t>Consumer, EG, SG, In house, IBG Traveler</t>
  </si>
  <si>
    <t>Active</t>
  </si>
  <si>
    <t>Mobile number of the subscriber for wireless while for wireline it is the service ID/landline number</t>
  </si>
  <si>
    <t>9120000000</t>
  </si>
  <si>
    <t>Device</t>
  </si>
  <si>
    <t>515020218394544</t>
  </si>
  <si>
    <t>GHP, GHP-PREPAID, TM, PW, GOMO, WIRELINE</t>
  </si>
  <si>
    <t>GHP, GHP-PREPAID, TM, PW, WIRELINE, BAYAN, GLOBE</t>
  </si>
  <si>
    <t>Code that refers to the plan type of the subscriber
  Valid values:
  BOTH - Prepaid and Postpaid
  PRE - Prepaid
  POST - Postpaid</t>
  </si>
  <si>
    <t>Code that refers to which Customer Facing Unit (business) the customer is tagged.
  Valid Values:
  C - Consumer
  E - Enterprise
  S - Small and Medium Business
  I - In House</t>
  </si>
  <si>
    <t>Direct Pull / Derived</t>
  </si>
  <si>
    <t>GHP, GHP-PREPAID, TM, PW, WIRELINE</t>
  </si>
  <si>
    <t>2537254</t>
  </si>
  <si>
    <t>GHP, GHP-PREPAID, TM, PW, GOMO</t>
  </si>
  <si>
    <t>Subscriber's subscription status.
  Valid Values: 
  A - ACTIVE
  C - CANCELLED 
  D - OD_SUS_FROM_SUSPEND 
  L - OD_CANCEL 
  N - NOT_APPLICATIVE 
  P - PREACTIVE 
  R - RESERVED
  S - SUSPENDED
  T - TERMINATED</t>
  </si>
  <si>
    <t>GHP, GHP-PREPAID, TM, PW</t>
  </si>
  <si>
    <t>Brand to which subscriber has been tagged. Values are GHP-PREPAID, GHP, TM, PW, WIRELINE, BAYAN and GLOBE</t>
  </si>
  <si>
    <t>GHP, GHP-PREPAID, TM</t>
  </si>
  <si>
    <t>GHP-PREPAID, TM, PW</t>
  </si>
  <si>
    <t>Consumer, EG, SG, IBG Traveler</t>
  </si>
  <si>
    <t>Indicates that the subscriber is a registered GCASH user. Flags subscriber as true if subscriber is a registered GCASH user, else false</t>
  </si>
  <si>
    <t>Contract expiry date of the subscriber. Format: YYYY-MM-DD</t>
  </si>
  <si>
    <t>GHP, WIRELINE</t>
  </si>
  <si>
    <t>Consumer, EG, SG, In house</t>
  </si>
  <si>
    <t>Code that refers to the average revenue per user/subscriber
  Postpaid: One-time Charge + Recurring Charge + Usage Charge 
  Prepaid: promo registration + Pay-per-use + credit expired
  e.g. A - Php 8,000 and up 
  B - Php 7,000 to Php 7,999 
  C - Php 6000 to Php 6999 
  D - Php 5000 to Php 5999 
  E - Php 4000 to Php 4999 
  F - Php 3000 to Php 3999 
  G - Php 2000 to Php 2999 
  H - Php 1,000 to Php 1,999 
  I - Php 300 to Php 999 
  J - below Php 300</t>
  </si>
  <si>
    <t>Carrier plan type description of migrated or re-assigned subscriber</t>
  </si>
  <si>
    <t>The type(s) of data resource(s) associated to a subscriber
  Valid Values:
  DUO - Duo Number
  EFAX - EFAX
  I - IMSI number
  IP - IP Address
  LTP - Load Tipid Plan
  P - Primo
  S - SIM card number
  SDIR - Super US Direct Number
  VOIP - VOIP Number
  C - Voice Line MSISDN</t>
  </si>
  <si>
    <t>GHP, WIRELINE, BAYAN, GLOBE</t>
  </si>
  <si>
    <t>Due date of the subscriber's bill for the current billing cycle</t>
  </si>
  <si>
    <t>Total amount due from the previous billing statement for postpaid or wireline subscriber</t>
  </si>
  <si>
    <t>GHP, GHP-PREPAID, PW, WIRELINE, BAYAN, GLOBE</t>
  </si>
  <si>
    <t>GHP, GOMO, WIRELINE</t>
  </si>
  <si>
    <t>Propensity of a postpaid subscriber to churn based on propensity decile. 1 as the highest while 10 is the lowest.</t>
  </si>
  <si>
    <t>Indicator that a subscriber's contract is locked-in to Globe or not</t>
  </si>
  <si>
    <t>Customer Spending Limit (CSL)- Amount automatically assigned based on the Gross Monthly Income (GMI)
  - Maximum financial exposure Globe is willing to give customers based on PMI depending on the type of customer</t>
  </si>
  <si>
    <t>Confidential</t>
  </si>
  <si>
    <t>Gross monthly income earned by a subscriber</t>
  </si>
  <si>
    <t>The customer group in which the subscriber belongs to.
  Valid Values:
  Consumer
  Enterprise
  Small and Medium Business
  In House</t>
  </si>
  <si>
    <t>The customer sub-type group in which the subscriber belongs to.
 Valid Values:
 Consumer - Blue
 Consumer - Employee
 Consumer - Hybrid
 Consumer - Hybrid MVNO
 Consumer - Platinum
 Consumer - Platinum Blue
 Consumer - Platinum Elite
 Consumer - Platinum Premier
 Consumer - Regular
 Consumer - Super Home Phone / Home Phone
 Consumer - VIP
 Enterprise - Corporate
 Enterprise - Hybrid
 Enterprise - Individual
 IBG - Traveler
 In House - Executive
 In House - Regular
 SMB - Corp Partner
 SMB - Corp Preferred
 SMB - Corp Premium 1
 SMB - Corp Premium 2
 SMB - Individual Partner
 SMB - Individual VIP
 SMB - MA - Corporate
 SMB - MA - Individual
 SMB - MD - Corporate
 SMB - MD - Individual</t>
  </si>
  <si>
    <t>Latest payment done by subscriber for past 30 days</t>
  </si>
  <si>
    <t>Contact</t>
  </si>
  <si>
    <t>Unique code to indicate the billing delivery mode either email or physical billing of a subscriber</t>
  </si>
  <si>
    <t>Inferred barangay location from which the work address of the subscriber is found. The inferred location is pulled from the available latched cellsites data of the subscriber within the timeframe specified (10am to 4pm).</t>
  </si>
  <si>
    <t>Inferred city location from which the work address of the subscriber is found. The inferred location is pulled from the available latched cellsites data of the subscriber within the timeframe specified (10am to 4pm).</t>
  </si>
  <si>
    <t>Inferred province location from which the work address of the subscriber is found. The inferred location is pulled from the available latched cellsites data of the subscriber within the timeframe specified (10am to 4pm).</t>
  </si>
  <si>
    <t>Inferred region location from which the work address of the subscriber is found. The inferred location is pulled from the available latched cellsites data of the subscriber within the timeframe specified (10am to 4pm).</t>
  </si>
  <si>
    <t>Tenure count of years from activation date of the subscriber to the current date</t>
  </si>
  <si>
    <t>Indicator for a subscriber who owns a credit card</t>
  </si>
  <si>
    <t>Email address of the customer from the point of application</t>
  </si>
  <si>
    <t>Occupation of the subscriber</t>
  </si>
  <si>
    <t>Birthdate</t>
  </si>
  <si>
    <t>Birth date of the subscriber</t>
  </si>
  <si>
    <t>First name of the subscriber</t>
  </si>
  <si>
    <t>Last name of the subscriber</t>
  </si>
  <si>
    <t>Middle name of the subscriber</t>
  </si>
  <si>
    <t>Prepaid balance status code. Indicates the subscriber prepaid balance status:
  O - Pre - Active
  Initial status after subscriber is created during the mass activation process. The sim and credit expiry date will be set based on defined policy and will be an input to the bulk pre-activation process.
  A - Active 
  Status will change from ‘pre-active’ to ‘active’ once subscriber has done a first access on the network (as defined in the prepaid activation triggers). Subscriber will have access to incoming and outgoing services (e.g. calls, texts, and data) that can be used accordingly based on relevant offers. The sim and credit expiry date will be reset based on defined policy.
  N - Near Credit Expiry
  Status will change x days before credit expiration date based on defined policy. Subscriber will still have access to incoming and outgoing services.
  Status will change to ‘Active‘ when subscriber does a recharge.
  G - Credit Expiry
  Status will change once credit expiry date defined in the policy has been reached.
  After credit expiry, remaining balance on the main account is zeroed out. Subscriber will still have access to outgoing services and will only be able to access defined emergency and free access numbers.
  Status will change to ‘Active‘ when subscriber does a recharge.
  S - Near Subscription Expiry
  Status will change x days after credit expiry based on defined policy. Subscriber will still have access to outgoing services and will only be able to access defined emergency and free access numbers. 
  Status will change to ‘Active‘ when subscriber does a recharge. 
  E - Expiry
  Status will change x days after credit expiry based on defined policy. Subscriber is permanently disconnected from the network and will not have access to any incoming and outgoing services.</t>
  </si>
  <si>
    <t>Indicator for a subscriber who owns a car</t>
  </si>
  <si>
    <t>Affluence is a derived socio-economic status based on the Affluence and Lifestyle model. Segments are the following:
 a Affluent - SEC A-B, Php 202,616 and above household income
 b Emerging - SEC C1, Php 101,309 - 202,615 household income
 c Aspiring - SEC C2, Php 40,523-101,308 household income
 d Struggling - SEC D-E below Php 40,522 household income
 e Blank</t>
  </si>
  <si>
    <t>Lifestage is a derived value based on the Affluence and Lifestyle model. Segments are the following:
 Student: Gen Z (&lt;20yrs old)
 Yuppie: Young Millennial (21-28yrs old likely single)
 Transitioner: Ageing Millennial (29-37yrs old); and Young Millennial (21-28yrs old) who are married
 Balancer: Gen X (38-51 yrs. old likely married)
 Retiree: Baby Boomer (52yrs old &amp; above likely married)</t>
  </si>
  <si>
    <t>MSH-CDA</t>
  </si>
  <si>
    <t>GHP, GHP-PREPAID, TM, WIRELINE</t>
  </si>
  <si>
    <t>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t>
  </si>
  <si>
    <t>Consumer, IBG Traveler</t>
  </si>
  <si>
    <t>An income bracket of subscribers based on the amount of their income.
  A-B: 154750 - above
  C: 50250 - 154749
  D: 15917 - 50249
  E: below- 15916</t>
  </si>
  <si>
    <t>Sum of previous balance amount and financial activities amount of a subscriber</t>
  </si>
  <si>
    <t>Indicator for a subscriber who owns a house</t>
  </si>
  <si>
    <t>GHP-PREPAID, TM</t>
  </si>
  <si>
    <t>The predicted credit value of the loan top-up.
 Values are between 0-1:
  - if close to 0 low risk si sub
  - if close to 1 high risk si sub</t>
  </si>
  <si>
    <t>Indicator if a subscriber plays Multiplayer Online Battle Arena (MOBA) games such as mobile_legends, genshin_impact, clash_royale
 For wireline subscribers, only subscriptions within Metro Manila (including some areas in Rizal) and with DSL, VDSL and GPON technology value are covered.</t>
  </si>
  <si>
    <t>Bucketing based on identified metric for MOBA gamer profile
 Metric: Average Daily Data Burn in Megabytes in a Month
 Valid values: 
 LOW: &lt;=1.6 MB
 MID: &gt; 1.6 MB &amp; &lt;= 2.4 MB
 HIGH: &gt; 2.4 MB
 For wireline subscribers, only subscriptions within Metro Manila (including some areas in Rizal) and with DSL, VDSL and GPON technology value are covered.</t>
  </si>
  <si>
    <t>Metric used and value for the Online Gamer profile
 For wireline subscribers, only subscriptions within Metro Manila (including some areas in Rizal) and with DSL, VDSL and GPON technology value are covered.</t>
  </si>
  <si>
    <t>Indicator if a subscriber accesses websites or apps related to KPop or Korean culture such as allkpop, vlive, starplay
 For wireline subscribers, only subscriptions within Metro Manila (including some areas in Rizal) and with DSL, VDSL and GPON technology value are covered.</t>
  </si>
  <si>
    <t>Bucketing based on identified metric for KPOP fan profile
 Metric: Total Hits in a Month
 Valid values: 
 LOW: &lt;= 8 hits
 MID: &gt; 8 &amp; &lt;= 12 hits
 HIGH: &gt; 12 hits
 For wireline subscribers, only subscriptions within Metro Manila (including some areas in Rizal) and with DSL, VDSL and GPON technology value are covered.</t>
  </si>
  <si>
    <t>Metric used and value for the KPop fan profile
 For wireline subscribers, only subscriptions within Metro Manila (including some areas in Rizal) and with DSL, VDSL and GPON technology value are covered.</t>
  </si>
  <si>
    <t>Indicator if a subscriber streams music via music apps and sites such as Accuradio, Apple Music, Spotify
 For wireline subscribers, only subscriptions within Metro Manila (including some areas in Rizal) and with DSL, VDSL and GPON technology value are covered.</t>
  </si>
  <si>
    <t>Bucketing based on identified metric for Music Streamer profile
 Metric: Average Daily Data Burn in a Month
 Valid values: 
 LOW: &lt;= 47,185,920 bytes
 MID: &gt; 47,185,920 &amp; &lt;= 160,432,128 bytes
 HIGH: &gt; 160,432,128 bytes
 For wireline subscribers, only subscriptions within Metro Manila (including some areas in Rizal) and with DSL, VDSL and GPON technology value are covered.</t>
  </si>
  <si>
    <t>Metric used and value for the Music Streamer profile
 For wireline subscribers, only subscriptions within Metro Manila (including some areas in Rizal) and with DSL, VDSL and GPON technology value are covered.</t>
  </si>
  <si>
    <t>Indicator if a subscriber visits websites related to beauty and skincare like Avon, Garnier, Maybelline
 For wireline subscribers, only subscriptions within Metro Manila (including some areas in Rizal) and with DSL, VDSL and GPON technology value are covered.</t>
  </si>
  <si>
    <t>Bucketing based on identified metric for Beauty Skincare profile
 Metric: Total Hits in a Month
 Valid values: 
 LOW: &lt;= 3 hits
 MID: &gt; 3 &amp; &lt;= 5 hits
 HIGH: &gt;5 hits
 For wireline subscribers, only subscriptions within Metro Manila (including some areas in Rizal) and with DSL, VDSL and GPON technology value are covered.</t>
  </si>
  <si>
    <t>Metric used and value for the Beauty and Skincare Fan profile
 For wireline subscribers, only subscriptions within Metro Manila (including some areas in Rizal) and with DSL, VDSL and GPON technology value are covered.</t>
  </si>
  <si>
    <t>Indicator if a subscriber visits streaming apps or sites such as iwantTFC, netflix, youtube
 For wireline subscribers, only subscriptions within Metro Manila (including some areas in Rizal) and with DSL, VDSL and GPON technology value are covered.</t>
  </si>
  <si>
    <t>Bucketing based on identified metric for Video Streamer profile
 Metric: Average Daily Data Burn in Bytes in a Month
 Valid values: 
 LOW: &lt;= 2.7 GB
 MID: &gt; 2.7 &amp; &lt;= 4.5 GB
 HIGH: &gt; 4.5 GB
 For wireline subscribers, only subscriptions within Metro Manila (including some areas in Rizal) and with DSL, VDSL and GPON technology value are covered.</t>
  </si>
  <si>
    <t>Metric used and value for the Video Streamer profile
 For wireline subscribers, only subscriptions within Metro Manila (including some areas in Rizal) and with DSL, VDSL and GPON technology value are covered.</t>
  </si>
  <si>
    <t>Indicator if a subscriber visits shopping apps/sites: Lazada, Shopee, Zalora
 For wireline subscribers, only subscriptions within Metro Manila (including some areas in Rizal) and with DSL, VDSL and GPON technology value are covered.</t>
  </si>
  <si>
    <t>Bucketing based on identified metric for Online Shopper profile
 Metric: Total Hits in a Month
 Valid values: 
 LOW: &lt;= 5 hits
 MID: &gt; 5 &amp; &lt;= 22 hits
 HIGH: &gt; 22 hits
 For wireline subscribers, only subscriptions within Metro Manila (including some areas in Rizal) and with DSL, VDSL and GPON technology value are covered.</t>
  </si>
  <si>
    <t>Metric used and value for the Online Shopper profile
 For wireline subscribers, only subscriptions within Metro Manila (including some areas in Rizal) and with DSL, VDSL and GPON technology value are covered.</t>
  </si>
  <si>
    <t>Indicator if a subscriber visits online stores such as Lazada, Shopee and Zalora during same-day regular sale dates
 For wireline subscribers, only subscriptions within Metro Manila (including some areas in Rizal) and with DSL, VDSL and GPON technology value are covered.</t>
  </si>
  <si>
    <t>Bucketing based on identified metric for Sale Shopper profile
 Metric: Daily Hits on Sale Day
 Valid values: 
 LOW: &lt;= 12 hits
 MID: &gt; 12 &amp; &lt;= 16 hits
 HIGH: &gt; 16 hits
 For wireline subscribers, only subscriptions within Metro Manila (including some areas in Rizal) and with DSL, VDSL and GPON technology value are covered.</t>
  </si>
  <si>
    <t>Metric used and value for the Sale Shopper profile
 For wireline subscribers, only subscriptions within Metro Manila (including some areas in Rizal) and with DSL, VDSL and GPON technology value are covered.</t>
  </si>
  <si>
    <t>Indicator if a subscriber access sites and apps related to accommodation, transportation, tours, government agencies and travel blogs, such as airasia, airbnb, mabuhay_miles
 For wireline subscribers, only subscriptions within Metro Manila (including some areas in Rizal) and with DSL, VDSL and GPON technology value are covered.</t>
  </si>
  <si>
    <t>Bucketing based on identified metric for Travel Enthusiast profile
 Metric: Total Data Burn in Bytes in a Month
 Valid values: 
 LOW: &lt;= 687753 bytes
 MID: &gt; 687753 &amp; &lt;= 2332915 bytes
 HIGH: &gt; 2332915 bytes
 For wireline subscribers, only subscriptions within Metro Manila (including some areas in Rizal) and with DSL, VDSL and GPON technology value are covered.</t>
  </si>
  <si>
    <t>Metric used and value for the Travel Enthusiast profile
 For wireline subscribers, only subscriptions within Metro Manila (including some areas in Rizal) and with DSL, VDSL and GPON technology value are covered.</t>
  </si>
  <si>
    <t>Indicator if a subscriber accesses apps and sites related to fitness such as kfit, fitbit, my_fitness_pal
 For wireline subscribers, only subscriptions within Metro Manila (including some areas in Rizal) and with DSL, VDSL and GPON technology value are covered.</t>
  </si>
  <si>
    <t>Bucketing based on identified metric for Health Buff profile
 Metric: Total Hits in a Month
 Valid values: 
 LOW: &lt;= 5 hits
 MID: &gt; 5 &amp; &lt;= 10 hits
 HIGH: &gt; 10 hits
 For wireline subscribers, only subscriptions within Metro Manila (including some areas in Rizal) and with DSL, VDSL and GPON technology value are covered.</t>
  </si>
  <si>
    <t>varchar(65535)</t>
  </si>
  <si>
    <t>Metric used and value for the Health Buff profile
 For wireline subscribers, only subscriptions within Metro Manila (including some areas in Rizal) and with DSL, VDSL and GPON technology value are covered.</t>
  </si>
  <si>
    <t>Indicator if a subscriber accesses OTT apps and sites such as discord, facebook_messenger, whatsapp
 For wireline subscribers, only subscriptions within Metro Manila (including some areas in Rizal) and with DSL, VDSL and GPON technology value are covered.</t>
  </si>
  <si>
    <t>Bucketing based on identified metric for OTT User profile
 Metric: Average Daily Hits in a Month
 Valid values: 
 LOW: &lt;= 15 hits
 MID: &gt; 15 &amp; &lt;= 24 hits
 HIGH: &gt; 24 hits
 For wireline subscribers, only subscriptions within Metro Manila (including some areas in Rizal) and with DSL, VDSL and GPON technology value are covered.</t>
  </si>
  <si>
    <t>Metric used and value for the OTT User profile
 For wireline subscribers, only subscriptions within Metro Manila (including some areas in Rizal) and with DSL, VDSL and GPON technology value are covered.</t>
  </si>
  <si>
    <t>Indicator if a subscriber accesses social media apps and sites such as facebook, instagram, tiktok
 For wireline subscribers, only subscriptions within Metro Manila (including some areas in Rizal) and with DSL, VDSL and GPON technology value are covered.</t>
  </si>
  <si>
    <t>Bucketing based on identified metric for Social Media Maverick profile
 Metric: Average Daily Hits in a Month
 Valid values: 
 LOW: &lt;= 9 hits
 MID: &gt; 9 &amp; &lt;= 18 hits
 HIGH: &gt; 18 hits
 For wireline subscribers, only subscriptions within Metro Manila (including some areas in Rizal) and with DSL, VDSL and GPON technology value are covered.</t>
  </si>
  <si>
    <t>Metric used and value for the Social Media Maverick profile
 For wireline subscribers, only subscriptions within Metro Manila (including some areas in Rizal) and with DSL, VDSL and GPON technology value are covered.</t>
  </si>
  <si>
    <t>Indicator if a subscriber accesses mobile payment apps and sites such as Gcash, Paymaya, PayPal
 For wireline subscribers, only subscriptions within Metro Manila (including some areas in Rizal) and with DSL, VDSL and GPON technology value are covered.</t>
  </si>
  <si>
    <t>Bucketing based on identified metric for Mobile Wallet User profile
 Metric: Total Hits in a Month
 Valid values: 
 LOW: &lt;= 5 hits
 MID: &gt; 5 &amp; &lt;= 11 hits
 HIGH: &gt; 11 hits
 For wireline subscribers, only subscriptions within Metro Manila (including some areas in Rizal) and with DSL, VDSL and GPON technology value are covered.</t>
  </si>
  <si>
    <t>Metric used and value for the Mobile Wallet User profile
 For wireline subscribers, only subscriptions within Metro Manila (including some areas in Rizal) and with DSL, VDSL and GPON technology value are covered.</t>
  </si>
  <si>
    <t>Indicator if a subscriber accesses electronic maps like waze, google_maps, apple_maps</t>
  </si>
  <si>
    <t>Bucketing based on the identified metric for the Road Warrior profile
  Metric: Average Daily Hits in a Month
  Valid values:
  Wireless
  LOW: &lt;= 6
  MID: &gt; 6 &amp; &lt;= 9
  HIGH: &gt; 9</t>
  </si>
  <si>
    <t>Metric used and value for the Road Warrior profile</t>
  </si>
  <si>
    <t>Indicator if a subscriber accesses telemed apps or sites, or health informative pages such as aide, doc_online, healthnow
 For wireline subscribers, only subscriptions within Metro Manila (including some areas in Rizal) and with DSL, VDSL and GPON technology value are covered.</t>
  </si>
  <si>
    <t>Bucketing based on identified metric for Health Conscious profile
 Metric: Total Hits in a Month
 Valid values: 
 LOW: &lt;= 3 hits
 MID: &gt; 3 &amp; &lt;= 6 hits
 HIGH: &gt; 6 hits
 For wireline subscribers, only subscriptions within Metro Manila (including some areas in Rizal) and with DSL, VDSL and GPON technology value are covered.</t>
  </si>
  <si>
    <t>Metric used and value for the Telemedicine User profile
 For wireline subscribers, only subscriptions within Metro Manila (including some areas in Rizal) and with DSL, VDSL and GPON technology value are covered.</t>
  </si>
  <si>
    <t>Indicator if a subscriber accesses learning apps or sites such as coursera, khan_academy, udemy, or websites offering online courses such as yale_university, up_open_university, tesda_online_program
 For wireline subscribers, only subscriptions within Metro Manila (including some areas in Rizal) and with DSL, VDSL and GPON technology value are covered.</t>
  </si>
  <si>
    <t>Bucketing based on identified metric for Online Learner profile
 Metric: Total Hits in a Month
 Valid values: 
 LOW: &lt;= 6 hits
 MID: &gt; 6 &amp; &lt;= 12 hits
 HIGH: &gt; 12 hits
 For wireline subscribers, only subscriptions within Metro Manila (including some areas in Rizal) and with DSL, VDSL and GPON technology value are covered.</t>
  </si>
  <si>
    <t>Metric used and value for the Online Learner profile
 For wireline subscribers, only subscriptions within Metro Manila (including some areas in Rizal) and with DSL, VDSL and GPON technology value are covered.</t>
  </si>
  <si>
    <t>Indicator if a subscriber accesses reading apps and sites like aldiko, flipboard, kindle
 For wireline subscribers, only subscriptions within Metro Manila (including some areas in Rizal) and with DSL, VDSL and GPON technology value are covered.</t>
  </si>
  <si>
    <t>Bucketing based on identified metric for Online Reader profile
 Metric: Total Hits in a Month
 Valid values: 
 LOW: &lt;= 13 hits
 MID: &gt; 13 &amp; &lt;= 21 hits
 HIGH: &gt; 21 hits
 For wireline subscribers, only subscriptions within Metro Manila (including some areas in Rizal) and with DSL, VDSL and GPON technology value are covered.</t>
  </si>
  <si>
    <t>Metric used and value for the Online Reader profile
 For wireline subscribers, only subscriptions within Metro Manila (including some areas in Rizal) and with DSL, VDSL and GPON technology value are covered.</t>
  </si>
  <si>
    <t>Indicator if a subscriber uses hailing apps such as angkas, grab, owto
 For wireline subscribers, only subscriptions within Metro Manila (including some areas in Rizal) and with DSL, VDSL and GPON technology value are covered.</t>
  </si>
  <si>
    <t>Bucketing based on identified metric for TNVS User profile
 Metric: Total Hits in a Month
 Valid values: 
 LOW: &lt;= 3 hits
 MID: &gt; 3 &amp; &lt;= 7 hits
 HIGH: &gt; 7 hits
 For wireline subscribers, only subscriptions within Metro Manila (including some areas in Rizal) and with DSL, VDSL and GPON technology value are covered.</t>
  </si>
  <si>
    <t>Metric used and value for the TNVS User profile
 For wireline subscribers, only subscriptions within Metro Manila (including some areas in Rizal) and with DSL, VDSL and GPON technology value are covered.</t>
  </si>
  <si>
    <t>Indicator if a subscriber uses apps or sites related to photography and layouting, specifically Camera360, Canva, Instagram
 For wireline subscribers, only subscriptions within Metro Manila (including some areas in Rizal) and with DSL, VDSL and GPON technology value are covered.</t>
  </si>
  <si>
    <t>Bucketing based on identified metric for Digital Creative profile
 Metric: Total Hits in a Month
 Valid values: 
 LOW: &lt;= 18 hits
 MID: &gt; 18 &amp; &lt;= 26 hits
 HIGH: &gt; 26 hits
 For wireline subscribers, only subscriptions within Metro Manila (including some areas in Rizal) and with DSL, VDSL and GPON technology value are covered.</t>
  </si>
  <si>
    <t>Metric used and value for the Digital Creative profile
 For wireline subscribers, only subscriptions within Metro Manila (including some areas in Rizal) and with DSL, VDSL and GPON technology value are covered.</t>
  </si>
  <si>
    <t>Indicator if a subscriber uses online banking apps based on data usage and SMS coming from banks such as AUB, BDO, BPI
 For wireline subscribers, only subscriptions within Metro Manila (including some areas in Rizal) and with DSL, VDSL and GPON technology value are covered.</t>
  </si>
  <si>
    <t>Bucketing based on identified metric for Online Banker profile
 Metric: Total Hits in a Month
 Valid values: 
 LOW: &lt;= 5 hits
 MID: &gt; 5 &amp; &lt;= 11 hits
 HIGH: &gt; 11 hits
 For wireline subscribers, only subscriptions within Metro Manila (including some areas in Rizal) and with DSL, VDSL and GPON technology value are covered.</t>
  </si>
  <si>
    <t>Metric used and value for the Online Banker profile
 For wireline subscribers, only subscriptions within Metro Manila (including some areas in Rizal) and with DSL, VDSL and GPON technology value are covered.</t>
  </si>
  <si>
    <t>Indicator if a subscriber has a membership to a loyalty program based on SMS notifications from numbers such as CLIQQ, RUSTANSPH, SMAC</t>
  </si>
  <si>
    <t>Bucketing based on the identified metric for the Loyalty Card Owner profile
  Metric: Total Active Cards in a Month
  Valid values:
  Wireless
  LOW: &lt;= 1
  MID: &gt; 1 &amp; &lt;= 3
  HIGH: &gt; 3</t>
  </si>
  <si>
    <t>Metric used and value for the Loyalty Card Owner profile</t>
  </si>
  <si>
    <t>Indicator if a subscriber accesses kid friendly content apps or sites such as disney, nickelodeon, youtube_kids
 For wireline subscribers, only subscriptions within Metro Manila (including some areas in Rizal) and with DSL, VDSL and GPON technology value are covered.</t>
  </si>
  <si>
    <t>Bucketing based on identified metric for Kid Friendly App User profile
 Metric: Total Hits in a Month
 Valid values: 
 LOW: &lt;= 9 hits
 MID: &gt; 9 &amp; &lt;= 20 hits
 HIGH: &gt; 20 hits
 For wireline subscribers, only subscriptions within Metro Manila (including some areas in Rizal) and with DSL, VDSL and GPON technology value are covered.</t>
  </si>
  <si>
    <t>Metric used and value for the Kid Friendly App User profile
 For wireline subscribers, only subscriptions within Metro Manila (including some areas in Rizal) and with DSL, VDSL and GPON technology value are covered.</t>
  </si>
  <si>
    <t>Indicator if a subscriber visits online food delivery apps or sites such as FoodPanda, JollibeeDelivery, GrabFood
 For wireline subscribers, only subscriptions within Metro Manila (including some areas in Rizal) and with DSL, VDSL and GPON technology value are covered.</t>
  </si>
  <si>
    <t>Bucketing based on identified metric for Foodie Online Delivery profile
 Metric: Total Hits in a Month
 Valid values: 
 LOW: &lt;= 5 hits
 MID: &gt; 5 &amp; &lt;= 10 hits
 HIGH: &gt; 10 hits
 For wireline subscribers, only subscriptions within Metro Manila (including some areas in Rizal) and with DSL, VDSL and GPON technology value are covered.</t>
  </si>
  <si>
    <t>Metric used and value for the Foodie Online Delivery profile
 For wireline subscribers, only subscriptions within Metro Manila (including some areas in Rizal) and with DSL, VDSL and GPON technology value are covered.</t>
  </si>
  <si>
    <t>Indicator if a subscriber visits restaurant finder apps or sites such as zomato, eatigo
 For wireline subscribers, only subscriptions within Metro Manila (including some areas in Rizal) and with DSL, VDSL and GPON technology value are covered.</t>
  </si>
  <si>
    <t>Bucketing based on identified metric for Restaurant Finder profile
 Metric: Total Hits in a Month
 Valid values: 
 LOW: &lt;= 3 hits
 MID: &gt; 3 &amp; &lt;= 5 hits
 HIGH: &gt; 5 hits
 For wireline subscribers, only subscriptions within Metro Manila (including some areas in Rizal) and with DSL, VDSL and GPON technology value are covered.</t>
  </si>
  <si>
    <t>Metric used and value for the Restaurant Finder profile
 For wireline subscribers, only subscriptions within Metro Manila (including some areas in Rizal) and with DSL, VDSL and GPON technology value are covered.</t>
  </si>
  <si>
    <t>Consumer, SG</t>
  </si>
  <si>
    <t>Decommissioned</t>
  </si>
  <si>
    <t>WIRELINE, GLOBE</t>
  </si>
  <si>
    <t>Consumer, EG, SG</t>
  </si>
  <si>
    <t>Subscriber's first expiry, governed by topup and/or promo subscription (promo expiry, topup exhaustion, topup expiry or topup date + 365 days)</t>
  </si>
  <si>
    <t>Most frequent promo (excluding promo top-up/GYRO) availed by the subscriber for the past 90 days.</t>
  </si>
  <si>
    <t>Monthly Average Revenue Per User (ARPU) of subscriber</t>
  </si>
  <si>
    <t>Difference between subscriber's spending limit and Usage Charges (UC).</t>
  </si>
  <si>
    <t>Difference between subscriber's spending limit and unpaid charges.</t>
  </si>
  <si>
    <t>Subscriber's age calculated from birthdate</t>
  </si>
  <si>
    <t>Identify subscribers’ time to register to a promo from the time of top-up;
  Identify subscribers who breach their “usual” threshold.</t>
  </si>
  <si>
    <t>Prepaid Spending ARPU for 90 days coverage (day-91 to day-2) of promo registrations, ppu, topup a promo)</t>
  </si>
  <si>
    <t>Locked in a promo contract with handset (bill rebates or gift certificate)
  Locked in a promo contract without handset
  Open base/out of lock up with handset
  Open base/out of lock up without handset</t>
  </si>
  <si>
    <t>Indicator whether the subscriber is likely a single sim card holder or a multiple sim card holder.
 TRUE - Multisim 
 FALSE - Single Sim</t>
  </si>
  <si>
    <t>Prepaid Spending ARPU (promo registrations, ppu, topup a promo) for 120 days
  divided by 4 (months)</t>
  </si>
  <si>
    <t>Topup segment based on the topup behavior of the HPW subscriber. Values are derived from the old HPW topup segmentation model based on average monthly count and average amount per transaction for active HPW subscribers with at least one topup in the last 3 months and refreshed monthly.
 Valid values:
 Bulk
 Frequent
 Mid
 Sporadic
 Low</t>
  </si>
  <si>
    <t>GHP, BAYAN, GLOBE</t>
  </si>
  <si>
    <t>Technology value of a broadband subscriber.</t>
  </si>
  <si>
    <t>WIRELINE, BAYAN, GLOBE</t>
  </si>
  <si>
    <t>Technology value of the subscriber's previous contract plan</t>
  </si>
  <si>
    <t>BAYAN, GLOBE</t>
  </si>
  <si>
    <t>Length of the subscriber's previous contract in months</t>
  </si>
  <si>
    <t>The unique identifier of the financial account of the subscriber</t>
  </si>
  <si>
    <t>scv_b2c_customer_profile</t>
  </si>
  <si>
    <t>The primary e-mail address of the contact</t>
  </si>
  <si>
    <t>For decom</t>
  </si>
  <si>
    <t>Indicator if a subscriber visits online fashion stores like zaful, mango, zalora
 For wireline subscribers, only subscriptions within Metro Manila (including some areas in Rizal) and with DSL, VDSL and GPON technology value are covered.</t>
  </si>
  <si>
    <t>Bucketing based on identified metric for Fashionista profile
 Metric: Total Hits in a Month
 Valid values: 
 LOW: &lt;= 10 hits
 MID: &gt; 10 &amp; &lt;= 22 hits
 HIGH: &gt; 22 hits
 For wireline subscribers, only subscriptions within Metro Manila (including some areas in Rizal) and with DSL, VDSL and GPON technology value are covered.</t>
  </si>
  <si>
    <t>Metric used and value for the Fashionista profile
 For wireline subscribers, only subscriptions within Metro Manila (including some areas in Rizal) and with DSL, VDSL and GPON technology value are covered.</t>
  </si>
  <si>
    <t>Indicator if a subscriber uses IoT such as alexa, siri, eero
 For wireline subscribers, only subscriptions within Metro Manila (including some areas in Rizal) and with DSL, VDSL and GPON technology value are covered.</t>
  </si>
  <si>
    <t>Bucketing based on identified metric for IOT User profile
 Metric: Average Daily Hits in a Month
 Valid values: 
 LOW: &lt;= 6 hits
 MID: &gt; 6 &amp; &lt;= 10 hits
 HIGH: &gt; 10 hits
 For wireline subscribers, only subscriptions within Metro Manila (including some areas in Rizal) and with DSL, VDSL and GPON technology value are covered.</t>
  </si>
  <si>
    <t>Metric used and value for the IOT User profile
 For wireline subscribers, only subscriptions within Metro Manila (including some areas in Rizal) and with DSL, VDSL and GPON technology value are covered.</t>
  </si>
  <si>
    <t>sim_serial_value</t>
  </si>
  <si>
    <t>Sim serial number value associated with the SIM card.</t>
  </si>
  <si>
    <t>Payment deposit date for past 30 days of the subscriber</t>
  </si>
  <si>
    <t>Indicator if a subscriber accesses logistics and delivery apps and sites such as j&amp;t, joyride, lalamove
 For wireline subscribers, only subscriptions within Metro Manila (including some areas in Rizal) and with DSL, VDSL and GPON technology value are covered.</t>
  </si>
  <si>
    <t>Bucketing based on identified metric for Logistics and Delivery App User profile
 Metric: Total Hits in a Month
 Valid values: 
 LOW: &lt;= 5 hits
 MID &gt; 5 &amp; &lt;= 12 hits
 HIGH: &gt; 12 hits
 For wireline subscribers, only subscriptions within Metro Manila (including some areas in Rizal) and with DSL, VDSL and GPON technology value are covered.</t>
  </si>
  <si>
    <t>Metric used and value for the Logistics and Delivery App User
 For wireline subscribers, only subscriptions within Metro Manila (including some areas in Rizal) and with DSL, VDSL and GPON technology value are covered.</t>
  </si>
  <si>
    <t>GLOBE</t>
  </si>
  <si>
    <t>Classification whether there is a change on the monthly service fee from the previous plan.
  Valid values:
  UPGRADE - increase in MSF
  DOWNGRADE - decrease in MSF
  RETAIN - equal MSF</t>
  </si>
  <si>
    <t>The type of product availed by the subscriber --
  Valid values:
  Bundle
  DataOnlyPlan
  VoiceOnlyPlan</t>
  </si>
  <si>
    <t>Spending behavior of a subscriber
  GHP:
  HIGH ROLLER
  FRUGAL SPENDER
  RURAL SAVER
  YOLO
  GHP-Prepaid:
  HIGH ROLLER
  FRUGAL SPENDER
  SPEND TO CONNECT
  PAY PER USE
  TM:
  HIGH ROLLER
  FRUGAL SPENDER
  SPEND TO CONNECT
  LIGHT SPENDER</t>
  </si>
  <si>
    <t>Spending level of a subscriber per brand
  Values:
  HIGH
  MID
  LOW</t>
  </si>
  <si>
    <t>Spending level of a subscriber overall (regardless of brand)
  Values:
  HIGH
  MID
  LOW</t>
  </si>
  <si>
    <t>Level_1 - All services barred
  Level_2 - Subscriber Intra voice and Globe to TM services is barred
  Level_3 - Subscriber local data services is barred
  Level_4 - All subscriber services except Voice Intra, Voice TM, and Local Data is barred.</t>
  </si>
  <si>
    <t>Daily (Day-7)</t>
  </si>
  <si>
    <t>Last visit date of the customer to Globe website for the past 90 days
 For wireline subscribers, only subscriptions within Metro Manila (including some areas in Rizal) and with DSL, VDSL and GPON technology value are covered.</t>
  </si>
  <si>
    <t>Number of visits to Globe website for the past 30 days
 For wireline subscribers, only subscriptions within Metro Manila (including some areas in Rizal) and with DSL, VDSL and GPON technology value are covered.</t>
  </si>
  <si>
    <t>Average number of visits to Globe website for the past 90 days
 For wireline subscribers, only subscriptions within Metro Manila (including some areas in Rizal) and with DSL, VDSL and GPON technology value are covered.</t>
  </si>
  <si>
    <t>usage_gcash_avg_transaction_count_last_90days</t>
  </si>
  <si>
    <t>Average count of GCash spent transactions for 3 months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</si>
  <si>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Average count of GCash spent transactions for 3 months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</si>
  <si>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numeric(18,4)</t>
  </si>
  <si>
    <t>usage_gcash_max_transaction_count_last_90days</t>
  </si>
  <si>
    <t>Maximum count of GCash spent transactions for 3 months, grouped by month.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</si>
  <si>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Maximum count of GCash spent transactions for 3 months, grouped by month.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</si>
  <si>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usage_gcash_avg_spent_amount_last_90days</t>
  </si>
  <si>
    <t>Average of GCash spent amount for 3 months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</si>
  <si>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Average of GCash spent amount for 3 months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</si>
  <si>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usage_gcash_max_spent_amount_last_90days</t>
  </si>
  <si>
    <t>Maximum GCash spent amount for 3 months, grouped by month.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</si>
  <si>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Maximum GCash spent amount for 3 months, grouped by month.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</si>
  <si>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usage_gcash_transaction_count_last_30days</t>
  </si>
  <si>
    <t>Count of GCash spent transactions last 30 days (month 1)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</si>
  <si>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Count of GCash spent transactions last 30 days (month 1)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</si>
  <si>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usage_gcash_transaction_count_last31_60days</t>
  </si>
  <si>
    <t>Count of GCash spent transactions last 31-60 days (month 2)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</si>
  <si>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Count of GCash spent transactions last 31-60 days (month 2)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</si>
  <si>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usage_gcash_transaction_count_last61_90days</t>
  </si>
  <si>
    <t>Count of GCash spent transactions last 61-90 days (month 3)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</si>
  <si>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Count of GCash spent transactions last 61-90 days (month 3)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</si>
  <si>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usage_gcash_spent_amount_last_30days</t>
  </si>
  <si>
    <t>Total amount spent in GCash for the past 30 days</t>
  </si>
  <si>
    <t>usage_gcash_spent_amount_last31_60days</t>
  </si>
  <si>
    <t>GCash spent amount last 31-60 days (month 2)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</si>
  <si>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GCash spent amount last 31-60 days (month 2)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</si>
  <si>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usage_gcash_spent_amount_last61_90days</t>
  </si>
  <si>
    <t>Gcash spent amount last 61-90 days (month 3)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</si>
  <si>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Gcash spent amount last 61-90 days (month 3)
following transaction type is not related to spent:
cashin - when subscriber loads money to GCash
fuse - when subscriber pay the gcredit loan
invest - when subscriber put money in CIMB
payroll - when subscriber received money to GCash as payroll
cashout - when subscriber withdraw money from GCash</t>
  </si>
  <si>
    <t>usage_gcash_last_used_date_last_120days</t>
  </si>
  <si>
    <t>Last usage date of GCash</t>
  </si>
  <si>
    <t>platinum_net_promoter_score</t>
  </si>
  <si>
    <t>Model score to determine the net promoter detractor and non detractor</t>
  </si>
  <si>
    <t>numeric(21, 2)</t>
  </si>
  <si>
    <t>platinum_net_promoter_score_indicator</t>
  </si>
  <si>
    <t>Indicator for net promoter score detractor and non detractor. 
TRUE - detractor
False - non-detractor</t>
  </si>
  <si>
    <t>Indicator for net promoter score detractor and non detractor. 1 - detractor and 0 for non-detractor</t>
  </si>
  <si>
    <t>reload_prepaid_arpu_30days</t>
  </si>
  <si>
    <t>Average daily top-up for the past 30 days</t>
  </si>
  <si>
    <t>reload_prepaid_arpu_60days</t>
  </si>
  <si>
    <t>Average monthly top-up for the 60 days</t>
  </si>
  <si>
    <t>reload_prepaid_arpu_90days</t>
  </si>
  <si>
    <t>Average monthly top-up for the 90 days</t>
  </si>
  <si>
    <t>usage_data_consumable_mb_past_90days</t>
  </si>
  <si>
    <t>Total volume of consumable data in megabytes for the past 90 days</t>
  </si>
  <si>
    <t>SG</t>
  </si>
  <si>
    <t>usage_data_roaming_consumable_mb_past_90days</t>
  </si>
  <si>
    <t>Total volume of consumable data roaming in megabytes for the past 90 days</t>
  </si>
  <si>
    <t>usage_voice_roaming_consumable_mins_past_90days</t>
  </si>
  <si>
    <t>Total length of consumable voice roaming transactions in minutes for the past 90 days</t>
  </si>
  <si>
    <t>usage_sms_roaming_consumable_count_past_90days</t>
  </si>
  <si>
    <t>Number of consumable SMS roaming for the past 90 days</t>
  </si>
  <si>
    <t>usage_vas_consumable_count_past_90days</t>
  </si>
  <si>
    <t>Number of value added service transactions for the past 90 days</t>
  </si>
  <si>
    <t>sg_churn_propensity_decile</t>
  </si>
  <si>
    <t>Propensity of an SG subscriber to churn based on propensity decile wherein 1 is most likely to churn while 10 is least likely to churn</t>
  </si>
  <si>
    <t>Propensity of an SG subscriber to churn based on propensity decile</t>
  </si>
  <si>
    <t>EG, SG</t>
  </si>
  <si>
    <t>sg_churn_propensity_score</t>
  </si>
  <si>
    <t>Propensity of an SG subscriber to churn based on propensity score</t>
  </si>
  <si>
    <t>sg_customer_segmentation</t>
  </si>
  <si>
    <t>SG customer segmentation model
  Valid values: 0, 1, 2, 3
  0 - Balanced Users
  1 - High Data Users
  2 - Heavy Base Users
  3 - Light Users</t>
  </si>
  <si>
    <t>SG customer segmentation model
Valid values: 0, 1, 2, 3
0 - Balanced Users
1 - High Data Users
2 - Heavy Base Users
3 - Light Users</t>
  </si>
  <si>
    <t>GHP, GHP-PREPAID</t>
  </si>
  <si>
    <t>assigned_handset_model_name</t>
  </si>
  <si>
    <t>Assigned devise/handset model name</t>
  </si>
  <si>
    <t>iPhone 8 Plus 64GB Gold</t>
  </si>
  <si>
    <t>assigned_handset_manufacturer_name</t>
  </si>
  <si>
    <t>Assigned devise/handset manufacturer name</t>
  </si>
  <si>
    <t>APPLE</t>
  </si>
  <si>
    <t>assigned_handset_imei_value</t>
  </si>
  <si>
    <t>Assigned devise/handset IMEI value</t>
  </si>
  <si>
    <t>assigned_handset_base_amount</t>
  </si>
  <si>
    <t>Assigned device/handset base price</t>
  </si>
  <si>
    <t>customer_preferred_contact_time</t>
  </si>
  <si>
    <t>The preferred contact time for the contact to be contacted at.</t>
  </si>
  <si>
    <t>Morning</t>
  </si>
  <si>
    <t>customer_contact_position</t>
  </si>
  <si>
    <t>The position of contact on the given business card</t>
  </si>
  <si>
    <t>BT Head</t>
  </si>
  <si>
    <t>usage_data_roaming_count_past_90days</t>
  </si>
  <si>
    <t>Number of data roaming usage transactions for the past 90 days</t>
  </si>
  <si>
    <t>usage_voice_roaming_count_past_90days</t>
  </si>
  <si>
    <t>Number of voice roaming transactions in past 90 days</t>
  </si>
  <si>
    <t>usage_sms_roaming_count_past_90days</t>
  </si>
  <si>
    <t>Number of SMS roaming transactions for the past 90 days</t>
  </si>
  <si>
    <t>usage_voice_inter_ppu_mins_90days</t>
  </si>
  <si>
    <t>Total length of PPU (Pay-Per-Use) inter calls in minutes for the past 90 days</t>
  </si>
  <si>
    <t>usage_voice_intra_ppu_mins_90days</t>
  </si>
  <si>
    <t>Total length of PPU (Pay-Per-Use) intra calls in minutes for the past 90 days</t>
  </si>
  <si>
    <t>usage_sms_inter_ppu_count_90days</t>
  </si>
  <si>
    <t>Number of PPU (Pay-Per-Use) inter SMS transactions for the past 90 days</t>
  </si>
  <si>
    <t>usage_sms_intra_ppu_count_90days</t>
  </si>
  <si>
    <t>Number of PPU (Pay-Per-Use) intra SMS transactions for the past 90 days</t>
  </si>
  <si>
    <t>usage_data_ppu_mb_past_90days</t>
  </si>
  <si>
    <t>Total volume of PPU (Pay-Per-Use) data usage in megabytes for the past 90 days</t>
  </si>
  <si>
    <t>customer_contact_first_name</t>
  </si>
  <si>
    <t>First name of the contact</t>
  </si>
  <si>
    <t>customer_contact_middle_name</t>
  </si>
  <si>
    <t>Middle name of the contact</t>
  </si>
  <si>
    <t>Bernardo</t>
  </si>
  <si>
    <t>customer_contact_last_name</t>
  </si>
  <si>
    <t>Last name of the contact</t>
  </si>
  <si>
    <t>customer_contact_birth_date</t>
  </si>
  <si>
    <t>The contact's date of birth</t>
  </si>
  <si>
    <t>customer_contact_department_name</t>
  </si>
  <si>
    <t>The department this contact is associated with</t>
  </si>
  <si>
    <t>ACCOUNTING</t>
  </si>
  <si>
    <t>caif_by_50pct_active_days_indicator</t>
  </si>
  <si>
    <t>Indicator whether a subscriber experienced congestion for the past month for at least 50% of the total days at a minimum of 4 days.</t>
  </si>
  <si>
    <t>Indicator whether a subscriber experienced congestion for the past month</t>
  </si>
  <si>
    <t>​caif_by_50pct_active_days_count_past_3mos</t>
  </si>
  <si>
    <t>Number of months when the subscriber experienced congestion for at least 50% of the total days at a minimum of 4 days per month for the past 3 months.</t>
  </si>
  <si>
    <t>Number of months when the subscriber experienced congestion for the past 3 months</t>
  </si>
  <si>
    <t>caif_by_50pct_active_days_count_past_12mos</t>
  </si>
  <si>
    <t xml:space="preserve">Number of months when the subscriber experienced congestion for at least 50% of the total days at a minimum of 4 days per month for the past 12 months.        </t>
  </si>
  <si>
    <t>Number of months when the subscriber experienced congestion for the past 12 months</t>
  </si>
  <si>
    <t>payment_channel_mode_90days</t>
  </si>
  <si>
    <t>Most frequent payment channel of the subscriber for the past 3 closed months</t>
  </si>
  <si>
    <t>Auto-Debit Arrangement</t>
  </si>
  <si>
    <t>MSH-FVT</t>
  </si>
  <si>
    <t xml:space="preserve"> MSH-FVT</t>
  </si>
  <si>
    <t>Mobile</t>
  </si>
  <si>
    <t>latest_barring_date</t>
  </si>
  <si>
    <t>Latest date of barring</t>
  </si>
  <si>
    <t>latest_barring_reason</t>
  </si>
  <si>
    <t>OD – Operational defined barring (for barring and unbarring)
EOC – End of Cycle (Only for unbarring)
PYD – Payment from AR (Only for unbarring)
RCV – Barring/unbarring request failed and waiting for recovery/retry</t>
  </si>
  <si>
    <t>OD</t>
  </si>
  <si>
    <t>usage_data_mb_past_60days</t>
  </si>
  <si>
    <t>Total volume of data usage in megabytes for the past 60 days</t>
  </si>
  <si>
    <t>usage_data_mb_past_30days</t>
  </si>
  <si>
    <t>Total volume of data usage in megabytes for the past 30 days</t>
  </si>
  <si>
    <t>usage_monthly_average_data_mb_past_90days</t>
  </si>
  <si>
    <t>Average monthly volume of data usage in megabytes for the past 90 days</t>
  </si>
  <si>
    <t>gcredit_user_indicator_last_120days</t>
  </si>
  <si>
    <t>TRUE - For user that has a transaction with transtype = 'fuse' for the last 120 days
FALSE - For user that has no transaction with transtype = 'fuse' for the last 120 days</t>
  </si>
  <si>
    <t>1 - for user that has a transaction with transtype = 'fuse' for the last 120 days
0 - for user that has no transaction with transtype = 'fuse' for the last 120 days</t>
  </si>
  <si>
    <t>Mobile/EDO/MSH</t>
  </si>
  <si>
    <t>gcash_registration_date</t>
  </si>
  <si>
    <t>Registration date of GCash users</t>
  </si>
  <si>
    <t>no_pending_order_indicator</t>
  </si>
  <si>
    <t>Indicator if subscriber has a pending order in place.
TRUE - No pending order
FALSE - There is a pending order</t>
  </si>
  <si>
    <t>Indicator if subscriber has a pending order in place.
 1 - no pending order (TRUE)
 0 - there is a pending order (FALSE)</t>
  </si>
  <si>
    <t>bb_app_data_amount_volume_booster_last_30days</t>
  </si>
  <si>
    <t>Volume booster for previous 1st month</t>
  </si>
  <si>
    <t>BB/HPW</t>
  </si>
  <si>
    <t>bb_app_data_amount_volume_booster_last_60days</t>
  </si>
  <si>
    <t>Volume booster for previous 2nd month</t>
  </si>
  <si>
    <t>bb_app_data_amount_volume_booster_last_90days</t>
  </si>
  <si>
    <t>Volume booster for previous 3rd month</t>
  </si>
  <si>
    <t>bb_app_promo_amount_volume_booster_last_30days</t>
  </si>
  <si>
    <t>Amount of the promo for the previous month</t>
  </si>
  <si>
    <t>bb_app_promo_amount_volume_booster_last_60days</t>
  </si>
  <si>
    <t>Amount of the promo for the 2nd month</t>
  </si>
  <si>
    <t>bb_app_promo_amount_volume_booster_last_90days</t>
  </si>
  <si>
    <t>Amount of the promo for the 3rd month</t>
  </si>
  <si>
    <t>inactive_avg_consec_days_last_90days</t>
  </si>
  <si>
    <t>Average value of the number of consecutive inactive days in last 3 months</t>
  </si>
  <si>
    <t>postpaid_current_gah_user_indicator</t>
  </si>
  <si>
    <t>Indicator if a mobile subscriber has a broadband Globe at Home subscription.
TRUE -  If has broadband globe at home
FALSE -  If doesn’t have broadband globe at home</t>
  </si>
  <si>
    <t>Mobile subscriber that has a broadband globe at home
 1 if has broadband globe at home
 0 if doesn’t have broadband globe at home</t>
  </si>
  <si>
    <t>usage_data_promo_latest_mb_past_90days</t>
  </si>
  <si>
    <t>Latest total volume of data promo usage in megabytes for the past 90 days</t>
  </si>
  <si>
    <t>HPW</t>
  </si>
  <si>
    <t>inactive_max_consec_days_past_90days</t>
  </si>
  <si>
    <t>Maximum consecutive number of days the Subscriber was inactive for the past 90 days. This includes outbound usage and top-up activities.</t>
  </si>
  <si>
    <t>MSH I FVT</t>
  </si>
  <si>
    <t>inactive_min_consec_days_past_90days</t>
  </si>
  <si>
    <t>Minimum consecutive number of days the Subscriber was inactive for the past 90 days. This includes outbound usage and top-up activities.</t>
  </si>
  <si>
    <t>usage_data_active_days_past_30days</t>
  </si>
  <si>
    <t>Number of days with data usage transaction for the past 30 days</t>
  </si>
  <si>
    <t>usage_data_active_days_past_90days</t>
  </si>
  <si>
    <t>Number of days with data usage transactions for the past 90 days</t>
  </si>
  <si>
    <t>monthly_installment_oc</t>
  </si>
  <si>
    <t>Amount if customer is paying anything other than MSF and usage. Like phone or device. Data latency is day-15.</t>
  </si>
  <si>
    <t>Amount if customer is paying anything other than MSF and usage. Like phone or device</t>
  </si>
  <si>
    <t>billing_cycle_code</t>
  </si>
  <si>
    <t>Bill cycle day of the account</t>
  </si>
  <si>
    <t>usage_data_delta_30days_60days_percent</t>
  </si>
  <si>
    <t>Relative change in the total data usage from the past 30 days over the past 60 days
  rolling30 = r30 = rolling 30 days data usage
  rolling60 = r60 = rolling 60 days data usage
  formula: 100-((r30/r60)*100)
  ex.
  r30=1000mb
  r60=3000mb
  delta_decline=100-((1000/3000)*100)
  delta_decline=66.67%
  delta_decline=((1000/(3000/2)-1)*100)
  delta_decline=33.33%
  notes:
  negative % value indicate subs recent 30 days usage declines compared to 60days usage.
  positive % values indicate subs recent 30days usage increased compared to 60days usage</t>
  </si>
  <si>
    <t>Relative change in the total data usage from the past 30 days over the past 60 days
 rolling30 = r30 = rolling 30 days data usage
 rolling60 = r60 = rolling 60 days data usage
 formula: 100-((r30/r60)*100)
 ex.
 r30=1000mb
 r60=3000mb
 delta_decline=100-((1000/3000)*100)
 delta_decline=66.67%
 delta_decline=((1000/(3000/2)-1)*100)
 delta_decline=33.33%
 notes:
 negative % value indicate subs recent 30 days usage declines compared to 60days usage.
 positive % values indicate subs recent 30days usage increased compared to 60days usage</t>
  </si>
  <si>
    <t>usage_sms_roaming_ppu_amount_past_90days</t>
  </si>
  <si>
    <t>Total charge amount for Pay-Per-Use (PPU) SMS roaming usage for the past 90 days</t>
  </si>
  <si>
    <t>usage_voice_roaming_ppu_amount_past_90days</t>
  </si>
  <si>
    <t>Total charge amount for Pay-Per-Use (PPU) voice roaming calls for the past 90 days</t>
  </si>
  <si>
    <t>usage_data_roaming_ppu_amount_past_90days</t>
  </si>
  <si>
    <t>Total charge amount for Pay-Per-Use (PPU) data roaming usage for the past 90 days</t>
  </si>
  <si>
    <t>usage_voice_inter_count_90days</t>
  </si>
  <si>
    <t>Number of inter voice transactions for the past 90 days</t>
  </si>
  <si>
    <t>usage_voice_intra_count_90days</t>
  </si>
  <si>
    <t>Number of intra voice transactions for the past 90 days</t>
  </si>
  <si>
    <t>usage_sms_inter_count_90days</t>
  </si>
  <si>
    <t>Number of inter SMS events for the past 90 days</t>
  </si>
  <si>
    <t>usage_sms_intra_count_90days</t>
  </si>
  <si>
    <t>Number of intra SMS events for the past 90 days</t>
  </si>
  <si>
    <t>usage_data_count_past_90days</t>
  </si>
  <si>
    <t>Number of data usage transactions for the past 90 days</t>
  </si>
  <si>
    <t>usage_vas_count_past_90days</t>
  </si>
  <si>
    <t>Number value added service transactions in past 90 days</t>
  </si>
  <si>
    <t>days_past_due_bucket</t>
  </si>
  <si>
    <t>Days past due bucket</t>
  </si>
  <si>
    <t>Due Payment Day Bucket</t>
  </si>
  <si>
    <t>online_shopper_top_apps</t>
  </si>
  <si>
    <t>Top 1 app/site by data burn, total hits and active days in a month categorized under the Online Shopper profile
 For wireline subscribers, only subscriptions within Metro Manila (including some areas in Rizal) and with DSL, VDSL and GPON technology value are covered.</t>
  </si>
  <si>
    <t>Top 3 apps/sites by data burn and hits categorized under the Online Shopper profile</t>
  </si>
  <si>
    <t>shopee</t>
  </si>
  <si>
    <t>online_gamer_top_apps</t>
  </si>
  <si>
    <t>Top 1 app/site by data burn, total hits and active days in a month categorized under the Online Gamer profile
 For wireline subscribers, only subscriptions within Metro Manila (including some areas in Rizal) and with DSL, VDSL and GPON technology value are covered.</t>
  </si>
  <si>
    <t>Top 3 games by data burn and hits categorized under the Online Gamer profile</t>
  </si>
  <si>
    <t>clash_royale</t>
  </si>
  <si>
    <t>video_streamer_top_apps</t>
  </si>
  <si>
    <t>Top 1 app/site by data burn, total hits and active days in a month categorized under the Video Streamer profile
 For wireline subscribers, only subscriptions within Metro Manila (including some areas in Rizal) and with DSL, VDSL and GPON technology value are covered.</t>
  </si>
  <si>
    <t>Top 3 apps/sites by data burn and hits categorized under the Video Streamer profile</t>
  </si>
  <si>
    <t>youtube</t>
  </si>
  <si>
    <t>music_streamer_top_apps</t>
  </si>
  <si>
    <t>Top 1 app/site by data burn, total hits and active days in a month categorized under the Music Streamer profile
 For wireline subscribers, only subscriptions within Metro Manila (including some areas in Rizal) and with DSL, VDSL and GPON technology value are covered.</t>
  </si>
  <si>
    <t>Top 3 apps/sites by data burn and hits categorized under the Music Streamer profile</t>
  </si>
  <si>
    <t>spotify</t>
  </si>
  <si>
    <t>online_banker_mode</t>
  </si>
  <si>
    <t>Top 1 tag by total hits in a month categorized under the Online Banker profile
 For wireline subscribers, only subscriptions within Metro Manila (including some areas in Rizal) and with DSL, VDSL and GPON technology value are covered.</t>
  </si>
  <si>
    <t>Top 3 banks by hits and data burn categorized under the Online Banker profile</t>
  </si>
  <si>
    <t>metrobank</t>
  </si>
  <si>
    <t>mobile_wallet_user_mode</t>
  </si>
  <si>
    <t>Top 1 tag by total hits in a month categorized under the Mobile Wallet User profile
 For wireline subscribers, only subscriptions within Metro Manila (including some areas in Rizal) and with DSL, VDSL and GPON technology value are covered.</t>
  </si>
  <si>
    <t>Top 3 apps/sites by hits and data burn categorized under the Mobile Wallet User profile</t>
  </si>
  <si>
    <t>gcash</t>
  </si>
  <si>
    <t>credit_card_user_mode</t>
  </si>
  <si>
    <t>Top 1 tag by total hits in a month categorized under the Credit Card User profile</t>
  </si>
  <si>
    <t>Top 3 cards by hits categorized under the Credit Card User profile</t>
  </si>
  <si>
    <t>hsbc</t>
  </si>
  <si>
    <t>foodie_online_delivery_top_apps</t>
  </si>
  <si>
    <t>Top 1 app/site by data burn, total hits and active days in a month categorized under the Foodie Online Delivery profile
 For wireline subscribers, only subscriptions within Metro Manila (including some areas in Rizal) and with DSL, VDSL and GPON technology value are covered.</t>
  </si>
  <si>
    <t>Top 3 apps/sites by data burn and hits categorized under the Foodie Online Delivery profile</t>
  </si>
  <si>
    <t>mcdelivery</t>
  </si>
  <si>
    <t>restaurant_finder_top_apps</t>
  </si>
  <si>
    <t>Top 1 app/site by data burn, total hits and active days in a month categorized under the Restaurant Finder profile
 For wireline subscribers, only subscriptions within Metro Manila (including some areas in Rizal) and with DSL, VDSL and GPON technology value are covered.</t>
  </si>
  <si>
    <t>Top 3 apps/sites by data burn and hits categorized under the Restaurant Finder profile</t>
  </si>
  <si>
    <t>zomato</t>
  </si>
  <si>
    <t>social_media_maverick_top_apps</t>
  </si>
  <si>
    <t>Top 1 app/site by data burn, total hits and active days in a month categorized under the Social Media Maverick profile
 For wireline subscribers, only subscriptions within Metro Manila (including some areas in Rizal) and with DSL, VDSL and GPON technology value are covered.</t>
  </si>
  <si>
    <t>Top 3 apps/sites by data burn and hits categorized under the Social Maverick profile</t>
  </si>
  <si>
    <t>facebook</t>
  </si>
  <si>
    <t>telemedicine_top_apps</t>
  </si>
  <si>
    <t>Top 1 app/site by data burn, total hits and active days in a month categorized under the Telemedicine User profile
 For wireline subscribers, only subscriptions within Metro Manila (including some areas in Rizal) and with DSL, VDSL and GPON technology value are covered.</t>
  </si>
  <si>
    <t>Top 3 apps/sites by data burn and hits categorized under the Telemedicine User profile</t>
  </si>
  <si>
    <t>healthnow</t>
  </si>
  <si>
    <t>health_buff_top_apps</t>
  </si>
  <si>
    <t>Top 1 app/site by data burn, total hits and active days in a month categorized under the Health Buff profile
 For wireline subscribers, only subscriptions within Metro Manila (including some areas in Rizal) and with DSL, VDSL and GPON technology value are covered.</t>
  </si>
  <si>
    <t>Top 3 apps/sites by data burn and hits categorized under the Health Buff profile</t>
  </si>
  <si>
    <t>my_fitness_pal</t>
  </si>
  <si>
    <t>online_reader_top_apps</t>
  </si>
  <si>
    <t>Top 1 app/site by data burn, total hits and active days in a month categorized under the Online Reader profile
 For wireline subscribers, only subscriptions within Metro Manila (including some areas in Rizal) and with DSL, VDSL and GPON technology value are covered.</t>
  </si>
  <si>
    <t>Top 3 apps/sites by data burn and hits categorized under the Online Reader profile</t>
  </si>
  <si>
    <t>dreame</t>
  </si>
  <si>
    <t>ott_user_top_apps</t>
  </si>
  <si>
    <t>Top 1 app/site by data burn, total hits and active days in a month categorized under the OTT User profile
 For wireline subscribers, only subscriptions within Metro Manila (including some areas in Rizal) and with DSL, VDSL and GPON technology value are covered.</t>
  </si>
  <si>
    <t>Top 3 apps/sites by data burn and hits categorized under the OTT User profile</t>
  </si>
  <si>
    <t>facebook_messenger</t>
  </si>
  <si>
    <t>loyalty_card_owner_mode</t>
  </si>
  <si>
    <t>Top 1 tag by Total Active Cards in a Month categorized under the Loyalty Card Owner profile</t>
  </si>
  <si>
    <t>Top 3 cards by hits categorized under the Loyalty Card Owner profile</t>
  </si>
  <si>
    <t>robrewards</t>
  </si>
  <si>
    <t>aspiring_chef_top_apps</t>
  </si>
  <si>
    <t>Top 1 app/site by data burn, total hits and active days in a month categorized under the Aspiring Chef profile
 For wireline subscribers, only subscriptions within Metro Manila (including some areas in Rizal) and with DSL, VDSL and GPON technology value are covered.</t>
  </si>
  <si>
    <t>Top 3 apps/sites by data burn and hits categorized under the Aspiring Chef profile</t>
  </si>
  <si>
    <t>yummy</t>
  </si>
  <si>
    <t>online_learner_top_apps</t>
  </si>
  <si>
    <t>Top 1 app/site by data burn, total hits and active days in a month categorized under the Online Learner profile
 For wireline subscribers, only subscriptions within Metro Manila (including some areas in Rizal) and with DSL, VDSL and GPON technology value are covered.</t>
  </si>
  <si>
    <t>Top 3 apps/sites by data burn and hits categorized under the Online Learner profile</t>
  </si>
  <si>
    <t>udemy</t>
  </si>
  <si>
    <t>digital_creative_top_apps</t>
  </si>
  <si>
    <t>Top 1 app/site by data burn, total hits and active days in a month categorized under the Digital Creative profile
 For wireline subscribers, only subscriptions within Metro Manila (including some areas in Rizal) and with DSL, VDSL and GPON technology value are covered.</t>
  </si>
  <si>
    <t>Top 3 apps/sites by data burn and hits categorized under the Digital Creative profile</t>
  </si>
  <si>
    <t>tiktok</t>
  </si>
  <si>
    <t>productivity_tools_user_top_apps</t>
  </si>
  <si>
    <t>Top 1 app/site by data burn, total hits and active days in a month categorized under the Productivity Tools User profile
 For wireline subscribers, only subscriptions within Metro Manila (including some areas in Rizal) and with DSL, VDSL and GPON technology value are covered.</t>
  </si>
  <si>
    <t>Top 3 tools by data burn and hits categorized under the Productivity Tools User profile</t>
  </si>
  <si>
    <t>google_docs</t>
  </si>
  <si>
    <t>top_apps_hits</t>
  </si>
  <si>
    <t>Top application by hits for a month.
 For wireline subscribers, only subscriptions within Metro Manila (including some areas in Rizal) and with DSL, VDSL and GPON technology value are covered.</t>
  </si>
  <si>
    <t>Top 5 applications by hits for a month</t>
  </si>
  <si>
    <t>zoom</t>
  </si>
  <si>
    <t>top_apps_burn</t>
  </si>
  <si>
    <t>Top 1 application by data burn for a month
 For wireline subscribers, only subscriptions within Metro Manila (including some areas in Rizal) and with DSL, VDSL and GPON technology value are covered.</t>
  </si>
  <si>
    <t>Top 5 applications by data burn for a month</t>
  </si>
  <si>
    <t>usage_vas_ppu_amount_past_90days</t>
  </si>
  <si>
    <t>Total charge amount for PPU value added service transactions for the past 90 days</t>
  </si>
  <si>
    <t>usage_data_roaming_ppu_mb_past_90days</t>
  </si>
  <si>
    <t>Total volume of PPU data roaming usage transactions in megabytes for the past 90 days</t>
  </si>
  <si>
    <t>usage_voice_roaming_ppu_mins_past_90days</t>
  </si>
  <si>
    <t>Total length of PPU voice roaming transactions in minutes for the past 90 days</t>
  </si>
  <si>
    <t>usage_sms_roaming_ppu_count_past_90days</t>
  </si>
  <si>
    <t>Number of PPU SMS roaming transactions for the past 90 days</t>
  </si>
  <si>
    <t>usage_vas_ppu_count_past_90days</t>
  </si>
  <si>
    <t>Number of PPU value added service transactions for the past 90 days</t>
  </si>
  <si>
    <t>usage_voice_inter_consumable_mins_90days</t>
  </si>
  <si>
    <t>Total length of consumable inter voice transactions in minutes for the past 90 days</t>
  </si>
  <si>
    <t>usage_voice_intra_consumable_mins_90days</t>
  </si>
  <si>
    <t>Total length of consumable intra voice transactions in minutes for the past 90 days</t>
  </si>
  <si>
    <t>usage_sms_inter_consumable_count_90days</t>
  </si>
  <si>
    <t>Number of consumable inter SMS for the past 90 days</t>
  </si>
  <si>
    <t>usage_sms_intra_consumable_count_90days</t>
  </si>
  <si>
    <t>Number of consumable intra SMS for the past 90 days</t>
  </si>
  <si>
    <t>gid_b2c</t>
  </si>
  <si>
    <t>Unique global identifier (gid) used to identify multiple subscrptions belonging to one customer.  
Each subscription matched to one customer will have the same GID.  
The rules for matching is defined in the Master Data Management (MDM) platform.</t>
  </si>
  <si>
    <t>EDO-DG</t>
  </si>
  <si>
    <t>MCoE-AMP</t>
  </si>
  <si>
    <t>N/A</t>
  </si>
  <si>
    <t>Type of MDM table where master ID for customer has been derived:
  S - Suspects
  C - Confidence
  U - Uniques</t>
  </si>
  <si>
    <t>Type of MDM table where master ID for customer has been derived:
 S - Suspects
 C - Confidence
 U - Uniques</t>
  </si>
  <si>
    <t>mds_journey2</t>
  </si>
  <si>
    <t>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
  *** applicable to prepaid only</t>
  </si>
  <si>
    <t>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
 *** applicable to prepaid only</t>
  </si>
  <si>
    <t>5: STARTING HABIT</t>
  </si>
  <si>
    <t>usage_data_ppu_past_amount_90days</t>
  </si>
  <si>
    <t>Total charge amount for Pay-Per-Use (PPU) data transactions for the past 90 days</t>
  </si>
  <si>
    <t>usage_sms_intra_ppu_amount_90days</t>
  </si>
  <si>
    <t>Total charge amount for Pay-Per-Use (PPU)intra SMS transactions for the past 90 days</t>
  </si>
  <si>
    <t>usage_sms_inter_ppu_amount_90days</t>
  </si>
  <si>
    <t>Total charge amount for Pay-Per-Use (PPU) inter SMS transactions for the past 90 days</t>
  </si>
  <si>
    <t>usage_voice_intra_ppu_amount_90days</t>
  </si>
  <si>
    <t>Total charge amount for Pay-Per-Use (PPU) intra call transactions for the past 90 days</t>
  </si>
  <si>
    <t>usage_voice_inter_ppu_amount_90days</t>
  </si>
  <si>
    <t>Total charge amount for PPU inter call transactions for the past 90 days</t>
  </si>
  <si>
    <t>remaining_contract_period_months</t>
  </si>
  <si>
    <t>Remaining months before the current contract ends</t>
  </si>
  <si>
    <t>home_barangay_code</t>
  </si>
  <si>
    <t>PSGC code for inferred barangay location from which the home address of the subscriber is found. The inferred location is pulled from the available latched cellsites data of the subscriber within the timeframe specified (10pm to 5am).</t>
  </si>
  <si>
    <t>home_city_code</t>
  </si>
  <si>
    <t>PSGC code for inferred city location from which the home address of the subscriber is found. The inferred location is pulled from the available latched cellsites data of the subscriber within the timeframe specified (10pm to 5am).</t>
  </si>
  <si>
    <t>work_barangay_code</t>
  </si>
  <si>
    <t>PSGC code for inferred barangay location from which the work address of the subscriber is found. The inferred location is pulled from the available latched cellsites data of the subscriber within the timeframe specified (10pm to 5am).</t>
  </si>
  <si>
    <t>work_city_code</t>
  </si>
  <si>
    <t>PSGC code for inferred city location from which the work address of the subscriber is found. The inferred location is pulled from the available latched cellsites data of the subscriber within the timeframe specified (10pm to 5am).</t>
  </si>
  <si>
    <t>imei_value_latest_90days</t>
  </si>
  <si>
    <t>Latest International Mobile Equipment Identity (IMEI) of the subscriber device for the past 90 days</t>
  </si>
  <si>
    <t>CMB</t>
  </si>
  <si>
    <t>beauty_skin_care_fan_top_apps</t>
  </si>
  <si>
    <t>Top 1 app/site by data burn, total hits and active days in a month categorized under the Beauty &amp; Skin Care Fan profile
 For wireline subscribers, only subscriptions within Metro Manila (including some areas in Rizal) and with DSL, VDSL and GPON technology value are covered.</t>
  </si>
  <si>
    <t>Top 3 apps/sites based on data burn and hits categorized under the Beauty &amp; Skin Care Fan profile</t>
  </si>
  <si>
    <t>althea</t>
  </si>
  <si>
    <t>bpo_worker_top_apps</t>
  </si>
  <si>
    <t>Top 1 app/site by data burn, total hits and active days in a month categorized under the BPO Worker profile
 For wireline subscribers, only subscriptions within Metro Manila (including some areas in Rizal) and with DSL, VDSL and GPON technology value are covered.</t>
  </si>
  <si>
    <t>Top 3 tags based on hits categorized under the BPO Worker profile</t>
  </si>
  <si>
    <t>incontact_softphone</t>
  </si>
  <si>
    <t>fashionista_top_apps</t>
  </si>
  <si>
    <t>Top 1 app/site by data burn, total hits and active days in a month categorized under the Fashionista profile
 For wireline subscribers, only subscriptions within Metro Manila (including some areas in Rizal) and with DSL, VDSL and GPON technology value are covered.</t>
  </si>
  <si>
    <t>Top 3 apps/sites based on data burn and hits categorized under the Fashionista profile</t>
  </si>
  <si>
    <t>esquiremag</t>
  </si>
  <si>
    <t>iot_user_top_apps</t>
  </si>
  <si>
    <t>Top 1 app/site by data burn, total hits and active days in a month categorized under the IOT User profile
 For wireline subscribers, only subscriptions within Metro Manila (including some areas in Rizal) and with DSL, VDSL and GPON technology value are covered.</t>
  </si>
  <si>
    <t>Top 3 apps/sites based on data burn and hits categorized under the IOT User profile</t>
  </si>
  <si>
    <t>apple_siri</t>
  </si>
  <si>
    <t>kid_friendly_top_apps</t>
  </si>
  <si>
    <t>Top 1 app/site by data burn, total hits and active days in a month categorized under the Kid Friendly profile
 For wireline subscribers, only subscriptions within Metro Manila (including some areas in Rizal) and with DSL, VDSL and GPON technology value are covered.</t>
  </si>
  <si>
    <t>Top 3 apps/sites based on data burn and hits categorized under the Kid Friendly App User profile</t>
  </si>
  <si>
    <t>national_geographic</t>
  </si>
  <si>
    <t>logistics_delivery_top_apps</t>
  </si>
  <si>
    <t>Top 1 app/site by data burn, total hits and active days in a month categorized under the Logistics &amp; Delivery App User profile
 For wireline subscribers, only subscriptions within Metro Manila (including some areas in Rizal) and with DSL, VDSL and GPON technology value are covered.</t>
  </si>
  <si>
    <t>Top 3 apps/sites based on data burn and hits categorized under the Logistics and Delivery App profile</t>
  </si>
  <si>
    <t>lalamove</t>
  </si>
  <si>
    <t>Indicator if a subscriber is enrolled in GlobeOne</t>
  </si>
  <si>
    <t>GHP, GHP-PREPAID, TM, PW, WIRELINE, GLOBE</t>
  </si>
  <si>
    <t>tmapp_user_indicator</t>
  </si>
  <si>
    <t>Indicator if a subscriber is enrolled in TM App</t>
  </si>
  <si>
    <t>productivity_tools_user_indicator</t>
  </si>
  <si>
    <t>Indicator if a subscriber uses productivity tools such as zoom, sharepoint, workday
 For wireline subscribers, only subscriptions within Metro Manila (including some areas in Rizal) and with DSL, VDSL and GPON technology value are covered.</t>
  </si>
  <si>
    <t>Indicator if a subscriber uses productivity tools:
asana
basecamp
excel_online
fuze_meeting
global_meet
gmail
google_docs
gotomeeting
hangouts
meetup
office_docs
office365
outlook
powerpoint_online
sharepoint
skype
slack
teams
trello
webex
word_online
wunderlist
yahoo_mail
zendesk
zoho_mail
zoho_meeting
zoom</t>
  </si>
  <si>
    <t>productivity_tools_user_bucket</t>
  </si>
  <si>
    <t>Bucketing based on identified metric for Productivity Tools User profile
 Metric: Average Daily Hits in a Month
 Valid values:
 LOW: &lt;= 5 hits
 MID: &gt; 5 &amp; &lt;= 10 hits
 HIGH: &gt; 10 hits
 For wireline subscribers, only subscriptions within Metro Manila (including some areas in Rizal) and with DSL, VDSL and GPON technology value are covered.</t>
  </si>
  <si>
    <t>Bucketing based on identified metric for Productivity Tools User profile
Metric: Average Daily Hits in a Month
Valid values:
LOW: &lt;= 5 hits
MID: &gt; 5 &amp; &lt;= 10 hits
HIGH: &gt; 10 hits</t>
  </si>
  <si>
    <t>productivity_tools_user_details</t>
  </si>
  <si>
    <t>Metric used and value for the Productivity Tools User profile
 For wireline subscribers, only subscriptions within Metro Manila (including some areas in Rizal) and with DSL, VDSL and GPON technology value are covered.</t>
  </si>
  <si>
    <t>Metric used and value for Productivity Tools User profile</t>
  </si>
  <si>
    <t>{"Average Daily Hits in a Month": 9}</t>
  </si>
  <si>
    <t>kpop_fan_top_apps</t>
  </si>
  <si>
    <t>Top 1 app/site by data burn, total hits and active days in a month categorized under the KPop Fan profile
 For wireline subscribers, only subscriptions within Metro Manila (including some areas in Rizal) and with DSL, VDSL and GPON technology value are covered.</t>
  </si>
  <si>
    <t>Top 3 apps/sites by data burn and hits categorized under the KPop Fan profile</t>
  </si>
  <si>
    <t>viu</t>
  </si>
  <si>
    <t>road_warrior_top_apps</t>
  </si>
  <si>
    <t>Top 1 application or website by Average Daily Hits in a Month categorized under the Road Warrior profile</t>
  </si>
  <si>
    <t>Top 3 apps/sites by data burn and hits categorized under the Road Warrior profile</t>
  </si>
  <si>
    <t>google_maps</t>
  </si>
  <si>
    <t>tnvs_user_top_apps</t>
  </si>
  <si>
    <t>Top 1 app/site by data burn, total hits and active days in a month categorized under the TNVS User profile
 For wireline subscribers, only subscriptions within Metro Manila (including some areas in Rizal) and with DSL, VDSL and GPON technology value are covered.</t>
  </si>
  <si>
    <t>Top 3 apps/sites by data burn and hits categorized under the TNVS User profile</t>
  </si>
  <si>
    <t>grab</t>
  </si>
  <si>
    <t>travel_enthusiast_top_apps</t>
  </si>
  <si>
    <t>Top 1 app/site by data burn, total hits and active days in a month categorized under the Travel Enthusiast profile
 For wireline subscribers, only subscriptions within Metro Manila (including some areas in Rizal) and with DSL, VDSL and GPON technology value are covered.</t>
  </si>
  <si>
    <t>Top 3 apps/sites by data burn and hits categorized under the Travel Enthusiast profile</t>
  </si>
  <si>
    <t>agoda</t>
  </si>
  <si>
    <t>coffee_lover_indicator</t>
  </si>
  <si>
    <t>Indicator if a subscriber accesses online coffee shops or coffee sellers like nespresso, starbucks, yardstickcoffee
 For wireline subscribers, only subscriptions within Metro Manila (including some areas in Rizal) and with DSL, VDSL and GPON technology value are covered.</t>
  </si>
  <si>
    <t>Indicator if a subscriber accesses online coffee shops: coffeebeanrewards, harlanholden, starbucks, tobysestateph</t>
  </si>
  <si>
    <t>coffee_lover_bucket</t>
  </si>
  <si>
    <t>Bucketing based on identified metric for Coffee Lover profile
 Metric: Total Hits in a Month
 Valid values:
 LOW: &lt;= 3 hits
 MID: &gt; 3 &amp; &lt;= 5 hits
 HIGH: &gt; 5 hits
 For wireline subscribers, only subscriptions within Metro Manila (including some areas in Rizal) and with DSL, VDSL and GPON technology value are covered.</t>
  </si>
  <si>
    <t>Bucketing based on identified metric for Coffee Lover profile
Metric: Total Hits in a Month
Valid values:
LOW: = 1 hit
MID: = 2 hits
HIGH: &gt; 2 hits</t>
  </si>
  <si>
    <t>coffee_lover_details</t>
  </si>
  <si>
    <t>Metric used and value for the Coffee Lover profile
 For wireline subscribers, only subscriptions within Metro Manila (including some areas in Rizal) and with DSL, VDSL and GPON technology value are covered.</t>
  </si>
  <si>
    <t>Metric used and value for Coffee Lover profile</t>
  </si>
  <si>
    <t>coffee_lover_top_apps</t>
  </si>
  <si>
    <t>Top 1 app/site by data burn, total hits and active days in a month categorized under the Coffee Lover profile
 For wireline subscribers, only subscriptions within Metro Manila (including some areas in Rizal) and with DSL, VDSL and GPON technology value are covered.</t>
  </si>
  <si>
    <t>Top 3 apps/sites by data burn and hits categorized under the Coffee Lover profile</t>
  </si>
  <si>
    <t>starbucks</t>
  </si>
  <si>
    <t>chi_indicator</t>
  </si>
  <si>
    <t>Inferred indicator to detect subscriber happiness and unhappiness.
TRUE - Happy
FALSE - Unhappy</t>
  </si>
  <si>
    <t>Inferred indicator to detect subscriber happiness and unhappiness
 1 - happy
 0 - unhappy</t>
  </si>
  <si>
    <t>nps_detractor_indicator</t>
  </si>
  <si>
    <t>Indicator among Mobile Data Services (MDS) and Mobile Core Services (MCS) that infers detractors and promoters from a unified model for wireless subscribers and using broadband services for wireless subscribers.
TRUE - Detractor
FALSE - Promoter</t>
  </si>
  <si>
    <t>Indicator among mobile data services (MDS) and mobile core services (MCS) subscribers that infers detractors and promoters from a unified model
 1 - detractor
 0 - promoter</t>
  </si>
  <si>
    <t>DGT</t>
  </si>
  <si>
    <t>GHP, GHP-PREPAID, TM, PW, BAYAN, GLOBE</t>
  </si>
  <si>
    <t>nps_detractor_score</t>
  </si>
  <si>
    <t>Inferred probability score of mobile data services (MDS) and mobile core services (MCS) or wireline services that infers detractors and promoters from a unified model.</t>
  </si>
  <si>
    <t>Inferred probability score of mobile data services (MDS) and mobile core services (MCS) subscribers that infers detractors and promoters from a unified model</t>
  </si>
  <si>
    <t>relational_nps_detractor_indicator</t>
  </si>
  <si>
    <t>Indicator if a subscriber is a detractor from a predictive model which provides inferred scores for Promoter, Detractor and Neutral sentiments.
TRUE - Detractor
FALSE - Promoter</t>
  </si>
  <si>
    <t>Indicator if a subscriber is a detractor from a predictive model which provides inferred scores for Promoter, Detractor and Neutral sentiments
 1 - detractor
 0 - promoter</t>
  </si>
  <si>
    <t>relational_nps_detractor_code</t>
  </si>
  <si>
    <t>Label based on the inferred score probability of a subscriber to detect detractors and promoters
  Values:
  D = Detractor
  P = Promoter
  N = Neutral</t>
  </si>
  <si>
    <t>Label based on the inferred score probability of a subscriber to detect detractors and promoters
 Values:
 D = Detractor
 P = Promoter
 N = Neutral</t>
  </si>
  <si>
    <t>bank_caller_indicator</t>
  </si>
  <si>
    <t>Indicator if a subscriber calls whitelisted bank numbers such as pnb, unionbank, rcbc</t>
  </si>
  <si>
    <t>Indicator if a subscriber calls whitelisted bank numbers</t>
  </si>
  <si>
    <t>bank_caller_details</t>
  </si>
  <si>
    <t>Metric used and value for the Bank Caller profile</t>
  </si>
  <si>
    <t>Metric used and value for Bank Caller profile</t>
  </si>
  <si>
    <t>{"Total Hits in a Month": 1}</t>
  </si>
  <si>
    <t>bank_caller_mode</t>
  </si>
  <si>
    <t>Top 1 tag by Total Hits in a Month categorized under the Bank Caller profile</t>
  </si>
  <si>
    <t>Top 3 banks by hits categorized under the profile</t>
  </si>
  <si>
    <t>bdo</t>
  </si>
  <si>
    <t>bank_caller_bucket</t>
  </si>
  <si>
    <t>Bucketing based on the identified metric for the Bank Caller profile
  Metric: Total Hits in a Month
  Valid values:
  Wireless
  LOW: &lt;= 2
  MID: &gt; 2 &amp; &lt;= 5
  HIGH: &gt; 5</t>
  </si>
  <si>
    <t>Bucketing based on identified metric for Bank Caller profile
 Metric: Total Hits in a Month
 Valid values:
 LOW: &lt;=2 hits
 MID: &gt; 2 &amp; &lt;= 5 hits
 HIGH: &gt; 5 hits</t>
  </si>
  <si>
    <t>customer_preferred_contact_mode</t>
  </si>
  <si>
    <t>The preferred contact mode such as Mobile Phone, Email, Mail, etc.</t>
  </si>
  <si>
    <t>Email</t>
  </si>
  <si>
    <t>customer_contact_authorized_representative_name</t>
  </si>
  <si>
    <t>Name of the authorized representative of the customer contract</t>
  </si>
  <si>
    <t>John Doe</t>
  </si>
  <si>
    <t>customer_contact_authorized_signatory_name</t>
  </si>
  <si>
    <t>Name of the authorized signatory of the customer contract</t>
  </si>
  <si>
    <t>Jane Doe</t>
  </si>
  <si>
    <t>bb_app_nominated_email_verified_indicator</t>
  </si>
  <si>
    <t>Indicator if the email is verified. Values: Y, N</t>
  </si>
  <si>
    <t>Globe At Home</t>
  </si>
  <si>
    <t>bb_app_nominated_number_verified_indicator</t>
  </si>
  <si>
    <t>Indicator if the mobile number is verified. Values: Y, N</t>
  </si>
  <si>
    <t>sim_tag</t>
  </si>
  <si>
    <t>The subscribertype key. 
  Values:
  Regular - Whenever its subscribertypeKey = 'MT
  VISI - Whenever its subscribertypeKey = 'BB'</t>
  </si>
  <si>
    <t>The subscribertype key. 
Values:
Regular - Whenever its subscribertypeKey = 'MT
VISI - Whenever its subscribertypeKey = 'BB'</t>
  </si>
  <si>
    <t>Regular, VISI</t>
  </si>
  <si>
    <t>CRM</t>
  </si>
  <si>
    <t>FVT - CRM</t>
  </si>
  <si>
    <t>fraud_indicator</t>
  </si>
  <si>
    <t>Indicator if the subscriber has fraudulent activity</t>
  </si>
  <si>
    <t>chi_happiness_score</t>
  </si>
  <si>
    <t>Customer state manifested through behavior of continuous patronage of service, engagement and availment of products, measured by perceived quality, perceived value and customer expectations from 0 (lowest) to 100 (highest)</t>
  </si>
  <si>
    <t>chi_quality_score</t>
  </si>
  <si>
    <t>Customer score for perceived network &amp; system performance from 0 (lowest) to 100 (highest)</t>
  </si>
  <si>
    <t>chi_segment</t>
  </si>
  <si>
    <t>Subscriber segment (data-heavy, core-heavy, hybrid subs)</t>
  </si>
  <si>
    <t>CORE</t>
  </si>
  <si>
    <t>chi_expectation_score</t>
  </si>
  <si>
    <t>Customers' level of investment and engagement from 0 (lowest) to 100 (highest)</t>
  </si>
  <si>
    <t>chi_value_score</t>
  </si>
  <si>
    <t>Customers score for use of data and core services from 0 (lowest) to 100 (highest)</t>
  </si>
  <si>
    <t>address_house_bldg_name</t>
  </si>
  <si>
    <t>Office, building, house or suite number of the subscriber's address</t>
  </si>
  <si>
    <t>Labogon Mandaue</t>
  </si>
  <si>
    <t>address_street_name</t>
  </si>
  <si>
    <t>Street number, street name, office, building, or suite number of the subscriber's address</t>
  </si>
  <si>
    <t>Ortigas 12 ADB Avenue</t>
  </si>
  <si>
    <t>address_barangay_name</t>
  </si>
  <si>
    <t>Barangay name of the subscriber's address</t>
  </si>
  <si>
    <t>Mandaluyong CPO</t>
  </si>
  <si>
    <t>GHP, GHP-PREPAID, TM, WIRELINE, BAYAN, GLOBE</t>
  </si>
  <si>
    <t>address_city_name</t>
  </si>
  <si>
    <t>City name of the subscriber's address</t>
  </si>
  <si>
    <t>Cebu City</t>
  </si>
  <si>
    <t>address_province_name</t>
  </si>
  <si>
    <t>Province name of the subscriber's address</t>
  </si>
  <si>
    <t>Cebu</t>
  </si>
  <si>
    <t>address_region_name</t>
  </si>
  <si>
    <t>Region name of the subscriber's address</t>
  </si>
  <si>
    <t>Region VII</t>
  </si>
  <si>
    <t>address_zip_code</t>
  </si>
  <si>
    <t>Zip code of the subscriber's address</t>
  </si>
  <si>
    <t>clv_survival_segment</t>
  </si>
  <si>
    <t>Inferred Customer Lifetime Value (CLV) segment of subscribers based on their profile</t>
  </si>
  <si>
    <t>clv_survival_mo1</t>
  </si>
  <si>
    <t>Inferred probability of a subscriber's survival to the next month</t>
  </si>
  <si>
    <t>clv_survival_mo2</t>
  </si>
  <si>
    <t>Inferred probability of a subscriber's survival to the next 2 months</t>
  </si>
  <si>
    <t>clv_survival_mo3</t>
  </si>
  <si>
    <t>Inferred probability of a subscriber's survival to the next 3 months</t>
  </si>
  <si>
    <t>clv_survival_mo4</t>
  </si>
  <si>
    <t>Inferred probability of a subscriber's survival to the next 4 months</t>
  </si>
  <si>
    <t>clv_survival_mo5</t>
  </si>
  <si>
    <t>Inferred probability of a subscriber's survival to the next 5 months</t>
  </si>
  <si>
    <t>clv_survival_mo6</t>
  </si>
  <si>
    <t>Inferred probability of a subscriber's survival to the next 6 months</t>
  </si>
  <si>
    <t>clv_survival_mo7</t>
  </si>
  <si>
    <t>Inferred probability of a subscriber's survival to the next 7 months</t>
  </si>
  <si>
    <t>clv_survival_mo8</t>
  </si>
  <si>
    <t>Inferred probability of a subscriber's survival to the next 8 months</t>
  </si>
  <si>
    <t>clv_survival_mo9</t>
  </si>
  <si>
    <t>Inferred probability of a subscriber's survival to the next 9 months</t>
  </si>
  <si>
    <t>clv_survival_mo10</t>
  </si>
  <si>
    <t>Inferred probability of a subscriber's survival to the next 10 months</t>
  </si>
  <si>
    <t>clv_survival_mo11</t>
  </si>
  <si>
    <t>Inferred probability of a subscriber's survival to the next 11 months</t>
  </si>
  <si>
    <t>clv_survival_mo12</t>
  </si>
  <si>
    <t>Inferred probability of a subscriber's survival to the next 12 months</t>
  </si>
  <si>
    <t>content_creator_indicator</t>
  </si>
  <si>
    <t>Indicator if a subscriber uses content creation platforms such as kumu, youtube, twitch
 For wireline subscribers, only subscriptions within Metro Manila (including some areas in Rizal) and with DSL, VDSL and GPON technology value are covered.</t>
  </si>
  <si>
    <t>Indicator if a subscriber uses content creation platforms such as Mixer, Twitch, or Youtube</t>
  </si>
  <si>
    <t>content_creator_bucket</t>
  </si>
  <si>
    <t>Bucketing based on identified metric for Content Creator profile
 Metric: Total Data Burn in Gigabytes in a Month (where data burn = data upload)
 Valid values:
 LOW: &lt;= 2 GB
 MID: &gt; 2GB &amp; &lt;= 4 GB
 HIGH: &gt; 4 GB
 For wireline subscribers, only subscriptions within Metro Manila (including some areas in Rizal) and with DSL, VDSL and GPON technology value are covered.</t>
  </si>
  <si>
    <t>Bucketing based on identified metric for Content Creator profile
 Metric: Total Data Burn in Gigabytes in a Month
 Valid values:
 LOW: &lt;= 2 GB
 MID: &gt; 2GB &amp; &lt;= 4 GB
 HIGH: &gt; 4 GB</t>
  </si>
  <si>
    <t>content_creator_details</t>
  </si>
  <si>
    <t>Metric used and value for the Content Creator profile
 For wireline subscribers, only subscriptions within Metro Manila (including some areas in Rizal) and with DSL, VDSL and GPON technology value are covered.</t>
  </si>
  <si>
    <t>Metric used and value for Content Creator profile</t>
  </si>
  <si>
    <t>{\Total Hits in a Month\": 4}"</t>
  </si>
  <si>
    <t>content_creator_top_apps</t>
  </si>
  <si>
    <t>Top 1 app/site by data burn, total hits and active days in a month categorized under the Content Creator profile
 For wireline subscribers, only subscriptions within Metro Manila (including some areas in Rizal) and with DSL, VDSL and GPON technology value are covered.</t>
  </si>
  <si>
    <t>Top 3 apps/sites by data burn and hits categorized under the Content Creator profile</t>
  </si>
  <si>
    <t>stock_trader_indicator</t>
  </si>
  <si>
    <t>Indicator if a subscriber visits stock-trading sites such as philstocks, colfinancial, investagrams
 For wireline subscribers, only subscriptions within Metro Manila (including some areas in Rizal) and with DSL, VDSL and GPON technology value are covered.</t>
  </si>
  <si>
    <t>Indicator if a subscriber visits stock-trading sites:
 philstocks, bpitrade, bdonomura, itrade, colfinancial, abcapitalonline, abacusonline, angpingonline, psetradex
 rcbcsec, wealthsec, cohercotrade, 2tradeasia, firstmetrosec, maketrade, p2ptradeonline, timson, utradeph, vcsecurities</t>
  </si>
  <si>
    <t>stock_trader_bucket</t>
  </si>
  <si>
    <t>Bucketing based on identified metric for Stock Trader profile
 Metric: Total Hits in a Month
 Valid values:
 LOW: &lt;= 2
 MID: &gt; 2 &amp; &lt;= 5 hits
 HIGH: &gt; 5 hits
 For wireline subscribers, only subscriptions within Metro Manila (including some areas in Rizal) and with DSL, VDSL and GPON technology value are covered.</t>
  </si>
  <si>
    <t>Bucketing based on identified metric for Stock Trader profile
 Metric: Total Hits in a Month
 Valid values:
 LOW: &lt;= 2
 MID: &gt; 2 &amp; &lt;= 5 hits
 HIGH: &gt; 5 hits</t>
  </si>
  <si>
    <t>stock_trader_details</t>
  </si>
  <si>
    <t>Metric used and value for the Stock Trader profile
 For wireline subscribers, only subscriptions within Metro Manila (including some areas in Rizal) and with DSL, VDSL and GPON technology value are covered.</t>
  </si>
  <si>
    <t>Metric used and value for Stock Trader profile</t>
  </si>
  <si>
    <t>stock_trader_top_apps</t>
  </si>
  <si>
    <t>Top 1 app/site by data burn, total hits and active days in a month categorized under the Stock Trader profile
 For wireline subscribers, only subscriptions within Metro Manila (including some areas in Rizal) and with DSL, VDSL and GPON technology value are covered.</t>
  </si>
  <si>
    <t>Top 3 apps/sites by data burn and hits categorized under the Stock Trader profile</t>
  </si>
  <si>
    <t>philstocks</t>
  </si>
  <si>
    <t>martial_arts_fan_indicator</t>
  </si>
  <si>
    <t>Indicator if a subscriber accesses martial arts apps or websites such as 3_more_rounds, evolve-mma, ewrestling
 For wireline subscribers, only subscriptions within Metro Manila (including some areas in Rizal) and with DSL, VDSL and GPON technology value are covered.</t>
  </si>
  <si>
    <t>Indicator if a subscriber accesses martial arts pages:
 3morerounds, asianboxing, badlefthook, box, boxing, boxing247, boxingaction, boxingaction24, boxinginsider, boxingmonthly, boxingnews24, boxingscene, boxingtalk, boxingwriter, boxrec, cyberboxingzone, doghouseboxing, fightinsight, fightnews, fightnights, fightsaga, heavyweightnews, hotboxingnews, insideboxing, maxboxing, nowboxing, pound4pound, ringnews24, ringsidereport, ringtv, roundbyroundboxing, secondsout, tbc, wbaasiaboxing, wbaboxing, wboboxing, womenboxing, worldboxingnews, allstarfights, bellator, evolve-mma, fightcreed, flocombat, mixedmartialarts, mmafighting, mmamania, mmanews, mmaweekly, mymmanews, ufc, ufcfightclub, ufcstats, urcc-mma, warriorartsalliance, aikido-international, aikidojournal, aikikai, aikiweb, usafaikidonews, arnisphilippines, attacktheback, bjj-spot, bjj-world, bjjheroes, bjjnews, bjjphilippines, bjpenn, flograppling, graciemag, grapplinginsider, ibjjf, jiujitsutimes, capoeira, capoeiranewsonline, ewrestling, ewrestlingnews, f4wonline, prowrestling, prowrestling247, prowrestlingnewshub, pwinsider, pwtorch, ringsidenews, watchwrestling, wrestlezone, wrestling-online, wrestlinginc, wrestlingnews, wrestlingnewsworld, wwe, wwfoldschool, muaythaicitizen, muaythaitv, wmcmuaythai, ijf, judoinfo, judoinside, taekwondotimes, worldtaekwondo, philboxing, philippinetaekwondo, 15rounds, bloodyelbow, combatpress, fighthype, fightmag, fite, onefc, functionalselfdefense, wkophilippines, yaw-yan</t>
  </si>
  <si>
    <t>martial_arts_fan_bucket</t>
  </si>
  <si>
    <t>Bucketing based on identified metric for Martial Arts Fan profile
 Metric: Total Hits in a Month
 Valid values:
 LOW: &lt;= 10 hits
 MID: &gt; 10 &amp; &lt;= 20 hits
 HIGH: &gt; 20 hits
 For wireline subscribers, only subscriptions within Metro Manila (including some areas in Rizal) and with DSL, VDSL and GPON technology value are covered.</t>
  </si>
  <si>
    <t>Bucketing based on identified metric for Martial Arts Fan profile
 Metric: Total Hits in a Month
 Valid values:
 LOW: &lt;= 10 hits
 MID: &gt; 10 &amp; &lt;= 20 hits
 HIGH: &gt; 20 hits</t>
  </si>
  <si>
    <t>martial_arts_fan_details</t>
  </si>
  <si>
    <t>Metric used and value for the Martial Arts Fan profile
 For wireline subscribers, only subscriptions within Metro Manila (including some areas in Rizal) and with DSL, VDSL and GPON technology value are covered.</t>
  </si>
  <si>
    <t>Metric used and value for Martial Arts Fan profile</t>
  </si>
  <si>
    <t>martial_arts_fan_top_apps</t>
  </si>
  <si>
    <t>Top 1 app/site by data burn, total hits and active days in a month categorized under the Martial Arts Fan profile
 For wireline subscribers, only subscriptions within Metro Manila (including some areas in Rizal) and with DSL, VDSL and GPON technology value are covered.</t>
  </si>
  <si>
    <t>Top 3 apps/sites by data burn and hits categorized under the Martial Arts Fan profile</t>
  </si>
  <si>
    <t>yaw-yan</t>
  </si>
  <si>
    <t>comics_reader_indicator</t>
  </si>
  <si>
    <t>Indicator if a subscriber visits comic apps or websites such as comixology, digital_comic_museum, comic_punch
 For wireline subscribers, only subscriptions within Metro Manila (including some areas in Rizal) and with DSL, VDSL and GPON technology value are covered.</t>
  </si>
  <si>
    <t>Indicator if a subscriber visits tech-related sites:
 unbox, adobotech, techpilipinas, pinoytechsaga, cnet, filipinotechaddict, gadgetsandtech, gamesgadgetsandtech, gizguide, greatsciencenews, ignite, manilashaker, newsbytes, newsbytesapp, noypigeeks, phtechcommunity, pinoymetrogeek, pinoytechblog, techpinas, yugatech</t>
  </si>
  <si>
    <t>comics_reader_bucket</t>
  </si>
  <si>
    <t>Bucketing based on identified metric for Geek - Tech profile
 Metric: Total Hits in a Month
 Valid values:
 LOW: &lt;= 10 hits
 MID: &gt; 10 &amp; &lt;= 20 hits
 HIGH: &gt; 20 hits
 For wireline subscribers, only subscriptions within Metro Manila (including some areas in Rizal) and with DSL, VDSL and GPON technology value are covered.</t>
  </si>
  <si>
    <t>Bucketing based on identified metric for Geek - Tech profile
 Metric: Total Hits in a Month
 Valid values:
 LOW: &lt;= 15 hits
 MID: &gt; 15 &amp; &lt;= 20 hits
 HIGH: &gt; 20 hits</t>
  </si>
  <si>
    <t>comics_reader_details</t>
  </si>
  <si>
    <t>Metric used and value for the Comics Reader profile
 For wireline subscribers, only subscriptions within Metro Manila (including some areas in Rizal) and with DSL, VDSL and GPON technology value are covered.</t>
  </si>
  <si>
    <t>Metric used and value for Geek - Comics profile</t>
  </si>
  <si>
    <t>comics_reader_top_apps</t>
  </si>
  <si>
    <t>Top 1 app/site by data burn, total hits and active days in a month categorized under the Comics Reader profile
 For wireline subscribers, only subscriptions within Metro Manila (including some areas in Rizal) and with DSL, VDSL and GPON technology value are covered.</t>
  </si>
  <si>
    <t>Top 3 apps/sites by data burn and hits categorized under the Geek - Comics profile</t>
  </si>
  <si>
    <t>yugatech</t>
  </si>
  <si>
    <t>grab_driver_indicator</t>
  </si>
  <si>
    <t>Indicator if a subscriber accesses grab applications along with online maps such as google_maps, waze, yahoo_maps</t>
  </si>
  <si>
    <t>Indicator if a subscriber accesses Grab application with along with online map usage:
 Waze, Googlemaps, Grab</t>
  </si>
  <si>
    <t>grab_driver_bucket</t>
  </si>
  <si>
    <t>Bucketing based on the identified metric for the Grab Driver profile
  Metric: Total Hits in a Month
  Valid values:
  Wireless
  LOW: &lt;= 20
  MID: &gt; 20 &amp; &lt;= 30
  HIGH: &gt; 30</t>
  </si>
  <si>
    <t>Bucketing based on identified metric for Grab Driver profile
 Metric: Total Hits in a Month
 Valid values:
 LOW: &lt;= 20 hits
 MID: &gt; 20 &amp; &lt;= 30 hits
 HIGH: &gt; 30 hits</t>
  </si>
  <si>
    <t>grab_driver_details</t>
  </si>
  <si>
    <t>Metric used and value for the Grab Driver profile</t>
  </si>
  <si>
    <t>Metric used and value for Grab Driver profile</t>
  </si>
  <si>
    <t>bpo_worker_indicator</t>
  </si>
  <si>
    <t>Indicator if a subscriber accesses applications or websites featuring contact center or CRM solutions like aircall, ameyo, callhippo
 For wireline subscribers, only subscriptions within Metro Manila (including some areas in Rizal) and with DSL, VDSL and GPON technology value are covered.</t>
  </si>
  <si>
    <t>Indicator if a subscriber has transactions in whitelisted all-BPO buildings</t>
  </si>
  <si>
    <t>bpo_worker_bucket</t>
  </si>
  <si>
    <t>Bucketing based on identified metric for BPO Worker profile
 Metric: Total Hits in a Month
 Valid values:
 LOW: &lt;= 12 hits
 MID: &gt; 12 &amp; &lt;= 20 hits
 HIGH: &gt; 20 hits
 For wireline subscribers, only subscriptions within Metro Manila (including some areas in Rizal) and with DSL, VDSL and GPON technology value are covered.</t>
  </si>
  <si>
    <t>Bucketing based on identified metric for BPO Worker profile
 Metric: Total Hits in a Month
 Valid values:
 LOW
 MID
 HIGH</t>
  </si>
  <si>
    <t>bpo_worker_details</t>
  </si>
  <si>
    <t>Metric used and value for the BPO Worker profile
 For wireline subscribers, only subscriptions within Metro Manila (including some areas in Rizal) and with DSL, VDSL and GPON technology value are covered.</t>
  </si>
  <si>
    <t>Metric used and value for BPO Worker profile</t>
  </si>
  <si>
    <t>aspiring_chef_indicator</t>
  </si>
  <si>
    <t>Indicator if a subscriber accesses applications or websites that feature cooking or recipes such as allrecipes, cook_magazine, tasty
 For wireline subscribers, only subscriptions within Metro Manila (including some areas in Rizal) and with DSL, VDSL and GPON technology value are covered.</t>
  </si>
  <si>
    <t>Indicator if a subscriber accesses applications or websites that features cooking or recipes:
 allrecipes
 cook_magazine
 cookat
 delish_ph
 epicurious
 filipino_food_recipes
 food_network
 food_network_asia
 home_kitchenomics
 kawaling_pinoy
 kitchenomics
 panlasang_pinoy
 pepper
 tastemade
 tasty
 yummy</t>
  </si>
  <si>
    <t>aspiring_chef_bucket</t>
  </si>
  <si>
    <t>Bucketing based on identified metric for Aspiring Chef profile
 Metric: Total Hits in a Month
 Valid values:
 LOW: &lt;= 8 hits
 MID: &gt; 8 &amp; &lt;= 15 hits
 HIGH: &gt; 15 hits
 For wireline subscribers, only subscriptions within Metro Manila (including some areas in Rizal) and with DSL, VDSL and GPON technology value are covered.</t>
  </si>
  <si>
    <t>Bucketing based on identified metric for Aspiring Chef profile
 Metric: Total Hits in a Month
 Valid values:
 LOW: &lt;= 8 hits
 MID: &gt; 8 &amp; &lt;= 15 hits
 HIGH: &gt; 15 hits</t>
  </si>
  <si>
    <t>aspiring_chef_details</t>
  </si>
  <si>
    <t>Metric used and value for the Aspiring Chef profile
 For wireline subscribers, only subscriptions within Metro Manila (including some areas in Rizal) and with DSL, VDSL and GPON technology value are covered.</t>
  </si>
  <si>
    <t>Metric used and value for Aspiring Chef profile</t>
  </si>
  <si>
    <t>interaction_count_30days</t>
  </si>
  <si>
    <t>Number of interactions between the subscriber and the Customer Service Representative (CSR) for the past 30 days</t>
  </si>
  <si>
    <t>interaction_top_channel_30days</t>
  </si>
  <si>
    <t>Channel with the top number of interactions between the subscriber and the Customer Service Representative (CSR) for the past 30 days</t>
  </si>
  <si>
    <t>SNS - Facebook
 SNS - Twitter
 Walk-In</t>
  </si>
  <si>
    <t>interaction_top_channel_count_30days</t>
  </si>
  <si>
    <t>Number of interactions through the top channel between the subscriber and the Customer Service Representative (CSR) for the past 30 days</t>
  </si>
  <si>
    <t>credit_card_user_indicator</t>
  </si>
  <si>
    <t>Indicator if a subscriber receives SMS from credit card companies:
  AUB, BDO, BPI</t>
  </si>
  <si>
    <t>Indicator if a subscriber receives SMS from credit card companies:
 AUB, BDO, BPI, BPI AMORE, Chinabank, Citibank AMEX, Citibank, DBS, HSBC, Maybank, Metrobank, PNB, PS Bank, RCBC, Security Bank</t>
  </si>
  <si>
    <t>credit_card_user_bucket</t>
  </si>
  <si>
    <t>Bucketing based on the identified metric for the Credit Card User profile
  Metric: Total Hits in a Month
  Valid values:
  Wireless
  LOW: &lt;= 5
  MID: &gt; 5 &amp; &lt;= 13
  HIGH: &gt; 13</t>
  </si>
  <si>
    <t>Bucketing based on identified metric for the Credit Card User profile
 Metric: Total Hits in a Month
 Valid values:
 LOW: = 5
 MID: &gt; 5 &amp; &lt;= 13
 HIGH: &gt; 13</t>
  </si>
  <si>
    <t>credit_card_user_details</t>
  </si>
  <si>
    <t>Metric used and value for the Credit Card User profile</t>
  </si>
  <si>
    <t>Metric used and value for Credit Card User profile</t>
  </si>
  <si>
    <t>{"Total Hits in a Month": 14}"</t>
  </si>
  <si>
    <t>parent_indicator</t>
  </si>
  <si>
    <t>Inferred indicator if a subscriber is a parent</t>
  </si>
  <si>
    <t>sale_shopper_top_apps</t>
  </si>
  <si>
    <t>Top 1 app/site by total hits during sale day of the month categorized under the Sale Shopper profile
 For wireline subscribers, only subscriptions within Metro Manila (including some areas in Rizal) and with DSL, VDSL and GPON technology value are covered.</t>
  </si>
  <si>
    <t>Top 3 apps/websites based on data burn and hits categorized under the Sale Shopper profile</t>
  </si>
  <si>
    <t>lazada</t>
  </si>
  <si>
    <t>clv_survival_mo13</t>
  </si>
  <si>
    <t>Inferred probability of a subscriber's survival to the next 13 months</t>
  </si>
  <si>
    <t>clv_survival_mo14</t>
  </si>
  <si>
    <t>Inferred probability of a subscriber's survival to the next 14 months</t>
  </si>
  <si>
    <t>clv_survival_mo15</t>
  </si>
  <si>
    <t>Inferred probability of a subscriber's survival to the next 15 months</t>
  </si>
  <si>
    <t>clv_survival_mo16</t>
  </si>
  <si>
    <t>Inferred probability of a subscriber's survival to the next 16 months</t>
  </si>
  <si>
    <t>clv_survival_mo17</t>
  </si>
  <si>
    <t>Inferred probability of a subscriber's survival to the next 17 months</t>
  </si>
  <si>
    <t>clv_survival_mo18</t>
  </si>
  <si>
    <t>Inferred probability of a subscriber's survival to the next 18 months</t>
  </si>
  <si>
    <t>clv_survival_mo19</t>
  </si>
  <si>
    <t>Inferred probability of a subscriber's survival to the next 19 months</t>
  </si>
  <si>
    <t>clv_survival_mo20</t>
  </si>
  <si>
    <t>Inferred probability of a subscriber's survival to the next 20 months</t>
  </si>
  <si>
    <t>clv_survival_mo21</t>
  </si>
  <si>
    <t>Inferred probability of a subscriber's survival to the next 21 months</t>
  </si>
  <si>
    <t>clv_survival_mo22</t>
  </si>
  <si>
    <t>Inferred probability of a subscriber's survival to the next 22 months</t>
  </si>
  <si>
    <t>clv_survival_mo23</t>
  </si>
  <si>
    <t>Inferred probability of a subscriber's survival to the next 23 months</t>
  </si>
  <si>
    <t>clv_survival_mo24</t>
  </si>
  <si>
    <t>Inferred probability of a subscriber's survival to the next 24 months</t>
  </si>
  <si>
    <t>basketball_fan_bucket</t>
  </si>
  <si>
    <t>Bucketing based on identified metric for the Basketball Fan profile
 Metric: Average Daily Hits in a Month
 Valid values:
 LOW: &lt;= 7 hits
 MID: &gt; 7 &amp; &lt;= 14 hits
 HIGH: &gt; 14 hits
 For wireline subscribers, only subscriptions within Metro Manila (including some areas in Rizal) and with DSL, VDSL and GPON technology value are covered.</t>
  </si>
  <si>
    <t>Bucketing based on identified metric for the Basketball Fan profile
 Metric: Average Daily Hits in a Month
 Valid values:
 LOW: &lt;= 7 hits
 MID: &gt; 7 &amp; &lt;= 14 hits
 HIGH: &gt; 14 hits</t>
  </si>
  <si>
    <t>basketball_fan_details</t>
  </si>
  <si>
    <t>Metric used and value for the Basketball Fan profile
 For wireline subscribers, only subscriptions within Metro Manila (including some areas in Rizal) and with DSL, VDSL and GPON technology value are covered.</t>
  </si>
  <si>
    <t>Metric used and value for NBA Fan profile</t>
  </si>
  <si>
    <t>{"Average Daily Hits in a Month: 1"}</t>
  </si>
  <si>
    <t>basketball_fan_indicator</t>
  </si>
  <si>
    <t>Indicator if a subscriber accesses basketball-related apps and sites such as nba, pba, fiba
 For wireline subscribers, only subscriptions within Metro Manila (including some areas in Rizal) and with DSL, VDSL and GPON technology value are covered.</t>
  </si>
  <si>
    <t>Indicator if a subscriber accesses basketball-related apps and sites</t>
  </si>
  <si>
    <t>basketball_fan_top_apps</t>
  </si>
  <si>
    <t>Top 1 app/site by data burn, total hits and active days in a month categorized under the Basketball Fan profile
 For wireline subscribers, only subscriptions within Metro Manila (including some areas in Rizal) and with DSL, VDSL and GPON technology value are covered.</t>
  </si>
  <si>
    <t>Top 3 apps/sites by data burn and hits categorized under the NBA Fan profile</t>
  </si>
  <si>
    <t>pba</t>
  </si>
  <si>
    <t>car_dealer_caller_bucket</t>
  </si>
  <si>
    <t>Bucketing based on the identified metric for the Car Dealer Caller profile
  Metric: Total Hits in a Month
  Valid values:
  Wireless
  LOW: &lt;= 2
  MID: &gt; 2 &amp; &lt;= 5
  HIGH: &gt; 5</t>
  </si>
  <si>
    <t>Bucketing based on identified metric for Car Dealer Caller profile
 Metric: Total Hits in a Month
 Valid values:
 LOW: &lt;= 3
 MID: &gt; 3 &amp; &lt;= 6 hits
 HIGH: &gt; 6 hits</t>
  </si>
  <si>
    <t>car_dealer_caller_details</t>
  </si>
  <si>
    <t>Metric used and value for the Car Dealer Caller profile</t>
  </si>
  <si>
    <t>Metric used and value for Car Dealer Caller profile</t>
  </si>
  <si>
    <t>car_dealer_caller_indicator</t>
  </si>
  <si>
    <t>Indicator if a subscriber calls whitelisted car dealer numbers such as aeonauto, ford, honda</t>
  </si>
  <si>
    <t>Indicator if a subscriber calls whitelisted car dealer numbers</t>
  </si>
  <si>
    <t>car_enthusiast_bucket</t>
  </si>
  <si>
    <t>Bucketing based on identified metric for Car Enthusiast profile
 Metric: Total Hits in a Month
 Valid values:
 LOW: &lt;= 10 hits
 MID: &gt; 10 &amp; &lt;= 20 hits
 HIGH: &gt; 20 hits
 For wireline subscribers, only subscriptions within Metro Manila (including some areas in Rizal) and with DSL, VDSL and GPON technology value are covered.</t>
  </si>
  <si>
    <t>Bucketing based on identified metric for Car Enthusiast profile
 Metric: Total Hits in a Month
 Valid values:
 LOW: &lt;= 15 hits
 MID: &gt; 15 &amp; &lt;= 20 hits
 HIGH: &gt; 20 hits</t>
  </si>
  <si>
    <t>car_enthusiast_details</t>
  </si>
  <si>
    <t>Metric used and value for the Car Enthusiast profile
 For wireline subscribers, only subscriptions within Metro Manila (including some areas in Rizal) and with DSL, VDSL and GPON technology value are covered.</t>
  </si>
  <si>
    <t>Metric used and value for Car Enthusiast profile</t>
  </si>
  <si>
    <t>car_enthusiast_indicator</t>
  </si>
  <si>
    <t>Indicator if a subscriber visits car-related apps or websites such as formula1, autoline, carguide_ph
 For wireline subscribers, only subscriptions within Metro Manila (including some areas in Rizal) and with DSL, VDSL and GPON technology value are covered.</t>
  </si>
  <si>
    <t>Indicator if a subscriber visits car-related apps or websites such as formula1, autoline, carguide_ph</t>
  </si>
  <si>
    <t>car_enthusiast_top_apps</t>
  </si>
  <si>
    <t>Top 1 app/site by data burn, total hits and active days in a month categorized under the Car Enthusiast profile
 For wireline subscribers, only subscriptions within Metro Manila (including some areas in Rizal) and with DSL, VDSL and GPON technology value are covered.</t>
  </si>
  <si>
    <t>Top 3 apps/sites by data burn and hits categorized under the Car Enthusiast profile</t>
  </si>
  <si>
    <t>topgear</t>
  </si>
  <si>
    <t>dating_around_bucket</t>
  </si>
  <si>
    <t>Bucketing based on identified metric for Dating Around profile
 Metric: Average Daily Data Burn in Megabytes in a Month
 Valid values:
 LOW: &lt;= 4.1 MB
 MID: &gt; 4.1 MB &amp; &lt;= 8.9 MB
 HIGH: &gt; 8.9 MB
 For wireline subscribers, only subscriptions within Metro Manila (including some areas in Rizal) and with DSL, VDSL and GPON technology value are covered.</t>
  </si>
  <si>
    <t>Bucketing based on identified metric for Dating Around profile
 Metric: Average Daily Data Burn in a Month
 Valid values:
 LOW: &lt;= 4.1 MB
 MID: &gt; 4.1 MB &amp; &lt;= 8.9 MB
 HIGH: &gt; 8.9 MB</t>
  </si>
  <si>
    <t>dating_around_details</t>
  </si>
  <si>
    <t>Metric used and value for the Dating Around profile
 For wireline subscribers, only subscriptions within Metro Manila (including some areas in Rizal) and with DSL, VDSL and GPON technology value are covered.</t>
  </si>
  <si>
    <t>Metric used and value for Dating Around profile</t>
  </si>
  <si>
    <t>dating_around_indicator</t>
  </si>
  <si>
    <t>Indicator if a subscriber accesses dating apps such as bumble, grindr, tinder
 For wireline subscribers, only subscriptions within Metro Manila (including some areas in Rizal) and with DSL, VDSL and GPON technology value are covered.</t>
  </si>
  <si>
    <t>Indicator if a subscriber accesses dating apps: Bumble, Grindr, Tinder</t>
  </si>
  <si>
    <t>dating_around_top_apps</t>
  </si>
  <si>
    <t>Top 1 app/site by data burn, total hits and active days in a month categorized under the Dating Around profile
 For wireline subscribers, only subscriptions within Metro Manila (including some areas in Rizal) and with DSL, VDSL and GPON technology value are covered.</t>
  </si>
  <si>
    <t>Top 3 apps/sites by data burn and hits categorized under the Dating Around profile</t>
  </si>
  <si>
    <t>tinder</t>
  </si>
  <si>
    <t>insurance_caller_bucket</t>
  </si>
  <si>
    <t>Bucketing based on the identified metric for the Insurance Hotline Caller profile
  Metric: Total Hits in a Month
  Valid values:
  Wireless
  LOW: &lt;= 2
  MID: &gt; 2 &amp; &lt;= 5
  HIGH: &gt; 5</t>
  </si>
  <si>
    <t>Bucketing based on identified metric for Insurance Hotline Caller profile
 Metric: Total Hits in a Month
 Valid values:
 LOW: &lt;= 3
 MID: &gt; 3 &amp; &lt;= 5 hits
 HIGH: &gt; 5 hits</t>
  </si>
  <si>
    <t>insurance_caller_details</t>
  </si>
  <si>
    <t>Metric used and value for the Insurance Hotline Caller profile</t>
  </si>
  <si>
    <t>Metric used and value for Insurance Hotline Caller profile</t>
  </si>
  <si>
    <t>Indicator if a subscriber receives SMS from insurance numbers such as axaphil, bdo_insure, bpi_ms</t>
  </si>
  <si>
    <t>Indicator if a subscriber receives SMS from insurance numbers:
 AXAPHIL, AYALA PLANS, BDOINSURE, BDOLIFE, BDOLIFEBANC, BDOLIFENBU, BDOLIFESERV, BPI MS, BPIMS, BPIMS CCO, BPIMSDEALS, BPIPHILAM, FWDLIFEPH, GCASHINSURE, INSULARLIFE, MANULIFE, PHILAM, PRULIFEUK, STANDARDINS, SUN LIFE, SUNLIFE, UOBINSURE</t>
  </si>
  <si>
    <t>insurance_caller_mode</t>
  </si>
  <si>
    <t>Top 1 tag by Total Hits in a Month categorized under the Insurance Hotline Caller profile</t>
  </si>
  <si>
    <t>Top 3 tags by hits categorized under the Insurance Caller profile</t>
  </si>
  <si>
    <t>gcash_insure</t>
  </si>
  <si>
    <t>liquor_lover_bucket</t>
  </si>
  <si>
    <t>Bucketing based on identified metric for Liquor Lover profile
 Metric: Total Hits in a Month
 Valid values:
 LOW: &lt;= 2 hits
 MID: &gt; 2 &amp; &lt;= 5 hits
 HIGH: &gt; 5 hits
 For wireline subscribers, only subscriptions within Metro Manila (including some areas in Rizal) and with DSL, VDSL and GPON technology value are covered.</t>
  </si>
  <si>
    <t>Bucketing based on identified metric for Liquor Lover profile
 Metric: Total Hits in a Month
 Valid values:
 LOW: &lt;= 2 hits
 MID: &gt; 2 &amp; &lt;= 5 hits
 HIGH: &gt; 5 hits</t>
  </si>
  <si>
    <t>liquor_lover_details</t>
  </si>
  <si>
    <t>Metric used and value for the Liquor Lover profile
 For wireline subscribers, only subscriptions within Metro Manila (including some areas in Rizal) and with DSL, VDSL and GPON technology value are covered.</t>
  </si>
  <si>
    <t>Metric used and value for Liquor Lover profile</t>
  </si>
  <si>
    <t>liquor_lover_indicator</t>
  </si>
  <si>
    <t>Indicator if a subscriber visits online liquor stores such as alak, boozy, boozeshop
 For wireline subscribers, only subscriptions within Metro Manila (including some areas in Rizal) and with DSL, VDSL and GPON technology value are covered.</t>
  </si>
  <si>
    <t>Indicator if a subscriber visits online liquor stores:
 liquor, boozeshop, drinkka, drink_manila, manila_wine, alcoline, wine_depot, ewine, forthtay, winery, thepck, metro_wine_center, alak_ph, lakan, pwm</t>
  </si>
  <si>
    <t>liquor_lover_top_apps</t>
  </si>
  <si>
    <t>Top 1 app/site by data burn, total hits and active days in a month categorized under the Liquor Lover profile
 For wireline subscribers, only subscriptions within Metro Manila (including some areas in Rizal) and with DSL, VDSL and GPON technology value are covered.</t>
  </si>
  <si>
    <t>Top 3 apps/sites by data burn and hits categorized under the Liquor Lover profile</t>
  </si>
  <si>
    <t>alak</t>
  </si>
  <si>
    <t>online_freelancer_bucket</t>
  </si>
  <si>
    <t>Bucketing based on identified metric for Online Freelancer profile
 Metric: Total Hits in a Month
 Valid values:
 LOW: &lt;= 5 hits
 MID: &gt; 5 &amp; &lt;= 15 hits
 HIGH: &gt; 15 hits
 For wireline subscribers, only subscriptions within Metro Manila (including some areas in Rizal) and with DSL, VDSL and GPON technology value are covered.</t>
  </si>
  <si>
    <t>Bucketing based on identified metric for Online Freelancer profile
 Metric: Total Hits in a Month
 Valid values:
 LOW: &lt;= 2 hits
 MID: &gt; 2 &amp; &lt;= 4 hits
 HIGH: &gt; 4 hits</t>
  </si>
  <si>
    <t>online_freelancer_details</t>
  </si>
  <si>
    <t>Metric used and value for the Online Freelancer profile
 For wireline subscribers, only subscriptions within Metro Manila (including some areas in Rizal) and with DSL, VDSL and GPON technology value are covered.</t>
  </si>
  <si>
    <t>Metric used and value for Online Freelancer profile</t>
  </si>
  <si>
    <t>online_freelancer_indicator</t>
  </si>
  <si>
    <t>Indicator if a subscriber visits freelancing websites or apps such as fiverr, golance, 199jobs
 For wireline subscribers, only subscriptions within Metro Manila (including some areas in Rizal) and with DSL, VDSL and GPON technology value are covered.</t>
  </si>
  <si>
    <t>Indicator if a subscriber visits freelancing websites:
 upwork, fiverr, aquent, toptal, freelancer</t>
  </si>
  <si>
    <t>online_freelancer_top_apps</t>
  </si>
  <si>
    <t>Top 1 app/site by data burn, total hits and active days in a month categorized under the Online Freelancer profile
 For wireline subscribers, only subscriptions within Metro Manila (including some areas in Rizal) and with DSL, VDSL and GPON technology value are covered.</t>
  </si>
  <si>
    <t>Top 3 apps/sites by data burn and hits categorized under the Online Freelancer profile</t>
  </si>
  <si>
    <t>rarejob</t>
  </si>
  <si>
    <t>thrifty_nanay_bucket</t>
  </si>
  <si>
    <t>Bucketing based on the identified metric for the Thrifty Nanay profile
  Metric: Total Active Cards in a Month
  Valid values:
  Wireless
  LOW: &lt;= 1
  MID: &gt; 1 &amp; &lt;= 3
  HIGH: &gt; 3</t>
  </si>
  <si>
    <t>Bucketing based on identified metric for Thrifty Nanay profile
 Metric: Total Active Cards in Six Month
 Valid values:
 LOW: &lt;= 2 hits
 MID: &gt; 2 &amp; &lt;= 4 hits
 HIGH: &gt; 4 hits</t>
  </si>
  <si>
    <t>thrifty_nanay_details</t>
  </si>
  <si>
    <t>Metric used and value for the Thrifty Nanay profile</t>
  </si>
  <si>
    <t>Metric used and value for Thrifty Nanay profile</t>
  </si>
  <si>
    <t>thrifty_nanay_indicator</t>
  </si>
  <si>
    <t>Indicator if a subscriber has a membership to stores based on SMS transactions with numbers such as puregold, robrewards, smac</t>
  </si>
  <si>
    <t>Indicator if a subscriber has a membership to GENERIKA, PURE GOLD, SHOPWISE, SMAC, SMAC ALERT, SMAC TEST, SMAC-OTP, SMACP, SMAC ALERT, CWHOMEDEPOT, METRO MRC, METROSTORES, ROBREWARDS</t>
  </si>
  <si>
    <t>thrifty_nanay_mode</t>
  </si>
  <si>
    <t>Top 1 tag by Total Active Cards in a Month categorized under the Thrifty Nanay profile</t>
  </si>
  <si>
    <t>Top 3 mode by hits categorized under the Thrifty Nanay profile</t>
  </si>
  <si>
    <t>Indicator if a subscriber visits websites or apps focused on health such as all_keto, fresh_produce, green_grocer
 For wireline subscribers, only subscriptions within Metro Manila (including some areas in Rizal) and with DSL, VDSL and GPON technology value are covered.</t>
  </si>
  <si>
    <t>Indicator if a subscriber visits all-organic stores like Isabels, Healthy Options, The Green Grocer Manila, Detoxify Bar, diet delivery websites and diet applications and sites</t>
  </si>
  <si>
    <t>Bucketing based on identified metric for Health Conscious profile
 Metric: Total Hits in a Month
 Valid values:
 LOW: &lt;= 3 hits
 MID: &gt; 3 &amp; &lt;= 6 hits
 HIGH: &gt; 6 hits
 For wireline subscribers, only subscriptions within Metro Manila (including some areas in Rizal) and with DSL, VDSL and GPON technology value are covered.</t>
  </si>
  <si>
    <t>Bucketing based on identified metric for Health Conscious profile
 Metric: Total Hits in a Month
 Valid values:
 LOW: &lt;= 3 hits
 MID: &gt; 3 &amp; &lt;= 6
 HIGH: &gt; 6 hits</t>
  </si>
  <si>
    <t>Metric used and value for the Health Conscious profile
 For wireline subscribers, only subscriptions within Metro Manila (including some areas in Rizal) and with DSL, VDSL and GPON technology value are covered.</t>
  </si>
  <si>
    <t>{"Total Hits in a Month": 6.0}</t>
  </si>
  <si>
    <t>health_conscious_top_apps</t>
  </si>
  <si>
    <t>Top 1 app/site by data burn, total hits and active days in a month categorized under the Health Conscious profile
 For wireline subscribers, only subscriptions within Metro Manila (including some areas in Rizal) and with DSL, VDSL and GPON technology value are covered.</t>
  </si>
  <si>
    <t>Top 3 apps/sites by data burn and hits categorized under the Health Conscious profile</t>
  </si>
  <si>
    <t>book_worm_indicator</t>
  </si>
  <si>
    <t>Indicator if a subscriber visits online bookstores such as fully_booked, avalon, anvil_publishing
 For wireline subscribers, only subscriptions within Metro Manila (including some areas in Rizal) and with DSL, VDSL and GPON technology value are covered.</t>
  </si>
  <si>
    <t>Indicator if a subscriber visits online bookstores:
 fullybookedonline, anvilpublishing, anahawbooks, nationalbookstore, avalon, ateneopress, press.up.edu.ph</t>
  </si>
  <si>
    <t>book_worm_bucket</t>
  </si>
  <si>
    <t>Bucketing based on identified metric for Book Worm profile
 Metric: Total Hits in a Month
 Valid values:
 LOW: &lt;= 2 hits
 MID: &gt; 2 &amp; &lt;= 4 hits
 HIGH: &gt; 4 hits
 For wireline subscribers, only subscriptions within Metro Manila (including some areas in Rizal) and with DSL, VDSL and GPON technology value are covered.</t>
  </si>
  <si>
    <t>Bucketing based on identified metric for Book Worm profile
 Metric: Total Hits in a Month
 Valid values:
 LOW: &lt;= 2 hits
 MID: &gt; 2 &amp; &lt;= 4 hits
 HIGH: &gt; 4 hits</t>
  </si>
  <si>
    <t>book_worm_details</t>
  </si>
  <si>
    <t>Metric used and value for the Book Worm profile
 For wireline subscribers, only subscriptions within Metro Manila (including some areas in Rizal) and with DSL, VDSL and GPON technology value are covered.</t>
  </si>
  <si>
    <t>Metric used and value for Book Worm profile</t>
  </si>
  <si>
    <t>{"Total Hits in a Month": 1.0}</t>
  </si>
  <si>
    <t>book_worm_top_apps</t>
  </si>
  <si>
    <t>Top 1 app/site by data burn, total hits and active days in a month categorized under the Book Worm profile
 For wireline subscribers, only subscriptions within Metro Manila (including some areas in Rizal) and with DSL, VDSL and GPON technology value are covered.</t>
  </si>
  <si>
    <t>Top 3 apps/sites by data burn and hits categorized under the Book Worm profile</t>
  </si>
  <si>
    <t>national_bookstore</t>
  </si>
  <si>
    <t>network_monthly_top_1_voice_location_region_code</t>
  </si>
  <si>
    <t>Top 1 region PSGC code of the subscriber based on call/voice usages in 1 month</t>
  </si>
  <si>
    <t>network_monthly_top_1_voice_location_province_code</t>
  </si>
  <si>
    <t>Top 1 province PSGC code of the subscriber based on call/voice usages in 1 month</t>
  </si>
  <si>
    <t>network_monthly_top_1_voice_location_town_code</t>
  </si>
  <si>
    <t>Top 1 town PSGC code of the subscriber based on call/voice usages in 1 month</t>
  </si>
  <si>
    <t>network_monthly_top_1_voice_location_barangay_code</t>
  </si>
  <si>
    <t>Top 1 barangay PSGC code of the subscriber based on call/voice usages in 1 month</t>
  </si>
  <si>
    <t>network_monthly_top_1_sms_location_region_code</t>
  </si>
  <si>
    <t>Top 1 region PSGC code of the subscriber based on SMS usages in 1 month</t>
  </si>
  <si>
    <t>network_monthly_top_1_sms_location_province_code</t>
  </si>
  <si>
    <t>Top 1 province PSGC code of the subscriber based on SMS usages in 1 month</t>
  </si>
  <si>
    <t>network_monthly_top_1_sms_location_town_code</t>
  </si>
  <si>
    <t>Top 1 town PSGC code of the subscriber based on SMS usages in 1 month</t>
  </si>
  <si>
    <t>network_monthly_top_1_sms_location_barangay_code</t>
  </si>
  <si>
    <t>Top 1 barangay PSGC code of the subscriber based on SMS usages in 1 month</t>
  </si>
  <si>
    <t>network_monthly_top_1_data_location_region_code</t>
  </si>
  <si>
    <t>Top 1 region PSGC code of the subscriber based on data usages in 1 month</t>
  </si>
  <si>
    <t>network_monthly_top_1_data_location_province_code</t>
  </si>
  <si>
    <t>Top 1 province PSGC code of the subscriber based on data usages in 1 month</t>
  </si>
  <si>
    <t>network_monthly_top_1_data_location_town_code</t>
  </si>
  <si>
    <t>Top 1 town PSGC code of the subscriber based on data usages in 1 month</t>
  </si>
  <si>
    <t>network_monthly_top_1_data_location_barangay_code</t>
  </si>
  <si>
    <t>Top 1 barangay PSGC code of the subscriber based on data usages in 1 month</t>
  </si>
  <si>
    <t>network_monthly_top_1_location_region</t>
  </si>
  <si>
    <t>Top 1 region of the subscriber based on call/voice, SMS and data usages in 1 month</t>
  </si>
  <si>
    <t>network_monthly_top_1_location_region_code</t>
  </si>
  <si>
    <t>Top 1 region PSGC code of the subscriber based on call/voice, SMS and data usages in 1 month</t>
  </si>
  <si>
    <t>network_monthly_top_1_location_province</t>
  </si>
  <si>
    <t>Top 1 province of the subscriber based on call/voice, SMS and data usages in 1 month</t>
  </si>
  <si>
    <t>network_monthly_top_1_location_province_code</t>
  </si>
  <si>
    <t>Top 1 province PSGC code of the subscriber based on call/voice, SMS and data usages in 1 month</t>
  </si>
  <si>
    <t>network_monthly_top_1_location_town</t>
  </si>
  <si>
    <t>Top 1 town of the subscriber based on call/voice, SMS and data usages in 1 month</t>
  </si>
  <si>
    <t>CITY OF MUNTINLUPA</t>
  </si>
  <si>
    <t>network_monthly_top_1_location_town_code</t>
  </si>
  <si>
    <t>Top 1 town PSGC code of the subscriber based on call/voice, SMS and data usages in 1 month</t>
  </si>
  <si>
    <t>network_monthly_top_1_location_barangay</t>
  </si>
  <si>
    <t>Top 1 barangay of the subscriber based on call/voice, SMS and data usages in 1 month</t>
  </si>
  <si>
    <t>Alabang</t>
  </si>
  <si>
    <t>network_monthly_top_1_location_barangay_code</t>
  </si>
  <si>
    <t>Top 1 barangay PSGC code of the subscriber based on call/voice, SMS and data usages in 1 month</t>
  </si>
  <si>
    <t>cell_site_name</t>
  </si>
  <si>
    <t>Sitename regardless of the Radio Access Technology (RAT) type commisioned</t>
  </si>
  <si>
    <t>SNNICOLAS</t>
  </si>
  <si>
    <t>DSP</t>
  </si>
  <si>
    <t>network_element_name</t>
  </si>
  <si>
    <t>Logically identifies the Radio Access Technology (RAT) type commisioned in the site</t>
  </si>
  <si>
    <t>SNNICOLASFHLKW</t>
  </si>
  <si>
    <t>4g_upgrade_indicator</t>
  </si>
  <si>
    <t>Indicator if the subscriber SIM card is upgraded to 4G.</t>
  </si>
  <si>
    <t>4g_upgrade_effectivity_date</t>
  </si>
  <si>
    <t>Date as to when the subscriber has upgraded to 4G type of SIM card.</t>
  </si>
  <si>
    <t>network_expansion_3mos_indicator</t>
  </si>
  <si>
    <t>Indicator whether the subscriber is affected by a network expansion for the next three months.</t>
  </si>
  <si>
    <t>EDO ERI</t>
  </si>
  <si>
    <t>CAIF</t>
  </si>
  <si>
    <t>network_expansion_6mos_indicator</t>
  </si>
  <si>
    <t>Indicator whether the subscriber is affected by a network expansion for the next four to six months.</t>
  </si>
  <si>
    <t>network_expansion_beyond_6mos_indicator</t>
  </si>
  <si>
    <t>Indicator whether the subscriber is affected by a network expansion beyond the next 6 months.</t>
  </si>
  <si>
    <t>availment_no_poc_count_past_90days</t>
  </si>
  <si>
    <t>Total promo transactions with Gyro transactions for the last 90 days excluding POC promos</t>
  </si>
  <si>
    <t>availment_no_poc_total_promo_amount_90days</t>
  </si>
  <si>
    <t>Total promo amount with Gyro transactions for the last 90 days excluding POC promos</t>
  </si>
  <si>
    <t>job_hunter_indicator</t>
  </si>
  <si>
    <t>Indicator if a subscriber visits employment websites or applications like jobstreet, kalibrr, monster
 For wireline subscribers, only subscriptions within Metro Manila (including some areas in Rizal) and with DSL, VDSL and GPON technology value are covered.</t>
  </si>
  <si>
    <t>Indicator if a subscriber visits employment websites or applications like Jobstreet, Indeed or Monster.</t>
  </si>
  <si>
    <t>job_hunter_bucket</t>
  </si>
  <si>
    <t>Bucketing based on identified metric
 Metric: Total Hits in a Month
 Valid values:
 LOW: = 1 hits
 MID: &gt;= 2 hits &amp; &lt;=5
 HIGH: &gt;5 hits
 For wireline subscribers, only subscriptions within Metro Manila (including some areas in Rizal) and with DSL, VDSL and GPON technology value are covered.</t>
  </si>
  <si>
    <t>Bucketing based on identified metric
Metric: Total Hits in a Month
Valid values:
LOW: = 1 hits
MID: &gt;= 2 hits &amp; &lt;=5
HIGH: &gt;5 hits</t>
  </si>
  <si>
    <t>job_hunter_details</t>
  </si>
  <si>
    <t>Metric used and value for Job Hunter profile
 For wireline subscribers, only subscriptions within Metro Manila (including some areas in Rizal) and with DSL, VDSL and GPON technology value are covered.</t>
  </si>
  <si>
    <t>Metric used and value for Job Hunter profile</t>
  </si>
  <si>
    <t>{"Total Hits in a Month": 78}</t>
  </si>
  <si>
    <t>job_hunter_top_apps</t>
  </si>
  <si>
    <t>Top 1 app/site by data burn and hits categorized under the Job Hunter profile
 For wireline subscribers, only subscriptions within Metro Manila (including some areas in Rizal) and with DSL, VDSL and GPON technology value are covered.</t>
  </si>
  <si>
    <t>Top 3 apps/sites by data burn and hits categorized under the Job Hunter profile</t>
  </si>
  <si>
    <t>jobstreet</t>
  </si>
  <si>
    <t>avg_daily_dl_speed_3g_90days</t>
  </si>
  <si>
    <t>Average maximum daily 3G speed (bytes per second) for the last 90 days</t>
  </si>
  <si>
    <t>avg_daily_dl_speed_lte_90days</t>
  </si>
  <si>
    <t>Average maximum daily LTE speed (bytes per second) for the last 90 days</t>
  </si>
  <si>
    <t>avg_daily_latency_speed_3g_90days</t>
  </si>
  <si>
    <t>Average maximum daily 3G type latency (in second) for the last 90 days</t>
  </si>
  <si>
    <t>avg_daily_latency_speed_lte_90days</t>
  </si>
  <si>
    <t>Average maximum daily LTE type latency (in second) for the last 90 days</t>
  </si>
  <si>
    <t>availment_mode_promo_amount_90days</t>
  </si>
  <si>
    <t>Most frequent amount of promo or top-up promo (GYRO) availed by subscriber for the past 90 days.</t>
  </si>
  <si>
    <t>MSH FVT</t>
  </si>
  <si>
    <t>prepaid_spending_past_30days</t>
  </si>
  <si>
    <t>Total Spending amount for past 90 days which covers either of the following promo registrations, ppu or topup a promo.</t>
  </si>
  <si>
    <t>CRM FVT</t>
  </si>
  <si>
    <t>prepaid_spending_arpu_past_90days</t>
  </si>
  <si>
    <t>Prepaid Spending Average Reload Per User for past 90 days coverage (day-120 to day-31) which covers either of the following promo registrations, ppu or topup a promo.</t>
  </si>
  <si>
    <t>Prepaid Spending Average Reload Per User for past 90 days (day31 to day 90) which covers either of the following promo registrations, ppu or topup a promo.</t>
  </si>
  <si>
    <t>postpaid_rightsizing_plan_name</t>
  </si>
  <si>
    <t>Postpaid rightsizing recommended plan (GPLAN) based on usages data.</t>
  </si>
  <si>
    <t>Postpaid rightsizing recommended plan (GPLAN)</t>
  </si>
  <si>
    <t>GPlan 1999</t>
  </si>
  <si>
    <t>Every 15th of the month</t>
  </si>
  <si>
    <t>postpaid_rightsizing_plan_id</t>
  </si>
  <si>
    <t>Postpaid rightsizing recommended plan's ID based on usages data.</t>
  </si>
  <si>
    <t>Postpaid rightsizing recommended plan's ID</t>
  </si>
  <si>
    <t>postpaid_rightsizing_plan_msf</t>
  </si>
  <si>
    <t>Postpaid rightsizing recommended plan's MSF based on usages data.</t>
  </si>
  <si>
    <t>Postpaid rightsizing recommended plan's MSF</t>
  </si>
  <si>
    <t>postpaid_rightsizing_tag</t>
  </si>
  <si>
    <t>Postpaid rightsizing recommendations based on usages data.
  Valid values:
  maintain
  upgrade
  downgrade</t>
  </si>
  <si>
    <t>Postpaid rightsizing recommendations
 Valid values:
 maintain
 upgrade
 downgrade</t>
  </si>
  <si>
    <t>maintain</t>
  </si>
  <si>
    <t>postpaid_rightsizing_plan_data</t>
  </si>
  <si>
    <t>Postpaid rightsizing recommended plan's data allocation in GB based on usages data.</t>
  </si>
  <si>
    <t>Postpaid rightsizing recommended plan's data allocation in GB</t>
  </si>
  <si>
    <t>postpaid_rightsizing_max_bill_90days</t>
  </si>
  <si>
    <t>Maximum recent bill over the last 90 days based on usages data that is used as the basis of the model.</t>
  </si>
  <si>
    <t>Maximum recent bill over the last 90 days that is used as the basis of the model.</t>
  </si>
  <si>
    <t>viber_user_indicator</t>
  </si>
  <si>
    <t>Indicator if a subscriber uses the Viber app in the past 30 days
 For wireline subscribers, only subscriptions within Metro Manila (including some areas in Rizal) and with DSL, VDSL and GPON technology value are covered.</t>
  </si>
  <si>
    <t>Indicator if a subscriber used the Viber app for the past month</t>
  </si>
  <si>
    <t>tech_savvy_indicator</t>
  </si>
  <si>
    <t>Indicator if a subscriber accesses tech-focused apps or websites such as unbox, tech_pinas, yugatech
 For wireline subscribers, only subscriptions within Metro Manila (including some areas in Rizal) and with DSL, VDSL and GPON technology value are covered.</t>
  </si>
  <si>
    <t>Indicator if a subscriber accesses tech-focused apps or websites such as unbox, tech_pinas, yugatech</t>
  </si>
  <si>
    <t>tech_savvy_bucket</t>
  </si>
  <si>
    <t>Bucketing based on identified metric for Tech Savvy profile
 Metric: Total Hits in a Month
 Valid values: 
 LOW: &lt;= 15 hits
 MID: &gt; 15 &amp; &lt;= 20 hits
 HIGH: &gt; 20 hits
 For wireline subscribers, only subscriptions within Metro Manila (including some areas in Rizal) and with DSL, VDSL and GPON technology value are covered.</t>
  </si>
  <si>
    <t>Bucketing based on identified metric for Tech Savvy profile
 Metric: Total Hits in a Month
 Valid values:
 LOW: &lt;= 15 hits
 MID: &gt; 15 &amp; &lt;= 20 hits
 HIGH: &gt; 20 hits</t>
  </si>
  <si>
    <t>tech_savvy_details</t>
  </si>
  <si>
    <t>Metric used and value for Tech Savvy profile
 For wireline subscribers, only subscriptions within Metro Manila (including some areas in Rizal) and with DSL, VDSL and GPON technology value are covered.</t>
  </si>
  <si>
    <t>Metric used and value for Tech Savvy profile</t>
  </si>
  <si>
    <t>tech_savvy_top_apps</t>
  </si>
  <si>
    <t>Top 1 app/site by data burn and hits categorized under the Tech Savvy profile
 For wireline subscribers, only subscriptions within Metro Manila (including some areas in Rizal) and with DSL, VDSL and GPON technology value are covered.</t>
  </si>
  <si>
    <t>Top 3 apps/sites by data burn and hits categorized under the Tech Savvy profile</t>
  </si>
  <si>
    <t>gizguide</t>
  </si>
  <si>
    <t>gambler_indicator</t>
  </si>
  <si>
    <t>Indicator if a subscriber visits/uses gambling or lottery applications or websites like Pusoy Chinese Poker, Philippine PCSO lotto and Tongits Go 
 For wireline subscribers, only subscriptions within Metro Manila (including some areas in Rizal) and with DSL, VDSL and GPON technology value are covered.</t>
  </si>
  <si>
    <t>Indicator if a subscriber visits/uses gambling or lottery applications or websites like Pusoy Chinese Poker, Philippine PCSO lotto and Tongits Go</t>
  </si>
  <si>
    <t>gambler_bucket</t>
  </si>
  <si>
    <t>Bucketing based on identified metric 
 Metric: Total Hits in a Month
 Valid values: 
 LOW: &lt;=10 hits
 MID: &gt; 10 hits &amp; &lt;=32
 HIGH: &gt;32 hits
 For wireline subscribers, only subscriptions within Metro Manila (including some areas in Rizal) and with DSL, VDSL and GPON technology value are covered.</t>
  </si>
  <si>
    <t>Bucketing based on identified metric
 Metric: Total Hits in a Month
 Valid values:
 LOW: &lt;=10 hits
 MID: &gt; 10 hits &amp; &lt;=32
 HIGH: &gt;32 hits</t>
  </si>
  <si>
    <t>gambler_details</t>
  </si>
  <si>
    <t>Metric used and value for Gambler profile
 For wireline subscribers, only subscriptions within Metro Manila (including some areas in Rizal) and with DSL, VDSL and GPON technology value are covered.</t>
  </si>
  <si>
    <t>Metric used and value for Gambler profile</t>
  </si>
  <si>
    <t>gambler_top_apps</t>
  </si>
  <si>
    <t>Top 1 app/site by data burn, total hits and active days categorized under the Gambler profile
 For wireline subscribers, only subscriptions within Metro Manila (including some areas in Rizal) and with DSL, VDSL and GPON technology value are covered.</t>
  </si>
  <si>
    <t>Top 3 apps/sites by data burn and hits categorized under the Gambler profile</t>
  </si>
  <si>
    <t>philippinepcsolotto</t>
  </si>
  <si>
    <t>womens_health_app_indicator</t>
  </si>
  <si>
    <t>Indicator if a subscriber visits/uses Women's Health-related applications or sites like Flo, Glowing and Maya
 For wireline subscribers, only subscriptions within Metro Manila (including some areas in Rizal) and with DSL, VDSL and GPON technology value are covered.</t>
  </si>
  <si>
    <t>Indicator if a subscriber visits/uses Women's Health-related applications or sites like Flo, Glowing and Maya</t>
  </si>
  <si>
    <t>womens_health_app_bucket</t>
  </si>
  <si>
    <t>Bucketing based on identified metric 
 Metric: Total Hits in a Month
 Valid values: 
 LOW: &lt;=2 hits
 MID: &gt; 2 hits &amp; &lt;=5
 HIGH: &gt;5 hits
 For wireline subscribers, only subscriptions within Metro Manila (including some areas in Rizal) and with DSL, VDSL and GPON technology value are covered.</t>
  </si>
  <si>
    <t>Bucketing based on identified metric
 Metric: Total Hits in a Month
 Valid values:
 LOW: &lt;=2 hits
 MID: &gt; 2 hits &amp; &lt;=5
 HIGH: &gt;5 hits</t>
  </si>
  <si>
    <t>womens_health_app_details</t>
  </si>
  <si>
    <t>Metric used and value for the Women's Health App User profile
 For wireline subscribers, only subscriptions within Metro Manila (including some areas in Rizal) and with DSL, VDSL and GPON technology value are covered.</t>
  </si>
  <si>
    <t>Metric used and value for the Women's Health App User profile</t>
  </si>
  <si>
    <t>womens_health_top_apps</t>
  </si>
  <si>
    <t>Top 1 app/site by data burn, total hits and active days categorized under the Women's Health App User profile
 For wireline subscribers, only subscriptions within Metro Manila (including some areas in Rizal) and with DSL, VDSL and GPON technology value are covered.</t>
  </si>
  <si>
    <t>Top 3 apps/sites by data burn and hits categorized under the Women's Health App User profile</t>
  </si>
  <si>
    <t>bellabeat</t>
  </si>
  <si>
    <t>handset_brand_name_categorized</t>
  </si>
  <si>
    <t>The categorized model name of the device.</t>
  </si>
  <si>
    <t>Samsung</t>
  </si>
  <si>
    <t>handset_os_name_categorized</t>
  </si>
  <si>
    <t>The categorized operating system of the device.</t>
  </si>
  <si>
    <t>Android</t>
  </si>
  <si>
    <t>prepaid_spending_decline_month_on_month</t>
  </si>
  <si>
    <t>Percent decline of subscribers total spend month on month</t>
  </si>
  <si>
    <t>prepaid_spending_decline_past_90days</t>
  </si>
  <si>
    <t>Percent decline of subscribers total spendfor the past 3 months</t>
  </si>
  <si>
    <t>sports_buddy_indicator</t>
  </si>
  <si>
    <t>Indicator if a subscriber visits sports-focused apps or websites such as athletic_lab, chris_sports, decathlon
 For wireline subscribers, only subscriptions within Metro Manila (including some areas in Rizal) and with DSL, VDSL and GPON technology value are covered.</t>
  </si>
  <si>
    <t>sports_buddy_bucket</t>
  </si>
  <si>
    <t>Bucketing based on identified metric 
 Metric: Total Hits in a Month
 Valid values: 
 LOW: = 1 hits
 MID: = 2 hits
 HIGH: &gt;=3 hits
 For wireline subscribers, only subscriptions within Metro Manila (including some areas in Rizal) and with DSL, VDSL and GPON technology value are covered.</t>
  </si>
  <si>
    <t>sports_buddy_details</t>
  </si>
  <si>
    <t>Metric used and value for Sports Buddy profile
 For wireline subscribers, only subscriptions within Metro Manila (including some areas in Rizal) and with DSL, VDSL and GPON technology value are covered.</t>
  </si>
  <si>
    <t>sports_buddy_top_apps</t>
  </si>
  <si>
    <t>Top 1 app/site by data burn and hits categorized under the Sports Buddy profile
 For wireline subscribers, only subscriptions within Metro Manila (including some areas in Rizal) and with DSL, VDSL and GPON technology value are covered.</t>
  </si>
  <si>
    <t>decathlon</t>
  </si>
  <si>
    <t>crypto_wallet_user_indicator</t>
  </si>
  <si>
    <t>Indicator if a subscriber visits/uses cryptocurrency applications or sites like Binance, Juan Exchange, Paylance, etc
 For wireline subscribers, only subscriptions within Metro Manila (including some areas in Rizal) and with DSL, VDSL and GPON technology value are covered.</t>
  </si>
  <si>
    <t>crypto_wallet_user_bucket</t>
  </si>
  <si>
    <t>Bucketing based on identified metric 
 Metric: Number of Active Days in a Month
 Valid values: 
 LOW: &lt;=3 active days
 MID: &gt; 3 &amp; &lt;=7 active days
 HIGH: &gt; 7 active days
 For wireline subscribers, only subscriptions within Metro Manila (including some areas in Rizal) and with DSL, VDSL and GPON technology value are covered.</t>
  </si>
  <si>
    <t>crypto_wallet_user_details</t>
  </si>
  <si>
    <t>Metric used and value for the Crypto Wallet User profile
 For wireline subscribers, only subscriptions within Metro Manila (including some areas in Rizal) and with DSL, VDSL and GPON technology value are covered.</t>
  </si>
  <si>
    <t>crypto_wallet_user_top_apps</t>
  </si>
  <si>
    <t>Top 1 app/site by data burn, total hits and active days categorized under the Crypto Wallet User profile
 For wireline subscribers, only subscriptions within Metro Manila (including some areas in Rizal) and with DSL, VDSL and GPON technology value are covered.</t>
  </si>
  <si>
    <t>lbank</t>
  </si>
  <si>
    <t>plant_parent_indicator</t>
  </si>
  <si>
    <t>Indicator if a subscriber visits/uses plant applications or sites like Leafsnap, Shopleaf, Plantiary, etc
 For wireline subscribers, only subscriptions within Metro Manila (including some areas in Rizal) and with DSL, VDSL and GPON technology value are covered.</t>
  </si>
  <si>
    <t>plant_parent_bucket</t>
  </si>
  <si>
    <t>Bucketing based on identified metric 
 Metric: Number of Hits in a Month
 Valid values: 
 LOW: &lt;= 3 hits
 MID: &gt; 3 &amp; &lt;=5 hits
 HIGH: &gt; 5 hits
 For wireline subscribers, only subscriptions within Metro Manila (including some areas in Rizal) and with DSL, VDSL and GPON technology value are covered.</t>
  </si>
  <si>
    <t>plant_parent_details</t>
  </si>
  <si>
    <t>Metric used and value for the Plant Parent profile
 For wireline subscribers, only subscriptions within Metro Manila (including some areas in Rizal) and with DSL, VDSL and GPON technology value are covered.</t>
  </si>
  <si>
    <t>plant_parent_top_apps</t>
  </si>
  <si>
    <t>Top 1 app/site by data burn, total hits and active days categorized under the Plant Parent profile
 For wireline subscribers, only subscriptions within Metro Manila (including some areas in Rizal) and with DSL, VDSL and GPON technology value are covered.</t>
  </si>
  <si>
    <t>picturethis</t>
  </si>
  <si>
    <t>news_pub_follower_top_apps</t>
  </si>
  <si>
    <t>Top 1 application or website by Number of Active Days in a Month categorized under the News &amp; Publication Follower profile</t>
  </si>
  <si>
    <t>rappler</t>
  </si>
  <si>
    <t>news_pub_follower_details</t>
  </si>
  <si>
    <t>Metric used and value for the News &amp; Publication Follower profile
 For wireline subscribers, only subscriptions within Metro Manila (including some areas in Rizal) and with DSL, VDSL and GPON technology value are covered.</t>
  </si>
  <si>
    <t>{\Number of Active Days in a Month\": 5}"</t>
  </si>
  <si>
    <t>news_pub_follower_bucket</t>
  </si>
  <si>
    <t>Bucketing based on identified metric 
 Metric: Number of Active Days in a Month
 Valid values: 
 LOW: &lt;= 3 active days
 MID: &gt; 3 &amp; &lt;=7 active days
 HIGH: &gt; 7 active days
 For wireline subscribers, only subscriptions within Metro Manila (including some areas in Rizal) and with DSL, VDSL and GPON technology value are covered.</t>
  </si>
  <si>
    <t>news_pub_follower_indicator</t>
  </si>
  <si>
    <t>Indicator if a subscriber visits news websites or apps such as abscbn_news, bbc, inquirer
 For wireline subscribers, only subscriptions within Metro Manila (including some areas in Rizal) and with DSL, VDSL and GPON technology value are covered.</t>
  </si>
  <si>
    <t>local_entertainment_top_apps</t>
  </si>
  <si>
    <t>Top 1 application or website by Total Data Burn in Bytes in a Month categorized under the Local Entertainment App &amp; Web User profile</t>
  </si>
  <si>
    <t>abscbn</t>
  </si>
  <si>
    <t>local_entertainment_app_details</t>
  </si>
  <si>
    <t>Metric used and value for the Local Entertainment App &amp; Web User profile
 For wireline subscribers, only subscriptions within Metro Manila (including some areas in Rizal) and with DSL, VDSL and GPON technology value are covered.</t>
  </si>
  <si>
    <t>{\Total Data Burn in Bytes in a Month\": 2477826}"</t>
  </si>
  <si>
    <t>local_entertainment_app_bucket</t>
  </si>
  <si>
    <t>Bucketing based on identified metric 
 Metric: Total Data Burn in Bytes in a Month
 Valid values: 
 LOW: &lt;= 292768 bytes
 MID: &gt; 292768 &amp; &lt;= 2558263 bytes
 HIGH: &gt; 2558263 bytes
 For wireline subscribers, only subscriptions within Metro Manila (including some areas in Rizal) and with DSL, VDSL and GPON technology value are covered.</t>
  </si>
  <si>
    <t>local_entertainment_app_indicator</t>
  </si>
  <si>
    <t>Indicates if subscriber visits/uses local entertainment apps or websites such as ABS CBN, GMA, iWanTV, etc
 For wireline subscribers, only subscriptions within Metro Manila (including some areas in Rizal) and with DSL, VDSL and GPON technology value are covered.</t>
  </si>
  <si>
    <t>international_shopper_top_apps</t>
  </si>
  <si>
    <t>Top 1 application or website by Total Hits in a Month categorized under the International Shopper profile</t>
  </si>
  <si>
    <t>amazon</t>
  </si>
  <si>
    <t>international_shopper_details</t>
  </si>
  <si>
    <t>Metric used and value for the International Shopper profile
 For wireline subscribers, only subscriptions within Metro Manila (including some areas in Rizal) and with DSL, VDSL and GPON technology value are covered.</t>
  </si>
  <si>
    <t>{\Total Hits in a Month\": 7}"</t>
  </si>
  <si>
    <t>international_shopper_bucket</t>
  </si>
  <si>
    <t>international_shopper_indicator</t>
  </si>
  <si>
    <t>Indicates if subscriber visits/uses international shopping apps or websites such as Alibaba, Amazon, Shop USA, etc
 For wireline subscribers, only subscriptions within Metro Manila (including some areas in Rizal) and with DSL, VDSL and GPON technology value are covered.</t>
  </si>
  <si>
    <t>online_grocery_shopper_top_apps</t>
  </si>
  <si>
    <t>Top 1 application or website by Number of Active Days in a Month categorized under the Online Grocery Shopper profile</t>
  </si>
  <si>
    <t>waltermart</t>
  </si>
  <si>
    <t>online_grocery_shopper_details</t>
  </si>
  <si>
    <t>Metric used and value for the Online Grocery Shopper profile
 For wireline subscribers, only subscriptions within Metro Manila (including some areas in Rizal) and with DSL, VDSL and GPON technology value are covered.</t>
  </si>
  <si>
    <t>{\Number of Active Days in a Month\": 1}"</t>
  </si>
  <si>
    <t>online_grocery_shopper_bucket</t>
  </si>
  <si>
    <t>Bucketing based on identified metric 
 Metric: Number of Active Days in a Month
 Valid values: 
 LOW: &lt;= 1 active days
 MID: &gt; 1 &amp; &lt;=5 active days
 HIGH: &gt; 5 active days
 For wireline subscribers, only subscriptions within Metro Manila (including some areas in Rizal) and with DSL, VDSL and GPON technology value are covered.</t>
  </si>
  <si>
    <t>online_grocery_shopper_indicator</t>
  </si>
  <si>
    <t>Indicates if subscriber visits/uses online grocery shopping apps or websites such as Metromart, Landers, Purego, etc
 For wireline subscribers, only subscriptions within Metro Manila (including some areas in Rizal) and with DSL, VDSL and GPON technology value are covered.</t>
  </si>
  <si>
    <t>availment_promo_decline_month_on_month</t>
  </si>
  <si>
    <t>Percent decline of subscribers promo availment excluding freebie and other notification promos month on month
  Expected results:
  Negative values = Non-decliners
  Positive values = Decliners</t>
  </si>
  <si>
    <t>availment_promo_decline_past_90days</t>
  </si>
  <si>
    <t>Percent decline of subscribers promo availment excluding freebie and other notification promos for the past 3 months
  Expected results:
  Negative values = Non-decliners
  Positive values = Decliners</t>
  </si>
  <si>
    <t>availment_promo_count_past_30days</t>
  </si>
  <si>
    <t>Total promo availed excluding freebie and other notification promos for the past month (day 30 to day 60)</t>
  </si>
  <si>
    <t>availment_promo_ave_past_90days</t>
  </si>
  <si>
    <t>Average count of promo availed excluding freebie and other notification promos for the past 90 days</t>
  </si>
  <si>
    <t>availment_ave_days_between_promo_90days</t>
  </si>
  <si>
    <t>Average number of days between promo availment excluding freebie and other notification promos for the past 3 months</t>
  </si>
  <si>
    <t>availment_ave_days_between_promo_120days</t>
  </si>
  <si>
    <t>Average number of days between promo availment excluding freebie and other notification promos for the past 4 months</t>
  </si>
  <si>
    <t>occupation_text_categorized</t>
  </si>
  <si>
    <t>Categorized occupation of the contact.</t>
  </si>
  <si>
    <t>4) Freelancer / Consultant / Self-employed</t>
  </si>
  <si>
    <t>musician_indicator</t>
  </si>
  <si>
    <t>Indicator if a subscriber visits/uses musician applications or sites like Yousician, Simply Piano, Music Notes, etc
 For wireline subscribers, only subscriptions within Metro Manila (including some areas in Rizal) and with DSL, VDSL and GPON technology value are covered.</t>
  </si>
  <si>
    <t>musician_bucket</t>
  </si>
  <si>
    <t>Bucketing based on identified metric 
 Metric: Number of Hits in a Month
 Valid values: 
 LOW: &lt;= 3 hits
 MID: &gt; 3 &amp; &lt;=7 hits
 HIGH: &gt; 7 hits
 For wireline subscribers, only subscriptions within Metro Manila (including some areas in Rizal) and with DSL, VDSL and GPON technology value are covered.</t>
  </si>
  <si>
    <t>musician_details</t>
  </si>
  <si>
    <t>Metric used and value for the Musician profile
 For wireline subscribers, only subscriptions within Metro Manila (including some areas in Rizal) and with DSL, VDSL and GPON technology value are covered.</t>
  </si>
  <si>
    <t>musician_top_apps</t>
  </si>
  <si>
    <t>Top 1 app/site by data burn, total hits and active days categorized under the Musician profile
 For wireline subscribers, only subscriptions within Metro Manila (including some areas in Rizal) and with DSL, VDSL and GPON technology value are covered.</t>
  </si>
  <si>
    <t>bandlab</t>
  </si>
  <si>
    <t>last_promo_expiry_date</t>
  </si>
  <si>
    <t>Latest promo expiration date of the subscriber for past 90 days</t>
  </si>
  <si>
    <t>last_promo_expiry_name</t>
  </si>
  <si>
    <t>Name of the promo with latest promo expiration date</t>
  </si>
  <si>
    <t>GOSURF50</t>
  </si>
  <si>
    <t>reload_activity_decline_indicator</t>
  </si>
  <si>
    <t>Indicator if a subscriber's past month topup has declined by &gt;=70% vs average topup past 120 days prior to 30 days</t>
  </si>
  <si>
    <t>gender_type_description_user</t>
  </si>
  <si>
    <t>Gender of the mobile user.</t>
  </si>
  <si>
    <t>civil_status</t>
  </si>
  <si>
    <t>Civil status of the contact.</t>
  </si>
  <si>
    <t>Daily (Day-1)</t>
  </si>
  <si>
    <t>civil_status_user</t>
  </si>
  <si>
    <t>Civil status of the mobile user.</t>
  </si>
  <si>
    <t>prepaid_clv_overall_revenue</t>
  </si>
  <si>
    <t>Computed Customer Lifetime Value (CLV) based on combined historical and forecasted profit for 84 months of the subscriber.
  Values may contain negative values.</t>
  </si>
  <si>
    <t>prepaid_clv_overall_rank</t>
  </si>
  <si>
    <t>Ranking/binning of the computed Customer Lifetime Value (CLV) based on combined historical and forecasted profit for 84 months of the subscriber compared to the total base. Values range from 0 (highest) to 9 (lowest prepaid_clv_overall_revenue).</t>
  </si>
  <si>
    <t>online_seller_indicator</t>
  </si>
  <si>
    <t>Indicator if a subscriber visits online seller websites or apps such as lazada_seller_center, my_shopify, shopee_seller
 For wireline subscribers, only subscriptions within Metro Manila (including some areas in Rizal) and with DSL, VDSL and GPON technology value are covered.</t>
  </si>
  <si>
    <t>online_seller_bucket</t>
  </si>
  <si>
    <t>Bucketing based on identified metric for Online Seller profile
 Metric: Total Hits in a Month
 Valid values:
 LOW: &lt;= 20 hits
 MID: &gt;20 AND &lt;= 100 hits
 HIGH: &gt; 100 hits
 For wireline subscribers, only subscriptions within Metro Manila (including some areas in Rizal) and with DSL, VDSL and GPON technology value are covered.</t>
  </si>
  <si>
    <t>online_seller_details</t>
  </si>
  <si>
    <t>Metric used and value for Online Seller profile
 For wireline subscribers, only subscriptions within Metro Manila (including some areas in Rizal) and with DSL, VDSL and GPON technology value are covered.</t>
  </si>
  <si>
    <t>{\Total Hits in a Month\": 107}</t>
  </si>
  <si>
    <t>online_seller_top1_app</t>
  </si>
  <si>
    <t>Top 1 app/site by data burn and hits categorized under the Online Seller profile
 For wireline subscribers, only subscriptions within Metro Manila (including some areas in Rizal) and with DSL, VDSL and GPON technology value are covered.</t>
  </si>
  <si>
    <t>shopee_seller</t>
  </si>
  <si>
    <t>hmo_member_indicator</t>
  </si>
  <si>
    <t>Indicator if a subscriber visits/uses HMO applications or sites like Intellicare, Maxicare, Smile PH, etc
 For wireline subscribers, only subscriptions within Metro Manila (including some areas in Rizal) and with DSL, VDSL and GPON technology value are covered.</t>
  </si>
  <si>
    <t>hmo_member_bucket</t>
  </si>
  <si>
    <t>Bucketing based on identified metric 
 Metric: Number of Hits in a Month
 Valid values: 
 LOW: &lt;= 2 hits
 MID: &gt; 2 &amp; &lt;=5 hits
 HIGH: &gt; 5 hits
 For wireline subscribers, only subscriptions within Metro Manila (including some areas in Rizal) and with DSL, VDSL and GPON technology value are covered.</t>
  </si>
  <si>
    <t>hmo_member_details</t>
  </si>
  <si>
    <t>Metric used and value for the HMO Member profile
 For wireline subscribers, only subscriptions within Metro Manila (including some areas in Rizal) and with DSL, VDSL and GPON technology value are covered.</t>
  </si>
  <si>
    <t>{\Total Hits in a Month\": 7}</t>
  </si>
  <si>
    <t>hmo_member_top1_app</t>
  </si>
  <si>
    <t>Top 1 app/site by data burn, total hits and active days categorized under the HMO Member profile
 For wireline subscribers, only subscriptions within Metro Manila (including some areas in Rizal) and with DSL, VDSL and GPON technology value are covered.</t>
  </si>
  <si>
    <t>intellicare</t>
  </si>
  <si>
    <t>reload_total_topup_amount_past_7days</t>
  </si>
  <si>
    <t>Total rolling topup amount of subscriber for the past 7 days.</t>
  </si>
  <si>
    <t>occupation_text_user</t>
  </si>
  <si>
    <t>Occupation of the GCash user.</t>
  </si>
  <si>
    <t>MANUFACTURING AND PRODUCTION</t>
  </si>
  <si>
    <t>occupation_text_user_categorized</t>
  </si>
  <si>
    <t>Categorized occupation of the GCash user.</t>
  </si>
  <si>
    <t>email_address_user</t>
  </si>
  <si>
    <t>Email address of the mobile user.</t>
  </si>
  <si>
    <t>juandelacruz@gmail.com</t>
  </si>
  <si>
    <t>insurance_app_indicator</t>
  </si>
  <si>
    <t>Indicator if a subscriber uses insurance apps or websites such as bpi_philam, fwd, intellicare
 For wireline subscribers, only subscriptions within Metro Manila (including some areas in Rizal) and with DSL, VDSL and GPON technology value are covered.</t>
  </si>
  <si>
    <t>insurance_app_bucket</t>
  </si>
  <si>
    <t>Bucketing based on identified metric for Insurance App and Website User profile
 Metric: Total Hits in a Month
 Valid values: 
 LOW: &lt;= 3
 MID: &gt; 3 &amp; &lt;= 6 hits
 HIGH: &gt; 6 hits
 For wireline subscribers, only subscriptions within Metro Manila (including some areas in Rizal) and with DSL, VDSL and GPON technology value are covered.</t>
  </si>
  <si>
    <t>insurance_app_details</t>
  </si>
  <si>
    <t>Metric used and value for Insurance App and Website User profile
 For wireline subscribers, only subscriptions within Metro Manila (including some areas in Rizal) and with DSL, VDSL and GPON technology value are covered.</t>
  </si>
  <si>
    <t>insurance_top_apps</t>
  </si>
  <si>
    <t>Top 1 app/site by data burn and hits categorized under the Insurance App and Website User profile
 For wireline subscribers, only subscriptions within Metro Manila (including some areas in Rizal) and with DSL, VDSL and GPON technology value are covered.</t>
  </si>
  <si>
    <t>sunlife</t>
  </si>
  <si>
    <t>car_dealer_caller_mode</t>
  </si>
  <si>
    <t>Top 1 tag by hits categorized under the Car Dealer Caller profile.</t>
  </si>
  <si>
    <t>citi_motors</t>
  </si>
  <si>
    <t>birth_date_user</t>
  </si>
  <si>
    <t>Date of birth of the mobile user.</t>
  </si>
  <si>
    <t>age_bracket_name_user</t>
  </si>
  <si>
    <t>Age bracket calculated from birth date of the mobile user.</t>
  </si>
  <si>
    <t>20-25</t>
  </si>
  <si>
    <t>derived_age_number_user</t>
  </si>
  <si>
    <t>Age calculated from birth date of the mobile user.</t>
  </si>
  <si>
    <t>core_billing_offer_id</t>
  </si>
  <si>
    <t>List of unique identifier of the voice and SMS offer plans assigned to the subscriber.</t>
  </si>
  <si>
    <t>[15579906, 936017695]</t>
  </si>
  <si>
    <t>core_billing_offer_desc</t>
  </si>
  <si>
    <t>List of voice and SMS offer plans assigned to the subscriber.</t>
  </si>
  <si>
    <t>[Free Unli Calls to Globe/TM (24 Months), Unli Calls to Globe/TM for P99]</t>
  </si>
  <si>
    <t>data_billing_offer_id</t>
  </si>
  <si>
    <t>List of unique identifier of the data offer plans assigned to the subscriber.</t>
  </si>
  <si>
    <t>[10192026, 17194639, 4859026, 4859026, 4859026, 8870743, 940935048]</t>
  </si>
  <si>
    <t>data_billing_offer_desc</t>
  </si>
  <si>
    <t>List of data offer plans assigned to the subscriber.</t>
  </si>
  <si>
    <t>[Business Surf 599 with Rollover (4GB), Business Surf 299 with Rollover (1.5GB), Pack - Business Add Surf 99 (1GB)]</t>
  </si>
  <si>
    <t>first_name_user</t>
  </si>
  <si>
    <t>First name of the mobile user.</t>
  </si>
  <si>
    <t>middle_name_user</t>
  </si>
  <si>
    <t>Middle name of the mobile user.</t>
  </si>
  <si>
    <t>Santos</t>
  </si>
  <si>
    <t>last_name_user</t>
  </si>
  <si>
    <t>Last name of the mobile user.</t>
  </si>
  <si>
    <t>dela Cruz</t>
  </si>
  <si>
    <t>bb_app_active_user_30days_indicator</t>
  </si>
  <si>
    <t>Monthly Active Users (MAUs) are BBAPP users with at least one transaction in the last 30 days except receive load.</t>
  </si>
  <si>
    <t>PW, WIRELINE, GLOBE</t>
  </si>
  <si>
    <t>prepaid_topup_segment</t>
  </si>
  <si>
    <t>Topup segment based on the topup behavior of the prepaid subscriber in the last 6 months. Values are derived from the recalibrated segmentation model run through PySpark and refreshed weekly.
 Valid values:
 1 - RTC
 2 - Sporadic
 3 - Casual
 4 - Regular (Weekly)
 5 - Frequent
 6 - Bulk</t>
  </si>
  <si>
    <t>prepaid_total_spending_arpu_7days</t>
  </si>
  <si>
    <t>Total prepaid spending ARPU for 7 days (promo registrations, ppu, topup a promo)</t>
  </si>
  <si>
    <t>lifestyle_app_indicator</t>
  </si>
  <si>
    <t>Indicator if a subscriber visits/uses lifestyle applications or sites like Booky, Cashzine, Cosmopolitan, Esquire, etc
 For wireline subscribers, only subscriptions within Metro Manila (including some areas in Rizal) and with DSL, VDSL and GPON technology value are covered.</t>
  </si>
  <si>
    <t>lifestyle_app_bucket</t>
  </si>
  <si>
    <t>Bucketing based on identified metric 
 Metric: Number of Active Days in a Month
 Valid values: 
 LOW: &lt;=3 active days
 MID: &gt; 3 &amp; &lt;=10 active days
 HIGH: &gt; 10 active days
 For wireline subscribers, only subscriptions within Metro Manila (including some areas in Rizal) and with DSL, VDSL and GPON technology value are covered.</t>
  </si>
  <si>
    <t>lifestyle_app_details</t>
  </si>
  <si>
    <t>Metric used and value for the Lifestyle App &amp; Web User profile
 For wireline subscribers, only subscriptions within Metro Manila (including some areas in Rizal) and with DSL, VDSL and GPON technology value are covered.</t>
  </si>
  <si>
    <t>{"Number of Active Days in a Month": 7}</t>
  </si>
  <si>
    <t>lifestyle_top_apps</t>
  </si>
  <si>
    <t>Top 1 app/site by data burn, total hits and active days categorized under the Lifestyle App &amp; Web User profile
 For wireline subscribers, only subscriptions within Metro Manila (including some areas in Rizal) and with DSL, VDSL and GPON technology value are covered.</t>
  </si>
  <si>
    <t>pinterest</t>
  </si>
  <si>
    <t>superapp_user_indicator</t>
  </si>
  <si>
    <t xml:space="preserve">Identifies if the customer is enrolled to the New Globe One application (NG1 or SuperApp). 
Values is 'yes' if any of the customer's subscriptions is enrolled
Value is 'no' if there are no subscriptions enrolled in the app
Note:
Value may change from 'yes' to 'no' if all subscriptions linked to a customer are unenrolled from the app </t>
  </si>
  <si>
    <t>prepaid_migration_propensity_decile</t>
  </si>
  <si>
    <t>The propensity decile of prepaid customers to avail postpaid plans from 1 (most likely to migrate) to 10.</t>
  </si>
  <si>
    <t>GHP-PREPAID</t>
  </si>
  <si>
    <t>reload_amount_mtd</t>
  </si>
  <si>
    <t>Total month-to-date reload amount</t>
  </si>
  <si>
    <t>usage_data_shift_indicator</t>
  </si>
  <si>
    <t>Indicator whether the subscriber has a shift in the voice usage behavior based from past 3 months of the subscriber's usages.</t>
  </si>
  <si>
    <t>TRUE or FALSE</t>
  </si>
  <si>
    <t>usage_sms_shift_indicator</t>
  </si>
  <si>
    <t>Indicator whether the subscriber has a shift in the SMS usage behavior based from past 3 months of the subscriber's usages.</t>
  </si>
  <si>
    <t>usage_voice_shift_indicator</t>
  </si>
  <si>
    <t>reload_amount_past_mo1</t>
  </si>
  <si>
    <t>Total reload amount for the past month</t>
  </si>
  <si>
    <t>reload_amount_past_mo2</t>
  </si>
  <si>
    <t>Total reload amount for the past second month</t>
  </si>
  <si>
    <t>reload_amount_past_mo3</t>
  </si>
  <si>
    <t>Total reload amount for the past third month</t>
  </si>
  <si>
    <t>reload_amount_past_mo4</t>
  </si>
  <si>
    <t>Total reload amount for the past fourth month</t>
  </si>
  <si>
    <t>reload_amount_past_mo5</t>
  </si>
  <si>
    <t>Total reload amount for the past fifth month</t>
  </si>
  <si>
    <t>reload_amount_past_mo6</t>
  </si>
  <si>
    <t>Total reload amount for the past sixth month</t>
  </si>
  <si>
    <t>reload_amount_past_mo7</t>
  </si>
  <si>
    <t>Total reload amount for the past seventh month</t>
  </si>
  <si>
    <t>reload_amount_past_mo8</t>
  </si>
  <si>
    <t>Total reload amount for the past eighth month</t>
  </si>
  <si>
    <t>reload_amount_past_mo9</t>
  </si>
  <si>
    <t>Total reload amount for the past ninth month</t>
  </si>
  <si>
    <t>reload_amount_past_mo10</t>
  </si>
  <si>
    <t>Total reload amount for the past tenth month</t>
  </si>
  <si>
    <t>reload_amount_past_mo11</t>
  </si>
  <si>
    <t>Total reload amount for the past eleventh month</t>
  </si>
  <si>
    <t>reload_amount_past_mo12</t>
  </si>
  <si>
    <t>Total reload amount for the past twelfth month</t>
  </si>
  <si>
    <t>interaction_top_desc_30days</t>
  </si>
  <si>
    <t>Channel with the top number of interactions between the subscriber and the CSR for the past 30 days</t>
  </si>
  <si>
    <t>ACCOUNT DETAILS</t>
  </si>
  <si>
    <t>interaction_top_desc_count_30days</t>
  </si>
  <si>
    <t>top_data_cell_site_capability</t>
  </si>
  <si>
    <t>Capability of the top cell site where the subscriber's data usages usually latch for the previous month.</t>
  </si>
  <si>
    <t>5G</t>
  </si>
  <si>
    <t>latest_handset_capability</t>
  </si>
  <si>
    <t>Capability of the subscriber's latest handset based on data usages for the last 90 days.</t>
  </si>
  <si>
    <t>2G</t>
  </si>
  <si>
    <t>open_service_request_count_30days</t>
  </si>
  <si>
    <t>Number of open service requests in the past 30 days</t>
  </si>
  <si>
    <t>service_request_ave_tat_30days</t>
  </si>
  <si>
    <t>Average turnaround time (in days) of closed service request cases for the past 30 days</t>
  </si>
  <si>
    <t>predicted_arpu_change</t>
  </si>
  <si>
    <t>Predicted ARPU change of the sub identified by the HPW's stretch model. (final_decile in AA)
  Decreasing - high likelihood of decreasing average promo spend 
  Increasing - high likelihood of increasing average promo spend; tagging used only in frequent cohort
  Stable Plus - high likelihood of stable average promo spend (no change to minimal increase); tagging used only in frequent cohort
  Stable Min - high likelihood of stable average promo spend (no change to minimal decrease); tagging used only in frequent cohort
  Non-Decreasing - high likelihood of non-decreasing promo spend; tagging used only in infrequent cohort​</t>
  </si>
  <si>
    <t>Stable Plus</t>
  </si>
  <si>
    <t>Weekly</t>
  </si>
  <si>
    <t>prepaid_topup_cohort</t>
  </si>
  <si>
    <t>HPW's stretch model identified type of loader. (cohort in AA)
  Frequent - subs with more frequent transactions or higher ARPU
  Infrequent - subs with less frequent transactions</t>
  </si>
  <si>
    <t>hpw_prepaid_topup_segment</t>
  </si>
  <si>
    <t>Topup segment based on the topup behavior of the HPW subscriber. Values are derived from the recalibrated HPW topup segmentation model based on the variables used in the old model and also including average monthly amount, average days between topup and ratio of the recent month amount for active HPW subscribers with at least three months tenure and either one topup or one Surf4All transaction in the last 3 months and refreshed weekly.
 Valid values:
 Low - Topup once every 3 months
 Mid - Topup 1-2 times per month
 Weekly - Topup once a week
 Frequent - Topup twice a week with lowest amount per topup
 Bulk - Topup once a month with highest amount per topup</t>
  </si>
  <si>
    <t>broadcast_exclude_indicator</t>
  </si>
  <si>
    <t>Indicator whether the subscriber is excluded in campaign blasts.</t>
  </si>
  <si>
    <t>survival_regression_score_6mos</t>
  </si>
  <si>
    <t>Estimated survival/retention probability in 6 months. The higher the value, most likely to survived by 6th month. 
Note: As of now what is available in UUP is only the 6th month data, the other months (1-24 months) is available at source (AA Model)</t>
  </si>
  <si>
    <t>interaction_ave_daily_duration_90days</t>
  </si>
  <si>
    <t>Average daily duration of interactions (in minutes) with the subscriber for the past 90 days</t>
  </si>
  <si>
    <t>postpaid_bb_cross_sell_score</t>
  </si>
  <si>
    <t>Probability score of postpaid wireless subscriber's to buy broadband products</t>
  </si>
  <si>
    <t>postpaid_bb_cross_sell_decile</t>
  </si>
  <si>
    <t>Decile score of postpaid wireless subscriber's to buy broadband products</t>
  </si>
  <si>
    <t>platinum_migration_score</t>
  </si>
  <si>
    <t>The propensity score of postpaid subscribers to migrate to Platinum plans</t>
  </si>
  <si>
    <t>platinum_migration_decile</t>
  </si>
  <si>
    <t>The propensity decile of postpaid subscribers to migrate to Platinum plans</t>
  </si>
  <si>
    <t>prepaid_spending_arpu_12weeks</t>
  </si>
  <si>
    <t>Average weekly prepaid spending ARPU for the past 2nd to 13th week (promo registrations, ppu, topup a promo)</t>
  </si>
  <si>
    <t>multivariate_microsegment</t>
  </si>
  <si>
    <t>Segmentation model leveraging on various attributes (Top-up, Promo, usage, Interest etc..) to have a 360 view of the customer
1. PASSIVE WEEKEND USERS - Inactive users with very minimal engagement. Usually active during weekend or near payday.
2. BINGE WATCHERS Have high data usage largely allocated for online video streaming, but generally have low core usage and rewards activities.
3. INACTIVE CORE USERS - Have very low ARPU and usage. Though they have a relatively low call count, most of their transactions are outbound core usage instead of data usage.
4. INACTIVE SURFERS - Have very low ARPU and core usage but have above-average data consumption and promo availments. Typically active on social media sites/apps.
5. TYPICAL SOCIAL BUTTERFLY - Mostly active in social media platforms. Have average ARPU and data consumption, and above-average core usage and interaction.
6. ATTACHED PASSIVE USERS - On the lowest spectrum of ARPU, data/core usage, and promo/rewards/loan availments. Still receive a lot of calls though.
7. ACTIVE BIG SPENDERS - Have the highest ARPU and data usage among all CFUs and brands; are enjoying the best network speed; have high core usage and are active in all platforms except rewards.
8. STRIVING TROUBLED USERS - Relatively new to the network but already experiencing the worst network experience and, thus are not generally engaged. However, they still seem to try to interact by filing complaints, request or inquiry.
9. ACTIVE CORE USERS - Active customers with heavy core usage but minimal data usage and below-average ARPU. Most of them are in the provincial areas.
10. OCCASIONAL MOBILE GAMERS - Seldom active and have around average ARPU and usage, with data mostly allotted to online mobile gaming.
11. ENGAGED OPPORTUNISTS - Take advantage of every promo, rewards, and loan offers. Have average tenure, above-average ARPU, and high usage.
12. HARDCORE ONLINE GAMERS - Gamers that are new to the network. Have above-average ARPU and data consumption but low core usage and interaction.
13. MINIMALIST LOYAL USERS - Have the longest tenure, their usage and ARPU are very low. Remain somewhat active given their low engagement within the network.
14. FRUGAL, MASS TEXTERS AND CALLERS - Very active consumers with extremely high core usage and promo engagement.
Have average tenure, with average ARPU and data consumption though. The percentage of share-a-load recipients in this group is relatively high compared to other clusters.
15. PART-TIME WORKERS - Infrequently active. Have below-average data usage which is mainly allotted to tools and productivity use. Have longer tenure with below-average core usage and low engagement.
16. DILIGENT ONLINE LEARNERS - Have above-average ARPU and data consumption. Active most of the time, they consume data mainly on online research and school/university sites.
17. WISE TITOS AND TITAS - Longer tenure but have average ARPU and usage. Have high interest on current events esp. international news and stay up-to-date on deals and discounts.
18. KEEN FINANCIAL-SAVVY - Have regular online transactions, probably to check online balances and track spending as often as possible. Generally have healthy consumption but use data mainly on online banking.
19. CASUAL NAVIGATORS - Have average tenure, ARPU, and usage. Mostly use their data for navigation purposes.
20. BUSY MADE-IN-CHINA MERCHANTS - Have above-average ARPU and usage. They are very engaged and are committed to
wholesale apps/sites.
21. SETTLED BPO WORKERS AND FREELANCERS - Have average tenure with healthy ARPU and data usage. Percentage of Consumer
Broadband and B2B Postpaid users is relatively higher in this group. Users are mostly in the urban areas.
22. AVID ANIME FANS - Have above-average ARPU with very high data usage and around average core usage. Usually active in anime streaming that requires high network speed.
23 NONCHALANT FINTECH USERS - Have average tenure with below-average ARPU and data usage, and are not engaged
in terms of promo, rewards or loan availments. Most apps used are for online payments, usually thru credit card and loaning sites/apps. This cluster has a fairly high percentage of multi-line wireless accounts.
24 INTERACTING AVERAGE CORE USERS - Have below-average ARPU and core usage. Have less data usage and minimal
promo, rewards, and loan availments. But, the interaction rate (may be an inquiry, a request, or a complaint) is highest
25. ACTIVE SPENDTHRIFTS - Moderately active consumers with above-average ARPU and data and core usage
but with less promo availments and rewards transactions. Have long tenure and a high interaction rate.</t>
  </si>
  <si>
    <t>PASSIVE WEEKEND USERS</t>
  </si>
  <si>
    <t>area_prioritization_number</t>
  </si>
  <si>
    <t>Town prioritization of NTG where the migration will happen.</t>
  </si>
  <si>
    <t>Batch 1, Batch 2, . . .</t>
  </si>
  <si>
    <t>sim_device_migration_description</t>
  </si>
  <si>
    <t>A cohort of MSH to show the priority subscribers which will be needing Device and SIM migration. This is based on device capability (frequency level) and sim capability of the subscriber.</t>
  </si>
  <si>
    <t>LTE,SIM MIGRATION,5G LTE,SIM + DEVICE MIGRATION,DEVICE MIGRATION</t>
  </si>
  <si>
    <t>business_priority_bucket_description</t>
  </si>
  <si>
    <t>A cohort of MSH to show the priority subscribers in terms of assumed/calculated revenue and tenure.</t>
  </si>
  <si>
    <t>PRIO 1, PRIO 2, . . .</t>
  </si>
  <si>
    <t>change_sim_3g_4g_indicator</t>
  </si>
  <si>
    <t>Indicator if the subscriber changed their SIM from 2G/3G to 4G/5G during the observation period.</t>
  </si>
  <si>
    <t>TRUE/FALSE</t>
  </si>
  <si>
    <t>sim_migration_whitelist_indicator</t>
  </si>
  <si>
    <t>Identified subscribers for SIM migration.</t>
  </si>
  <si>
    <t>passion_point_entertainment_indicator</t>
  </si>
  <si>
    <t>Indicator if entertainment is a passion point of the subscriber based from Interest AI and the Postpaid Rightsizing model</t>
  </si>
  <si>
    <t>GHP, GHP-PREPAID, TM, GOMO</t>
  </si>
  <si>
    <t>passion_point_essentials_indicator</t>
  </si>
  <si>
    <t>Indicator if essentials is a passion point of the subscriber based from Interest AI and the Postpaid Rightsizing model</t>
  </si>
  <si>
    <t>passion_point_gaming_indicator</t>
  </si>
  <si>
    <t>Indicator if gaming is a passion point of the subscriber based from Interest AI and the Postpaid Rightsizing model</t>
  </si>
  <si>
    <t>passion_point_learning_indicator</t>
  </si>
  <si>
    <t>Indicator if learning is a passion point of the subscriber based from Interest AI and the Postpaid Rightsizing model</t>
  </si>
  <si>
    <t>passion_point_sports_indicator</t>
  </si>
  <si>
    <t>Indicator if sports is a passion point of the subscriber based from Interest AI and the Postpaid Rightsizing model</t>
  </si>
  <si>
    <t>passion_point_travel_indicator</t>
  </si>
  <si>
    <t>Indicator if traveling is a passion point of the subscriber based from Interest AI and the Postpaid Rightsizing model</t>
  </si>
  <si>
    <t>passion_point_work_indicator</t>
  </si>
  <si>
    <t>Indicator if working is a passion point of the subscriber based from Interest AI and the Postpaid Rightsizing model</t>
  </si>
  <si>
    <t>passion_point_social_indicator</t>
  </si>
  <si>
    <t>Indicator if being social is a passion point of the subscriber based from Interest AI and the Postpaid Rightsizing model</t>
  </si>
  <si>
    <t>work_location_urbanity_code</t>
  </si>
  <si>
    <t>Indicates if the user works in an urban area.
  R - Rural
  U - Urban</t>
  </si>
  <si>
    <t>917V</t>
  </si>
  <si>
    <t>home_location_urbanity_code</t>
  </si>
  <si>
    <t>Indicates if the user lives in an urban area.
  R - Rural
  U - Urban</t>
  </si>
  <si>
    <t>U</t>
  </si>
  <si>
    <t>latest_surf_alert_status_30days</t>
  </si>
  <si>
    <t>The latest surf alert status of the subscriber for the past 30 days.</t>
  </si>
  <si>
    <t>ON</t>
  </si>
  <si>
    <t>globeone_active_user_180days_indicator</t>
  </si>
  <si>
    <t>Indicator if a user has any transaction in the GlobeOne App in the current to past 180 days</t>
  </si>
  <si>
    <t>Marketing</t>
  </si>
  <si>
    <t>Streaming</t>
  </si>
  <si>
    <t>channel_profile</t>
  </si>
  <si>
    <t>globeone_active_user_60days_indicator</t>
  </si>
  <si>
    <t>Indicator if a user has any transaction in the GlobeOne App in the past 31 to 60 days</t>
  </si>
  <si>
    <t>globeone_active_user_30days_indicator</t>
  </si>
  <si>
    <t>Indicator if a user has any transaction in the GlobeOne App in the past 30 days</t>
  </si>
  <si>
    <t>globeone_promo_7days_indicator</t>
  </si>
  <si>
    <t>Indicator if the subscriber has successful or unsuccessful promo or addon availment or create transactions in GlobeOne in the past 7 days.</t>
  </si>
  <si>
    <t>globeone_manage_rewards_count_7days</t>
  </si>
  <si>
    <t>Number of successful manage reward points transactions in GlobeOne in the past 7 days.</t>
  </si>
  <si>
    <t>int8</t>
  </si>
  <si>
    <t>globeone_redeem_rewards_count_7days</t>
  </si>
  <si>
    <t>Number of successful redeem reward transactions in GlobeOne in the past 7 days.</t>
  </si>
  <si>
    <t>globeone_promo_count_7days</t>
  </si>
  <si>
    <t>Number of successful promo or addon availment in GlobeOne in the past 7 days.</t>
  </si>
  <si>
    <t>globeone_reload_count_7days</t>
  </si>
  <si>
    <t>Number of successful reload transactions in GlobeOne in the past 7 days.</t>
  </si>
  <si>
    <t>globeone_reload_mode_amount_7days</t>
  </si>
  <si>
    <t>Mode amount of successful reload transactions in GlobeOne in the past 7 days.</t>
  </si>
  <si>
    <t>globeone_promo_mode_sku_7days</t>
  </si>
  <si>
    <t>Mode promo name of successful promo availments in GlobeOne in the past 7 days.</t>
  </si>
  <si>
    <t>GOLONGER10</t>
  </si>
  <si>
    <t>globeone_first_reg_indicator</t>
  </si>
  <si>
    <t>Indicator if a user is a first time registration in the app</t>
  </si>
  <si>
    <t>usage_data_mb_past_mo1</t>
  </si>
  <si>
    <t>Total volume of data usage in megabytes for the past month</t>
  </si>
  <si>
    <t>Broadband Marketing</t>
  </si>
  <si>
    <t>Monthy</t>
  </si>
  <si>
    <t>gid_b2b</t>
  </si>
  <si>
    <t>Globe ID inferred from business-to-business (B2B) model</t>
  </si>
  <si>
    <t>CSSG-CDA</t>
  </si>
  <si>
    <t>B2B</t>
  </si>
  <si>
    <t>BAYAN
GHP
GHP-PREPAID
GLOBE
PW
TM
WIRELINE</t>
  </si>
  <si>
    <t>mobility_index_daily</t>
  </si>
  <si>
    <t>Computed mobility index based on radius of gyration, travelled distance, and activity entropy based on daily top locations</t>
  </si>
  <si>
    <t>mobility_class_daily</t>
  </si>
  <si>
    <t>Mobility class bucket of the computed mobility index based on daily top locations whether LOW, MID or HIGH.</t>
  </si>
  <si>
    <t>mobility_index_weekly</t>
  </si>
  <si>
    <t>Computed mobility index based on radius of gyration, travelled distance, and activity entropy based on top locations in the last seven days</t>
  </si>
  <si>
    <t>mobility_class_weekly</t>
  </si>
  <si>
    <t>Mobility class bucket of the computed mobility index based on top locations in the last seven days whether LOW, MID or HIGH.</t>
  </si>
  <si>
    <t>mobility_index_monthly</t>
  </si>
  <si>
    <t>Computed mobility index based on radius of gyration, travelled distance, and activity entropy based on top locations in the last month</t>
  </si>
  <si>
    <t>mobility_class_monthly</t>
  </si>
  <si>
    <t>Mobility class bucket of the computed mobility index based on top locations in the last month whether LOW, MID or HIGH.</t>
  </si>
  <si>
    <t>clv_survival_quarterly_segment</t>
  </si>
  <si>
    <t>Inferred clv segment of subscribers based on their profile, updated quarterly and scored based on tenure</t>
  </si>
  <si>
    <t>clv_survival_quarterly_mo1</t>
  </si>
  <si>
    <t>Inferred probability of a subscriber's survival to the next month according to his/her identified cohort, updated quarterly and scored based on tenure</t>
  </si>
  <si>
    <t>clv_survival_quarterly_mo2</t>
  </si>
  <si>
    <t>Inferred probability of a subscriber's survival to the next 2 months based on his/her identified cohort, updated quarterly and scored based on tenure</t>
  </si>
  <si>
    <t>clv_survival_quarterly_mo3</t>
  </si>
  <si>
    <t>Inferred probability of a subscriber's survival to the next 3 months based on his/her identified cohort, updated quarterly and scored based on tenure</t>
  </si>
  <si>
    <t>clv_survival_quarterly_mo4</t>
  </si>
  <si>
    <t>Inferred probability of a subscriber's survival to the next 4 months based on his/her identified cohort, updated quarterly and scored based on tenure</t>
  </si>
  <si>
    <t>clv_survival_quarterly_mo5</t>
  </si>
  <si>
    <t>Inferred probability of a subscriber's survival to the next 5 months based on his/her identified cohort, updated quarterly and scored based on tenure</t>
  </si>
  <si>
    <t>clv_survival_quarterly_mo6</t>
  </si>
  <si>
    <t>Inferred probability of a subscriber's survival to the next 6 months based on his/her identified cohort, updated quarterly and scored based on tenure</t>
  </si>
  <si>
    <t>clv_survival_quarterly_mo7</t>
  </si>
  <si>
    <t>Inferred probability of a subscriber's survival to the next 7 months based on his/her identified cohort, updated quarterly and scored based on tenure</t>
  </si>
  <si>
    <t>clv_survival_quarterly_mo8</t>
  </si>
  <si>
    <t>Inferred probability of a subscriber's survival to the next 8 months based on his/her identified cohort, updated quarterly and scored based on tenure</t>
  </si>
  <si>
    <t>clv_survival_quarterly_mo9</t>
  </si>
  <si>
    <t>Inferred probability of a subscriber's survival to the next 9 months based on his/her identified cohort, updated quarterly and scored based on tenure</t>
  </si>
  <si>
    <t>clv_survival_quarterly_mo10</t>
  </si>
  <si>
    <t>Inferred probability of a subscriber's survival to the next 10 months based on his/her identified cohort, updated quarterly and scored based on tenure</t>
  </si>
  <si>
    <t>clv_survival_quarterly_mo11</t>
  </si>
  <si>
    <t>Inferred probability of a subscriber's survival to the next 11 months based on his/her identified cohort, updated quarterly and scored based on tenure</t>
  </si>
  <si>
    <t>clv_survival_quarterly_mo12</t>
  </si>
  <si>
    <t>Inferred probability of a subscriber's survival to the next 12 months based on his/her identified cohort, updated quarterly and scored based on tenure</t>
  </si>
  <si>
    <t>bb_segment</t>
  </si>
  <si>
    <t>Segmentation model among SG Broadband lines in relation to churn and other factors</t>
  </si>
  <si>
    <t>WIRELINE</t>
  </si>
  <si>
    <t>superapp_reload_count_30days</t>
  </si>
  <si>
    <t>Number of successful reload transactions in SuperApp in the past 30 days.</t>
  </si>
  <si>
    <t>GHP-PREPAID, TM, PW, WIRELINE</t>
  </si>
  <si>
    <t>superapp_share_count_30days</t>
  </si>
  <si>
    <t>Number of successful share-a-promo or share-a-load transactions in SuperApp in the past 30 days.</t>
  </si>
  <si>
    <t>superapp_loan_count_30days</t>
  </si>
  <si>
    <t>Number of successful loan transactions in SuperApp in the past 30 days.</t>
  </si>
  <si>
    <t>GHP-PREPAID, TM, WIRELINE</t>
  </si>
  <si>
    <t>superapp_dau_indicator</t>
  </si>
  <si>
    <t>Indicator if a user has any transaction in the SuperApp in the past day</t>
  </si>
  <si>
    <t>GHP, GHP-PREPAID, TM, PW, WIRELINE, BAYAN</t>
  </si>
  <si>
    <t>superapp_wau_indicator</t>
  </si>
  <si>
    <t>Indicator if a user has any transaction in the SuperApp in the past 7 days</t>
  </si>
  <si>
    <t>superapp_mau_indicator</t>
  </si>
  <si>
    <t>Indicator if a user has any transaction in the SuperApp in the 30 days</t>
  </si>
  <si>
    <t>dito_website_visit_count_rolling_30days</t>
  </si>
  <si>
    <t>Number of hits to DITO websites for the past 30 days
 For wireline subscribers, only subscriptions within Metro Manila (including some areas in Rizal) and with DSL, VDSL and GPON technology value are covered.</t>
  </si>
  <si>
    <t>smart_website_visit_count_rolling_30days</t>
  </si>
  <si>
    <t>Number of hits to Smart websites for the past 30 days
 For wireline subscribers, only subscriptions within Metro Manila (including some areas in Rizal) and with DSL, VDSL and GPON technology value are covered.</t>
  </si>
  <si>
    <t>globe_online_website_visit_count_rolling_30days</t>
  </si>
  <si>
    <t>Number of hits to GlobeOnline website for the past 30 days
 For wireline subscribers, only subscriptions within Metro Manila (including some areas in Rizal) and with DSL, VDSL and GPON technology value are covered.</t>
  </si>
  <si>
    <t>usage_data_facebook_mb_past_30days</t>
  </si>
  <si>
    <t>Total data volume used in megabytes on Facebook for the past 30 days
 For wireline subscribers, only subscriptions within Metro Manila (including some areas in Rizal) and with DSL, VDSL and GPON technology value are covered.</t>
  </si>
  <si>
    <t>clv_overall_rank</t>
  </si>
  <si>
    <t>The ranking/binning of the computed Customer Lifetime Value (CLV) based on combined historical and forecasted profit for 84 months of the subscriber compared to the total base. Values range from 0 (highest) to 9 (lowest prepaid_clv_overall_revenue)</t>
  </si>
  <si>
    <t>clv_overall_revenue</t>
  </si>
  <si>
    <t>The computed Customer Lifetime Value (CLV) based on combined historical and forecasted profit for 84 months of the subscriber.
 Values may contain negative values</t>
  </si>
  <si>
    <t>productivity_tools_user_total_data_usage_mb</t>
  </si>
  <si>
    <t>Total data usage for productivity tools in the past month</t>
  </si>
  <si>
    <t>GHP, GHP-PREPAID, TM, PW, GOMO, WIRELINE, BAYAN</t>
  </si>
  <si>
    <t>video_streamer_total_data_usage_mb</t>
  </si>
  <si>
    <t>Total data usage for video streaming apps in the past month</t>
  </si>
  <si>
    <t>psychographic_segment</t>
  </si>
  <si>
    <t>Segmentation of consumer mobile customers based on psychographics / motivations. The model used for this is the Lens segementation.
BASIC LIFER -- Dependable family member, works hard and endures to reach financial sufficiency
CAPTAIN -- Driven with superior capability and intelligence, cannot tolerate mediocrity, and finds unique solutions to difficult issues
DISKARTE PROVIDER -- Hero and rock of the family, a dependable and reliable provider who works hard and smart, finds opportunities to earn and have significant financial buffer for the family
GO GETTER -- Dynamic and evolving, in continuous engagement to be updated on emerging trends and lifestyle, in constant touch with multiple circles of connections and friends
PASSION DRIVEN -- Authentic, with a strong desire for freedom to express their individuality and pursue their personal interests
THRIVING PINOY -- Loving and caring member of the family, an encouraging and supportive friend, and well-liked member of the community. Derives a lot of joy from day-to-day interactions and in serving others</t>
  </si>
  <si>
    <t>CAPTAIN</t>
  </si>
  <si>
    <t>usage_avg_data_quantity_p3m_bill_cycle_mb</t>
  </si>
  <si>
    <t>Average data usage of the subscriber for the past 3 closed months billing cycle in megabytes (MB)</t>
  </si>
  <si>
    <t>superapp_redeem_nontelco_rewards_count_30days</t>
  </si>
  <si>
    <t>Number of successful redemption of non-telco rewards in SuperApp in the past 30 days.</t>
  </si>
  <si>
    <t>superapp_redeem_telco_rewards_count_30days</t>
  </si>
  <si>
    <t>Number of successful redemption of telco rewards in SuperApp in the past 30 days.</t>
  </si>
  <si>
    <t>superapp_reload_mode_amount_30days</t>
  </si>
  <si>
    <t>Inferred indicator for an OFW relative for subscribers with OFW sim pack or with page visits to OFW-related applications or websites or remittance trackers like OF Bank, OFW Watch, Remitly</t>
  </si>
  <si>
    <t>billing_offer_speed_mbps</t>
  </si>
  <si>
    <t>Speed (in MBPS unit of measurement) indicated in the subscriber's main plan</t>
  </si>
  <si>
    <t>bb_download_speed_value_mbps</t>
  </si>
  <si>
    <t>Download (DPC) speed configured to the account</t>
  </si>
  <si>
    <t>DPA - BB</t>
  </si>
  <si>
    <t>Consumer, EG, 
SG</t>
  </si>
  <si>
    <t>data_billing_offer_data_allocation</t>
  </si>
  <si>
    <t>Total data (MB) allocation of sub's plans excluding consumable promos</t>
  </si>
  <si>
    <t>single_site_usage_indicator</t>
  </si>
  <si>
    <t>Indicator if subscriber's data usage is mostly on a single site</t>
  </si>
  <si>
    <t>platinum_migration_arpu_12mos</t>
  </si>
  <si>
    <t>The average revenue for the past 12 months of postpaid subscriber</t>
  </si>
  <si>
    <t>productivity_tools_user_total_data_usage_bucket</t>
  </si>
  <si>
    <t>Total data usage bucket for productivity tools in the past month:
 WIRELESS:
 LOW: &lt; 3 MB
 MID: 3-12 MB
 HIGH &gt;12 MB
 WIRELINE
 LOW: &lt; 1000 MB
 MID: 1000-6600 MB
 HIGH &gt;6600 MB</t>
  </si>
  <si>
    <t>rewards_point_balance</t>
  </si>
  <si>
    <t>Reward point balance of the subscriber</t>
  </si>
  <si>
    <t>household_segment</t>
  </si>
  <si>
    <t>Household segment where subscriber is more likely to belong to:
 Independent Household - Individuals living with non-relatives (e.g., friends, housemates, etc)
 Childless Household - Couples living together with no kids yet OR individuals (single or married) who are living alone
 Starting/Growing - Couples or single parents with eldest kid aged 0-12 or 13-20 years old
 Mature Household - Couples or single parents with eldest kid aged 21 years old and above
 Extended Family - Households with presence of grandparents, aunts, uncles or other relatives
 Empty Nester - Old couples, single parents, widow or widower whose children do not live with them anymore</t>
  </si>
  <si>
    <t>Starting Family</t>
  </si>
  <si>
    <t>Consumer, EG,  SG, 
In house
IBG Traveler</t>
  </si>
  <si>
    <t>household_decision_tag</t>
  </si>
  <si>
    <t>Inferred category whether subscriber is more likely to respond/to have the purchasing power, either Decision Maker or Not Decision Maker.</t>
  </si>
  <si>
    <t>Decision Maker</t>
  </si>
  <si>
    <t>mobility_radius_of_gyration_weekly</t>
  </si>
  <si>
    <t>Radius of gyration in kilometers (how wide is the movement) of the subscriber based on all hourly top locations in the last seven days</t>
  </si>
  <si>
    <t>mobility_radius_of_gyration_monthly</t>
  </si>
  <si>
    <t>Radius of gyration in kilometers (how wide is the movement) of the subscriber based on all hourly top locations in the last month</t>
  </si>
  <si>
    <t>mobility_total_traveled_distance_weekly</t>
  </si>
  <si>
    <t>Total travelled distance in kilometers (how far is the movement) of the subscriber based on all hourly top locations in the last seven days</t>
  </si>
  <si>
    <t>mobility_total_traveled_distance_monthly</t>
  </si>
  <si>
    <t>Total travelled distance in kilometers (how far is the movement) of the subscriber based on all hourly top locations in the last month</t>
  </si>
  <si>
    <t>mobility_activity_entropy_weekly</t>
  </si>
  <si>
    <t>Activity entropy - unitless (how often is the movement) of the subscriber based on all hourly top locations in the last seven days</t>
  </si>
  <si>
    <t>mobility_activity_entropy_monthly</t>
  </si>
  <si>
    <t>Activity entropy - unitless (how often is the movement) of the subscriber based on all hourly top locations in the last month</t>
  </si>
  <si>
    <t>primary_sim_indicator</t>
  </si>
  <si>
    <t>Indicator whether the subscriber uses the Globe sim as a primary sim card among likely multiple sim card holders.
TRUE - Primary Sim 
FALSE - Secondary Sim</t>
  </si>
  <si>
    <t>multi_line_indicator</t>
  </si>
  <si>
    <t>Indicator whether the subscriber has multiple line subscriptions, determined by checking SCV data if the subscriber already has an existing GID indicating multiple mobile subscriptions. 
TRUE - Multiple Lines
FALSE - Single Line</t>
  </si>
  <si>
    <t>mobile_bridging_segment</t>
  </si>
  <si>
    <t>Mobile cohorts influenced by ECQ - aims to bridge ARPU declines in mobile.
1: Shift to BB - Customers are concentrated at home, hence may be using WiFi most of the time. (SAP/SAL Sender to HPW OR BB Postpaid User OR BB/HPW User in SCV)
2: Shift to Comp BB - Customers with Competitor Broadband (1 or High propensity in SCV Competitor BB model)
3: Financial - Due to halt in economic activity, a lot of people lost their jobs, hence may be having financial difficulty maintaining telco spend (Struggling Affluence OR RTC or Sporadic Topup Segment)
4: Shift to Comp - Competitors may be luring customers to use their service instead due to aggressive product push (Non Struggling Affluence AND 1 (Multisimmer) in Multisimmer Model)
5: Student - Students with no allowance hence not being able to buy prepaid load (Non Struggling Affluence  AND Student Lifestage)
6: Network - Some may still have money but due to poor network QOS, discontinued used of the service (Non Struggling Affluence AND Network Speeds Worse than Competitor
9: New - Workaround cohort to tag subscribers with activation dates later than available profile dates. (e.g. If scoring December 2021 Base and using November 2021 Profiles/Model Scores, then all December 2021 newly activated subscribers will not have scores in any of the profile/model scores and will thus be tagged as NEW. This was done in the past as a workaround if current month profiles were not yet available, however it is less likely to be done today.)
99: Catch-all - Remaining mobtels that are not tagged in above cohorts</t>
  </si>
  <si>
    <t xml:space="preserve">1: Shift to BB        </t>
  </si>
  <si>
    <t>mobility_center_of_mass_latitude_weekly</t>
  </si>
  <si>
    <t>Coordinates</t>
  </si>
  <si>
    <t>Latitude from the center of mass coordinates based on top locations in the last seven days</t>
  </si>
  <si>
    <t>GHP, GHP-PREPAID, TM, PW, WIRELINE, GOMO</t>
  </si>
  <si>
    <t>mobility_center_of_mass_longitude_weekly</t>
  </si>
  <si>
    <t>Longitude from the center of mass coordinates based on top locations in the last seven days</t>
  </si>
  <si>
    <t>mobility_center_of_mass_latitude_monthly</t>
  </si>
  <si>
    <t>Latitude from the center of mass coordinates based on top locations in the last month</t>
  </si>
  <si>
    <t>mobility_center_of_mass_longitude_monthly</t>
  </si>
  <si>
    <t>Longitude from the center of mass coordinates based on top locations in the last month</t>
  </si>
  <si>
    <t>mobility_index_average_baseline_daily</t>
  </si>
  <si>
    <t>Baseline average daily mobility index from January 2020 to February 2020</t>
  </si>
  <si>
    <t>mobility_index_average_baseline_weekly</t>
  </si>
  <si>
    <t>Baseline average weekly mobility index from January 2020 to February 2020</t>
  </si>
  <si>
    <t>mobility_index_average_baseline_monthly</t>
  </si>
  <si>
    <t>Baseline average monthly mobility index from January 2020 to February 2020</t>
  </si>
  <si>
    <t>mobility_index_average_baseline_weekday</t>
  </si>
  <si>
    <t>Baseline average daily weekday mobility index from January 2020 to February 2020</t>
  </si>
  <si>
    <t>mobility_index_average_baseline_weekend</t>
  </si>
  <si>
    <t>Baseline average daily weekend mobility index from January 2020 to February 2020</t>
  </si>
  <si>
    <t>caif_by_25pct_active_days_indicator</t>
  </si>
  <si>
    <t>Indicator whether a subscriber experienced congestion for the past month for at least 25% of the total days at a minimum of 6 days.</t>
  </si>
  <si>
    <t>tenure_count_mos</t>
  </si>
  <si>
    <t>Number of months from activation to the current date</t>
  </si>
  <si>
    <t>GHP, GHP-PREPAID, GOMO, TM, PW, WIRELINE, BAYAN, GLOBE</t>
  </si>
  <si>
    <t>gross_service_revenue_indicative_amount_past_1mo</t>
  </si>
  <si>
    <t>Total gross service revenue amount for the past one month</t>
  </si>
  <si>
    <t>gross_service_revenue_indicative_amount_average_past_2mos</t>
  </si>
  <si>
    <t>Average gross service revenue amount for the past two months</t>
  </si>
  <si>
    <t>gross_service_revenue_indicative_amount_average_past_3mos</t>
  </si>
  <si>
    <t>Average gross service revenue amount for the past three months</t>
  </si>
  <si>
    <t>previous_brand_type_code</t>
  </si>
  <si>
    <t>Brand type code of the subscriber prior to porting</t>
  </si>
  <si>
    <t>GHP, GHP-PREPAID, GOMO, TM, PW</t>
  </si>
  <si>
    <t>latest_collection_account_status_code</t>
  </si>
  <si>
    <t>The latest status of the collection entity
 NONE - Active
 CAN - Cancelled
 Sus - Suspended
 PSUS - Barred</t>
  </si>
  <si>
    <t>PSUS</t>
  </si>
  <si>
    <t>latest_collection_account_status_date</t>
  </si>
  <si>
    <t xml:space="preserve">The treatment start date of the latest status of the collection entity. </t>
  </si>
  <si>
    <t>rewards_ussd_redemption_latest_date_90days</t>
  </si>
  <si>
    <t>The latest successful rewards redemption date via USSD channel</t>
  </si>
  <si>
    <t>household_id</t>
  </si>
  <si>
    <t>ID of the subscriber's inferred household</t>
  </si>
  <si>
    <t>GHP, GHP-PREPAID, GOMO, TM</t>
  </si>
  <si>
    <t>International_roam_charge_amount_past_1mo</t>
  </si>
  <si>
    <t>Calculation for total international and roaming charges that a subscriber received for the past month</t>
  </si>
  <si>
    <t>Numeric (21,2)</t>
  </si>
  <si>
    <t>Product Delivery - Arrow</t>
  </si>
  <si>
    <t>international_roam_charge_average_amount_past_2mos</t>
  </si>
  <si>
    <t>Calculation for the average international and roaming charges that a subscriber received for the past 2 months</t>
  </si>
  <si>
    <t>international_roam_charge_average_amount_past_3mos</t>
  </si>
  <si>
    <t>Calculation for the average international and roaming charges that a subscriber received for the past 3 months</t>
  </si>
  <si>
    <t>home_longitude</t>
  </si>
  <si>
    <t>Inferred longitude location from which the home address of the subscriber is found. The inferred location is pulled from the available latched cell sites data of the subscriber within the timeframe specified (10pm to 5am).</t>
  </si>
  <si>
    <t>home_latitude</t>
  </si>
  <si>
    <t>Inferred latitude location from which the home address of the subscriber is found. The inferred location is pulled from the available latched cell sites data of the subscriber within the timeframe specified (10pm to 5am).</t>
  </si>
  <si>
    <t>core_revenue_amount_past_1mo</t>
  </si>
  <si>
    <t>Calculation for total charges that a subscriber received for the past month - limited to CORE charges (data, sms, voice)</t>
  </si>
  <si>
    <t>core_revenue_average_amount_past_2mos</t>
  </si>
  <si>
    <t>Calculation for the average charges that a subscriber received for the past 2 months - limited to CORE charges (data, sms, voice)</t>
  </si>
  <si>
    <t>core_revenue_average_amount_past_3mos</t>
  </si>
  <si>
    <t>Calculation for the average charges that a subscriber received for the past 3 months- limited to CORE charges (data, sms, voice)</t>
  </si>
  <si>
    <t>availment_superapp_promo_count_30days</t>
  </si>
  <si>
    <t>The number of promo or availment by sub (including gyro and excluding loan promo) in NG1 in the past 30 days</t>
  </si>
  <si>
    <t xml:space="preserve">
1,2,3,4,5</t>
  </si>
  <si>
    <t xml:space="preserve">availment_profile
</t>
  </si>
  <si>
    <t>tenure_topup_cohort</t>
  </si>
  <si>
    <t>HPW cohort based on tenure and loading behavior
Consistent_Downgrade - at least 3 months tenure with at least one topup transaction per month in the past 3 months and latest month topup amount is less than the topup amount for the last 2 months
Consistent_Retain - at least 3 months tenure with at least one topup transaction per month in the past 3 months and latest month topup amount is equal to the topup amount for the last 2 months
Consistent_Upgrade -  at least 3 months tenure with at least one topup transaction per month in the past 3 months and latest month topup amount is greater than the topup amount for the last 2 months
New_Loader - less than three months tenure with at least one topup transaction in the past 3 months
New_Non-Loader  - less than three months tenure with no topup transaction in the past 3 months
Non-Loader - at least 3 months tenure with no topup transaction in the past 3 months
Sporadic_Non-Loader - at least 3 months tenure with with at least one monthly topup transaction in 1 or 2 months in the past 3 months and no topup in the latest month
Sporadic_Winback -  at least 3 months tenure with with at least one monthly topup transaction in 1 or 2 months in the past 3 months and with topup in the latest month</t>
  </si>
  <si>
    <t>Consistent_Downgrade</t>
  </si>
  <si>
    <t>subscriber_profile</t>
  </si>
  <si>
    <t>Development</t>
  </si>
  <si>
    <t>duo_number_value</t>
  </si>
  <si>
    <t>Duo number of the subscriber</t>
  </si>
  <si>
    <t>Product - Core Services</t>
  </si>
  <si>
    <t>GHP, GHP-PREPAID, WIRELINE</t>
  </si>
  <si>
    <t>latest_device_volte_capable_30days_indicator</t>
  </si>
  <si>
    <t>Indicator whether the subsrcriber's latest device used over the past 30 days is Voice Over LTE capable.</t>
  </si>
  <si>
    <t>latest_device_vowifi_capable_30days_indicator</t>
  </si>
  <si>
    <t>Indicator whether the subsrcriber's latest device used over the past 30 days is Voice Over WIFI capable.</t>
  </si>
  <si>
    <t>promo_reco_sku1</t>
  </si>
  <si>
    <t>Mostly frequently availed promo SKU and top recommended promo SKU of the subscriber.</t>
  </si>
  <si>
    <t>CA20</t>
  </si>
  <si>
    <t>GHP-PREPAID, TM, GOMO</t>
  </si>
  <si>
    <t>promo_reco_sku2</t>
  </si>
  <si>
    <t>Second most recommended promo SKU based on most frequently availed promo of the subscriber.</t>
  </si>
  <si>
    <t>COMBO20</t>
  </si>
  <si>
    <t>promo_reco_sku3</t>
  </si>
  <si>
    <t>Third most recommended promo SKU based on most frequently availed promo of the subscriber.</t>
  </si>
  <si>
    <t>EZ70</t>
  </si>
  <si>
    <t>promo_reco_sku4</t>
  </si>
  <si>
    <t>Fourth most recommended promo SKU based on most frequently availed promo of the subscriber.</t>
  </si>
  <si>
    <t>EZ50DD</t>
  </si>
  <si>
    <t>promo_reco_sku5</t>
  </si>
  <si>
    <t>Fifth most recommended promo SKU based on most frequently availed promo of the subscriber.</t>
  </si>
  <si>
    <t>ANS20</t>
  </si>
  <si>
    <t>promo_reco_sku6</t>
  </si>
  <si>
    <t>Sixth most recommended promo SKU based on most frequently availed promo of the subscriber.</t>
  </si>
  <si>
    <t>EZ99 Doble Freebie</t>
  </si>
  <si>
    <t>promo_reco_sku7</t>
  </si>
  <si>
    <t>Seventh most recommended promo SKU based on most frequently availed promo of the subscriber.</t>
  </si>
  <si>
    <t>EZ90</t>
  </si>
  <si>
    <t>promo_reco_sku8</t>
  </si>
  <si>
    <t>Eighth most recommended promo SKU based on most frequently availed promo of the subscriber.</t>
  </si>
  <si>
    <t>EZ50 DF</t>
  </si>
  <si>
    <t>promo_reco_sku9</t>
  </si>
  <si>
    <t>Ninth most recommended promo SKU based on most frequently availed promo of the subscriber.</t>
  </si>
  <si>
    <t>EZ90 Doble Freebie</t>
  </si>
  <si>
    <t>promo_reco_sku10</t>
  </si>
  <si>
    <t>Tenth most recommended promo SKU based on most frequently availed promo of the subscriber.</t>
  </si>
  <si>
    <t>SURF4ALL99</t>
  </si>
  <si>
    <t>pre_porting_usage_data_mb_past_90days</t>
  </si>
  <si>
    <t>Total volume of data usage in megabytes for the past 90 days prior to porting</t>
  </si>
  <si>
    <t>kumu_total_data_usage_past_mo1</t>
  </si>
  <si>
    <t>Total data usage (in bytes) in Kumu for the past month</t>
  </si>
  <si>
    <t>Numeric(31,4)</t>
  </si>
  <si>
    <t>Inquiro</t>
  </si>
  <si>
    <t>tiktok_total_data_usage_past_mo1</t>
  </si>
  <si>
    <t>Total data usage (in bytes) in Tiktok for the past month</t>
  </si>
  <si>
    <t>twitch_total_data_usage_past_mo1</t>
  </si>
  <si>
    <t>Total data usage (in bytes) in Twitch for the past month</t>
  </si>
  <si>
    <t>youtube_total_data_usage_past_mo1</t>
  </si>
  <si>
    <t>Total data usage (in bytes) in Youtube for the past month</t>
  </si>
  <si>
    <t>discord_total_data_usage_past_mo1</t>
  </si>
  <si>
    <t>Total data usage (in bytes) in Discord for the past month</t>
  </si>
  <si>
    <t>facebook_messenger_total_data_usage_past_mo1</t>
  </si>
  <si>
    <t>Total data usage (in bytes) in Facebook Messenger for the past month</t>
  </si>
  <si>
    <t>line_total_data_usage_past_mo1</t>
  </si>
  <si>
    <t>Total data usage (in bytes) in Line for the past month</t>
  </si>
  <si>
    <t>telegram_total_data_usage_past_mo1</t>
  </si>
  <si>
    <t>Total data usage (in bytes) in Telegram for the past month</t>
  </si>
  <si>
    <t>viber_total_data_usage_past_mo1</t>
  </si>
  <si>
    <t>Total data usage (in bytes) in Viber for the past month</t>
  </si>
  <si>
    <t>wechat_total_data_usage_past_mo1</t>
  </si>
  <si>
    <t>Total data usage (in bytes) in Wechat for the past month</t>
  </si>
  <si>
    <t>whatsapp_total_data_usage_past_mo1</t>
  </si>
  <si>
    <t>Total data usage (in bytes) in Whatsapp for the past month</t>
  </si>
  <si>
    <t>facebook_total_data_usage_past_mo1</t>
  </si>
  <si>
    <t>Total data usage (in bytes) in Facebook for the past month</t>
  </si>
  <si>
    <t>instagram_total_data_usage_past_mo1</t>
  </si>
  <si>
    <t>Total data usage (in bytes) in Instagram for the past month</t>
  </si>
  <si>
    <t>linkedin_total_data_usage_past_mo1</t>
  </si>
  <si>
    <t>Total data usage (in bytes) in Linkedin for the past month</t>
  </si>
  <si>
    <t>lyka_total_data_usage_past_mo1</t>
  </si>
  <si>
    <t>Total data usage (in bytes) in Lyka for the past month</t>
  </si>
  <si>
    <t>snapchat_total_data_usage_past_mo1</t>
  </si>
  <si>
    <t>Total data usage (in bytes) in Snapchat for the past month</t>
  </si>
  <si>
    <t>twitter_total_data_usage_past_mo1</t>
  </si>
  <si>
    <t>Total data usage (in bytes) in Twitter for the past month</t>
  </si>
  <si>
    <t>google_total_data_usage_past_mo1</t>
  </si>
  <si>
    <t>Total data usage (in bytes) in Google for the past month</t>
  </si>
  <si>
    <t>yahoo_total_data_usage_past_mo1</t>
  </si>
  <si>
    <t>Total data usage (in bytes) in Yahoo for the past month</t>
  </si>
  <si>
    <t>alibaba_affinity_score_past_mo1</t>
  </si>
  <si>
    <t>Affinity score to Alibaba for the previous month based on the active days and recency of visit</t>
  </si>
  <si>
    <t>numeric(19,8)</t>
  </si>
  <si>
    <t>aliexpress_affinity_score_past_mo1</t>
  </si>
  <si>
    <t>Affinity score to Aliexpress for the previous month based on the active days and recency of visit</t>
  </si>
  <si>
    <t>amazon_affinity_score_past_mo1</t>
  </si>
  <si>
    <t>Affinity score to Amazon for the previous month based on the active days and recency of visit</t>
  </si>
  <si>
    <t>beautymnl_affinity_score_past_mo1</t>
  </si>
  <si>
    <t>Affinity score to Beauty MNL for the previous month based on the active days and recency of visit</t>
  </si>
  <si>
    <t>carousell_affinity_score_past_mo1</t>
  </si>
  <si>
    <t>Affinity score to Carousell for the previous month based on the active days and recency of visit</t>
  </si>
  <si>
    <t>discord_affinity_score_past_mo1</t>
  </si>
  <si>
    <t>Affinity score to Discord for the previous month based on the active days and recency of visit</t>
  </si>
  <si>
    <t>ebay_affinity_score_past_mo1</t>
  </si>
  <si>
    <t>Affinity score to Ebay for the previous month based on the active days and recency of visit</t>
  </si>
  <si>
    <t>facebook_affinity_score_past_mo1</t>
  </si>
  <si>
    <t>Affinity score to Facebook for the previous month based on the active days and recency of visit</t>
  </si>
  <si>
    <t>facebook_messenger_affinity_score_past_mo1</t>
  </si>
  <si>
    <t>Affinity score to Facebook Messenger for the previous month based on the active days and recency of visit</t>
  </si>
  <si>
    <t>google_affinity_score_past_mo1</t>
  </si>
  <si>
    <t>Affinity score to Google for the previous month based on the active days and recency of visit</t>
  </si>
  <si>
    <t>ikea_ph_affinity_score_past_mo1</t>
  </si>
  <si>
    <t>Affinity score to Ikea Ph for the previous month based on the active days and recency of visit</t>
  </si>
  <si>
    <t>instagram_affinity_score_past_mo1</t>
  </si>
  <si>
    <t>Affinity score to Instagram for the previous month based on the active days and recency of visit</t>
  </si>
  <si>
    <t>kumu_affinity_score_past_mo1</t>
  </si>
  <si>
    <t>Affinity score to Kumu for the previous month based on the active days and recency of visit</t>
  </si>
  <si>
    <t>lazada_affinity_score_past_mo1</t>
  </si>
  <si>
    <t>Affinity score to Lazada for the previous month based on the active days and recency of visit</t>
  </si>
  <si>
    <t>line_affinity_score_past_mo1</t>
  </si>
  <si>
    <t>Affinity score to Line for the previous month based on the active days and recency of visit</t>
  </si>
  <si>
    <t>linkedin_affinity_score_past_mo1</t>
  </si>
  <si>
    <t>Affinity score to Linkedin for the previous month based on the active days and recency of visit</t>
  </si>
  <si>
    <t>lyka_affinity_score_past_mo1</t>
  </si>
  <si>
    <t>Affinity score to Lyka for the previous month based on the active days and recency of visit</t>
  </si>
  <si>
    <t>mercurydrug_affinity_score_past_mo1</t>
  </si>
  <si>
    <t>Affinity score to Mercury Drug for the previous month based on the active days and recency of visit</t>
  </si>
  <si>
    <t>olx_affinity_score_past_mo1</t>
  </si>
  <si>
    <t>Affinity score to Olx for the previous month based on the active days and recency of visit</t>
  </si>
  <si>
    <t>pickaroo_affinity_score_past_mo1</t>
  </si>
  <si>
    <t>Affinity score to Pickaroo for the previous month based on the active days and recency of visit</t>
  </si>
  <si>
    <t>sephora_affinity_score_past_mo1</t>
  </si>
  <si>
    <t>Affinity score to Sephora for the previous month based on the active days and recency of visit</t>
  </si>
  <si>
    <t>shein_affinity_score_past_mo1</t>
  </si>
  <si>
    <t>Affinity score to Shein for the previous month based on the active days and recency of visit</t>
  </si>
  <si>
    <t>shop_sm_affinity_score_past_mo1</t>
  </si>
  <si>
    <t>Affinity score to Shop SM for the previous month based on the active days and recency of visit</t>
  </si>
  <si>
    <t>shopee_affinity_score_past_mo1</t>
  </si>
  <si>
    <t>Affinity score to Shopee for the previous month based on the active days and recency of visit</t>
  </si>
  <si>
    <t>snapchat_affinity_score_past_mo1</t>
  </si>
  <si>
    <t>Affinity score to Snapchat for the previous month based on the active days and recency of visit</t>
  </si>
  <si>
    <t>telegram_affinity_score_past_mo1</t>
  </si>
  <si>
    <t>Affinity score to Telegram for the previous month based on the active days and recency of visit</t>
  </si>
  <si>
    <t>tiktok_affinity_score_past_mo1</t>
  </si>
  <si>
    <t>Affinity score to Tiktok for the previous month based on the active days and recency of visit</t>
  </si>
  <si>
    <t>twitch_affinity_score_past_mo1</t>
  </si>
  <si>
    <t>Affinity score to Twitch for the previous month based on the active days and recency of visit</t>
  </si>
  <si>
    <t>twitter_affinity_score_past_mo1</t>
  </si>
  <si>
    <t>Affinity score to Twitter for the previous month based on the active days and recency of visit</t>
  </si>
  <si>
    <t>viber_affinity_score_past_mo1</t>
  </si>
  <si>
    <t>Affinity score to Viber for the previous month based on the active days and recency of visit</t>
  </si>
  <si>
    <t>watsons_affinity_score_past_mo1</t>
  </si>
  <si>
    <t>Affinity score to Watsons for the previous month based on the active days and recency of visit</t>
  </si>
  <si>
    <t>wechat_affinity_score_past_mo1</t>
  </si>
  <si>
    <t>Affinity score to Wechat for the previous month based on the active days and recency of visit</t>
  </si>
  <si>
    <t>whatsapp_affinity_score_past_mo1</t>
  </si>
  <si>
    <t>Affinity score to Whatsapp for the previous month based on the active days and recency of visit</t>
  </si>
  <si>
    <t>yahoo_affinity_score_past_mo1</t>
  </si>
  <si>
    <t>Affinity score to Yahoo for the previous month based on the active days and recency of visit</t>
  </si>
  <si>
    <t>youtube_affinity_score_past_mo1</t>
  </si>
  <si>
    <t>Affinity score to Youtube for the previous month based on the active days and recency of visit</t>
  </si>
  <si>
    <t>zalora_affinity_score_past_mo1</t>
  </si>
  <si>
    <t>Affinity score to Zalora for the previous month based on the active days and recency of visit</t>
  </si>
  <si>
    <t>FVT
CSSG
Arrow</t>
  </si>
  <si>
    <t>NA - SCV View</t>
  </si>
  <si>
    <t>total_promo_availment_count</t>
  </si>
  <si>
    <t xml:space="preserve">Total count of successful promo registrations done by the customer. 
For Postpaid: 
The following are considered as promos:
1. Plan packs and add ons - offers that are not part of the main plan even if it is included on the subscriber's monthly recurring fee (MRF)
2. Freebie offers and content subscriptions
The following are not promos and should be excluded: 
1. Main plan - where subscriber's MSF is based from
2. Handset cashout
3. Admin fee
4. Other offers related to provisioning 
For Prepaid: 
- Attribution belongs to the receiving number (b num)
The following are considered as promos:
1. Regular promo registrations done by any prepaid brands (GHP-Prepaid, TM, PW) from all CFUs (Consumer, EG, SMB)
2. CYO (create your own promo - GoSAKTO) promo registrations done by any prepaid brands (GHP-Prepaid, TM) from all CFUs (Consumer, EG, SMB)
3. GYRO (direct promo registration) and Share a Promo transactions from all CFUs (Consumer, EG, SMB)  with the following originating (a num) and receiving (b num) prepaid brands:
    GHP-Prepaid to TM, HPW
    TM to GHP-Prepaid, HPW
4. Gyro loan (loan for direct promo registration) done by any prepaid brands (GHP-Prepaid, TM, PW) from all CFUs (Consumer, EG, SMB)
The following are invalid transactions:
1. HPW to GHP-Prepaid, TM from all CFUs (Consumer, EG, SMB)  
</t>
  </si>
  <si>
    <t>scv_b2c_availment_profile</t>
  </si>
  <si>
    <t>highest_monthly_service_fee_amount</t>
  </si>
  <si>
    <t>Highest recurring fixed amount (including tax) among all the customer's postpaid mobile and broadband subscriptions</t>
  </si>
  <si>
    <t>scv_b2c_contract_profile</t>
  </si>
  <si>
    <t>total_monthly_service_fee_amount</t>
  </si>
  <si>
    <t>Sum of all the recurring fixed amount (including tax) charged to all of the customer's postpaid mobile and broadband subscriptions</t>
  </si>
  <si>
    <t>total_monthly_service_fee_amount_plus_total_reload_amount</t>
  </si>
  <si>
    <t xml:space="preserve">Sum of all the monthly fees and reload transaction amount from all the customer's postpaid and prepaid subscriptions for both mobile and broadband.
Refer to 'Total_Monthly_Service_Fee_Amount' and 'Total_Reload_Amount' for additional details </t>
  </si>
  <si>
    <t>total_mobile_lines_count</t>
  </si>
  <si>
    <t>Total count of mobile postpaid and prepaid subscriptions that a customer has</t>
  </si>
  <si>
    <t>total_broadband_lines_count</t>
  </si>
  <si>
    <t>Total count of Broadband postpaid and prepaid subscriptions that a customer has</t>
  </si>
  <si>
    <t>total_lines_count</t>
  </si>
  <si>
    <t>Total count of lines from mobile and broadband susbcriptions of a customer
Note: GOMO is not (yet) included in the count</t>
  </si>
  <si>
    <t>earliest_customer_final_customer_name</t>
  </si>
  <si>
    <t xml:space="preserve">Registered customer's full name captured from the record with the earliest customer acquisition date. 
Notes:
1. Earliest record is captured regardless if it is Postpaid or Prepaid
2. Value will be null for customers with only prepaid subscription/s without any customer demographics information from identified sources e.g. BSS, GCash </t>
  </si>
  <si>
    <t>John Cruz Doe</t>
  </si>
  <si>
    <t>earliest_customer_acquisition_date</t>
  </si>
  <si>
    <t xml:space="preserve">Creation date of the customer in MyBSS/ICCBS from the record with the earliest customer acquisition date. 
Notes: 
1. Customer Acquisition Date is when a customer record is created in the CRM system while
2. Subscriber Activation Date is when a particular subscription of a customer is activated in the system. 
3. A customer may have several subscriber records. 
4. Only live subscriptions of the customer are included, hence value may change when subscriptions under a customer account are churned. </t>
  </si>
  <si>
    <t>earliest_customer_birth_date</t>
  </si>
  <si>
    <t xml:space="preserve">Birthdate of the customer sourced from SCV matching in the Master Data Management platform. 
Notes:
1. Value will be null for customers with only prepaid subscription/s without any customer demographics information from identified sources e.g. BSS, GCash
2. Capturing the record with the earliest customer acquisition date does not apply to this field since birth dates must always be an exact match to identify subscriptions belonging to one customer </t>
  </si>
  <si>
    <t>highest_net_promoter_score_description</t>
  </si>
  <si>
    <t xml:space="preserve">Highest score index that states customer's likelihood to recommend Globe based on a recent experience or interaction (e.g. inquiring about promos, new account application, change of plan, bill payment). Scores are captured from the surveys sent to customers using different channels and triggers.
If any of the surveys aswered by the customer have a rating of 9-10, then value is 'Promoter'
For surveys without 9-10 rating but have scores of 7-8, then value is 'Passive'
For surveys where highest rating is only 0-6, then value is 'Detractor'
If there are no ratings, then value is 'null' </t>
  </si>
  <si>
    <t>scv_b2c_network_profile</t>
  </si>
  <si>
    <t>total_reload_amount</t>
  </si>
  <si>
    <t>Total amount successfully reloaded to all the customer's mobile and broadband prepaid subscriptions.
Invalid transactions excluded:
1. Share-A-Load and Share-A-Promo 
   - where sender brand is prepaid or tm and receiver brand is prepaid or tm
   -  where sender brand is prepaid wifi - should not have the capability to SAL/SAP
2. Regular Load Loans - since this is also reflected in regular load transactions (will be double counted if not excluded)
3. Gyro Loans - since this is also reflected in regular load transactions (will be double counted if not excluded)
4. Load transactions using test wallets</t>
  </si>
  <si>
    <t>scv_b2c_reload_profile</t>
  </si>
  <si>
    <t>total_reward_points_earned_quantity</t>
  </si>
  <si>
    <t>Sum of all the reward points earned from all the customer's postpaid and prepaid subscriptions for both mobile and broadband.</t>
  </si>
  <si>
    <t>scv_b2c_reward_campaign_profile</t>
  </si>
  <si>
    <t>total_reward_points_redeemed_quantity</t>
  </si>
  <si>
    <t>Sum of all the reward points redeemed from all the customer's postpaid and prepaid subscriptions for both mobile and broadband.</t>
  </si>
  <si>
    <t>total_gross_service_revenue_indicative_amount</t>
  </si>
  <si>
    <t>Sum of all the indicative gross service revenue earned from all the customer's postpaid and prepaid subscriptions for both mobile and broadband.
For Postpaid - Amount that has already been placed on the bill of the subscriber (regardless if for payment or has already been paid in advance) for product/offer/service that has been consumed less all the possible adjustment amounts applied to the account for a particular billing cycle (typically caused by disputing in billing)
For Prepaid - includes earned amounts from availed or expired prepaid product offers and services
Note:
Provided data is only indicative and sourced directly from different systems, it does not include data from SAP, payment services, and manual adjustments. 
e.g. For prepaid, actual load value provided to the customer is captured rather than discounted amount (if there is any)</t>
  </si>
  <si>
    <t>scv_b2c_revenue_profile</t>
  </si>
  <si>
    <t>total_data_volume_count</t>
  </si>
  <si>
    <t>Total volume consumed from the data usage transactions of the customer from all subscriptions.
Usages have 3 classifications:  
1.) Pay-per-Use - regular use of services, charge based on actual consumption
2.) Promo - use of promo offers to utilize services
3.) Free - use of services for free 
Pay-per-use usages are charged depending on the usage direction of the service. 
Usage Directions: 
1.) Inbound -  Mobile Terminating
2.) Outbound - Mobile Originating
Valid usage type and direction to be charged: 
1.) Data - usage direction is always outbound
Note: GOMO is not (yet) included in the count</t>
  </si>
  <si>
    <t>scv_b2c_usage_profile</t>
  </si>
  <si>
    <t>total_voice_minutes</t>
  </si>
  <si>
    <t xml:space="preserve">Total minutes spent by the customer for calls from all subscriptions.
Notes: 
1. GOMO is not (yet) included in the count
2. HPW voice transactions are included if there is any. This a compliance issue. </t>
  </si>
  <si>
    <t>total_sms_usage_count</t>
  </si>
  <si>
    <t xml:space="preserve">Total number of SMS sent by the customer from all subscriptions.
Notes: 
1. GOMO is not (yet) included in the count
2. HPW SMS transactions are included if there is any. 
- Only SMS transactions for registration purposes are valid while others are considered as a complinace issue (usage of HPW for regular texts) </t>
  </si>
  <si>
    <t>total_mobile_prepaid_lines_count</t>
  </si>
  <si>
    <t xml:space="preserve">Total count of a mobile prepaid subscriptions that a customer has
Note: GOMO is not included as part of mobile prepaid </t>
  </si>
  <si>
    <t>Bigint</t>
  </si>
  <si>
    <t>earliest_subscriber_activation_date</t>
  </si>
  <si>
    <t xml:space="preserve">Activation date of the customer in MyBSS/ICCBS from the record of the customer's earliest subscription (subscriber activation date).
Notes: 
1. Customer Acquisition Date is when a customer record is created in the CRM system while
2. Subscriber Activation Date is when a particular subscription of a customer is activated in the system. 
3. A customer may have several subscriber records. 
4. Only live subscriptions of the customer are included, hence value may change when subscriptions under a customer account are churned. </t>
  </si>
  <si>
    <t>total_mobile_postpaid_lines_count</t>
  </si>
  <si>
    <t>Total count of mobile postpaid subscriptions that a customer has</t>
  </si>
  <si>
    <t>total_broadband_postpaid_lines_count</t>
  </si>
  <si>
    <t>Total count of broadband postpaid subscriptions that a customer has</t>
  </si>
  <si>
    <t>total_broadband_prepaid_lines_count</t>
  </si>
  <si>
    <t>Total count of Broadband preapaid subscriptions that a customer has</t>
  </si>
  <si>
    <t>c419160d-658c-4df2-b4a3-3793945f9b49</t>
  </si>
  <si>
    <t>EG
SG</t>
  </si>
  <si>
    <t>scv_b2b_customer_profile</t>
  </si>
  <si>
    <t>customer_final_name</t>
  </si>
  <si>
    <t>Refers to the final company name used to link the GBU files</t>
  </si>
  <si>
    <t>03 KING BAKER BAKESHOP</t>
  </si>
  <si>
    <t>b2b_customer_profile</t>
  </si>
  <si>
    <t>The customer group in which the customer belongs to.</t>
  </si>
  <si>
    <t>globe_business_universe_id</t>
  </si>
  <si>
    <t>Manually assigned code of GBU Admin that serves as the unique code of all GBU accounts.</t>
  </si>
  <si>
    <t>FVT - MSH</t>
  </si>
  <si>
    <t>BB - HPW</t>
  </si>
  <si>
    <t>Emilie Martin</t>
  </si>
  <si>
    <t>Consumer Mobile</t>
  </si>
  <si>
    <t>Denise Aguado / Joyce Anne Ramos</t>
  </si>
  <si>
    <t>ecq_region</t>
  </si>
  <si>
    <t>GHP, Prepaid, TM, PW</t>
  </si>
  <si>
    <t>ecq_province</t>
  </si>
  <si>
    <t>ecq_town</t>
  </si>
  <si>
    <t>ecq_barangay</t>
  </si>
  <si>
    <t>T3 HPW / BB</t>
  </si>
  <si>
    <t>FVT BB Postpaid</t>
  </si>
  <si>
    <t>GHP
GHP-PREPAID
PW</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</si>
</sst>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yy\-mm\-dd\ h:mm:ss"/>
    <numFmt numFmtId="165" formatCode="mmmm\ d\,\ yyyy"/>
    <numFmt numFmtId="166" formatCode="m/d/yyyy\ h:mm"/>
    <numFmt numFmtId="167" formatCode="mm&quot;-&quot;dd&quot;-&quot;yyyy"/>
    <numFmt numFmtId="168" formatCode="yyyy-mm-dd h:mm:ss"/>
    <numFmt numFmtId="169" formatCode="mm/dd/yyyy h:mm:ss"/>
    <numFmt numFmtId="170" formatCode="mm-dd-yyyy"/>
    <numFmt numFmtId="171" formatCode="yyyy-mm"/>
    <numFmt numFmtId="172" formatCode="M/d/yyyy H:mm:ss"/>
    <numFmt numFmtId="173" formatCode="m-d-yyyy"/>
  </numFmts>
  <fonts count="41">
    <font>
      <sz val="10.0"/>
      <color rgb="FF000000"/>
      <name val="Calibri"/>
      <scheme val="minor"/>
    </font>
    <font>
      <b/>
      <sz val="10.0"/>
      <color theme="1"/>
      <name val="Arial"/>
    </font>
    <font>
      <sz val="10.0"/>
      <color theme="1"/>
      <name val="Arial"/>
    </font>
    <font>
      <sz val="10.0"/>
      <color rgb="FF000000"/>
      <name val="Arial"/>
    </font>
    <font>
      <color theme="1"/>
      <name val="Calibri"/>
      <scheme val="minor"/>
    </font>
    <font>
      <b/>
      <sz val="10.0"/>
      <color rgb="FFFFFFFF"/>
      <name val="Arial"/>
    </font>
    <font>
      <sz val="10.0"/>
      <color rgb="FFFFFFFF"/>
      <name val="Arial"/>
    </font>
    <font>
      <sz val="10.0"/>
      <color rgb="FF444444"/>
      <name val="Arial"/>
    </font>
    <font>
      <u/>
      <sz val="10.0"/>
      <color rgb="FF000000"/>
      <name val="Arial"/>
    </font>
    <font>
      <u/>
      <sz val="10.0"/>
      <color rgb="FF000000"/>
      <name val="Arial"/>
    </font>
    <font>
      <sz val="10.0"/>
      <color rgb="FF424242"/>
      <name val="Arial"/>
    </font>
    <font>
      <b/>
      <sz val="10.0"/>
      <color rgb="FFFFFFFF"/>
      <name val="Roboto"/>
    </font>
    <font>
      <sz val="10.0"/>
      <color rgb="FF000000"/>
      <name val="Roboto"/>
    </font>
    <font>
      <sz val="11.0"/>
      <color rgb="FF000000"/>
      <name val="Calibri"/>
      <scheme val="minor"/>
    </font>
    <font>
      <u/>
      <sz val="10.0"/>
      <color rgb="FF000000"/>
      <name val="Arial"/>
    </font>
    <font>
      <u/>
      <sz val="10.0"/>
      <color rgb="FF000000"/>
      <name val="Arial"/>
    </font>
    <font>
      <sz val="10.0"/>
      <color rgb="FF303232"/>
      <name val="Arial"/>
    </font>
    <font>
      <color theme="1"/>
      <name val="Arial"/>
    </font>
    <font>
      <sz val="10.0"/>
      <color theme="1"/>
      <name val="Roboto"/>
    </font>
    <font>
      <sz val="11.0"/>
      <color rgb="FF222222"/>
      <name val="Calibri"/>
    </font>
    <font>
      <color rgb="FF000000"/>
      <name val="Arial"/>
    </font>
    <font>
      <sz val="11.0"/>
      <color theme="1"/>
      <name val="Calibri"/>
    </font>
    <font>
      <sz val="11.0"/>
      <color rgb="FF000000"/>
      <name val="Calibri"/>
    </font>
    <font>
      <sz val="11.0"/>
      <color rgb="FF000000"/>
      <name val="Roboto"/>
    </font>
    <font>
      <sz val="11.0"/>
      <color rgb="FF222222"/>
      <name val="Roboto"/>
    </font>
    <font>
      <u/>
      <sz val="10.0"/>
      <color rgb="FF000000"/>
      <name val="Arial"/>
    </font>
    <font>
      <color rgb="FF222222"/>
      <name val="Roboto"/>
    </font>
    <font>
      <sz val="10.0"/>
      <color rgb="FF222222"/>
      <name val="Arial"/>
    </font>
    <font>
      <u/>
      <sz val="10.0"/>
      <color rgb="FF1155CC"/>
      <name val="Arial"/>
    </font>
    <font>
      <sz val="11.0"/>
      <color rgb="FFFF0000"/>
      <name val="Calibri"/>
    </font>
    <font>
      <sz val="11.0"/>
      <color theme="1"/>
      <name val="Arial"/>
    </font>
    <font>
      <sz val="11.0"/>
      <color rgb="FF000000"/>
      <name val="Arial"/>
    </font>
    <font>
      <b/>
      <sz val="11.0"/>
      <color rgb="FFFFFFFF"/>
      <name val="Calibri"/>
    </font>
    <font>
      <u/>
      <sz val="11.0"/>
      <color rgb="FF000000"/>
      <name val="Calibri"/>
    </font>
    <font>
      <sz val="11.0"/>
      <color rgb="FF303232"/>
      <name val="Calibri"/>
    </font>
    <font>
      <sz val="11.0"/>
      <color rgb="FF424242"/>
      <name val="Calibri"/>
    </font>
    <font>
      <u/>
      <sz val="11.0"/>
      <color rgb="FF1155CC"/>
      <name val="Calibri"/>
    </font>
    <font>
      <u/>
      <sz val="11.0"/>
      <color rgb="FF000000"/>
      <name val="Calibri"/>
    </font>
    <font>
      <sz val="11.0"/>
      <color rgb="FF000000"/>
      <name val="Docs-Calibri"/>
    </font>
    <font>
      <sz val="9.0"/>
      <color theme="1"/>
      <name val="Roboto"/>
    </font>
    <font>
      <color rgb="FF000000"/>
      <name val="Calibri"/>
    </font>
  </fonts>
  <fills count="8">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0000FF"/>
        <bgColor rgb="FF0000FF"/>
      </patternFill>
    </fill>
    <fill>
      <patternFill patternType="solid">
        <fgColor rgb="FFFFFFFF"/>
        <bgColor rgb="FFFFFFFF"/>
      </patternFill>
    </fill>
    <fill>
      <patternFill patternType="solid">
        <fgColor rgb="FFF8F8F8"/>
        <bgColor rgb="FFF8F8F8"/>
      </patternFill>
    </fill>
    <fill>
      <patternFill patternType="solid">
        <fgColor rgb="FFCCCCCC"/>
        <bgColor rgb="FFCCCCCC"/>
      </patternFill>
    </fill>
  </fills>
  <borders count="15">
    <border/>
    <border>
      <left style="hair">
        <color rgb="FF666666"/>
      </left>
      <right style="hair">
        <color rgb="FF666666"/>
      </right>
      <top style="hair">
        <color rgb="FF666666"/>
      </top>
      <bottom style="hair">
        <color rgb="FF666666"/>
      </bottom>
    </border>
    <border>
      <left style="thin">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right/>
      <top style="thin">
        <color rgb="FF000000"/>
      </top>
      <bottom/>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29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1" fillId="0" fontId="2"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1" fillId="0" fontId="2" numFmtId="0" xfId="0" applyAlignment="1" applyBorder="1" applyFont="1">
      <alignment horizontal="left"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1" fillId="3" fontId="3" numFmtId="0" xfId="0" applyAlignment="1" applyBorder="1" applyFill="1" applyFont="1">
      <alignment readingOrder="0" shrinkToFit="0" wrapText="1"/>
    </xf>
    <xf borderId="2" fillId="2" fontId="1"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6" fillId="0" fontId="2" numFmtId="0" xfId="0" applyAlignment="1" applyBorder="1" applyFont="1">
      <alignment horizontal="left" readingOrder="0" shrinkToFit="0" vertical="center" wrapText="1"/>
    </xf>
    <xf borderId="7" fillId="0" fontId="2" numFmtId="0" xfId="0" applyAlignment="1" applyBorder="1" applyFont="1">
      <alignment horizontal="left" readingOrder="0" shrinkToFit="0" vertical="center" wrapText="1"/>
    </xf>
    <xf borderId="0" fillId="0" fontId="2"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4" numFmtId="0" xfId="0" applyAlignment="1" applyFont="1">
      <alignment shrinkToFit="0" wrapText="1"/>
    </xf>
    <xf borderId="8" fillId="4" fontId="5" numFmtId="0" xfId="0" applyAlignment="1" applyBorder="1" applyFill="1" applyFont="1">
      <alignment horizontal="left" shrinkToFit="0" vertical="center" wrapText="1"/>
    </xf>
    <xf borderId="8" fillId="4" fontId="5" numFmtId="0" xfId="0" applyAlignment="1" applyBorder="1" applyFont="1">
      <alignment horizontal="center" shrinkToFit="0" vertical="center" wrapText="1"/>
    </xf>
    <xf borderId="8" fillId="4" fontId="6" numFmtId="0" xfId="0" applyAlignment="1" applyBorder="1" applyFont="1">
      <alignment horizontal="left" shrinkToFit="0" vertical="center" wrapText="1"/>
    </xf>
    <xf borderId="8" fillId="5" fontId="3" numFmtId="0" xfId="0" applyAlignment="1" applyBorder="1" applyFill="1" applyFont="1">
      <alignment horizontal="left" shrinkToFit="0" vertical="center" wrapText="1"/>
    </xf>
    <xf borderId="8" fillId="0" fontId="3" numFmtId="0" xfId="0" applyAlignment="1" applyBorder="1" applyFont="1">
      <alignment horizontal="left" shrinkToFit="0" vertical="center" wrapText="1"/>
    </xf>
    <xf borderId="8" fillId="5" fontId="2" numFmtId="0" xfId="0" applyAlignment="1" applyBorder="1" applyFont="1">
      <alignment horizontal="left" shrinkToFit="0" vertical="center" wrapText="1"/>
    </xf>
    <xf borderId="8" fillId="0" fontId="3" numFmtId="0" xfId="0" applyAlignment="1" applyBorder="1" applyFont="1">
      <alignment shrinkToFit="0" vertical="center" wrapText="1"/>
    </xf>
    <xf borderId="8" fillId="0" fontId="3" numFmtId="49" xfId="0" applyAlignment="1" applyBorder="1" applyFont="1" applyNumberFormat="1">
      <alignment horizontal="left" shrinkToFit="0" vertical="center" wrapText="1"/>
    </xf>
    <xf borderId="8" fillId="5" fontId="3" numFmtId="49" xfId="0" applyAlignment="1" applyBorder="1" applyFont="1" applyNumberFormat="1">
      <alignment horizontal="left" shrinkToFit="0" vertical="center" wrapText="1"/>
    </xf>
    <xf borderId="8" fillId="0" fontId="3" numFmtId="164" xfId="0" applyAlignment="1" applyBorder="1" applyFont="1" applyNumberFormat="1">
      <alignment horizontal="left" shrinkToFit="0" vertical="center" wrapText="1"/>
    </xf>
    <xf borderId="8" fillId="5" fontId="3" numFmtId="10" xfId="0" applyAlignment="1" applyBorder="1" applyFont="1" applyNumberFormat="1">
      <alignment horizontal="left" shrinkToFit="0" vertical="center" wrapText="1"/>
    </xf>
    <xf borderId="8" fillId="5" fontId="2" numFmtId="165" xfId="0" applyAlignment="1" applyBorder="1" applyFont="1" applyNumberFormat="1">
      <alignment horizontal="left" shrinkToFit="0" vertical="center" wrapText="1"/>
    </xf>
    <xf borderId="8" fillId="0" fontId="3" numFmtId="166" xfId="0" applyAlignment="1" applyBorder="1" applyFont="1" applyNumberFormat="1">
      <alignment horizontal="left" shrinkToFit="0" vertical="center" wrapText="1"/>
    </xf>
    <xf borderId="8" fillId="5" fontId="3" numFmtId="166" xfId="0" applyAlignment="1" applyBorder="1" applyFont="1" applyNumberFormat="1">
      <alignment horizontal="left" shrinkToFit="0" vertical="center" wrapText="1"/>
    </xf>
    <xf borderId="8" fillId="5" fontId="7" numFmtId="0" xfId="0" applyAlignment="1" applyBorder="1" applyFont="1">
      <alignment horizontal="left" shrinkToFit="0" vertical="center" wrapText="1"/>
    </xf>
    <xf borderId="8" fillId="0" fontId="3" numFmtId="0" xfId="0" applyAlignment="1" applyBorder="1" applyFont="1">
      <alignment vertical="center"/>
    </xf>
    <xf borderId="8" fillId="5" fontId="8" numFmtId="49" xfId="0" applyAlignment="1" applyBorder="1" applyFont="1" applyNumberFormat="1">
      <alignment horizontal="left" shrinkToFit="0" vertical="center" wrapText="1"/>
    </xf>
    <xf borderId="8" fillId="5" fontId="9" numFmtId="0" xfId="0" applyAlignment="1" applyBorder="1" applyFont="1">
      <alignment horizontal="left" shrinkToFit="0" vertical="center" wrapText="1"/>
    </xf>
    <xf borderId="8" fillId="5" fontId="3" numFmtId="164" xfId="0" applyAlignment="1" applyBorder="1" applyFont="1" applyNumberFormat="1">
      <alignment horizontal="left" shrinkToFit="0" vertical="center" wrapText="1"/>
    </xf>
    <xf borderId="8" fillId="5" fontId="1" numFmtId="0" xfId="0" applyAlignment="1" applyBorder="1" applyFont="1">
      <alignment horizontal="left" shrinkToFit="0" vertical="center" wrapText="1"/>
    </xf>
    <xf borderId="8" fillId="5" fontId="3" numFmtId="11" xfId="0" applyAlignment="1" applyBorder="1" applyFont="1" applyNumberFormat="1">
      <alignment horizontal="left" shrinkToFit="0" vertical="center" wrapText="1"/>
    </xf>
    <xf borderId="8" fillId="0" fontId="2" numFmtId="0" xfId="0" applyAlignment="1" applyBorder="1" applyFont="1">
      <alignment horizontal="left" vertical="center"/>
    </xf>
    <xf borderId="9" fillId="5" fontId="2" numFmtId="0" xfId="0" applyAlignment="1" applyBorder="1" applyFont="1">
      <alignment horizontal="left" shrinkToFit="0" vertical="center" wrapText="1"/>
    </xf>
    <xf borderId="8" fillId="5" fontId="3" numFmtId="0" xfId="0" applyAlignment="1" applyBorder="1" applyFont="1">
      <alignment horizontal="left" vertical="center"/>
    </xf>
    <xf borderId="8" fillId="5" fontId="2" numFmtId="0" xfId="0" applyAlignment="1" applyBorder="1" applyFont="1">
      <alignment vertical="center"/>
    </xf>
    <xf borderId="8" fillId="0" fontId="2" numFmtId="0" xfId="0" applyAlignment="1" applyBorder="1" applyFont="1">
      <alignment vertical="center"/>
    </xf>
    <xf borderId="10" fillId="5" fontId="2" numFmtId="0" xfId="0" applyAlignment="1" applyBorder="1" applyFont="1">
      <alignment vertical="center"/>
    </xf>
    <xf borderId="9" fillId="5" fontId="2" numFmtId="0" xfId="0" applyAlignment="1" applyBorder="1" applyFont="1">
      <alignment vertical="center"/>
    </xf>
    <xf borderId="0" fillId="0" fontId="2" numFmtId="0" xfId="0" applyAlignment="1" applyFont="1">
      <alignment vertical="center"/>
    </xf>
    <xf borderId="8" fillId="6" fontId="10" numFmtId="0" xfId="0" applyAlignment="1" applyBorder="1" applyFill="1" applyFont="1">
      <alignment horizontal="left" vertical="center"/>
    </xf>
    <xf borderId="8" fillId="4" fontId="5" numFmtId="0" xfId="0" applyAlignment="1" applyBorder="1" applyFont="1">
      <alignment horizontal="left" readingOrder="0" shrinkToFit="0" vertical="center" wrapText="1"/>
    </xf>
    <xf borderId="8" fillId="4" fontId="5" numFmtId="0" xfId="0" applyAlignment="1" applyBorder="1" applyFont="1">
      <alignment horizontal="left" shrinkToFit="0" vertical="center" wrapText="0"/>
    </xf>
    <xf borderId="8" fillId="4" fontId="11" numFmtId="0" xfId="0" applyAlignment="1" applyBorder="1" applyFont="1">
      <alignment horizontal="center" readingOrder="0" shrinkToFit="0" vertical="center" wrapText="1"/>
    </xf>
    <xf borderId="0" fillId="4" fontId="11" numFmtId="0" xfId="0" applyAlignment="1" applyFont="1">
      <alignment horizontal="center" readingOrder="0" shrinkToFit="0" vertical="center" wrapText="1"/>
    </xf>
    <xf borderId="8" fillId="5" fontId="3" numFmtId="0" xfId="0" applyAlignment="1" applyBorder="1" applyFont="1">
      <alignment horizontal="left" readingOrder="0" shrinkToFit="0" vertical="center" wrapText="1"/>
    </xf>
    <xf borderId="8" fillId="0" fontId="3" numFmtId="0" xfId="0" applyAlignment="1" applyBorder="1" applyFont="1">
      <alignment horizontal="left" readingOrder="0" shrinkToFit="0" vertical="center" wrapText="1"/>
    </xf>
    <xf borderId="8" fillId="0" fontId="3" numFmtId="167" xfId="0" applyAlignment="1" applyBorder="1" applyFont="1" applyNumberFormat="1">
      <alignment horizontal="left"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8" fillId="0" fontId="12" numFmtId="0" xfId="0" applyAlignment="1" applyBorder="1" applyFont="1">
      <alignment horizontal="center" shrinkToFit="0" vertical="center" wrapText="1"/>
    </xf>
    <xf borderId="0" fillId="5" fontId="12" numFmtId="0" xfId="0" applyAlignment="1" applyFont="1">
      <alignment horizontal="center" readingOrder="0" vertical="center"/>
    </xf>
    <xf borderId="8" fillId="0" fontId="3" numFmtId="49" xfId="0" applyAlignment="1" applyBorder="1" applyFont="1" applyNumberFormat="1">
      <alignment horizontal="left" readingOrder="0" shrinkToFit="0" vertical="center" wrapText="1"/>
    </xf>
    <xf borderId="8" fillId="0" fontId="2" numFmtId="0" xfId="0" applyAlignment="1" applyBorder="1" applyFont="1">
      <alignment readingOrder="0" shrinkToFit="0" vertical="center" wrapText="1"/>
    </xf>
    <xf borderId="8" fillId="5" fontId="2" numFmtId="0" xfId="0" applyAlignment="1" applyBorder="1" applyFont="1">
      <alignment horizontal="left" readingOrder="0" shrinkToFit="0" vertical="center" wrapText="1"/>
    </xf>
    <xf borderId="8" fillId="0" fontId="2" numFmtId="0" xfId="0" applyAlignment="1" applyBorder="1" applyFont="1">
      <alignment horizontal="left" readingOrder="0" shrinkToFit="0" vertical="center" wrapText="1"/>
    </xf>
    <xf borderId="8" fillId="0" fontId="2" numFmtId="168" xfId="0" applyAlignment="1" applyBorder="1" applyFont="1" applyNumberFormat="1">
      <alignment horizontal="lef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horizontal="left" shrinkToFit="0" vertical="center" wrapText="1"/>
    </xf>
    <xf borderId="8" fillId="0" fontId="3" numFmtId="169" xfId="0" applyAlignment="1" applyBorder="1" applyFont="1" applyNumberFormat="1">
      <alignment horizontal="left" readingOrder="0" shrinkToFit="0" vertical="center" wrapText="1"/>
    </xf>
    <xf borderId="11" fillId="0" fontId="13" numFmtId="0" xfId="0" applyAlignment="1" applyBorder="1" applyFont="1">
      <alignment readingOrder="0" shrinkToFit="0" vertical="center" wrapText="1"/>
    </xf>
    <xf borderId="8" fillId="0" fontId="14" numFmtId="0" xfId="0" applyAlignment="1" applyBorder="1" applyFont="1">
      <alignment horizontal="left" readingOrder="0" shrinkToFit="0" vertical="center" wrapText="1"/>
    </xf>
    <xf borderId="8" fillId="0" fontId="15" numFmtId="0" xfId="0" applyAlignment="1" applyBorder="1" applyFont="1">
      <alignment horizontal="left" shrinkToFit="0" vertical="center" wrapText="1"/>
    </xf>
    <xf borderId="8" fillId="0" fontId="16" numFmtId="0" xfId="0" applyAlignment="1" applyBorder="1" applyFont="1">
      <alignment horizontal="left" readingOrder="0" shrinkToFit="0" vertical="center" wrapText="1"/>
    </xf>
    <xf borderId="8" fillId="0" fontId="16" numFmtId="164" xfId="0" applyAlignment="1" applyBorder="1" applyFont="1" applyNumberFormat="1">
      <alignment horizontal="left" shrinkToFit="0" vertical="center" wrapText="1"/>
    </xf>
    <xf borderId="8" fillId="0" fontId="2" numFmtId="164" xfId="0" applyAlignment="1" applyBorder="1" applyFont="1" applyNumberFormat="1">
      <alignment horizontal="left" shrinkToFit="0" vertical="center" wrapText="1"/>
    </xf>
    <xf borderId="8" fillId="5" fontId="3" numFmtId="49" xfId="0" applyAlignment="1" applyBorder="1" applyFont="1" applyNumberFormat="1">
      <alignment horizontal="left" readingOrder="0" shrinkToFit="0" vertical="center" wrapText="1"/>
    </xf>
    <xf borderId="8" fillId="5" fontId="3" numFmtId="0" xfId="0" applyAlignment="1" applyBorder="1" applyFont="1">
      <alignment readingOrder="0" shrinkToFit="0" vertical="center" wrapText="1"/>
    </xf>
    <xf borderId="8" fillId="0" fontId="10" numFmtId="0" xfId="0" applyAlignment="1" applyBorder="1" applyFont="1">
      <alignment horizontal="left" readingOrder="0" shrinkToFit="0" vertical="center" wrapText="1"/>
    </xf>
    <xf borderId="8" fillId="0" fontId="12" numFmtId="0" xfId="0" applyAlignment="1" applyBorder="1" applyFont="1">
      <alignment horizontal="center" readingOrder="0" shrinkToFit="0" vertical="center" wrapText="1"/>
    </xf>
    <xf borderId="0" fillId="0" fontId="17" numFmtId="0" xfId="0" applyAlignment="1" applyFont="1">
      <alignment readingOrder="0" shrinkToFit="0" vertical="center" wrapText="1"/>
    </xf>
    <xf borderId="8" fillId="0" fontId="18"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8" fillId="0" fontId="2" numFmtId="0" xfId="0" applyAlignment="1" applyBorder="1" applyFont="1">
      <alignment shrinkToFit="0" vertical="center" wrapText="0"/>
    </xf>
    <xf borderId="0" fillId="0" fontId="18" numFmtId="0" xfId="0" applyAlignment="1" applyFont="1">
      <alignment horizontal="center" shrinkToFit="0" vertical="center" wrapText="1"/>
    </xf>
    <xf borderId="8" fillId="0" fontId="2" numFmtId="4" xfId="0" applyAlignment="1" applyBorder="1" applyFont="1" applyNumberFormat="1">
      <alignment horizontal="left" readingOrder="0" shrinkToFit="0" vertical="center" wrapText="1"/>
    </xf>
    <xf borderId="0" fillId="5" fontId="19" numFmtId="0" xfId="0" applyAlignment="1" applyFont="1">
      <alignment vertical="center"/>
    </xf>
    <xf borderId="8" fillId="5" fontId="20" numFmtId="0" xfId="0" applyAlignment="1" applyBorder="1" applyFont="1">
      <alignment shrinkToFit="0" vertical="center" wrapText="1"/>
    </xf>
    <xf borderId="8" fillId="5" fontId="19" numFmtId="0" xfId="0" applyAlignment="1" applyBorder="1" applyFont="1">
      <alignment vertical="center"/>
    </xf>
    <xf borderId="8" fillId="0" fontId="21" numFmtId="0" xfId="0" applyAlignment="1" applyBorder="1" applyFont="1">
      <alignment vertical="center"/>
    </xf>
    <xf borderId="8" fillId="5" fontId="19" numFmtId="0" xfId="0" applyAlignment="1" applyBorder="1" applyFont="1">
      <alignment horizontal="left" vertical="center"/>
    </xf>
    <xf borderId="8" fillId="5" fontId="22" numFmtId="0" xfId="0" applyAlignment="1" applyBorder="1" applyFont="1">
      <alignment vertical="center"/>
    </xf>
    <xf borderId="8" fillId="5" fontId="23" numFmtId="0" xfId="0" applyAlignment="1" applyBorder="1" applyFont="1">
      <alignment vertical="center"/>
    </xf>
    <xf borderId="8" fillId="0" fontId="21" numFmtId="0" xfId="0" applyAlignment="1" applyBorder="1" applyFont="1">
      <alignment horizontal="center" vertical="center"/>
    </xf>
    <xf borderId="8" fillId="5" fontId="24" numFmtId="0" xfId="0" applyAlignment="1" applyBorder="1" applyFont="1">
      <alignment horizontal="center" vertical="center"/>
    </xf>
    <xf borderId="8" fillId="0" fontId="17" numFmtId="0" xfId="0" applyAlignment="1" applyBorder="1" applyFont="1">
      <alignment shrinkToFit="0" vertical="center" wrapText="1"/>
    </xf>
    <xf borderId="8" fillId="5" fontId="24" numFmtId="0" xfId="0" applyAlignment="1" applyBorder="1" applyFont="1">
      <alignment horizontal="center" shrinkToFit="0" vertical="center" wrapText="0"/>
    </xf>
    <xf borderId="0" fillId="5" fontId="20" numFmtId="0" xfId="0" applyAlignment="1" applyFont="1">
      <alignment shrinkToFit="0" vertical="center" wrapText="1"/>
    </xf>
    <xf borderId="0" fillId="0" fontId="21" numFmtId="0" xfId="0" applyAlignment="1" applyFont="1">
      <alignment vertical="center"/>
    </xf>
    <xf borderId="0" fillId="5" fontId="19" numFmtId="0" xfId="0" applyAlignment="1" applyFont="1">
      <alignment horizontal="left" vertical="center"/>
    </xf>
    <xf borderId="0" fillId="5" fontId="22" numFmtId="0" xfId="0" applyAlignment="1" applyFont="1">
      <alignment vertical="center"/>
    </xf>
    <xf borderId="0" fillId="5" fontId="23" numFmtId="0" xfId="0" applyAlignment="1" applyFont="1">
      <alignment vertical="center"/>
    </xf>
    <xf borderId="0" fillId="0" fontId="21" numFmtId="0" xfId="0" applyAlignment="1" applyFont="1">
      <alignment horizontal="center" vertical="center"/>
    </xf>
    <xf borderId="0" fillId="5" fontId="24" numFmtId="0" xfId="0" applyAlignment="1" applyFont="1">
      <alignment horizontal="center" vertical="center"/>
    </xf>
    <xf borderId="8" fillId="4" fontId="5" numFmtId="0" xfId="0" applyAlignment="1" applyBorder="1" applyFont="1">
      <alignment horizontal="left" readingOrder="0" shrinkToFit="0" vertical="top" wrapText="1"/>
    </xf>
    <xf borderId="8" fillId="4" fontId="5" numFmtId="0" xfId="0" applyAlignment="1" applyBorder="1" applyFont="1">
      <alignment horizontal="left" shrinkToFit="0" vertical="top" wrapText="1"/>
    </xf>
    <xf borderId="8" fillId="4" fontId="5" numFmtId="0" xfId="0" applyAlignment="1" applyBorder="1" applyFont="1">
      <alignment horizontal="left" shrinkToFit="0" vertical="top" wrapText="0"/>
    </xf>
    <xf borderId="8" fillId="4" fontId="5" numFmtId="0" xfId="0" applyAlignment="1" applyBorder="1" applyFont="1">
      <alignment horizontal="center" readingOrder="0" shrinkToFit="0" vertical="top" wrapText="1"/>
    </xf>
    <xf borderId="8" fillId="5" fontId="3" numFmtId="0" xfId="0" applyAlignment="1" applyBorder="1" applyFont="1">
      <alignment horizontal="lef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horizontal="left" shrinkToFit="0" vertical="top" wrapText="1"/>
    </xf>
    <xf borderId="8" fillId="0" fontId="3" numFmtId="167" xfId="0" applyAlignment="1" applyBorder="1" applyFont="1" applyNumberFormat="1">
      <alignment horizontal="left" readingOrder="0" shrinkToFit="0" vertical="top" wrapText="1"/>
    </xf>
    <xf borderId="8" fillId="0" fontId="3" numFmtId="0" xfId="0" applyAlignment="1" applyBorder="1" applyFont="1">
      <alignment horizontal="left" readingOrder="0" shrinkToFit="0" vertical="top" wrapText="0"/>
    </xf>
    <xf borderId="0" fillId="5" fontId="3" numFmtId="0" xfId="0" applyAlignment="1" applyFont="1">
      <alignment horizontal="left" readingOrder="0" vertical="top"/>
    </xf>
    <xf borderId="8" fillId="0" fontId="3" numFmtId="49" xfId="0" applyAlignment="1" applyBorder="1" applyFont="1" applyNumberFormat="1">
      <alignment horizontal="left" shrinkToFit="0" vertical="top" wrapText="1"/>
    </xf>
    <xf borderId="8" fillId="5" fontId="3" numFmtId="0" xfId="0" applyAlignment="1" applyBorder="1" applyFont="1">
      <alignment horizontal="left" shrinkToFit="0" vertical="top" wrapText="1"/>
    </xf>
    <xf borderId="8" fillId="0" fontId="3" numFmtId="164" xfId="0" applyAlignment="1" applyBorder="1" applyFont="1" applyNumberFormat="1">
      <alignment horizontal="left" shrinkToFit="0" vertical="top" wrapText="1"/>
    </xf>
    <xf borderId="8" fillId="5" fontId="2" numFmtId="0" xfId="0" applyAlignment="1" applyBorder="1" applyFont="1">
      <alignment horizontal="left" readingOrder="0" shrinkToFit="0" vertical="top" wrapText="1"/>
    </xf>
    <xf borderId="8" fillId="0" fontId="2" numFmtId="168" xfId="0" applyAlignment="1" applyBorder="1" applyFont="1" applyNumberFormat="1">
      <alignment horizontal="left" readingOrder="0" shrinkToFit="0" vertical="top" wrapText="1"/>
    </xf>
    <xf borderId="8" fillId="0" fontId="2" numFmtId="0" xfId="0" applyAlignment="1" applyBorder="1" applyFont="1">
      <alignment horizontal="left" readingOrder="0" shrinkToFit="0" vertical="top" wrapText="0"/>
    </xf>
    <xf borderId="8" fillId="0" fontId="2" numFmtId="0" xfId="0" applyAlignment="1" applyBorder="1" applyFont="1">
      <alignment horizontal="left" shrinkToFit="0" vertical="top" wrapText="1"/>
    </xf>
    <xf borderId="8" fillId="0" fontId="3" numFmtId="169" xfId="0" applyAlignment="1" applyBorder="1" applyFont="1" applyNumberFormat="1">
      <alignment horizontal="left" readingOrder="0" shrinkToFit="0" vertical="top" wrapText="1"/>
    </xf>
    <xf borderId="8" fillId="0" fontId="3" numFmtId="164" xfId="0" applyAlignment="1" applyBorder="1" applyFont="1" applyNumberFormat="1">
      <alignment horizontal="left" readingOrder="0" shrinkToFit="0" vertical="top" wrapText="1"/>
    </xf>
    <xf borderId="8" fillId="0" fontId="25" numFmtId="0" xfId="0" applyAlignment="1" applyBorder="1" applyFont="1">
      <alignment horizontal="left" shrinkToFit="0" vertical="top" wrapText="1"/>
    </xf>
    <xf borderId="8" fillId="0" fontId="3" numFmtId="49" xfId="0" applyAlignment="1" applyBorder="1" applyFont="1" applyNumberFormat="1">
      <alignment horizontal="left" readingOrder="0" shrinkToFit="0" vertical="top" wrapText="1"/>
    </xf>
    <xf borderId="8" fillId="5" fontId="3" numFmtId="10" xfId="0" applyAlignment="1" applyBorder="1" applyFont="1" applyNumberFormat="1">
      <alignment horizontal="left" shrinkToFit="0" vertical="top" wrapText="1"/>
    </xf>
    <xf borderId="8" fillId="0" fontId="16" numFmtId="164" xfId="0" applyAlignment="1" applyBorder="1" applyFont="1" applyNumberFormat="1">
      <alignment horizontal="left" shrinkToFit="0" vertical="top" wrapText="1"/>
    </xf>
    <xf borderId="8" fillId="5" fontId="2" numFmtId="0" xfId="0" applyAlignment="1" applyBorder="1" applyFont="1">
      <alignment horizontal="left" shrinkToFit="0" vertical="top" wrapText="1"/>
    </xf>
    <xf borderId="8" fillId="0" fontId="2" numFmtId="164" xfId="0" applyAlignment="1" applyBorder="1" applyFont="1" applyNumberFormat="1">
      <alignment horizontal="left" shrinkToFit="0" vertical="top" wrapText="1"/>
    </xf>
    <xf borderId="8" fillId="0" fontId="2" numFmtId="0" xfId="0" applyAlignment="1" applyBorder="1" applyFont="1">
      <alignment horizontal="left" readingOrder="0" shrinkToFit="0" vertical="top" wrapText="1"/>
    </xf>
    <xf borderId="8" fillId="5" fontId="3" numFmtId="49" xfId="0" applyAlignment="1" applyBorder="1" applyFont="1" applyNumberFormat="1">
      <alignment horizontal="left" shrinkToFit="0" vertical="top" wrapText="1"/>
    </xf>
    <xf borderId="8" fillId="0" fontId="10" numFmtId="0" xfId="0" applyAlignment="1" applyBorder="1" applyFont="1">
      <alignment horizontal="left" readingOrder="0" shrinkToFit="0" vertical="top" wrapText="1"/>
    </xf>
    <xf borderId="0" fillId="5" fontId="26" numFmtId="0" xfId="0" applyAlignment="1" applyFont="1">
      <alignment readingOrder="0" vertical="top"/>
    </xf>
    <xf borderId="0" fillId="0" fontId="2" numFmtId="0" xfId="0" applyAlignment="1" applyFont="1">
      <alignment horizontal="left" readingOrder="0" shrinkToFit="0" vertical="top" wrapText="1"/>
    </xf>
    <xf borderId="8" fillId="0" fontId="2" numFmtId="0" xfId="0" applyAlignment="1" applyBorder="1" applyFont="1">
      <alignment horizontal="left" shrinkToFit="0" vertical="top" wrapText="0"/>
    </xf>
    <xf borderId="0" fillId="0" fontId="2" numFmtId="0" xfId="0" applyAlignment="1" applyFont="1">
      <alignment horizontal="left" shrinkToFit="0" vertical="top" wrapText="1"/>
    </xf>
    <xf borderId="8" fillId="0" fontId="2" numFmtId="4" xfId="0" applyAlignment="1" applyBorder="1" applyFont="1" applyNumberFormat="1">
      <alignment horizontal="left" readingOrder="0" shrinkToFit="0" vertical="top" wrapText="1"/>
    </xf>
    <xf borderId="8" fillId="5" fontId="27" numFmtId="0" xfId="0" applyAlignment="1" applyBorder="1" applyFont="1">
      <alignment horizontal="left" vertical="top"/>
    </xf>
    <xf borderId="8" fillId="0" fontId="2" numFmtId="0" xfId="0" applyAlignment="1" applyBorder="1" applyFont="1">
      <alignment horizontal="left" vertical="top"/>
    </xf>
    <xf borderId="8" fillId="5" fontId="3" numFmtId="0" xfId="0" applyAlignment="1" applyBorder="1" applyFont="1">
      <alignment horizontal="left" vertical="top"/>
    </xf>
    <xf borderId="8" fillId="0" fontId="2" numFmtId="170" xfId="0" applyAlignment="1" applyBorder="1" applyFont="1" applyNumberFormat="1">
      <alignment horizontal="left" readingOrder="0" vertical="top"/>
    </xf>
    <xf borderId="8" fillId="0" fontId="2" numFmtId="0" xfId="0" applyAlignment="1" applyBorder="1" applyFont="1">
      <alignment horizontal="left" readingOrder="0" vertical="top"/>
    </xf>
    <xf borderId="8" fillId="5" fontId="27" numFmtId="0" xfId="0" applyAlignment="1" applyBorder="1" applyFont="1">
      <alignment horizontal="left" shrinkToFit="0" vertical="top" wrapText="0"/>
    </xf>
    <xf borderId="8" fillId="0" fontId="2" numFmtId="171" xfId="0" applyAlignment="1" applyBorder="1" applyFont="1" applyNumberFormat="1">
      <alignment horizontal="left" readingOrder="0" vertical="top"/>
    </xf>
    <xf borderId="8" fillId="5" fontId="27" numFmtId="0" xfId="0" applyAlignment="1" applyBorder="1" applyFont="1">
      <alignment horizontal="left" shrinkToFit="0" vertical="top" wrapText="1"/>
    </xf>
    <xf borderId="8" fillId="0" fontId="3" numFmtId="0" xfId="0" applyAlignment="1" applyBorder="1" applyFont="1">
      <alignment readingOrder="0" shrinkToFit="0" vertical="top" wrapText="1"/>
    </xf>
    <xf borderId="8" fillId="5" fontId="27" numFmtId="168" xfId="0" applyAlignment="1" applyBorder="1" applyFont="1" applyNumberFormat="1">
      <alignment horizontal="left" shrinkToFit="0" vertical="top" wrapText="1"/>
    </xf>
    <xf borderId="8" fillId="5" fontId="28" numFmtId="0" xfId="0" applyAlignment="1" applyBorder="1" applyFont="1">
      <alignment horizontal="left" shrinkToFit="0" vertical="top" wrapText="1"/>
    </xf>
    <xf borderId="8" fillId="5" fontId="27" numFmtId="0" xfId="0" applyAlignment="1" applyBorder="1" applyFont="1">
      <alignment horizontal="left" readingOrder="0" vertical="top"/>
    </xf>
    <xf borderId="12" fillId="0" fontId="2" numFmtId="0" xfId="0" applyAlignment="1" applyBorder="1" applyFont="1">
      <alignment horizontal="left" shrinkToFit="0" vertical="top" wrapText="1"/>
    </xf>
    <xf borderId="12" fillId="0" fontId="2" numFmtId="0" xfId="0" applyAlignment="1" applyBorder="1" applyFont="1">
      <alignment horizontal="left" vertical="top"/>
    </xf>
    <xf borderId="12" fillId="5" fontId="27" numFmtId="0" xfId="0" applyAlignment="1" applyBorder="1" applyFont="1">
      <alignment horizontal="left" readingOrder="0" vertical="top"/>
    </xf>
    <xf borderId="12" fillId="0" fontId="2" numFmtId="171" xfId="0" applyAlignment="1" applyBorder="1" applyFont="1" applyNumberFormat="1">
      <alignment horizontal="left" readingOrder="0" vertical="top"/>
    </xf>
    <xf borderId="12" fillId="0" fontId="2" numFmtId="0" xfId="0" applyAlignment="1" applyBorder="1" applyFont="1">
      <alignment horizontal="left" readingOrder="0" vertical="top"/>
    </xf>
    <xf borderId="8" fillId="5" fontId="27" numFmtId="0" xfId="0" applyAlignment="1" applyBorder="1" applyFont="1">
      <alignment horizontal="left" readingOrder="0" shrinkToFit="0" vertical="top" wrapText="1"/>
    </xf>
    <xf borderId="0" fillId="5" fontId="22" numFmtId="0" xfId="0" applyAlignment="1" applyFont="1">
      <alignment shrinkToFit="0" vertical="center" wrapText="1"/>
    </xf>
    <xf borderId="8" fillId="0" fontId="29" numFmtId="0" xfId="0" applyAlignment="1" applyBorder="1" applyFont="1">
      <alignment vertical="top"/>
    </xf>
    <xf borderId="8" fillId="0" fontId="21" numFmtId="0" xfId="0" applyAlignment="1" applyBorder="1" applyFont="1">
      <alignment vertical="top"/>
    </xf>
    <xf borderId="8" fillId="0" fontId="29" numFmtId="0" xfId="0" applyAlignment="1" applyBorder="1" applyFont="1">
      <alignment readingOrder="0" vertical="top"/>
    </xf>
    <xf borderId="0" fillId="0" fontId="30" numFmtId="0" xfId="0" applyAlignment="1" applyFont="1">
      <alignment readingOrder="0" shrinkToFit="0" vertical="top" wrapText="1"/>
    </xf>
    <xf borderId="8" fillId="0" fontId="30" numFmtId="0" xfId="0" applyAlignment="1" applyBorder="1" applyFont="1">
      <alignment readingOrder="0" shrinkToFit="0" vertical="top" wrapText="1"/>
    </xf>
    <xf borderId="0" fillId="0" fontId="31" numFmtId="0" xfId="0" applyAlignment="1" applyFont="1">
      <alignment readingOrder="0" shrinkToFit="0" vertical="top" wrapText="1"/>
    </xf>
    <xf borderId="8" fillId="0" fontId="2" numFmtId="0" xfId="0" applyAlignment="1" applyBorder="1" applyFont="1">
      <alignment readingOrder="0" vertical="top"/>
    </xf>
    <xf borderId="8" fillId="0" fontId="31" numFmtId="0" xfId="0" applyAlignment="1" applyBorder="1" applyFont="1">
      <alignment readingOrder="0" shrinkToFit="0" vertical="top" wrapText="1"/>
    </xf>
    <xf borderId="8" fillId="5" fontId="27" numFmtId="172" xfId="0" applyAlignment="1" applyBorder="1" applyFont="1" applyNumberFormat="1">
      <alignment horizontal="left" vertical="top"/>
    </xf>
    <xf borderId="8" fillId="0" fontId="2" numFmtId="173" xfId="0" applyAlignment="1" applyBorder="1" applyFont="1" applyNumberFormat="1">
      <alignment horizontal="left" readingOrder="0" vertical="top"/>
    </xf>
    <xf borderId="8" fillId="0" fontId="3" numFmtId="0" xfId="0" applyAlignment="1" applyBorder="1" applyFont="1">
      <alignment horizontal="left" shrinkToFit="0" vertical="top" wrapText="1"/>
    </xf>
    <xf borderId="0" fillId="0" fontId="21" numFmtId="0" xfId="0" applyAlignment="1" applyFont="1">
      <alignment vertical="top"/>
    </xf>
    <xf borderId="8" fillId="0" fontId="21" numFmtId="0" xfId="0" applyAlignment="1" applyBorder="1" applyFont="1">
      <alignment readingOrder="0" vertical="top"/>
    </xf>
    <xf borderId="0" fillId="0" fontId="2" numFmtId="0" xfId="0" applyAlignment="1" applyFont="1">
      <alignment horizontal="left" readingOrder="0" vertical="top"/>
    </xf>
    <xf borderId="8" fillId="4" fontId="32" numFmtId="0" xfId="0" applyAlignment="1" applyBorder="1" applyFont="1">
      <alignment horizontal="left" readingOrder="0" shrinkToFit="0" vertical="top" wrapText="1"/>
    </xf>
    <xf borderId="8" fillId="4" fontId="32" numFmtId="0" xfId="0" applyAlignment="1" applyBorder="1" applyFont="1">
      <alignment horizontal="left" shrinkToFit="0" vertical="top" wrapText="1"/>
    </xf>
    <xf borderId="8" fillId="4" fontId="32" numFmtId="0" xfId="0" applyAlignment="1" applyBorder="1" applyFont="1">
      <alignment horizontal="left" shrinkToFit="0" vertical="top" wrapText="0"/>
    </xf>
    <xf borderId="8" fillId="4" fontId="32" numFmtId="0" xfId="0" applyAlignment="1" applyBorder="1" applyFont="1">
      <alignment horizontal="center" readingOrder="0" shrinkToFit="0" vertical="top" wrapText="1"/>
    </xf>
    <xf borderId="0" fillId="4" fontId="32" numFmtId="0" xfId="0" applyAlignment="1" applyFont="1">
      <alignment horizontal="center" readingOrder="0" shrinkToFit="0" vertical="center" wrapText="1"/>
    </xf>
    <xf borderId="8" fillId="5" fontId="22" numFmtId="0" xfId="0" applyAlignment="1" applyBorder="1" applyFont="1">
      <alignment horizontal="left" readingOrder="0" shrinkToFit="0" vertical="top" wrapText="1"/>
    </xf>
    <xf borderId="8" fillId="0" fontId="22" numFmtId="0" xfId="0" applyAlignment="1" applyBorder="1" applyFont="1">
      <alignment horizontal="left" readingOrder="0" shrinkToFit="0" vertical="top" wrapText="1"/>
    </xf>
    <xf borderId="8" fillId="0" fontId="22" numFmtId="0" xfId="0" applyAlignment="1" applyBorder="1" applyFont="1">
      <alignment horizontal="left" shrinkToFit="0" vertical="top" wrapText="1"/>
    </xf>
    <xf borderId="8" fillId="0" fontId="22" numFmtId="167" xfId="0" applyAlignment="1" applyBorder="1" applyFont="1" applyNumberFormat="1">
      <alignment horizontal="left" readingOrder="0" vertical="top"/>
    </xf>
    <xf borderId="8" fillId="0" fontId="22" numFmtId="0" xfId="0" applyAlignment="1" applyBorder="1" applyFont="1">
      <alignment horizontal="left" readingOrder="0" shrinkToFit="0" vertical="top" wrapText="0"/>
    </xf>
    <xf borderId="0" fillId="5" fontId="22" numFmtId="0" xfId="0" applyAlignment="1" applyFont="1">
      <alignment horizontal="left" readingOrder="0" vertical="top"/>
    </xf>
    <xf borderId="13" fillId="0" fontId="22" numFmtId="167" xfId="0" applyAlignment="1" applyBorder="1" applyFont="1" applyNumberFormat="1">
      <alignment horizontal="left" readingOrder="0" vertical="top"/>
    </xf>
    <xf borderId="8" fillId="0" fontId="22" numFmtId="49" xfId="0" applyAlignment="1" applyBorder="1" applyFont="1" applyNumberFormat="1">
      <alignment horizontal="left" shrinkToFit="0" vertical="top" wrapText="1"/>
    </xf>
    <xf borderId="8" fillId="5" fontId="22" numFmtId="0" xfId="0" applyAlignment="1" applyBorder="1" applyFont="1">
      <alignment horizontal="left" shrinkToFit="0" vertical="top" wrapText="1"/>
    </xf>
    <xf borderId="8" fillId="0" fontId="22" numFmtId="164" xfId="0" applyAlignment="1" applyBorder="1" applyFont="1" applyNumberFormat="1">
      <alignment horizontal="left" shrinkToFit="0" vertical="top" wrapText="1"/>
    </xf>
    <xf borderId="8" fillId="5" fontId="21" numFmtId="0" xfId="0" applyAlignment="1" applyBorder="1" applyFont="1">
      <alignment horizontal="left" readingOrder="0" shrinkToFit="0" vertical="top" wrapText="1"/>
    </xf>
    <xf borderId="8" fillId="0" fontId="21" numFmtId="168" xfId="0" applyAlignment="1" applyBorder="1" applyFont="1" applyNumberFormat="1">
      <alignment horizontal="left" readingOrder="0" shrinkToFit="0" vertical="top" wrapText="1"/>
    </xf>
    <xf borderId="8" fillId="0" fontId="21" numFmtId="0" xfId="0" applyAlignment="1" applyBorder="1" applyFont="1">
      <alignment horizontal="left" readingOrder="0" shrinkToFit="0" vertical="top" wrapText="0"/>
    </xf>
    <xf borderId="8" fillId="0" fontId="21" numFmtId="0" xfId="0" applyAlignment="1" applyBorder="1" applyFont="1">
      <alignment horizontal="left" shrinkToFit="0" vertical="top" wrapText="1"/>
    </xf>
    <xf borderId="8" fillId="0" fontId="22" numFmtId="169" xfId="0" applyAlignment="1" applyBorder="1" applyFont="1" applyNumberFormat="1">
      <alignment horizontal="left" readingOrder="0" shrinkToFit="0" vertical="top" wrapText="1"/>
    </xf>
    <xf borderId="8" fillId="0" fontId="22" numFmtId="164" xfId="0" applyAlignment="1" applyBorder="1" applyFont="1" applyNumberFormat="1">
      <alignment horizontal="left" readingOrder="0" shrinkToFit="0" vertical="top" wrapText="1"/>
    </xf>
    <xf borderId="8" fillId="0" fontId="33" numFmtId="0" xfId="0" applyAlignment="1" applyBorder="1" applyFont="1">
      <alignment horizontal="left" shrinkToFit="0" vertical="top" wrapText="1"/>
    </xf>
    <xf borderId="8" fillId="0" fontId="22" numFmtId="49" xfId="0" applyAlignment="1" applyBorder="1" applyFont="1" applyNumberFormat="1">
      <alignment horizontal="left" readingOrder="0" shrinkToFit="0" vertical="top" wrapText="1"/>
    </xf>
    <xf borderId="8" fillId="5" fontId="22" numFmtId="10" xfId="0" applyAlignment="1" applyBorder="1" applyFont="1" applyNumberFormat="1">
      <alignment horizontal="left" shrinkToFit="0" vertical="top" wrapText="1"/>
    </xf>
    <xf borderId="8" fillId="0" fontId="34" numFmtId="164" xfId="0" applyAlignment="1" applyBorder="1" applyFont="1" applyNumberFormat="1">
      <alignment horizontal="left" shrinkToFit="0" vertical="top" wrapText="1"/>
    </xf>
    <xf borderId="8" fillId="0" fontId="29" numFmtId="0" xfId="0" applyAlignment="1" applyBorder="1" applyFont="1">
      <alignment horizontal="left" readingOrder="0" shrinkToFit="0" vertical="top" wrapText="1"/>
    </xf>
    <xf borderId="8" fillId="0" fontId="29" numFmtId="0" xfId="0" applyAlignment="1" applyBorder="1" applyFont="1">
      <alignment horizontal="left" readingOrder="0" shrinkToFit="0" vertical="top" wrapText="0"/>
    </xf>
    <xf borderId="8" fillId="5" fontId="21" numFmtId="0" xfId="0" applyAlignment="1" applyBorder="1" applyFont="1">
      <alignment horizontal="left" shrinkToFit="0" vertical="top" wrapText="1"/>
    </xf>
    <xf borderId="8" fillId="0" fontId="21" numFmtId="164" xfId="0" applyAlignment="1" applyBorder="1" applyFont="1" applyNumberFormat="1">
      <alignment horizontal="left" shrinkToFit="0" vertical="top" wrapText="1"/>
    </xf>
    <xf borderId="8" fillId="0" fontId="21" numFmtId="0" xfId="0" applyAlignment="1" applyBorder="1" applyFont="1">
      <alignment horizontal="left" readingOrder="0" shrinkToFit="0" vertical="top" wrapText="1"/>
    </xf>
    <xf borderId="8" fillId="5" fontId="22" numFmtId="49" xfId="0" applyAlignment="1" applyBorder="1" applyFont="1" applyNumberFormat="1">
      <alignment horizontal="left" shrinkToFit="0" vertical="top" wrapText="1"/>
    </xf>
    <xf borderId="8" fillId="0" fontId="35" numFmtId="0" xfId="0" applyAlignment="1" applyBorder="1" applyFont="1">
      <alignment horizontal="left" readingOrder="0" shrinkToFit="0" vertical="top" wrapText="1"/>
    </xf>
    <xf borderId="0" fillId="5" fontId="19" numFmtId="0" xfId="0" applyAlignment="1" applyFont="1">
      <alignment readingOrder="0" vertical="top"/>
    </xf>
    <xf borderId="8" fillId="5" fontId="22" numFmtId="0" xfId="0" applyAlignment="1" applyBorder="1" applyFont="1">
      <alignment horizontal="left" readingOrder="0" vertical="top"/>
    </xf>
    <xf borderId="0" fillId="0" fontId="21" numFmtId="0" xfId="0" applyAlignment="1" applyFont="1">
      <alignment horizontal="left" readingOrder="0" shrinkToFit="0" vertical="top" wrapText="1"/>
    </xf>
    <xf borderId="0" fillId="0" fontId="21" numFmtId="0" xfId="0" applyAlignment="1" applyFont="1">
      <alignment readingOrder="0" shrinkToFit="0" vertical="top" wrapText="1"/>
    </xf>
    <xf borderId="8" fillId="0" fontId="21" numFmtId="0" xfId="0" applyAlignment="1" applyBorder="1" applyFont="1">
      <alignment readingOrder="0" shrinkToFit="0" vertical="top" wrapText="1"/>
    </xf>
    <xf borderId="0" fillId="0" fontId="22" numFmtId="0" xfId="0" applyAlignment="1" applyFont="1">
      <alignment readingOrder="0" shrinkToFit="0" vertical="top" wrapText="1"/>
    </xf>
    <xf borderId="8" fillId="0" fontId="22" numFmtId="0" xfId="0" applyAlignment="1" applyBorder="1" applyFont="1">
      <alignment readingOrder="0" shrinkToFit="0" vertical="top" wrapText="1"/>
    </xf>
    <xf borderId="0" fillId="0" fontId="21" numFmtId="0" xfId="0" applyAlignment="1" applyFont="1">
      <alignment horizontal="left" shrinkToFit="0" vertical="top" wrapText="1"/>
    </xf>
    <xf borderId="8" fillId="0" fontId="21" numFmtId="4" xfId="0" applyAlignment="1" applyBorder="1" applyFont="1" applyNumberFormat="1">
      <alignment horizontal="left" readingOrder="0" shrinkToFit="0" vertical="top" wrapText="1"/>
    </xf>
    <xf borderId="8" fillId="5" fontId="19" numFmtId="0" xfId="0" applyAlignment="1" applyBorder="1" applyFont="1">
      <alignment horizontal="left" vertical="top"/>
    </xf>
    <xf borderId="8" fillId="0" fontId="21" numFmtId="0" xfId="0" applyAlignment="1" applyBorder="1" applyFont="1">
      <alignment horizontal="left" vertical="top"/>
    </xf>
    <xf borderId="8" fillId="5" fontId="22" numFmtId="0" xfId="0" applyAlignment="1" applyBorder="1" applyFont="1">
      <alignment horizontal="left" vertical="top"/>
    </xf>
    <xf borderId="13" fillId="0" fontId="22" numFmtId="170" xfId="0" applyAlignment="1" applyBorder="1" applyFont="1" applyNumberFormat="1">
      <alignment horizontal="left" readingOrder="0" vertical="top"/>
    </xf>
    <xf borderId="8" fillId="0" fontId="21" numFmtId="0" xfId="0" applyAlignment="1" applyBorder="1" applyFont="1">
      <alignment horizontal="left" readingOrder="0" vertical="top"/>
    </xf>
    <xf borderId="8" fillId="5" fontId="19" numFmtId="0" xfId="0" applyAlignment="1" applyBorder="1" applyFont="1">
      <alignment horizontal="left" shrinkToFit="0" vertical="top" wrapText="0"/>
    </xf>
    <xf borderId="13" fillId="0" fontId="22" numFmtId="171" xfId="0" applyAlignment="1" applyBorder="1" applyFont="1" applyNumberFormat="1">
      <alignment horizontal="left" readingOrder="0" vertical="top"/>
    </xf>
    <xf borderId="8" fillId="5" fontId="19" numFmtId="172" xfId="0" applyAlignment="1" applyBorder="1" applyFont="1" applyNumberFormat="1">
      <alignment horizontal="left" vertical="top"/>
    </xf>
    <xf borderId="8" fillId="5" fontId="19" numFmtId="0" xfId="0" applyAlignment="1" applyBorder="1" applyFont="1">
      <alignment horizontal="left" shrinkToFit="0" vertical="top" wrapText="1"/>
    </xf>
    <xf borderId="8" fillId="5" fontId="19" numFmtId="168" xfId="0" applyAlignment="1" applyBorder="1" applyFont="1" applyNumberFormat="1">
      <alignment horizontal="left" shrinkToFit="0" vertical="top" wrapText="1"/>
    </xf>
    <xf borderId="8" fillId="5" fontId="36" numFmtId="0" xfId="0" applyAlignment="1" applyBorder="1" applyFont="1">
      <alignment horizontal="left" shrinkToFit="0" vertical="top" wrapText="1"/>
    </xf>
    <xf borderId="8" fillId="5" fontId="19" numFmtId="0" xfId="0" applyAlignment="1" applyBorder="1" applyFont="1">
      <alignment horizontal="left" readingOrder="0" vertical="top"/>
    </xf>
    <xf borderId="12" fillId="0" fontId="21" numFmtId="0" xfId="0" applyAlignment="1" applyBorder="1" applyFont="1">
      <alignment horizontal="left" shrinkToFit="0" vertical="top" wrapText="1"/>
    </xf>
    <xf borderId="12" fillId="0" fontId="21" numFmtId="0" xfId="0" applyAlignment="1" applyBorder="1" applyFont="1">
      <alignment horizontal="left" vertical="top"/>
    </xf>
    <xf borderId="12" fillId="5" fontId="19" numFmtId="0" xfId="0" applyAlignment="1" applyBorder="1" applyFont="1">
      <alignment horizontal="left" readingOrder="0" vertical="top"/>
    </xf>
    <xf borderId="12" fillId="0" fontId="21" numFmtId="0" xfId="0" applyAlignment="1" applyBorder="1" applyFont="1">
      <alignment horizontal="left" readingOrder="0" vertical="top"/>
    </xf>
    <xf borderId="13" fillId="0" fontId="22" numFmtId="0" xfId="0" applyAlignment="1" applyBorder="1" applyFont="1">
      <alignment horizontal="left" vertical="top"/>
    </xf>
    <xf borderId="8" fillId="5" fontId="19" numFmtId="0" xfId="0" applyAlignment="1" applyBorder="1" applyFont="1">
      <alignment horizontal="left" readingOrder="0" shrinkToFit="0" vertical="top" wrapText="1"/>
    </xf>
    <xf borderId="13" fillId="0" fontId="22" numFmtId="0" xfId="0" applyAlignment="1" applyBorder="1" applyFont="1">
      <alignment horizontal="left" vertical="top"/>
    </xf>
    <xf borderId="0" fillId="0" fontId="21" numFmtId="0" xfId="0" applyAlignment="1" applyFont="1">
      <alignment horizontal="center" shrinkToFit="0" vertical="center" wrapText="1"/>
    </xf>
    <xf borderId="13" fillId="0" fontId="22" numFmtId="173" xfId="0" applyAlignment="1" applyBorder="1" applyFont="1" applyNumberFormat="1">
      <alignment horizontal="left" readingOrder="0" vertical="top"/>
    </xf>
    <xf borderId="8" fillId="0" fontId="22" numFmtId="0" xfId="0" applyAlignment="1" applyBorder="1" applyFont="1">
      <alignment horizontal="left" shrinkToFit="0" vertical="top" wrapText="1"/>
    </xf>
    <xf borderId="0" fillId="0" fontId="21" numFmtId="0" xfId="0" applyAlignment="1" applyFont="1">
      <alignment horizontal="left" readingOrder="0" vertical="top"/>
    </xf>
    <xf borderId="0" fillId="5" fontId="22" numFmtId="0" xfId="0" applyAlignment="1" applyFont="1">
      <alignment horizontal="left" readingOrder="0" shrinkToFit="0" vertical="top" wrapText="1"/>
    </xf>
    <xf borderId="0" fillId="0" fontId="21" numFmtId="0" xfId="0" applyAlignment="1" applyFont="1">
      <alignment readingOrder="0" vertical="top"/>
    </xf>
    <xf borderId="0" fillId="0" fontId="22" numFmtId="0" xfId="0" applyAlignment="1" applyFont="1">
      <alignment horizontal="left" readingOrder="0" shrinkToFit="0" vertical="top" wrapText="1"/>
    </xf>
    <xf borderId="0" fillId="0" fontId="21" numFmtId="0" xfId="0" applyAlignment="1" applyFont="1">
      <alignment horizontal="left" vertical="top"/>
    </xf>
    <xf borderId="0" fillId="0" fontId="29" numFmtId="0" xfId="0" applyAlignment="1" applyFont="1">
      <alignment horizontal="left" readingOrder="0" shrinkToFit="0" vertical="top" wrapText="0"/>
    </xf>
    <xf borderId="0" fillId="5" fontId="19" numFmtId="0" xfId="0" applyAlignment="1" applyFont="1">
      <alignment horizontal="left" readingOrder="0" shrinkToFit="0" vertical="top" wrapText="1"/>
    </xf>
    <xf borderId="8" fillId="0" fontId="22" numFmtId="0" xfId="0" applyAlignment="1" applyBorder="1" applyFont="1">
      <alignment horizontal="left" readingOrder="0" shrinkToFit="0" vertical="top" wrapText="0"/>
    </xf>
    <xf borderId="8" fillId="0" fontId="21" numFmtId="167" xfId="0" applyAlignment="1" applyBorder="1" applyFont="1" applyNumberFormat="1">
      <alignment horizontal="left" readingOrder="0" shrinkToFit="0" vertical="top" wrapText="1"/>
    </xf>
    <xf borderId="8" fillId="0" fontId="22" numFmtId="0" xfId="0" applyAlignment="1" applyBorder="1" applyFont="1">
      <alignment readingOrder="0" shrinkToFit="0" vertical="top" wrapText="1"/>
    </xf>
    <xf borderId="8" fillId="0" fontId="21" numFmtId="0" xfId="0" applyAlignment="1" applyBorder="1" applyFont="1">
      <alignment horizontal="left" readingOrder="0" shrinkToFit="0" vertical="top" wrapText="1"/>
    </xf>
    <xf borderId="8" fillId="0" fontId="21" numFmtId="0" xfId="0" applyAlignment="1" applyBorder="1" applyFont="1">
      <alignment shrinkToFit="0" vertical="top" wrapText="1"/>
    </xf>
    <xf borderId="8" fillId="0" fontId="37" numFmtId="0" xfId="0" applyAlignment="1" applyBorder="1" applyFont="1">
      <alignment horizontal="left" readingOrder="0" shrinkToFit="0" vertical="top" wrapText="0"/>
    </xf>
    <xf borderId="8" fillId="5" fontId="21" numFmtId="0" xfId="0" applyAlignment="1" applyBorder="1" applyFont="1">
      <alignment readingOrder="0" vertical="top"/>
    </xf>
    <xf borderId="8" fillId="5" fontId="22" numFmtId="0" xfId="0" applyAlignment="1" applyBorder="1" applyFont="1">
      <alignment readingOrder="0" shrinkToFit="0" vertical="top" wrapText="0"/>
    </xf>
    <xf borderId="8" fillId="5" fontId="21" numFmtId="0" xfId="0" applyAlignment="1" applyBorder="1" applyFont="1">
      <alignment horizontal="left" readingOrder="0" shrinkToFit="0" vertical="center" wrapText="1"/>
    </xf>
    <xf borderId="8" fillId="5" fontId="22" numFmtId="0" xfId="0" applyAlignment="1" applyBorder="1" applyFont="1">
      <alignment shrinkToFit="0" vertical="top" wrapText="0"/>
    </xf>
    <xf borderId="8" fillId="5" fontId="22" numFmtId="0" xfId="0" applyAlignment="1" applyBorder="1" applyFont="1">
      <alignment horizontal="left" readingOrder="0" shrinkToFit="0" vertical="top" wrapText="0"/>
    </xf>
    <xf borderId="8" fillId="5" fontId="21" numFmtId="0" xfId="0" applyAlignment="1" applyBorder="1" applyFont="1">
      <alignment horizontal="left" shrinkToFit="0" vertical="top" wrapText="1"/>
    </xf>
    <xf borderId="8" fillId="5" fontId="22" numFmtId="0" xfId="0" applyAlignment="1" applyBorder="1" applyFont="1">
      <alignment readingOrder="0" shrinkToFit="0" vertical="top" wrapText="1"/>
    </xf>
    <xf borderId="8" fillId="5" fontId="21" numFmtId="0" xfId="0" applyAlignment="1" applyBorder="1" applyFont="1">
      <alignment readingOrder="0"/>
    </xf>
    <xf borderId="8" fillId="0" fontId="22" numFmtId="0" xfId="0" applyAlignment="1" applyBorder="1" applyFont="1">
      <alignment readingOrder="0" shrinkToFit="0" vertical="top" wrapText="0"/>
    </xf>
    <xf borderId="0" fillId="5" fontId="21" numFmtId="0" xfId="0" applyAlignment="1" applyFont="1">
      <alignment horizontal="left" readingOrder="0" shrinkToFit="0" vertical="top" wrapText="1"/>
    </xf>
    <xf borderId="0" fillId="0" fontId="22" numFmtId="0" xfId="0" applyAlignment="1" applyFont="1">
      <alignment horizontal="left" readingOrder="0" shrinkToFit="0" vertical="top" wrapText="0"/>
    </xf>
    <xf borderId="0" fillId="0" fontId="21" numFmtId="0" xfId="0" applyAlignment="1" applyFont="1">
      <alignment horizontal="left" readingOrder="0" shrinkToFit="0" vertical="top" wrapText="1"/>
    </xf>
    <xf borderId="0" fillId="0" fontId="21" numFmtId="167" xfId="0" applyAlignment="1" applyFont="1" applyNumberFormat="1">
      <alignment horizontal="left" readingOrder="0" shrinkToFit="0" vertical="top" wrapText="1"/>
    </xf>
    <xf borderId="0" fillId="0" fontId="22" numFmtId="0" xfId="0" applyAlignment="1" applyFont="1">
      <alignment readingOrder="0" shrinkToFit="0" vertical="top" wrapText="1"/>
    </xf>
    <xf borderId="8" fillId="0" fontId="4" numFmtId="0" xfId="0" applyBorder="1" applyFont="1"/>
    <xf borderId="8" fillId="0" fontId="4" numFmtId="0" xfId="0" applyAlignment="1" applyBorder="1" applyFont="1">
      <alignment shrinkToFit="0" wrapText="1"/>
    </xf>
    <xf borderId="8" fillId="4" fontId="32" numFmtId="0" xfId="0" applyAlignment="1" applyBorder="1" applyFont="1">
      <alignment horizontal="left" readingOrder="0" shrinkToFit="0" vertical="center" wrapText="1"/>
    </xf>
    <xf borderId="8" fillId="4" fontId="32" numFmtId="0" xfId="0" applyAlignment="1" applyBorder="1" applyFont="1">
      <alignment horizontal="left" shrinkToFit="0" vertical="center" wrapText="1"/>
    </xf>
    <xf borderId="8" fillId="4" fontId="32" numFmtId="0" xfId="0" applyAlignment="1" applyBorder="1" applyFont="1">
      <alignment horizontal="center" shrinkToFit="0" vertical="center" wrapText="1"/>
    </xf>
    <xf borderId="8" fillId="0" fontId="21" numFmtId="0" xfId="0" applyAlignment="1" applyBorder="1" applyFont="1">
      <alignment vertical="center"/>
    </xf>
    <xf borderId="8" fillId="0" fontId="21" numFmtId="0" xfId="0" applyAlignment="1" applyBorder="1" applyFont="1">
      <alignment readingOrder="0" vertical="center"/>
    </xf>
    <xf borderId="13" fillId="0" fontId="22" numFmtId="0" xfId="0" applyAlignment="1" applyBorder="1" applyFont="1">
      <alignment horizontal="left" readingOrder="0" shrinkToFit="0" vertical="top" wrapText="1"/>
    </xf>
    <xf borderId="8" fillId="0" fontId="21" numFmtId="0" xfId="0" applyAlignment="1" applyBorder="1" applyFont="1">
      <alignment horizontal="left" vertical="center"/>
    </xf>
    <xf borderId="0" fillId="5" fontId="38" numFmtId="0" xfId="0" applyAlignment="1" applyFont="1">
      <alignment horizontal="left" readingOrder="0"/>
    </xf>
    <xf borderId="8" fillId="0" fontId="21" numFmtId="0" xfId="0" applyAlignment="1" applyBorder="1" applyFont="1">
      <alignment readingOrder="0" shrinkToFit="0" vertical="center" wrapText="1"/>
    </xf>
    <xf borderId="8" fillId="0" fontId="21" numFmtId="0" xfId="0" applyAlignment="1" applyBorder="1" applyFont="1">
      <alignment shrinkToFit="0" vertical="center" wrapText="1"/>
    </xf>
    <xf borderId="8" fillId="0" fontId="21" numFmtId="0" xfId="0" applyAlignment="1" applyBorder="1" applyFont="1">
      <alignment horizontal="left" readingOrder="0" vertical="center"/>
    </xf>
    <xf borderId="8" fillId="0" fontId="39" numFmtId="0" xfId="0" applyAlignment="1" applyBorder="1" applyFont="1">
      <alignment readingOrder="0" shrinkToFit="0" wrapText="1"/>
    </xf>
    <xf borderId="8" fillId="0" fontId="21" numFmtId="0" xfId="0" applyAlignment="1" applyBorder="1" applyFont="1">
      <alignment horizontal="left" readingOrder="0" shrinkToFit="0" vertical="center" wrapText="1"/>
    </xf>
    <xf borderId="0" fillId="5" fontId="26" numFmtId="0" xfId="0" applyAlignment="1" applyFont="1">
      <alignment readingOrder="0"/>
    </xf>
    <xf borderId="0" fillId="0" fontId="40" numFmtId="0" xfId="0" applyAlignment="1" applyFont="1">
      <alignment readingOrder="0" shrinkToFit="0" vertical="bottom" wrapText="0"/>
    </xf>
    <xf borderId="8" fillId="0" fontId="2" numFmtId="0" xfId="0" applyAlignment="1" applyBorder="1" applyFont="1">
      <alignment horizontal="left" vertical="top"/>
    </xf>
    <xf borderId="8" fillId="5" fontId="3" numFmtId="0" xfId="0" applyAlignment="1" applyBorder="1" applyFont="1">
      <alignment horizontal="left" readingOrder="0" vertical="top"/>
    </xf>
    <xf borderId="12" fillId="5" fontId="3" numFmtId="0" xfId="0" applyAlignment="1" applyBorder="1" applyFont="1">
      <alignment horizontal="left" vertical="top"/>
    </xf>
    <xf borderId="14" fillId="5" fontId="19" numFmtId="0" xfId="0" applyAlignment="1" applyBorder="1" applyFont="1">
      <alignment vertical="center"/>
    </xf>
    <xf borderId="14" fillId="5" fontId="20" numFmtId="0" xfId="0" applyAlignment="1" applyBorder="1" applyFont="1">
      <alignment shrinkToFit="0" vertical="center" wrapText="1"/>
    </xf>
    <xf borderId="14" fillId="0" fontId="21" numFmtId="0" xfId="0" applyAlignment="1" applyBorder="1" applyFont="1">
      <alignment vertical="center"/>
    </xf>
    <xf borderId="14" fillId="5" fontId="19" numFmtId="0" xfId="0" applyAlignment="1" applyBorder="1" applyFont="1">
      <alignment horizontal="left" vertical="center"/>
    </xf>
    <xf borderId="14" fillId="5" fontId="22" numFmtId="0" xfId="0" applyAlignment="1" applyBorder="1" applyFont="1">
      <alignment vertical="center"/>
    </xf>
    <xf borderId="14" fillId="5" fontId="24" numFmtId="0" xfId="0" applyAlignment="1" applyBorder="1" applyFont="1">
      <alignment readingOrder="0" vertical="bottom"/>
    </xf>
    <xf borderId="14" fillId="0" fontId="21" numFmtId="0" xfId="0" applyAlignment="1" applyBorder="1" applyFont="1">
      <alignment horizontal="center" vertical="center"/>
    </xf>
    <xf borderId="14" fillId="5" fontId="24" numFmtId="0" xfId="0" applyAlignment="1" applyBorder="1" applyFont="1">
      <alignment horizontal="center" vertical="center"/>
    </xf>
    <xf borderId="14" fillId="0" fontId="18" numFmtId="0" xfId="0" applyAlignment="1" applyBorder="1" applyFont="1">
      <alignment horizontal="center" shrinkToFit="0" vertical="center" wrapText="1"/>
    </xf>
    <xf borderId="0" fillId="5" fontId="24" numFmtId="0" xfId="0" applyAlignment="1" applyFont="1">
      <alignment readingOrder="0" vertical="bottom"/>
    </xf>
    <xf borderId="8" fillId="7" fontId="17" numFmtId="0" xfId="0" applyAlignment="1" applyBorder="1" applyFill="1" applyFont="1">
      <alignment readingOrder="0"/>
    </xf>
    <xf borderId="8" fillId="0" fontId="4" numFmtId="0" xfId="0" applyAlignment="1" applyBorder="1" applyFont="1">
      <alignment readingOrder="0"/>
    </xf>
    <xf borderId="8" fillId="0" fontId="17" numFmtId="0" xfId="0" applyAlignment="1" applyBorder="1" applyFont="1">
      <alignment readingOrder="0"/>
    </xf>
    <xf borderId="8" fillId="0" fontId="20" numFmtId="0" xfId="0" applyAlignment="1" applyBorder="1" applyFont="1">
      <alignment readingOrder="0" shrinkToFit="0" vertical="bottom" wrapText="0"/>
    </xf>
  </cellXfs>
  <cellStyles count="1">
    <cellStyle xfId="0" name="Normal" builtinId="0"/>
  </cellStyles>
  <dxfs count="2">
    <dxf>
      <font/>
      <fill>
        <patternFill patternType="solid">
          <fgColor rgb="FFFCE5CD"/>
          <bgColor rgb="FFFCE5CD"/>
        </patternFill>
      </fill>
      <border/>
    </dxf>
    <dxf>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995" sheet="Subscriber Level ao Sept 2022"/>
  </cacheSource>
  <cacheFields>
    <cacheField name="ATTRIBUTE NAME" numFmtId="0">
      <sharedItems containsBlank="1">
        <s v="subscriber_id"/>
        <s v="msisdn_value"/>
        <s v="IMSI_number_value"/>
        <s v="activation_date"/>
        <s v="main_billing_offer_id"/>
        <s v="payment_category_code"/>
        <s v="customer_facing_unit_type_code"/>
        <s v="main_address_id"/>
        <s v="main_contact_id"/>
        <s v="brand_sub_type_code"/>
        <s v="subscriber_status_code"/>
        <s v="segment_id"/>
        <s v="product_type_description"/>
        <s v="brand_type_code"/>
        <s v="international_traveller_indicator"/>
        <s v="active_days_past_2days_indicator"/>
        <s v="availment_enhanced_past_4_clmweeks_indicator"/>
        <s v="gcash_user_indicator"/>
        <s v="lock_in_end_date"/>
        <s v="last_core_ppu_date"/>
        <s v="arpu_category_code"/>
        <s v="last_data_ppu_date"/>
        <s v="last_promo_reg_date"/>
        <s v="last_promo_reg_name"/>
        <s v="reload_average_txn_interval_rolling_90_days"/>
        <s v="previous_payment_category_key"/>
        <s v="previous_subscriber_key"/>
        <s v="primary_resource_type_key"/>
        <s v="subscriber_status_reason_key"/>
        <s v="reload_daily_average_rolling_90days_amount"/>
        <s v="period_coverage_end_date"/>
        <s v="due_date"/>
        <s v="financial_activities_amount"/>
        <s v="previous_balance_amount"/>
        <s v="total_amount"/>
        <s v="total_due_amount"/>
        <s v="billing_offer_desc"/>
        <s v="msf"/>
        <s v="spending_limit_amount"/>
        <s v="reload_daily_max_rolling_30days_amount"/>
        <s v="postpaid_churn_propensity_score"/>
        <s v="postpaid_churn_propensity_decile"/>
        <s v="sim_lte_capable_indicator"/>
        <s v="contract_type_code"/>
        <s v="account_credit_limit"/>
        <s v="customer_credit_limit"/>
        <s v="mrf"/>
        <s v="handset_lte_capable_indicator"/>
        <s v="gender_type_description"/>
        <s v="gross_monthly_income_amount"/>
        <s v="bill_number"/>
        <s v="customer_facing_unit_type_description"/>
        <s v="customer_facing_unit_sub_type_description"/>
        <s v="payment_date"/>
        <s v="bill_email"/>
        <s v="customer_facing_unit_sub_type_code"/>
        <s v="subscriber_status_date"/>
        <s v="reload_daily_total_rolling_30days_amount"/>
        <s v="billing_delivery_mode_code"/>
        <s v="reload_latest_transaction_90days_date"/>
        <s v="contract_start_date"/>
        <s v="reload_max_tu_tra_rolling_30_days_amount"/>
        <s v="reload_max_tu_tra_rolling_90_days_amount"/>
        <s v="reload_mode_tu_tra_rolling_30_days_amount"/>
        <s v="reload_mode_tu_tra_rolling_90_days_amount"/>
        <s v="reload_monthly_average_rolling_90days_amount"/>
        <s v="reload_most_availed_rolling_30days_amount"/>
        <s v="home_barangay_name"/>
        <s v="home_city_name"/>
        <s v="home_province_name"/>
        <s v="home_region_name"/>
        <s v="work_barangay_name"/>
        <s v="work_city_name"/>
        <s v="work_province_name"/>
        <s v="work_region_name"/>
        <s v="tenure_count"/>
        <s v="owns_credit_card_indicator"/>
        <s v="customer_email_address_text"/>
        <s v="occupation_text"/>
        <s v="birth_date"/>
        <s v="customer_id"/>
        <s v="first_name"/>
        <s v="last_name"/>
        <s v="middle_name"/>
        <s v="prepaid_balance_status_code"/>
        <s v="owns_car_indicator"/>
        <s v="affluence"/>
        <s v="lifestage"/>
        <s v="mds_journey"/>
        <s v="income_segment_code"/>
        <s v="unpaid_billed_amount"/>
        <s v="active_subscriber_indicator"/>
        <s v="usage_average_data_quantity_rolling_90days_mb"/>
        <s v="handset_os_name"/>
        <s v="handset_manufacturer_name"/>
        <s v="handset_model_name"/>
        <s v="owns_house_indicator"/>
        <s v="payment_category_description"/>
        <s v="usage_data_rolling_30_days_quantity"/>
        <s v="credit_loan_scoring_date"/>
        <s v="credit_loan_limit_amount"/>
        <s v="credit_loan_score"/>
        <s v="credit_loan_tag"/>
        <s v="reload_average_amount_past_120days"/>
        <s v="reload_date_count_past_120days"/>
        <s v="reload_amount_latest_past_90days"/>
        <s v="reload_max_daily_sum_past_120days"/>
        <s v="reload_transaction_count_past_120days"/>
        <s v="reload_max_denom_past_120days"/>
        <s v="usage_data_rolling_90_days_mb"/>
        <s v="usage_sum_outbound_inter_voice_30days_mins"/>
        <s v="availment_amount_past_30days"/>
        <s v="availment_amount_past_120days"/>
        <s v="availment_count_past_30days"/>
        <s v="availment_count_past_120days"/>
        <s v="availment_data_amount_past_30days"/>
        <s v="availment_data_amount_past_120days"/>
        <s v="active_days_past_30days"/>
        <s v="active_days_past_120days"/>
        <s v="usage_data_mb_rolling_120days_quantity"/>
        <s v="usage_average_amount_past_30days"/>
        <s v="usage_average_amount_past_120days"/>
        <s v="usage_data_count_past_120days"/>
        <s v="usage_total_amount_past_30days"/>
        <s v="network_monthly_top_1_voice_location_region"/>
        <s v="network_monthly_top_1_voice_location_province"/>
        <s v="network_monthly_top_1_voice_location_town"/>
        <s v="network_monthly_top_1_voice_location_barangay"/>
        <s v="network_monthly_top_1_sms_location_region"/>
        <s v="network_monthly_top_1_sms_location_province"/>
        <s v="network_monthly_top_1_sms_location_town"/>
        <s v="network_monthly_top_1_sms_location_barangay"/>
        <s v="network_monthly_top_1_data_location_region"/>
        <s v="network_monthly_top_1_data_location_province"/>
        <s v="network_monthly_top_1_data_location_town"/>
        <s v="network_monthly_top_1_data_location_barangay"/>
        <s v="usage_projected_data_quantity_30days_mb"/>
        <s v="online_gamer_indicator"/>
        <s v="online_gamer_bucket"/>
        <s v="online_gamer_details"/>
        <s v="kpop_fan_indicator"/>
        <s v="kpop_fan_bucket"/>
        <s v="kpop_fan_details"/>
        <s v="music_streamer_indicator"/>
        <s v="music_streamer_bucket"/>
        <s v="music_streamer_details"/>
        <s v="beauty_skin_care_fan_indicator"/>
        <s v="beauty_skin_care_fan_bucket"/>
        <s v="beauty_skin_care_fan_details"/>
        <s v="video_streamer_indicator"/>
        <s v="video_streamer_bucket"/>
        <s v="video_streamer_details"/>
        <s v="online_shopper_indicator"/>
        <s v="online_shopper_bucket"/>
        <s v="online_shopper_details"/>
        <s v="sale_shopper_indicator"/>
        <s v="sale_shopper_bucket"/>
        <s v="sale_shopper_details"/>
        <s v="travel_enthusiast_indicator"/>
        <s v="travel_enthusiast_bucket"/>
        <s v="travel_enthusiast_details"/>
        <s v="health_buff_indicator"/>
        <s v="health_buff_bucket"/>
        <s v="health_buff_details"/>
        <s v="ott_user_indicator"/>
        <s v="ott_user_bucket"/>
        <s v="ott_user_details"/>
        <s v="social_media_maverick_indicator"/>
        <s v="social_media_maverick_bucket"/>
        <s v="social_media_maverick_details"/>
        <s v="mobile_wallet_user_indicator"/>
        <s v="mobile_wallet_user_bucket"/>
        <s v="mobile_wallet_user_details"/>
        <s v="road_warrior_indicator"/>
        <s v="road_warrior_bucket"/>
        <s v="road_warrior_details"/>
        <s v="telemedicine_indicator"/>
        <s v="telemedicine_bucket"/>
        <s v="telemedicine_details"/>
        <s v="online_learner_indicator"/>
        <s v="online_learner_bucket"/>
        <s v="online_learner_details"/>
        <s v="online_reader_indicator"/>
        <s v="online_reader_bucket"/>
        <s v="online_reader_details"/>
        <s v="tnvs_user_indicator"/>
        <s v="tnvs_user_bucket"/>
        <s v="tnvs_user_details"/>
        <s v="digital_creative_indicator"/>
        <s v="digital_creative_bucket"/>
        <s v="digital_creative_details"/>
        <s v="online_banker_indicator"/>
        <s v="online_banker_bucket"/>
        <s v="online_banker_details"/>
        <s v="loyalty_card_owner_indicator"/>
        <s v="loyalty_card_owner_bucket"/>
        <s v="loyalty_card_owner_details"/>
        <s v="kid_friendly_app_user_indicator"/>
        <s v="kid_friendly_app_user_bucket"/>
        <s v="kid_friendly_app_user_details"/>
        <s v="usage_monthly_total_sms_sent"/>
        <s v="usage_monthly_total_outgoing_call_minutes"/>
        <s v="usage_monthly_total_kb_data_used"/>
        <s v="foodie_online_delivery_indicator"/>
        <s v="foodie_online_delivery_bucket"/>
        <s v="foodie_online_delivery_details"/>
        <s v="restaurant_finder_indicator"/>
        <s v="restaurant_finder_bucket"/>
        <s v="restaurant_finder_details"/>
        <s v="availment_data_bundle_exp_date_past_90days"/>
        <s v="availment_data_latest_date_past_30days"/>
        <s v="availment_data_count_past_30days"/>
        <s v="availment_data_count_past_120days"/>
        <s v="reload_2nd_max_past_120days"/>
        <s v="hpw_inactivity_tag"/>
        <s v="bb_app_indicator"/>
        <s v="reload_most_frequent_sharer_msisdn_value"/>
        <s v="reload_most_frequent_sharer_subscriber_id"/>
        <s v="active_subscriber_1wk_indicator"/>
        <s v="reload_max_daily_sum_past_30days"/>
        <s v="reload_max_denom_past_30days"/>
        <s v="remaining_financial_account_credit_limit"/>
        <s v="historically_purchased_phone_indicator"/>
        <s v="monthly_excess_usage_fee_amount"/>
        <s v="monthly_vas_UC"/>
        <s v="monthly_roaming_UC"/>
        <s v="subscriber_first_expiry"/>
        <s v="reload_gcash_channel_indicator"/>
        <s v="reload_amax_channel_indicator"/>
        <s v="hpw_inactivity_score"/>
        <s v="unbarred_by_payment_indicator"/>
        <s v="availment_mode_promo_90days"/>
        <s v="availment_highest_denom_sku_90days"/>
        <s v="arpu_value"/>
        <s v="remaining_subscriber_spending_limit"/>
        <s v="total_paid_amount"/>
        <s v="postpaid_arpu_30days"/>
        <s v="postpaid_arpu_60days"/>
        <s v="postpaid_arpu_UC_30days"/>
        <s v="postpaid_arpu_UC_60days"/>
        <s v="postpaid_arpu_OC_30days"/>
        <s v="postpaid_arpu_OC_60days"/>
        <s v="reload_ave_transaction_count_30days"/>
        <s v="reload_ave_transaction_count_60days"/>
        <s v="reload_ave_transaction_count_90days"/>
        <s v="derived_age_number"/>
        <s v="age_bracket_name"/>
        <s v="postpaid_arpu_RC_90days"/>
        <s v="postpaid_arpu_RC_60days"/>
        <s v="postpaid_arpu_RC_30days"/>
        <s v="usage_data_ppu_amount_past_30days"/>
        <s v="usage_sms_ppu_amount_past_30days"/>
        <s v="usage_voice_ppu_amount_past_30days"/>
        <s v="reload_transaction_count_past_30days"/>
        <s v="reload_transaction_count_past_60days"/>
        <s v="reload_transaction_count_past_90days"/>
        <s v="postpaid_arpu_90days"/>
        <s v="postpaid_arpu_UC_90days"/>
        <s v="postpaid_arpu_OC_90days"/>
        <s v="missed_registration_score"/>
        <s v="usage_sum_outbound_intra_voice_90days_mins"/>
        <s v="availment_combo_bundle_exp_date_past_30days"/>
        <s v="availment_combo_latest_amount_past_30days"/>
        <s v="availment_combo_latest_date_past_30days"/>
        <s v="availment_combo_spend_past_30days"/>
        <s v="availment_data_ave_days_in_between_past_120days"/>
        <s v="availment_data_latest_amount_past_30days"/>
        <s v="availment_sms_latest_amount_past_30days"/>
        <s v="availment_sms_latest_date_past_30days"/>
        <s v="availment_voice_bundle_exp_date_past_30days"/>
        <s v="availment_voice_latest_amount_past_30days"/>
        <s v="availment_voice_latest_date_past_30days"/>
        <s v="handset_type_name"/>
        <s v="availment_sms_bundle_exp_date_past_30days"/>
        <s v="reload_average_txn_interval_rolling_120_days"/>
        <s v="reload_2nd_max_daily_sum_past_120days"/>
        <s v="reload_max_total_monthly_past_90days"/>
        <s v="reload_amount_latest_past_30days"/>
        <s v="reload_amount_latest_past_60days"/>
        <s v="reload_mode_tu_tra_rolling_60_days_amount"/>
        <s v="reload_latest_week_90days"/>
        <s v="reload_days_from_last_txn"/>
        <s v="reload_top_channel_30days"/>
        <s v="reload_top_channel_60days"/>
        <s v="reload_top_channel_90days"/>
        <s v="reload_latest_channel_30days"/>
        <s v="reload_latest_channel_60days"/>
        <s v="reload_latest_channel_90days"/>
        <s v="postpaid_contract_status_type"/>
        <s v="prepaid_spending_arpu_30days"/>
        <s v="prepaid_spending_arpu_60days"/>
        <s v="prepaid_spending_arpu_90days"/>
        <s v="contract_type_description"/>
        <s v="usage_data_ppu_ave_amount_past_30days"/>
        <s v="usage_data_ppu_ave_amount_past_120days"/>
        <s v="multisim_tag"/>
        <s v="usage_data_latest_date_past_120days"/>
        <s v="availment_amount_past_60days"/>
        <s v="availment_amount_past_90days"/>
        <s v="prepaid_spending_arpu_120days"/>
        <s v="network_monthly_top_2_data_location_province"/>
        <s v="network_monthly_top_2_data_location_town"/>
        <s v="network_monthly_top_3_data_location_province"/>
        <s v="network_monthly_top_3_data_location_town"/>
        <s v="reload_amount_total_past_90days"/>
        <s v="hpw_prepaid_topup_segmentation_score"/>
        <s v="previous_main_billing_offer_id"/>
        <s v="previous_billing_offer_desc"/>
        <s v="previous_msf"/>
        <s v="previous_contract_start_date"/>
        <s v="bb_technology_value"/>
        <s v="bb_previous_technology_value"/>
        <s v="contract_period_value"/>
        <s v="previous_contract_period_value"/>
        <s v="financial_account_id"/>
        <s v="customer_contact_email_id"/>
        <s v="customer_contact_msisdn_value"/>
        <s v="bb_installation_sequence_number"/>
        <s v="NPS_topup_indicator"/>
        <s v="NPS_promo_indicator"/>
        <s v="NPS_rewards_indicator"/>
        <s v="NPS_consistent_detractor_indicator"/>
        <s v="NPS_consistent_non_detractor_indicator"/>
        <s v="NPS_journey_detractor_indicator"/>
        <s v="fashionista_indicator"/>
        <s v="fashionista_bucket"/>
        <s v="fashionista_details"/>
        <s v="iot_user_indicator"/>
        <s v="iot_user_bucket"/>
        <s v="iot_user_details"/>
        <s v="gcash_user_consented_indicator"/>
        <s v="bb_cabinet_id"/>
        <s v="bb_data_sim_msisdn_value"/>
        <s v="sim_serial_value"/>
        <s v="bb_port_number_value"/>
        <s v="bb_distribution_point_id"/>
        <s v="reload_amount_delta_30days_60days_percent"/>
        <s v="prepaid_subscriber_balance"/>
        <s v="usage_monthly_vas_amount"/>
        <s v="usage_sms_ppu_amount_past_90days"/>
        <s v="usage_voice_ppu_amount_past_90days"/>
        <s v="usage_data_quantity_per_bill_cycle_mb"/>
        <s v="lifestage_aa"/>
        <s v="deposit_date"/>
        <s v="logistics_delivery_app_indicator"/>
        <s v="logistics_delivery_app_bucket"/>
        <s v="logistics_delivery_app_details"/>
        <s v="active_latest_date_past_120days"/>
        <s v="availment_data_days_past_90days"/>
        <s v="inbound_hotline_call_count_past_30days"/>
        <s v="bb_monthly_content_amount"/>
        <s v="reload_days_below_5_balance_past_90days"/>
        <s v="bb_plan_migration_type_value"/>
        <s v="original_activation_date"/>
        <s v="lifetime_tenure_count"/>
        <s v="platinum_subscriber_indicator"/>
        <s v="bb_data_cap_value"/>
        <s v="bb_data_sim_imsi_value"/>
        <s v="bb_installation_barangay_name"/>
        <s v="bb_installation_building_name"/>
        <s v="bb_installation_city_name"/>
        <s v="bb_installation_house_number"/>
        <s v="bb_installation_postal_code"/>
        <s v="bb_installation_street_name"/>
        <s v="bb_installation_province_name"/>
        <s v="bb_data_cap_freq_refresh_value"/>
        <s v="bb_plan_type_value"/>
        <s v="subscriber_contact_landline_value"/>
        <s v="subscriber_contact_msisdn_value"/>
        <s v="spending_segment"/>
        <s v="spending_by_brand_bucket"/>
        <s v="spending_overall_bucket"/>
        <s v="prepaid_load_low_balance_threshold_score"/>
        <s v="latest_punishment_level_code"/>
        <s v="usage_top_loc_timeblock1_past_30days"/>
        <s v="usage_top_loc_timeblock2_past_30days"/>
        <s v="usage_top_loc_timeblock3_past_30days"/>
        <s v="usage_top_loc_timeblock4_past_30days"/>
        <s v="usage_top_loc_timeblock5_past_30days"/>
        <s v="usage_top_loc_timeblock6_past_30days"/>
        <s v="usage_top_loc_timeblock1_past_60days"/>
        <s v="usage_top_loc_timeblock2_past_60days"/>
        <s v="usage_top_loc_timeblock3_past_60days"/>
        <s v="usage_top_loc_timeblock4_past_60days"/>
        <s v="usage_top_loc_timeblock5_past_60days"/>
        <s v="usage_top_loc_timeblock6_past_60days"/>
        <s v="usage_top_loc_timeblock1_past_90days"/>
        <s v="usage_top_loc_timeblock2_past_90days"/>
        <s v="usage_top_loc_timeblock3_past_90days"/>
        <s v="usage_top_loc_timeblock4_past_90days"/>
        <s v="usage_top_loc_timeblock5_past_90days"/>
        <s v="usage_top_loc_timeblock6_past_90days"/>
        <s v="usage_data_amount_timeblock1_past_30days"/>
        <s v="usage_data_amount_timeblock2_past_30days"/>
        <s v="usage_data_amount_timeblock3_past_30days"/>
        <s v="usage_data_amount_timeblock4_past_30days"/>
        <s v="usage_data_amount_timeblock5_past_30days"/>
        <s v="usage_data_amount_timeblock6_past_30days"/>
        <s v="usage_data_amount_timeblock1_past_60days"/>
        <s v="usage_data_amount_timeblock2_past_60days"/>
        <s v="usage_data_amount_timeblock3_past_60days"/>
        <s v="usage_data_amount_timeblock4_past_60days"/>
        <s v="usage_data_amount_timeblock5_past_60days"/>
        <s v="usage_data_amount_timeblock6_past_60days"/>
        <s v="usage_data_amount_timeblock1_past_90days"/>
        <s v="usage_data_amount_timeblock2_past_90days"/>
        <s v="usage_data_amount_timeblock3_past_90days"/>
        <s v="usage_data_amount_timeblock4_past_90days"/>
        <s v="usage_data_amount_timeblock5_past_90days"/>
        <s v="usage_data_amount_timeblock6_past_90days"/>
        <s v="usage_data_instagram_mb_past_30days"/>
        <s v="usage_data_tiktok_mb_past_30days"/>
        <s v="globe_website_last_visit_date_rolling_90days"/>
        <s v="globe_website_visit_count_rolling_30days"/>
        <s v="globe_website_visit_average_count_rolling_90days"/>
        <s v="usage_gcash_avg_transaction_count_last_90days"/>
        <s v="usage_gcash_max_transaction_count_last_90days"/>
        <s v="usage_gcash_avg_spent_amount_last_90days"/>
        <s v="usage_gcash_max_spent_amount_last_90days"/>
        <s v="usage_gcash_transaction_count_last_30days"/>
        <s v="usage_gcash_transaction_count_last31_60days"/>
        <s v="usage_gcash_transaction_count_last61_90days"/>
        <s v="usage_gcash_spent_amount_last_30days"/>
        <s v="usage_gcash_spent_amount_last31_60days"/>
        <s v="usage_gcash_spent_amount_last61_90days"/>
        <s v="usage_gcash_last_used_date_last_120days"/>
        <s v="platinum_net_promoter_score"/>
        <s v="platinum_net_promoter_score_indicator"/>
        <s v="reload_prepaid_arpu_30days"/>
        <s v="reload_prepaid_arpu_60days"/>
        <s v="reload_prepaid_arpu_90days"/>
        <s v="usage_data_consumable_mb_past_90days"/>
        <s v="usage_data_roaming_consumable_mb_past_90days"/>
        <s v="usage_voice_roaming_consumable_mins_past_90days"/>
        <s v="usage_sms_roaming_consumable_count_past_90days"/>
        <s v="usage_vas_consumable_count_past_90days"/>
        <s v="sg_churn_propensity_decile"/>
        <s v="sg_churn_propensity_score"/>
        <s v="sg_customer_segmentation"/>
        <s v="assigned_handset_model_name"/>
        <s v="assigned_handset_manufacturer_name"/>
        <s v="assigned_handset_imei_value"/>
        <s v="assigned_handset_base_amount"/>
        <s v="customer_preferred_contact_time"/>
        <s v="customer_contact_position"/>
        <s v="usage_data_roaming_count_past_90days"/>
        <s v="usage_voice_roaming_count_past_90days"/>
        <s v="usage_sms_roaming_count_past_90days"/>
        <s v="usage_voice_inter_ppu_mins_90days"/>
        <s v="usage_voice_intra_ppu_mins_90days"/>
        <s v="usage_sms_inter_ppu_count_90days"/>
        <s v="usage_sms_intra_ppu_count_90days"/>
        <s v="usage_data_ppu_mb_past_90days"/>
        <s v="customer_contact_first_name"/>
        <s v="customer_contact_middle_name"/>
        <s v="customer_contact_last_name"/>
        <s v="customer_contact_birth_date"/>
        <s v="customer_contact_department_name"/>
        <s v="caif_by_50pct_active_days_indicator"/>
        <s v="​caif_by_50pct_active_days_count_past_3mos"/>
        <s v="caif_by_50pct_active_days_count_past_12mos"/>
        <s v="payment_channel_mode_90days"/>
        <s v="latest_barring_date"/>
        <s v="latest_barring_reason"/>
        <s v="usage_data_mb_past_60days"/>
        <s v="usage_data_mb_past_30days"/>
        <s v="usage_monthly_average_data_mb_past_90days"/>
        <s v="gcredit_user_indicator_last_120days"/>
        <s v="gcash_registration_date"/>
        <s v="no_pending_order_indicator"/>
        <s v="bb_app_data_amount_volume_booster_last_30days"/>
        <s v="bb_app_data_amount_volume_booster_last_60days"/>
        <s v="bb_app_data_amount_volume_booster_last_90days"/>
        <s v="bb_app_promo_amount_volume_booster_last_30days"/>
        <s v="bb_app_promo_amount_volume_booster_last_60days"/>
        <s v="bb_app_promo_amount_volume_booster_last_90days"/>
        <s v="inactive_avg_consec_days_last_90days"/>
        <s v="postpaid_current_gah_user_indicator"/>
        <s v="usage_data_promo_latest_mb_past_90days"/>
        <s v="inactive_max_consec_days_past_90days"/>
        <s v="inactive_min_consec_days_past_90days"/>
        <s v="usage_data_active_days_past_30days"/>
        <s v="usage_data_active_days_past_90days"/>
        <s v="monthly_installment_oc"/>
        <s v="billing_cycle_code"/>
        <s v="usage_data_delta_30days_60days_percent"/>
        <s v="usage_sms_roaming_ppu_amount_past_90days"/>
        <s v="usage_voice_roaming_ppu_amount_past_90days"/>
        <s v="usage_data_roaming_ppu_amount_past_90days"/>
        <s v="usage_voice_inter_count_90days"/>
        <s v="usage_voice_intra_count_90days"/>
        <s v="usage_sms_inter_count_90days"/>
        <s v="usage_sms_intra_count_90days"/>
        <s v="usage_data_count_past_90days"/>
        <s v="usage_vas_count_past_90days"/>
        <s v="days_past_due_bucket"/>
        <s v="online_shopper_top_apps"/>
        <s v="online_gamer_top_apps"/>
        <s v="video_streamer_top_apps"/>
        <s v="music_streamer_top_apps"/>
        <s v="online_banker_mode"/>
        <s v="mobile_wallet_user_mode"/>
        <s v="credit_card_user_mode"/>
        <s v="foodie_online_delivery_top_apps"/>
        <s v="restaurant_finder_top_apps"/>
        <s v="social_media_maverick_top_apps"/>
        <s v="telemedicine_top_apps"/>
        <s v="health_buff_top_apps"/>
        <s v="online_reader_top_apps"/>
        <s v="ott_user_top_apps"/>
        <s v="loyalty_card_owner_mode"/>
        <s v="aspiring_chef_top_apps"/>
        <s v="online_learner_top_apps"/>
        <s v="digital_creative_top_apps"/>
        <s v="productivity_tools_user_top_apps"/>
        <s v="top_apps_hits"/>
        <s v="top_apps_burn"/>
        <s v="usage_vas_ppu_amount_past_90days"/>
        <s v="usage_data_roaming_ppu_mb_past_90days"/>
        <s v="usage_voice_roaming_ppu_mins_past_90days"/>
        <s v="usage_sms_roaming_ppu_count_past_90days"/>
        <s v="usage_vas_ppu_count_past_90days"/>
        <s v="usage_voice_inter_consumable_mins_90days"/>
        <s v="usage_voice_intra_consumable_mins_90days"/>
        <s v="usage_sms_inter_consumable_count_90days"/>
        <s v="usage_sms_intra_consumable_count_90days"/>
        <s v="gid_b2c"/>
        <s v="mdm_type_code"/>
        <s v="mds_journey2"/>
        <s v="usage_data_ppu_past_amount_90days"/>
        <s v="usage_sms_intra_ppu_amount_90days"/>
        <s v="usage_sms_inter_ppu_amount_90days"/>
        <s v="usage_voice_intra_ppu_amount_90days"/>
        <s v="usage_voice_inter_ppu_amount_90days"/>
        <s v="remaining_contract_period_months"/>
        <s v="home_barangay_code"/>
        <s v="home_city_code"/>
        <s v="work_barangay_code"/>
        <s v="work_city_code"/>
        <s v="imei_value_latest_90days"/>
        <s v="beauty_skin_care_fan_top_apps"/>
        <s v="bpo_worker_top_apps"/>
        <s v="fashionista_top_apps"/>
        <s v="iot_user_top_apps"/>
        <s v="kid_friendly_top_apps"/>
        <s v="logistics_delivery_top_apps"/>
        <s v="globeone_user_indicator"/>
        <s v="tmapp_user_indicator"/>
        <s v="productivity_tools_user_indicator"/>
        <s v="productivity_tools_user_bucket"/>
        <s v="productivity_tools_user_details"/>
        <s v="kpop_fan_top_apps"/>
        <s v="road_warrior_top_apps"/>
        <s v="tnvs_user_top_apps"/>
        <s v="travel_enthusiast_top_apps"/>
        <s v="coffee_lover_indicator"/>
        <s v="coffee_lover_bucket"/>
        <s v="coffee_lover_details"/>
        <s v="coffee_lover_top_apps"/>
        <s v="chi_indicator"/>
        <s v="nps_detractor_indicator"/>
        <s v="nps_detractor_score"/>
        <s v="relational_nps_detractor_indicator"/>
        <s v="relational_nps_detractor_code"/>
        <s v="bank_caller_indicator"/>
        <s v="bank_caller_details"/>
        <s v="bank_caller_mode"/>
        <s v="bank_caller_bucket"/>
        <s v="customer_preferred_contact_mode"/>
        <s v="customer_contact_authorized_representative_name"/>
        <s v="customer_contact_authorized_signatory_name"/>
        <s v="bb_app_nominated_email_verified_indicator"/>
        <s v="bb_app_nominated_number_verified_indicator"/>
        <s v="sim_tag"/>
        <s v="fraud_indicator"/>
        <s v="chi_happiness_score"/>
        <s v="chi_quality_score"/>
        <s v="chi_segment"/>
        <s v="chi_expectation_score"/>
        <s v="chi_value_score"/>
        <s v="address_house_bldg_name"/>
        <s v="address_street_name"/>
        <s v="address_barangay_name"/>
        <s v="address_city_name"/>
        <s v="address_province_name"/>
        <s v="address_region_name"/>
        <s v="address_zip_code"/>
        <s v="clv_survival_segment"/>
        <s v="clv_survival_mo1"/>
        <s v="clv_survival_mo2"/>
        <s v="clv_survival_mo3"/>
        <s v="clv_survival_mo4"/>
        <s v="clv_survival_mo5"/>
        <s v="clv_survival_mo6"/>
        <s v="clv_survival_mo7"/>
        <s v="clv_survival_mo8"/>
        <s v="clv_survival_mo9"/>
        <s v="clv_survival_mo10"/>
        <s v="clv_survival_mo11"/>
        <s v="clv_survival_mo12"/>
        <s v="content_creator_indicator"/>
        <s v="content_creator_bucket"/>
        <s v="content_creator_details"/>
        <s v="content_creator_top_apps"/>
        <s v="stock_trader_indicator"/>
        <s v="stock_trader_bucket"/>
        <s v="stock_trader_details"/>
        <s v="stock_trader_top_apps"/>
        <s v="martial_arts_fan_indicator"/>
        <s v="martial_arts_fan_bucket"/>
        <s v="martial_arts_fan_details"/>
        <s v="martial_arts_fan_top_apps"/>
        <s v="comics_reader_indicator"/>
        <s v="comics_reader_bucket"/>
        <s v="comics_reader_details"/>
        <s v="comics_reader_top_apps"/>
        <s v="grab_driver_indicator"/>
        <s v="grab_driver_bucket"/>
        <s v="grab_driver_details"/>
        <s v="bpo_worker_indicator"/>
        <s v="bpo_worker_bucket"/>
        <s v="bpo_worker_details"/>
        <s v="aspiring_chef_indicator"/>
        <s v="aspiring_chef_bucket"/>
        <s v="aspiring_chef_details"/>
        <s v="interaction_count_30days"/>
        <s v="interaction_top_channel_30days"/>
        <s v="interaction_top_channel_count_30days"/>
        <s v="credit_card_user_indicator"/>
        <s v="credit_card_user_bucket"/>
        <s v="credit_card_user_details"/>
        <s v="parent_indicator"/>
        <s v="sale_shopper_top_apps"/>
        <s v="clv_survival_mo13"/>
        <s v="clv_survival_mo14"/>
        <s v="clv_survival_mo15"/>
        <s v="clv_survival_mo16"/>
        <s v="clv_survival_mo17"/>
        <s v="clv_survival_mo18"/>
        <s v="clv_survival_mo19"/>
        <s v="clv_survival_mo20"/>
        <s v="clv_survival_mo21"/>
        <s v="clv_survival_mo22"/>
        <s v="clv_survival_mo23"/>
        <s v="clv_survival_mo24"/>
        <s v="basketball_fan_bucket"/>
        <s v="basketball_fan_details"/>
        <s v="basketball_fan_indicator"/>
        <s v="basketball_fan_top_apps"/>
        <s v="car_dealer_caller_bucket"/>
        <s v="car_dealer_caller_details"/>
        <s v="car_dealer_caller_indicator"/>
        <s v="car_enthusiast_bucket"/>
        <s v="car_enthusiast_details"/>
        <s v="car_enthusiast_indicator"/>
        <s v="car_enthusiast_top_apps"/>
        <s v="dating_around_bucket"/>
        <s v="dating_around_details"/>
        <s v="dating_around_indicator"/>
        <s v="dating_around_top_apps"/>
        <s v="insurance_caller_bucket"/>
        <s v="insurance_caller_details"/>
        <s v="insurance_caller_indicator"/>
        <s v="insurance_caller_mode"/>
        <s v="liquor_lover_bucket"/>
        <s v="liquor_lover_details"/>
        <s v="liquor_lover_indicator"/>
        <s v="liquor_lover_top_apps"/>
        <s v="online_freelancer_bucket"/>
        <s v="online_freelancer_details"/>
        <s v="online_freelancer_indicator"/>
        <s v="online_freelancer_top_apps"/>
        <s v="thrifty_nanay_bucket"/>
        <s v="thrifty_nanay_details"/>
        <s v="thrifty_nanay_indicator"/>
        <s v="thrifty_nanay_mode"/>
        <s v="health_conscious_indicator"/>
        <s v="health_conscious_bucket"/>
        <s v="health_conscious_details"/>
        <s v="health_conscious_top_apps"/>
        <s v="book_worm_indicator"/>
        <s v="book_worm_bucket"/>
        <s v="book_worm_details"/>
        <s v="book_worm_top_apps"/>
        <s v="network_monthly_top_1_voice_location_region_code"/>
        <s v="network_monthly_top_1_voice_location_province_code"/>
        <s v="network_monthly_top_1_voice_location_town_code"/>
        <s v="network_monthly_top_1_voice_location_barangay_code"/>
        <s v="network_monthly_top_1_sms_location_region_code"/>
        <s v="network_monthly_top_1_sms_location_province_code"/>
        <s v="network_monthly_top_1_sms_location_town_code"/>
        <s v="network_monthly_top_1_sms_location_barangay_code"/>
        <s v="network_monthly_top_1_data_location_region_code"/>
        <s v="network_monthly_top_1_data_location_province_code"/>
        <s v="network_monthly_top_1_data_location_town_code"/>
        <s v="network_monthly_top_1_data_location_barangay_code"/>
        <s v="network_monthly_top_1_location_region"/>
        <s v="network_monthly_top_1_location_region_code"/>
        <s v="network_monthly_top_1_location_province"/>
        <s v="network_monthly_top_1_location_province_code"/>
        <s v="network_monthly_top_1_location_town"/>
        <s v="network_monthly_top_1_location_town_code"/>
        <s v="network_monthly_top_1_location_barangay"/>
        <s v="network_monthly_top_1_location_barangay_code"/>
        <s v="cell_site_name"/>
        <s v="network_element_name"/>
        <s v="4g_upgrade_indicator"/>
        <s v="4g_upgrade_effectivity_date"/>
        <s v="network_expansion_3mos_indicator"/>
        <s v="network_expansion_6mos_indicator"/>
        <s v="network_expansion_beyond_6mos_indicator"/>
        <s v="availment_no_poc_count_past_90days"/>
        <s v="availment_no_poc_total_promo_amount_90days"/>
        <s v="job_hunter_indicator"/>
        <s v="job_hunter_bucket"/>
        <s v="job_hunter_details"/>
        <s v="job_hunter_top_apps"/>
        <s v="avg_daily_dl_speed_3g_90days"/>
        <s v="avg_daily_dl_speed_lte_90days"/>
        <s v="avg_daily_latency_speed_3g_90days"/>
        <s v="avg_daily_latency_speed_lte_90days"/>
        <s v="availment_mode_promo_amount_90days"/>
        <s v="prepaid_spending_past_30days"/>
        <s v="prepaid_spending_arpu_past_90days"/>
        <s v="postpaid_rightsizing_plan_name"/>
        <s v="postpaid_rightsizing_plan_id"/>
        <s v="postpaid_rightsizing_plan_msf"/>
        <s v="postpaid_rightsizing_tag"/>
        <s v="postpaid_rightsizing_plan_data"/>
        <s v="postpaid_rightsizing_max_bill_90days"/>
        <s v="viber_user_indicator"/>
        <s v="tech_savvy_indicator"/>
        <s v="tech_savvy_bucket"/>
        <s v="tech_savvy_details"/>
        <s v="tech_savvy_top_apps"/>
        <s v="gambler_indicator"/>
        <s v="gambler_bucket"/>
        <s v="gambler_details"/>
        <s v="gambler_top_apps"/>
        <s v="womens_health_app_indicator"/>
        <s v="womens_health_app_bucket"/>
        <s v="womens_health_app_details"/>
        <s v="womens_health_top_apps"/>
        <s v="handset_brand_name_categorized"/>
        <s v="handset_os_name_categorized"/>
        <s v="prepaid_spending_decline_month_on_month"/>
        <s v="prepaid_spending_decline_past_90days"/>
        <s v="sports_buddy_indicator"/>
        <s v="sports_buddy_bucket"/>
        <s v="sports_buddy_details"/>
        <s v="sports_buddy_top_apps"/>
        <s v="crypto_wallet_user_indicator"/>
        <s v="crypto_wallet_user_bucket"/>
        <s v="crypto_wallet_user_details"/>
        <s v="crypto_wallet_user_top_apps"/>
        <s v="plant_parent_indicator"/>
        <s v="plant_parent_bucket"/>
        <s v="plant_parent_details"/>
        <s v="plant_parent_top_apps"/>
        <s v="news_pub_follower_top_apps"/>
        <s v="news_pub_follower_details"/>
        <s v="news_pub_follower_bucket"/>
        <s v="news_pub_follower_indicator"/>
        <s v="local_entertainment_top_apps"/>
        <s v="local_entertainment_app_details"/>
        <s v="local_entertainment_app_bucket"/>
        <s v="local_entertainment_app_indicator"/>
        <s v="international_shopper_top_apps"/>
        <s v="international_shopper_details"/>
        <s v="international_shopper_bucket"/>
        <s v="international_shopper_indicator"/>
        <s v="online_grocery_shopper_top_apps"/>
        <s v="online_grocery_shopper_details"/>
        <s v="online_grocery_shopper_bucket"/>
        <s v="online_grocery_shopper_indicator"/>
        <s v="availment_promo_decline_month_on_month"/>
        <s v="availment_promo_decline_past_90days"/>
        <s v="availment_promo_count_past_30days"/>
        <s v="availment_promo_ave_past_90days"/>
        <s v="availment_ave_days_between_promo_90days"/>
        <s v="availment_ave_days_between_promo_120days"/>
        <s v="occupation_text_categorized"/>
        <s v="musician_indicator"/>
        <s v="musician_bucket"/>
        <s v="musician_details"/>
        <s v="musician_top_apps"/>
        <s v="last_promo_expiry_date"/>
        <s v="last_promo_expiry_name"/>
        <s v="reload_activity_decline_indicator"/>
        <s v="gender_type_description_user"/>
        <s v="civil_status"/>
        <s v="civil_status_user"/>
        <s v="prepaid_clv_overall_revenue"/>
        <s v="prepaid_clv_overall_rank"/>
        <s v="online_seller_indicator"/>
        <s v="online_seller_bucket"/>
        <s v="online_seller_details"/>
        <s v="online_seller_top1_app"/>
        <s v="hmo_member_indicator"/>
        <s v="hmo_member_bucket"/>
        <s v="hmo_member_details"/>
        <s v="hmo_member_top1_app"/>
        <s v="reload_total_topup_amount_past_7days"/>
        <s v="occupation_text_user"/>
        <s v="occupation_text_user_categorized"/>
        <s v="email_address_user"/>
        <s v="insurance_app_indicator"/>
        <s v="insurance_app_bucket"/>
        <s v="insurance_app_details"/>
        <s v="insurance_top_apps"/>
        <s v="car_dealer_caller_mode"/>
        <s v="birth_date_user"/>
        <s v="age_bracket_name_user"/>
        <s v="derived_age_number_user"/>
        <s v="core_billing_offer_id"/>
        <s v="core_billing_offer_desc"/>
        <s v="data_billing_offer_id"/>
        <s v="data_billing_offer_desc"/>
        <s v="first_name_user"/>
        <s v="middle_name_user"/>
        <s v="last_name_user"/>
        <s v="bb_app_active_user_30days_indicator"/>
        <s v="prepaid_topup_segment"/>
        <s v="prepaid_total_spending_arpu_7days"/>
        <s v="lifestyle_app_indicator"/>
        <s v="lifestyle_app_bucket"/>
        <s v="lifestyle_app_details"/>
        <s v="lifestyle_top_apps"/>
        <s v="superapp_user_indicator"/>
        <s v="prepaid_migration_propensity_decile"/>
        <s v="reload_amount_mtd"/>
        <s v="usage_data_shift_indicator"/>
        <s v="usage_sms_shift_indicator"/>
        <s v="usage_voice_shift_indicator"/>
        <s v="reload_amount_past_mo1"/>
        <s v="reload_amount_past_mo2"/>
        <s v="reload_amount_past_mo3"/>
        <s v="reload_amount_past_mo4"/>
        <s v="reload_amount_past_mo5"/>
        <s v="reload_amount_past_mo6"/>
        <s v="reload_amount_past_mo7"/>
        <s v="reload_amount_past_mo8"/>
        <s v="reload_amount_past_mo9"/>
        <s v="reload_amount_past_mo10"/>
        <s v="reload_amount_past_mo11"/>
        <s v="reload_amount_past_mo12"/>
        <s v="interaction_top_desc_30days"/>
        <s v="interaction_top_desc_count_30days"/>
        <s v="top_data_cell_site_capability"/>
        <s v="latest_handset_capability"/>
        <s v="open_service_request_count_30days"/>
        <s v="service_request_ave_tat_30days"/>
        <s v="predicted_arpu_change"/>
        <s v="prepaid_topup_cohort"/>
        <s v="hpw_prepaid_topup_segment"/>
        <s v="broadcast_exclude_indicator"/>
        <s v="survival_regression_score_6mos"/>
        <s v="interaction_ave_daily_duration_90days"/>
        <s v="postpaid_bb_cross_sell_score"/>
        <s v="postpaid_bb_cross_sell_decile"/>
        <s v="platinum_migration_score"/>
        <s v="platinum_migration_decile"/>
        <s v="prepaid_spending_arpu_12weeks"/>
        <s v="multivariate_microsegment"/>
        <s v="area_prioritization_number"/>
        <s v="sim_device_migration_description"/>
        <s v="business_priority_bucket_description"/>
        <s v="change_sim_3g_4g_indicator"/>
        <s v="sim_migration_whitelist_indicator"/>
        <s v="passion_point_entertainment_indicator"/>
        <s v="passion_point_essentials_indicator"/>
        <s v="passion_point_gaming_indicator"/>
        <s v="passion_point_learning_indicator"/>
        <s v="passion_point_sports_indicator"/>
        <s v="passion_point_travel_indicator"/>
        <s v="passion_point_work_indicator"/>
        <s v="passion_point_social_indicator"/>
        <s v="work_location_urbanity_code"/>
        <s v="home_location_urbanity_code"/>
        <s v="latest_surf_alert_status_30days"/>
        <s v="globeone_active_user_180days_indicator"/>
        <s v="globeone_active_user_60days_indicator"/>
        <s v="globeone_active_user_30days_indicator"/>
        <s v="globeone_promo_7days_indicator"/>
        <s v="globeone_manage_rewards_count_7days"/>
        <s v="globeone_redeem_rewards_count_7days"/>
        <s v="globeone_promo_count_7days"/>
        <s v="globeone_reload_count_7days"/>
        <s v="globeone_reload_mode_amount_7days"/>
        <s v="globeone_promo_mode_sku_7days"/>
        <s v="globeone_first_reg_indicator"/>
        <s v="usage_data_mb_past_mo1"/>
        <s v="gid_b2b"/>
        <s v="mobility_index_daily"/>
        <s v="mobility_class_daily"/>
        <s v="mobility_index_weekly"/>
        <s v="mobility_class_weekly"/>
        <s v="mobility_index_monthly"/>
        <s v="mobility_class_monthly"/>
        <s v="clv_survival_quarterly_segment"/>
        <s v="clv_survival_quarterly_mo1"/>
        <s v="clv_survival_quarterly_mo2"/>
        <s v="clv_survival_quarterly_mo3"/>
        <s v="clv_survival_quarterly_mo4"/>
        <s v="clv_survival_quarterly_mo5"/>
        <s v="clv_survival_quarterly_mo6"/>
        <s v="clv_survival_quarterly_mo7"/>
        <s v="clv_survival_quarterly_mo8"/>
        <s v="clv_survival_quarterly_mo9"/>
        <s v="clv_survival_quarterly_mo10"/>
        <s v="clv_survival_quarterly_mo11"/>
        <s v="clv_survival_quarterly_mo12"/>
        <s v="bb_segment"/>
        <s v="superapp_reload_count_30days"/>
        <s v="superapp_share_count_30days"/>
        <s v="superapp_loan_count_30days"/>
        <s v="superapp_dau_indicator"/>
        <s v="superapp_wau_indicator"/>
        <s v="superapp_mau_indicator"/>
        <s v="dito_website_visit_count_rolling_30days"/>
        <s v="smart_website_visit_count_rolling_30days"/>
        <s v="globe_online_website_visit_count_rolling_30days"/>
        <s v="usage_data_facebook_mb_past_30days"/>
        <s v="clv_overall_rank"/>
        <s v="clv_overall_revenue"/>
        <s v="productivity_tools_user_total_data_usage_mb"/>
        <s v="video_streamer_total_data_usage_mb"/>
        <s v="psychographic_segment"/>
        <s v="usage_avg_data_quantity_p3m_bill_cycle_mb"/>
        <s v="superapp_redeem_nontelco_rewards_count_30days"/>
        <s v="superapp_redeem_telco_rewards_count_30days"/>
        <s v="superapp_reload_mode_amount_30days"/>
        <s v="ofw_relative_indicator"/>
        <s v="billing_offer_speed_mbps"/>
        <s v="bb_download_speed_value_mbps"/>
        <s v="data_billing_offer_data_allocation"/>
        <s v="single_site_usage_indicator"/>
        <s v="platinum_migration_arpu_12mos"/>
        <s v="productivity_tools_user_total_data_usage_bucket"/>
        <s v="rewards_point_balance"/>
        <s v="household_segment"/>
        <s v="household_decision_tag"/>
        <s v="mobility_radius_of_gyration_weekly"/>
        <s v="mobility_radius_of_gyration_monthly"/>
        <s v="mobility_total_traveled_distance_weekly"/>
        <s v="mobility_total_traveled_distance_monthly"/>
        <s v="mobility_activity_entropy_weekly"/>
        <s v="mobility_activity_entropy_monthly"/>
        <s v="primary_sim_indicator"/>
        <s v="multi_line_indicator"/>
        <s v="mobile_bridging_segment"/>
        <s v="mobility_center_of_mass_latitude_weekly"/>
        <s v="mobility_center_of_mass_longitude_weekly"/>
        <s v="mobility_center_of_mass_latitude_monthly"/>
        <s v="mobility_center_of_mass_longitude_monthly"/>
        <s v="mobility_index_average_baseline_daily"/>
        <s v="mobility_index_average_baseline_weekly"/>
        <s v="mobility_index_average_baseline_monthly"/>
        <s v="mobility_index_average_baseline_weekday"/>
        <s v="mobility_index_average_baseline_weekend"/>
        <s v="caif_by_25pct_active_days_indicator"/>
        <s v="tenure_count_mos"/>
        <s v="gross_service_revenue_indicative_amount_past_1mo"/>
        <s v="gross_service_revenue_indicative_amount_average_past_2mos"/>
        <s v="gross_service_revenue_indicative_amount_average_past_3mos"/>
        <s v="previous_brand_type_code"/>
        <s v="latest_collection_account_status_code"/>
        <s v="latest_collection_account_status_date"/>
        <s v="rewards_ussd_redemption_latest_date_90days"/>
        <s v="household_id"/>
        <s v="International_roam_charge_amount_past_1mo"/>
        <s v="international_roam_charge_average_amount_past_2mos"/>
        <s v="international_roam_charge_average_amount_past_3mos"/>
        <s v="home_longitude"/>
        <s v="home_latitude"/>
        <s v="core_revenue_amount_past_1mo"/>
        <s v="core_revenue_average_amount_past_2mos"/>
        <s v="core_revenue_average_amount_past_3mos"/>
        <s v="availment_superapp_promo_count_30days"/>
        <s v="tenure_topup_cohort"/>
        <s v="duo_number_value"/>
        <s v="latest_device_volte_capable_30days_indicator"/>
        <s v="latest_device_vowifi_capable_30days_indicator"/>
        <s v="promo_reco_sku1"/>
        <s v="promo_reco_sku2"/>
        <s v="promo_reco_sku3"/>
        <s v="promo_reco_sku4"/>
        <s v="promo_reco_sku5"/>
        <s v="promo_reco_sku6"/>
        <s v="promo_reco_sku7"/>
        <s v="promo_reco_sku8"/>
        <s v="promo_reco_sku9"/>
        <s v="promo_reco_sku10"/>
        <s v="pre_porting_usage_data_mb_past_90days"/>
        <s v="kumu_total_data_usage_past_mo1"/>
        <s v="tiktok_total_data_usage_past_mo1"/>
        <s v="twitch_total_data_usage_past_mo1"/>
        <s v="youtube_total_data_usage_past_mo1"/>
        <s v="discord_total_data_usage_past_mo1"/>
        <s v="facebook_messenger_total_data_usage_past_mo1"/>
        <s v="line_total_data_usage_past_mo1"/>
        <s v="telegram_total_data_usage_past_mo1"/>
        <s v="viber_total_data_usage_past_mo1"/>
        <s v="wechat_total_data_usage_past_mo1"/>
        <s v="whatsapp_total_data_usage_past_mo1"/>
        <s v="facebook_total_data_usage_past_mo1"/>
        <s v="instagram_total_data_usage_past_mo1"/>
        <s v="linkedin_total_data_usage_past_mo1"/>
        <s v="lyka_total_data_usage_past_mo1"/>
        <s v="snapchat_total_data_usage_past_mo1"/>
        <s v="twitter_total_data_usage_past_mo1"/>
        <s v="google_total_data_usage_past_mo1"/>
        <s v="yahoo_total_data_usage_past_mo1"/>
        <s v="alibaba_affinity_score_past_mo1"/>
        <s v="aliexpress_affinity_score_past_mo1"/>
        <s v="amazon_affinity_score_past_mo1"/>
        <s v="beautymnl_affinity_score_past_mo1"/>
        <s v="carousell_affinity_score_past_mo1"/>
        <s v="discord_affinity_score_past_mo1"/>
        <s v="ebay_affinity_score_past_mo1"/>
        <s v="facebook_affinity_score_past_mo1"/>
        <s v="facebook_messenger_affinity_score_past_mo1"/>
        <s v="google_affinity_score_past_mo1"/>
        <s v="ikea_ph_affinity_score_past_mo1"/>
        <s v="instagram_affinity_score_past_mo1"/>
        <s v="kumu_affinity_score_past_mo1"/>
        <s v="lazada_affinity_score_past_mo1"/>
        <s v="line_affinity_score_past_mo1"/>
        <s v="linkedin_affinity_score_past_mo1"/>
        <s v="lyka_affinity_score_past_mo1"/>
        <s v="mercurydrug_affinity_score_past_mo1"/>
        <s v="olx_affinity_score_past_mo1"/>
        <s v="pickaroo_affinity_score_past_mo1"/>
        <s v="sephora_affinity_score_past_mo1"/>
        <s v="shein_affinity_score_past_mo1"/>
        <s v="shop_sm_affinity_score_past_mo1"/>
        <s v="shopee_affinity_score_past_mo1"/>
        <s v="snapchat_affinity_score_past_mo1"/>
        <s v="telegram_affinity_score_past_mo1"/>
        <s v="tiktok_affinity_score_past_mo1"/>
        <s v="twitch_affinity_score_past_mo1"/>
        <s v="twitter_affinity_score_past_mo1"/>
        <s v="viber_affinity_score_past_mo1"/>
        <s v="watsons_affinity_score_past_mo1"/>
        <s v="wechat_affinity_score_past_mo1"/>
        <s v="whatsapp_affinity_score_past_mo1"/>
        <s v="yahoo_affinity_score_past_mo1"/>
        <s v="youtube_affinity_score_past_mo1"/>
        <s v="zalora_affinity_score_past_mo1"/>
        <m/>
      </sharedItems>
    </cacheField>
    <cacheField name="DATA CATEGORY" numFmtId="0">
      <sharedItems containsBlank="1">
        <s v="Non-PII"/>
        <s v="Customer PII - Masked"/>
        <s v="Behavioral"/>
        <s v="Audience/Persona"/>
        <s v="Profitability"/>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AD_ME" cacheId="0" dataCaption="" compact="0" compactData="0">
  <location ref="A36:B43" firstHeaderRow="0" firstDataRow="1" firstDataCol="0"/>
  <pivotFields>
    <pivotField name="ATTRIBUT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name="DATA CATEGORY" axis="axisRow" dataField="1" compact="0" outline="0" multipleItemSelectionAllowed="1" showAll="0" sortType="ascending">
      <items>
        <item x="5"/>
        <item x="3"/>
        <item x="2"/>
        <item x="1"/>
        <item x="0"/>
        <item x="4"/>
        <item t="default"/>
      </items>
    </pivotField>
  </pivotFields>
  <rowFields>
    <field x="1"/>
  </rowFields>
  <dataFields>
    <dataField name="Attributes Count"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mailto:marie@gmail.com" TargetMode="External"/><Relationship Id="rId3" Type="http://schemas.openxmlformats.org/officeDocument/2006/relationships/drawing" Target="../drawings/drawing12.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yeaurika@gmail.com"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mailto:marie@gmail.com"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mailto:marie@gmail.com"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mailto:marie@gmail.com" TargetMode="External"/><Relationship Id="rId3" Type="http://schemas.openxmlformats.org/officeDocument/2006/relationships/drawing" Target="../drawings/drawing6.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mailto:juandelacruz@gmail.com" TargetMode="External"/><Relationship Id="rId3" Type="http://schemas.openxmlformats.org/officeDocument/2006/relationships/drawing" Target="../drawings/drawing7.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showGridLines="0" workbookViewId="0"/>
  </sheetViews>
  <sheetFormatPr customHeight="1" defaultColWidth="14.43" defaultRowHeight="15.0"/>
  <cols>
    <col customWidth="1" min="1" max="1" width="24.0"/>
    <col customWidth="1" min="2" max="2" width="97.43"/>
    <col customWidth="1" min="3" max="6" width="14.43"/>
  </cols>
  <sheetData>
    <row r="1" ht="15.0" customHeight="1">
      <c r="A1" s="1" t="s">
        <v>0</v>
      </c>
      <c r="B1" s="1" t="s">
        <v>1</v>
      </c>
      <c r="C1" s="2"/>
      <c r="D1" s="2"/>
      <c r="E1" s="2"/>
      <c r="F1" s="2"/>
      <c r="G1" s="2"/>
      <c r="H1" s="2"/>
      <c r="I1" s="2"/>
      <c r="J1" s="2"/>
      <c r="K1" s="2"/>
      <c r="L1" s="2"/>
      <c r="M1" s="2"/>
      <c r="N1" s="2"/>
      <c r="O1" s="2"/>
      <c r="P1" s="2"/>
      <c r="Q1" s="2"/>
      <c r="R1" s="2"/>
      <c r="S1" s="2"/>
      <c r="T1" s="2"/>
      <c r="U1" s="2"/>
      <c r="V1" s="2"/>
    </row>
    <row r="2">
      <c r="A2" s="3" t="s">
        <v>2</v>
      </c>
      <c r="B2" s="3" t="s">
        <v>3</v>
      </c>
      <c r="C2" s="4"/>
      <c r="D2" s="2"/>
      <c r="E2" s="2"/>
      <c r="F2" s="2"/>
      <c r="G2" s="2"/>
      <c r="H2" s="2"/>
      <c r="I2" s="2"/>
      <c r="J2" s="2"/>
      <c r="K2" s="2"/>
      <c r="L2" s="2"/>
      <c r="M2" s="2"/>
      <c r="N2" s="2"/>
      <c r="O2" s="2"/>
      <c r="P2" s="2"/>
      <c r="Q2" s="2"/>
      <c r="R2" s="2"/>
      <c r="S2" s="2"/>
      <c r="T2" s="2"/>
      <c r="U2" s="2"/>
      <c r="V2" s="2"/>
    </row>
    <row r="3">
      <c r="A3" s="3" t="s">
        <v>4</v>
      </c>
      <c r="B3" s="3" t="s">
        <v>5</v>
      </c>
      <c r="C3" s="4"/>
      <c r="D3" s="2"/>
      <c r="E3" s="2"/>
      <c r="F3" s="2"/>
      <c r="G3" s="2"/>
      <c r="H3" s="2"/>
      <c r="I3" s="2"/>
      <c r="J3" s="2"/>
      <c r="K3" s="2"/>
      <c r="L3" s="2"/>
      <c r="M3" s="2"/>
      <c r="N3" s="2"/>
      <c r="O3" s="2"/>
      <c r="P3" s="2"/>
      <c r="Q3" s="2"/>
      <c r="R3" s="2"/>
      <c r="S3" s="2"/>
      <c r="T3" s="2"/>
      <c r="U3" s="2"/>
      <c r="V3" s="2"/>
    </row>
    <row r="4" ht="22.5" hidden="1" customHeight="1">
      <c r="A4" s="5" t="s">
        <v>6</v>
      </c>
      <c r="B4" s="5" t="s">
        <v>7</v>
      </c>
      <c r="C4" s="6"/>
      <c r="D4" s="2"/>
      <c r="E4" s="2"/>
      <c r="F4" s="2"/>
      <c r="G4" s="2"/>
      <c r="H4" s="2"/>
      <c r="I4" s="2"/>
      <c r="J4" s="2"/>
      <c r="K4" s="2"/>
      <c r="L4" s="2"/>
      <c r="M4" s="2"/>
      <c r="N4" s="2"/>
      <c r="O4" s="2"/>
      <c r="P4" s="2"/>
      <c r="Q4" s="2"/>
      <c r="R4" s="2"/>
      <c r="S4" s="2"/>
      <c r="T4" s="2"/>
      <c r="U4" s="2"/>
      <c r="V4" s="2"/>
    </row>
    <row r="5">
      <c r="A5" s="3" t="s">
        <v>8</v>
      </c>
      <c r="B5" s="3" t="s">
        <v>9</v>
      </c>
      <c r="C5" s="4"/>
      <c r="D5" s="2"/>
      <c r="E5" s="2"/>
      <c r="F5" s="2"/>
      <c r="G5" s="2"/>
      <c r="H5" s="2"/>
      <c r="I5" s="2"/>
      <c r="J5" s="2"/>
      <c r="K5" s="2"/>
      <c r="L5" s="2"/>
      <c r="M5" s="2"/>
      <c r="N5" s="2"/>
      <c r="O5" s="2"/>
      <c r="P5" s="2"/>
      <c r="Q5" s="2"/>
      <c r="R5" s="2"/>
      <c r="S5" s="2"/>
      <c r="T5" s="2"/>
      <c r="U5" s="2"/>
      <c r="V5" s="2"/>
    </row>
    <row r="6">
      <c r="A6" s="3" t="s">
        <v>10</v>
      </c>
      <c r="B6" s="3" t="s">
        <v>11</v>
      </c>
      <c r="C6" s="4"/>
      <c r="D6" s="2"/>
      <c r="E6" s="2"/>
      <c r="F6" s="2"/>
      <c r="G6" s="2"/>
      <c r="H6" s="2"/>
      <c r="I6" s="2"/>
      <c r="J6" s="2"/>
      <c r="K6" s="2"/>
      <c r="L6" s="2"/>
      <c r="M6" s="2"/>
      <c r="N6" s="2"/>
      <c r="O6" s="2"/>
      <c r="P6" s="2"/>
      <c r="Q6" s="2"/>
      <c r="R6" s="2"/>
      <c r="S6" s="2"/>
      <c r="T6" s="2"/>
      <c r="U6" s="2"/>
      <c r="V6" s="2"/>
    </row>
    <row r="7">
      <c r="A7" s="3" t="s">
        <v>12</v>
      </c>
      <c r="B7" s="3" t="s">
        <v>13</v>
      </c>
      <c r="C7" s="6"/>
      <c r="D7" s="2"/>
      <c r="E7" s="2"/>
      <c r="F7" s="2"/>
      <c r="G7" s="2"/>
      <c r="H7" s="2"/>
      <c r="I7" s="2"/>
      <c r="J7" s="2"/>
      <c r="K7" s="2"/>
      <c r="L7" s="2"/>
      <c r="M7" s="2"/>
      <c r="N7" s="2"/>
      <c r="O7" s="2"/>
      <c r="P7" s="2"/>
      <c r="Q7" s="2"/>
      <c r="R7" s="2"/>
      <c r="S7" s="2"/>
      <c r="T7" s="2"/>
      <c r="U7" s="2"/>
      <c r="V7" s="2"/>
    </row>
    <row r="8">
      <c r="A8" s="5" t="s">
        <v>14</v>
      </c>
      <c r="B8" s="3" t="s">
        <v>15</v>
      </c>
      <c r="C8" s="4"/>
      <c r="D8" s="2"/>
      <c r="E8" s="2"/>
      <c r="F8" s="2"/>
      <c r="G8" s="2"/>
      <c r="H8" s="2"/>
      <c r="I8" s="2"/>
      <c r="J8" s="2"/>
      <c r="K8" s="2"/>
      <c r="L8" s="2"/>
      <c r="M8" s="2"/>
      <c r="N8" s="2"/>
      <c r="O8" s="2"/>
      <c r="P8" s="2"/>
      <c r="Q8" s="2"/>
      <c r="R8" s="2"/>
      <c r="S8" s="2"/>
      <c r="T8" s="2"/>
      <c r="U8" s="2"/>
      <c r="V8" s="2"/>
    </row>
    <row r="9">
      <c r="A9" s="5" t="s">
        <v>16</v>
      </c>
      <c r="B9" s="3" t="s">
        <v>17</v>
      </c>
      <c r="C9" s="4"/>
      <c r="D9" s="2"/>
      <c r="E9" s="2"/>
      <c r="F9" s="2"/>
      <c r="G9" s="2"/>
      <c r="H9" s="2"/>
      <c r="I9" s="2"/>
      <c r="J9" s="2"/>
      <c r="K9" s="2"/>
      <c r="L9" s="2"/>
      <c r="M9" s="2"/>
      <c r="N9" s="2"/>
      <c r="O9" s="2"/>
      <c r="P9" s="2"/>
      <c r="Q9" s="2"/>
      <c r="R9" s="2"/>
      <c r="S9" s="2"/>
      <c r="T9" s="2"/>
      <c r="U9" s="2"/>
      <c r="V9" s="2"/>
    </row>
    <row r="10">
      <c r="A10" s="5" t="s">
        <v>18</v>
      </c>
      <c r="B10" s="3" t="s">
        <v>19</v>
      </c>
      <c r="C10" s="4"/>
      <c r="D10" s="2"/>
      <c r="E10" s="2"/>
      <c r="F10" s="2"/>
      <c r="G10" s="2"/>
      <c r="H10" s="2"/>
      <c r="I10" s="2"/>
      <c r="J10" s="2"/>
      <c r="K10" s="2"/>
      <c r="L10" s="2"/>
      <c r="M10" s="2"/>
      <c r="N10" s="2"/>
      <c r="O10" s="2"/>
      <c r="P10" s="2"/>
      <c r="Q10" s="2"/>
      <c r="R10" s="2"/>
      <c r="S10" s="2"/>
      <c r="T10" s="2"/>
      <c r="U10" s="2"/>
      <c r="V10" s="2"/>
    </row>
    <row r="11">
      <c r="A11" s="5" t="s">
        <v>20</v>
      </c>
      <c r="B11" s="3" t="s">
        <v>21</v>
      </c>
      <c r="C11" s="6"/>
      <c r="D11" s="2"/>
      <c r="E11" s="2"/>
      <c r="F11" s="2"/>
      <c r="G11" s="2"/>
      <c r="H11" s="2"/>
      <c r="I11" s="2"/>
      <c r="J11" s="2"/>
      <c r="K11" s="2"/>
      <c r="L11" s="2"/>
      <c r="M11" s="2"/>
      <c r="N11" s="2"/>
      <c r="O11" s="2"/>
      <c r="P11" s="2"/>
      <c r="Q11" s="2"/>
      <c r="R11" s="2"/>
      <c r="S11" s="2"/>
      <c r="T11" s="2"/>
      <c r="U11" s="2"/>
      <c r="V11" s="2"/>
    </row>
    <row r="12" hidden="1">
      <c r="A12" s="5" t="s">
        <v>22</v>
      </c>
      <c r="B12" s="5" t="s">
        <v>23</v>
      </c>
      <c r="C12" s="4"/>
      <c r="D12" s="2"/>
      <c r="E12" s="2"/>
      <c r="F12" s="2"/>
      <c r="G12" s="2"/>
      <c r="H12" s="2"/>
      <c r="I12" s="2"/>
      <c r="J12" s="2"/>
      <c r="K12" s="2"/>
      <c r="L12" s="2"/>
      <c r="M12" s="2"/>
      <c r="N12" s="2"/>
      <c r="O12" s="2"/>
      <c r="P12" s="2"/>
      <c r="Q12" s="2"/>
      <c r="R12" s="2"/>
      <c r="S12" s="2"/>
      <c r="T12" s="2"/>
      <c r="U12" s="2"/>
      <c r="V12" s="2"/>
    </row>
    <row r="13" hidden="1">
      <c r="A13" s="5" t="s">
        <v>24</v>
      </c>
      <c r="B13" s="5" t="s">
        <v>25</v>
      </c>
      <c r="C13" s="4"/>
      <c r="D13" s="2"/>
      <c r="E13" s="2"/>
      <c r="F13" s="2"/>
      <c r="G13" s="2"/>
      <c r="H13" s="2"/>
      <c r="I13" s="2"/>
      <c r="J13" s="2"/>
      <c r="K13" s="2"/>
      <c r="L13" s="2"/>
      <c r="M13" s="2"/>
      <c r="N13" s="2"/>
      <c r="O13" s="2"/>
      <c r="P13" s="2"/>
      <c r="Q13" s="2"/>
      <c r="R13" s="2"/>
      <c r="S13" s="2"/>
      <c r="T13" s="2"/>
      <c r="U13" s="2"/>
      <c r="V13" s="2"/>
    </row>
    <row r="14">
      <c r="A14" s="5" t="s">
        <v>26</v>
      </c>
      <c r="B14" s="5" t="s">
        <v>27</v>
      </c>
      <c r="C14" s="7"/>
      <c r="D14" s="2"/>
      <c r="E14" s="2"/>
      <c r="F14" s="2"/>
      <c r="G14" s="2"/>
      <c r="H14" s="2"/>
      <c r="I14" s="2"/>
      <c r="J14" s="2"/>
      <c r="K14" s="2"/>
      <c r="L14" s="2"/>
      <c r="M14" s="2"/>
      <c r="N14" s="2"/>
      <c r="O14" s="2"/>
      <c r="P14" s="2"/>
      <c r="Q14" s="2"/>
      <c r="R14" s="2"/>
      <c r="S14" s="2"/>
      <c r="T14" s="2"/>
      <c r="U14" s="2"/>
      <c r="V14" s="2"/>
    </row>
    <row r="15">
      <c r="A15" s="3" t="s">
        <v>28</v>
      </c>
      <c r="B15" s="5" t="s">
        <v>29</v>
      </c>
      <c r="C15" s="4"/>
      <c r="D15" s="2"/>
      <c r="E15" s="2"/>
      <c r="F15" s="2"/>
      <c r="G15" s="2"/>
      <c r="H15" s="2"/>
      <c r="I15" s="2"/>
      <c r="J15" s="2"/>
      <c r="K15" s="2"/>
      <c r="L15" s="2"/>
      <c r="M15" s="2"/>
      <c r="N15" s="2"/>
      <c r="O15" s="2"/>
      <c r="P15" s="2"/>
      <c r="Q15" s="2"/>
      <c r="R15" s="2"/>
      <c r="S15" s="2"/>
      <c r="T15" s="2"/>
      <c r="U15" s="2"/>
      <c r="V15" s="2"/>
    </row>
    <row r="16" hidden="1">
      <c r="A16" s="5" t="s">
        <v>30</v>
      </c>
      <c r="B16" s="5" t="s">
        <v>31</v>
      </c>
      <c r="C16" s="4"/>
      <c r="D16" s="2"/>
      <c r="E16" s="2"/>
      <c r="F16" s="2"/>
      <c r="G16" s="2"/>
      <c r="H16" s="2"/>
      <c r="I16" s="2"/>
      <c r="J16" s="2"/>
      <c r="K16" s="2"/>
      <c r="L16" s="2"/>
      <c r="M16" s="2"/>
      <c r="N16" s="2"/>
      <c r="O16" s="2"/>
      <c r="P16" s="2"/>
      <c r="Q16" s="2"/>
      <c r="R16" s="2"/>
      <c r="S16" s="2"/>
      <c r="T16" s="2"/>
      <c r="U16" s="2"/>
      <c r="V16" s="2"/>
    </row>
    <row r="17">
      <c r="A17" s="5" t="s">
        <v>32</v>
      </c>
      <c r="B17" s="3" t="s">
        <v>33</v>
      </c>
      <c r="C17" s="4"/>
      <c r="D17" s="2"/>
      <c r="E17" s="2"/>
      <c r="F17" s="2"/>
      <c r="G17" s="2"/>
      <c r="H17" s="2"/>
      <c r="I17" s="2"/>
      <c r="J17" s="2"/>
      <c r="K17" s="2"/>
      <c r="L17" s="2"/>
      <c r="M17" s="2"/>
      <c r="N17" s="2"/>
      <c r="O17" s="2"/>
      <c r="P17" s="2"/>
      <c r="Q17" s="2"/>
      <c r="R17" s="2"/>
      <c r="S17" s="2"/>
      <c r="T17" s="2"/>
      <c r="U17" s="2"/>
      <c r="V17" s="2"/>
    </row>
    <row r="18">
      <c r="A18" s="3" t="s">
        <v>34</v>
      </c>
      <c r="B18" s="3" t="s">
        <v>35</v>
      </c>
      <c r="C18" s="7"/>
      <c r="D18" s="2"/>
      <c r="E18" s="2"/>
      <c r="F18" s="2"/>
      <c r="G18" s="2"/>
      <c r="H18" s="2"/>
      <c r="I18" s="2"/>
      <c r="J18" s="2"/>
      <c r="K18" s="2"/>
      <c r="L18" s="2"/>
      <c r="M18" s="2"/>
      <c r="N18" s="2"/>
      <c r="O18" s="2"/>
      <c r="P18" s="2"/>
      <c r="Q18" s="2"/>
      <c r="R18" s="2"/>
      <c r="S18" s="2"/>
      <c r="T18" s="2"/>
      <c r="U18" s="2"/>
      <c r="V18" s="2"/>
    </row>
    <row r="19">
      <c r="A19" s="3" t="s">
        <v>36</v>
      </c>
      <c r="B19" s="8" t="s">
        <v>37</v>
      </c>
      <c r="C19" s="7"/>
      <c r="D19" s="2"/>
      <c r="E19" s="2"/>
      <c r="F19" s="2"/>
      <c r="G19" s="2"/>
      <c r="H19" s="2"/>
      <c r="I19" s="2"/>
      <c r="J19" s="2"/>
      <c r="K19" s="2"/>
      <c r="L19" s="2"/>
      <c r="M19" s="2"/>
      <c r="N19" s="2"/>
      <c r="O19" s="2"/>
      <c r="P19" s="2"/>
      <c r="Q19" s="2"/>
      <c r="R19" s="2"/>
      <c r="S19" s="2"/>
      <c r="T19" s="2"/>
      <c r="U19" s="2"/>
      <c r="V19" s="2"/>
    </row>
    <row r="20">
      <c r="A20" s="3" t="s">
        <v>38</v>
      </c>
      <c r="B20" s="3" t="s">
        <v>39</v>
      </c>
      <c r="C20" s="7"/>
      <c r="D20" s="2"/>
      <c r="E20" s="2"/>
      <c r="F20" s="2"/>
      <c r="G20" s="2"/>
      <c r="H20" s="2"/>
      <c r="I20" s="2"/>
      <c r="J20" s="2"/>
      <c r="K20" s="2"/>
      <c r="L20" s="2"/>
      <c r="M20" s="2"/>
      <c r="N20" s="2"/>
      <c r="O20" s="2"/>
      <c r="P20" s="2"/>
      <c r="Q20" s="2"/>
      <c r="R20" s="2"/>
      <c r="S20" s="2"/>
      <c r="T20" s="2"/>
      <c r="U20" s="2"/>
      <c r="V20" s="2"/>
    </row>
    <row r="21">
      <c r="A21" s="3" t="s">
        <v>40</v>
      </c>
      <c r="B21" s="3" t="s">
        <v>41</v>
      </c>
      <c r="C21" s="7"/>
      <c r="D21" s="2"/>
      <c r="E21" s="2"/>
      <c r="F21" s="2"/>
      <c r="G21" s="2"/>
      <c r="H21" s="2"/>
      <c r="I21" s="2"/>
      <c r="J21" s="2"/>
      <c r="K21" s="2"/>
      <c r="L21" s="2"/>
      <c r="M21" s="2"/>
      <c r="N21" s="2"/>
      <c r="O21" s="2"/>
      <c r="P21" s="2"/>
      <c r="Q21" s="2"/>
      <c r="R21" s="2"/>
      <c r="S21" s="2"/>
      <c r="T21" s="2"/>
      <c r="U21" s="2"/>
      <c r="V21" s="2"/>
    </row>
    <row r="22">
      <c r="A22" s="5" t="s">
        <v>42</v>
      </c>
      <c r="B22" s="5" t="s">
        <v>43</v>
      </c>
      <c r="C22" s="7"/>
      <c r="D22" s="2"/>
      <c r="E22" s="2"/>
      <c r="F22" s="2"/>
      <c r="G22" s="2"/>
      <c r="H22" s="2"/>
      <c r="I22" s="2"/>
      <c r="J22" s="2"/>
      <c r="K22" s="2"/>
      <c r="L22" s="2"/>
      <c r="M22" s="2"/>
      <c r="N22" s="2"/>
      <c r="O22" s="2"/>
      <c r="P22" s="2"/>
      <c r="Q22" s="2"/>
      <c r="R22" s="2"/>
      <c r="S22" s="2"/>
      <c r="T22" s="2"/>
      <c r="U22" s="2"/>
      <c r="V22" s="2"/>
    </row>
    <row r="23" ht="15.0" customHeight="1">
      <c r="A23" s="2"/>
      <c r="B23" s="2"/>
      <c r="C23" s="4"/>
      <c r="D23" s="2"/>
      <c r="E23" s="2"/>
      <c r="F23" s="2"/>
      <c r="G23" s="2"/>
      <c r="H23" s="2"/>
      <c r="I23" s="2"/>
      <c r="J23" s="2"/>
      <c r="K23" s="2"/>
      <c r="L23" s="2"/>
      <c r="M23" s="2"/>
      <c r="N23" s="2"/>
      <c r="O23" s="2"/>
      <c r="P23" s="2"/>
      <c r="Q23" s="2"/>
      <c r="R23" s="2"/>
      <c r="S23" s="2"/>
      <c r="T23" s="2"/>
      <c r="U23" s="2"/>
      <c r="V23" s="2"/>
    </row>
    <row r="24" ht="15.0" customHeight="1">
      <c r="A24" s="9" t="s">
        <v>4</v>
      </c>
      <c r="B24" s="10" t="s">
        <v>8</v>
      </c>
      <c r="C24" s="4"/>
      <c r="D24" s="2"/>
      <c r="E24" s="2"/>
      <c r="F24" s="2"/>
      <c r="G24" s="2"/>
      <c r="H24" s="2"/>
      <c r="I24" s="2"/>
      <c r="J24" s="2"/>
      <c r="K24" s="2"/>
      <c r="L24" s="2"/>
      <c r="M24" s="2"/>
      <c r="N24" s="2"/>
      <c r="O24" s="2"/>
      <c r="P24" s="2"/>
      <c r="Q24" s="2"/>
      <c r="R24" s="2"/>
      <c r="S24" s="2"/>
      <c r="T24" s="2"/>
      <c r="U24" s="2"/>
      <c r="V24" s="2"/>
    </row>
    <row r="25" ht="29.25" customHeight="1">
      <c r="A25" s="11" t="s">
        <v>44</v>
      </c>
      <c r="B25" s="12" t="s">
        <v>45</v>
      </c>
      <c r="C25" s="4"/>
      <c r="D25" s="2"/>
      <c r="E25" s="2"/>
      <c r="F25" s="2"/>
      <c r="G25" s="2"/>
      <c r="H25" s="2"/>
      <c r="I25" s="2"/>
      <c r="J25" s="2"/>
      <c r="K25" s="2"/>
      <c r="L25" s="2"/>
      <c r="M25" s="2"/>
      <c r="N25" s="2"/>
      <c r="O25" s="2"/>
      <c r="P25" s="2"/>
      <c r="Q25" s="2"/>
      <c r="R25" s="2"/>
      <c r="S25" s="2"/>
      <c r="T25" s="2"/>
      <c r="U25" s="2"/>
      <c r="V25" s="2"/>
    </row>
    <row r="26" ht="15.0" customHeight="1">
      <c r="A26" s="11" t="s">
        <v>46</v>
      </c>
      <c r="B26" s="12" t="s">
        <v>47</v>
      </c>
      <c r="C26" s="4"/>
      <c r="D26" s="2"/>
      <c r="E26" s="2"/>
      <c r="F26" s="2"/>
      <c r="G26" s="2"/>
      <c r="H26" s="2"/>
      <c r="I26" s="2"/>
      <c r="J26" s="2"/>
      <c r="K26" s="2"/>
      <c r="L26" s="2"/>
      <c r="M26" s="2"/>
      <c r="N26" s="2"/>
      <c r="O26" s="2"/>
      <c r="P26" s="2"/>
      <c r="Q26" s="2"/>
      <c r="R26" s="2"/>
      <c r="S26" s="2"/>
      <c r="T26" s="2"/>
      <c r="U26" s="2"/>
      <c r="V26" s="2"/>
    </row>
    <row r="27" ht="15.0" customHeight="1">
      <c r="A27" s="11" t="s">
        <v>48</v>
      </c>
      <c r="B27" s="12" t="s">
        <v>49</v>
      </c>
      <c r="C27" s="4"/>
      <c r="D27" s="2"/>
      <c r="E27" s="2"/>
      <c r="F27" s="2"/>
      <c r="G27" s="2"/>
      <c r="H27" s="2"/>
      <c r="I27" s="2"/>
      <c r="J27" s="2"/>
      <c r="K27" s="2"/>
      <c r="L27" s="2"/>
      <c r="M27" s="2"/>
      <c r="N27" s="2"/>
      <c r="O27" s="2"/>
      <c r="P27" s="2"/>
      <c r="Q27" s="2"/>
      <c r="R27" s="2"/>
      <c r="S27" s="2"/>
      <c r="T27" s="2"/>
      <c r="U27" s="2"/>
      <c r="V27" s="2"/>
    </row>
    <row r="28" ht="15.0" customHeight="1">
      <c r="A28" s="11" t="s">
        <v>50</v>
      </c>
      <c r="B28" s="12" t="s">
        <v>51</v>
      </c>
      <c r="C28" s="4"/>
      <c r="D28" s="2"/>
      <c r="E28" s="2"/>
      <c r="F28" s="2"/>
      <c r="G28" s="2"/>
      <c r="H28" s="2"/>
      <c r="I28" s="2"/>
      <c r="J28" s="2"/>
      <c r="K28" s="2"/>
      <c r="L28" s="2"/>
      <c r="M28" s="2"/>
      <c r="N28" s="2"/>
      <c r="O28" s="2"/>
      <c r="P28" s="2"/>
      <c r="Q28" s="2"/>
      <c r="R28" s="2"/>
      <c r="S28" s="2"/>
      <c r="T28" s="2"/>
      <c r="U28" s="2"/>
      <c r="V28" s="2"/>
    </row>
    <row r="29" ht="15.0" customHeight="1">
      <c r="A29" s="11" t="s">
        <v>52</v>
      </c>
      <c r="B29" s="12" t="s">
        <v>53</v>
      </c>
      <c r="C29" s="4"/>
      <c r="D29" s="2"/>
      <c r="E29" s="2"/>
      <c r="F29" s="2"/>
      <c r="G29" s="2"/>
      <c r="H29" s="2"/>
      <c r="I29" s="2"/>
      <c r="J29" s="2"/>
      <c r="K29" s="2"/>
      <c r="L29" s="2"/>
      <c r="M29" s="2"/>
      <c r="N29" s="2"/>
      <c r="O29" s="2"/>
      <c r="P29" s="2"/>
      <c r="Q29" s="2"/>
      <c r="R29" s="2"/>
      <c r="S29" s="2"/>
      <c r="T29" s="2"/>
      <c r="U29" s="2"/>
      <c r="V29" s="2"/>
    </row>
    <row r="30" ht="15.0" customHeight="1">
      <c r="A30" s="11" t="s">
        <v>54</v>
      </c>
      <c r="B30" s="12" t="s">
        <v>55</v>
      </c>
      <c r="C30" s="4"/>
      <c r="D30" s="2"/>
      <c r="E30" s="2"/>
      <c r="F30" s="2"/>
      <c r="G30" s="2"/>
      <c r="H30" s="2"/>
      <c r="I30" s="2"/>
      <c r="J30" s="2"/>
      <c r="K30" s="2"/>
      <c r="L30" s="2"/>
      <c r="M30" s="2"/>
      <c r="N30" s="2"/>
      <c r="O30" s="2"/>
      <c r="P30" s="2"/>
      <c r="Q30" s="2"/>
      <c r="R30" s="2"/>
      <c r="S30" s="2"/>
      <c r="T30" s="2"/>
      <c r="U30" s="2"/>
      <c r="V30" s="2"/>
    </row>
    <row r="31" ht="15.0" customHeight="1">
      <c r="A31" s="11" t="s">
        <v>56</v>
      </c>
      <c r="B31" s="12" t="s">
        <v>57</v>
      </c>
      <c r="C31" s="4"/>
      <c r="D31" s="2"/>
      <c r="E31" s="2"/>
      <c r="F31" s="2"/>
      <c r="G31" s="2"/>
      <c r="H31" s="2"/>
      <c r="I31" s="2"/>
      <c r="J31" s="2"/>
      <c r="K31" s="2"/>
      <c r="L31" s="2"/>
      <c r="M31" s="2"/>
      <c r="N31" s="2"/>
      <c r="O31" s="2"/>
      <c r="P31" s="2"/>
      <c r="Q31" s="2"/>
      <c r="R31" s="2"/>
      <c r="S31" s="2"/>
      <c r="T31" s="2"/>
      <c r="U31" s="2"/>
      <c r="V31" s="2"/>
    </row>
    <row r="32" ht="15.0" customHeight="1">
      <c r="A32" s="11" t="s">
        <v>58</v>
      </c>
      <c r="B32" s="12" t="s">
        <v>59</v>
      </c>
      <c r="C32" s="4"/>
      <c r="D32" s="2"/>
      <c r="E32" s="2"/>
      <c r="F32" s="2"/>
      <c r="G32" s="2"/>
      <c r="H32" s="2"/>
      <c r="I32" s="2"/>
      <c r="J32" s="2"/>
      <c r="K32" s="2"/>
      <c r="L32" s="2"/>
      <c r="M32" s="2"/>
      <c r="N32" s="2"/>
      <c r="O32" s="2"/>
      <c r="P32" s="2"/>
      <c r="Q32" s="2"/>
      <c r="R32" s="2"/>
      <c r="S32" s="2"/>
      <c r="T32" s="2"/>
      <c r="U32" s="2"/>
      <c r="V32" s="2"/>
    </row>
    <row r="33" ht="15.0" customHeight="1">
      <c r="A33" s="13" t="s">
        <v>60</v>
      </c>
      <c r="B33" s="14" t="s">
        <v>61</v>
      </c>
      <c r="C33" s="4"/>
      <c r="D33" s="2"/>
      <c r="E33" s="2"/>
      <c r="F33" s="2"/>
      <c r="G33" s="2"/>
      <c r="H33" s="2"/>
      <c r="I33" s="2"/>
      <c r="J33" s="2"/>
      <c r="K33" s="2"/>
      <c r="L33" s="2"/>
      <c r="M33" s="2"/>
      <c r="N33" s="2"/>
      <c r="O33" s="2"/>
      <c r="P33" s="2"/>
      <c r="Q33" s="2"/>
      <c r="R33" s="2"/>
      <c r="S33" s="2"/>
      <c r="T33" s="2"/>
      <c r="U33" s="2"/>
      <c r="V33" s="2"/>
    </row>
    <row r="34" ht="15.0" customHeight="1">
      <c r="A34" s="2"/>
      <c r="B34" s="2"/>
      <c r="C34" s="4"/>
      <c r="D34" s="2"/>
      <c r="E34" s="2"/>
      <c r="F34" s="2"/>
      <c r="G34" s="2"/>
      <c r="H34" s="2"/>
      <c r="I34" s="2"/>
      <c r="J34" s="2"/>
      <c r="K34" s="2"/>
      <c r="L34" s="2"/>
      <c r="M34" s="2"/>
      <c r="N34" s="2"/>
      <c r="O34" s="2"/>
      <c r="P34" s="2"/>
      <c r="Q34" s="2"/>
      <c r="R34" s="2"/>
      <c r="S34" s="2"/>
      <c r="T34" s="2"/>
      <c r="U34" s="2"/>
      <c r="V34" s="2"/>
    </row>
    <row r="35" ht="15.75" customHeight="1">
      <c r="A35" s="15" t="s">
        <v>62</v>
      </c>
      <c r="B35" s="2"/>
      <c r="C35" s="2"/>
      <c r="D35" s="2"/>
      <c r="E35" s="2"/>
      <c r="F35" s="2"/>
      <c r="G35" s="2"/>
      <c r="H35" s="2"/>
      <c r="I35" s="2"/>
      <c r="J35" s="2"/>
      <c r="K35" s="2"/>
      <c r="L35" s="2"/>
      <c r="M35" s="2"/>
      <c r="N35" s="2"/>
      <c r="O35" s="2"/>
      <c r="P35" s="2"/>
      <c r="Q35" s="2"/>
      <c r="R35" s="2"/>
      <c r="S35" s="2"/>
      <c r="T35" s="2"/>
      <c r="U35" s="2"/>
      <c r="V35" s="2"/>
    </row>
    <row r="36" ht="15.75" customHeight="1">
      <c r="C36" s="2"/>
      <c r="D36" s="2"/>
      <c r="E36" s="2"/>
      <c r="F36" s="2"/>
      <c r="G36" s="2"/>
      <c r="H36" s="2"/>
      <c r="I36" s="2"/>
      <c r="J36" s="2"/>
      <c r="K36" s="2"/>
      <c r="L36" s="2"/>
      <c r="M36" s="2"/>
      <c r="N36" s="2"/>
      <c r="O36" s="2"/>
      <c r="P36" s="2"/>
      <c r="Q36" s="2"/>
      <c r="R36" s="2"/>
      <c r="S36" s="2"/>
      <c r="T36" s="2"/>
      <c r="U36" s="2"/>
      <c r="V36" s="2"/>
    </row>
    <row r="37" ht="15.75" customHeight="1">
      <c r="C37" s="2"/>
      <c r="D37" s="2"/>
      <c r="E37" s="2"/>
      <c r="F37" s="2"/>
      <c r="G37" s="2"/>
      <c r="H37" s="2"/>
      <c r="I37" s="2"/>
      <c r="J37" s="2"/>
      <c r="K37" s="2"/>
      <c r="L37" s="2"/>
      <c r="M37" s="2"/>
      <c r="N37" s="2"/>
      <c r="O37" s="2"/>
      <c r="P37" s="2"/>
      <c r="Q37" s="2"/>
      <c r="R37" s="2"/>
      <c r="S37" s="2"/>
      <c r="T37" s="2"/>
      <c r="U37" s="2"/>
      <c r="V37" s="2"/>
    </row>
    <row r="38" ht="15.75" customHeight="1">
      <c r="C38" s="2"/>
      <c r="D38" s="2"/>
      <c r="E38" s="2"/>
      <c r="F38" s="2"/>
      <c r="G38" s="2"/>
      <c r="H38" s="2"/>
      <c r="I38" s="2"/>
      <c r="J38" s="2"/>
      <c r="K38" s="2"/>
      <c r="L38" s="2"/>
      <c r="M38" s="2"/>
      <c r="N38" s="2"/>
      <c r="O38" s="2"/>
      <c r="P38" s="2"/>
      <c r="Q38" s="2"/>
      <c r="R38" s="2"/>
      <c r="S38" s="2"/>
      <c r="T38" s="2"/>
      <c r="U38" s="2"/>
      <c r="V38" s="2"/>
    </row>
    <row r="39" ht="15.75" customHeight="1">
      <c r="C39" s="2"/>
      <c r="D39" s="2"/>
      <c r="E39" s="2"/>
      <c r="F39" s="2"/>
      <c r="G39" s="2"/>
      <c r="H39" s="2"/>
      <c r="I39" s="2"/>
      <c r="J39" s="2"/>
      <c r="K39" s="2"/>
      <c r="L39" s="2"/>
      <c r="M39" s="2"/>
      <c r="N39" s="2"/>
      <c r="O39" s="2"/>
      <c r="P39" s="2"/>
      <c r="Q39" s="2"/>
      <c r="R39" s="2"/>
      <c r="S39" s="2"/>
      <c r="T39" s="2"/>
      <c r="U39" s="2"/>
      <c r="V39" s="2"/>
    </row>
    <row r="40" ht="15.75" customHeight="1">
      <c r="C40" s="2"/>
      <c r="D40" s="2"/>
      <c r="E40" s="2"/>
      <c r="F40" s="2"/>
      <c r="G40" s="2"/>
      <c r="H40" s="2"/>
      <c r="I40" s="2"/>
      <c r="J40" s="2"/>
      <c r="K40" s="2"/>
      <c r="L40" s="2"/>
      <c r="M40" s="2"/>
      <c r="N40" s="2"/>
      <c r="O40" s="2"/>
      <c r="P40" s="2"/>
      <c r="Q40" s="2"/>
      <c r="R40" s="2"/>
      <c r="S40" s="2"/>
      <c r="T40" s="2"/>
      <c r="U40" s="2"/>
      <c r="V40" s="2"/>
    </row>
    <row r="41" ht="15.75" customHeight="1">
      <c r="C41" s="2"/>
      <c r="D41" s="2"/>
      <c r="E41" s="2"/>
      <c r="F41" s="2"/>
      <c r="G41" s="2"/>
      <c r="H41" s="2"/>
      <c r="I41" s="2"/>
      <c r="J41" s="2"/>
      <c r="K41" s="2"/>
      <c r="L41" s="2"/>
      <c r="M41" s="2"/>
      <c r="N41" s="2"/>
      <c r="O41" s="2"/>
      <c r="P41" s="2"/>
      <c r="Q41" s="2"/>
      <c r="R41" s="2"/>
      <c r="S41" s="2"/>
      <c r="T41" s="2"/>
      <c r="U41" s="2"/>
      <c r="V41" s="2"/>
    </row>
    <row r="42" ht="15.75" customHeight="1">
      <c r="C42" s="2"/>
      <c r="D42" s="2"/>
      <c r="E42" s="2"/>
      <c r="F42" s="2"/>
      <c r="G42" s="2"/>
      <c r="H42" s="2"/>
      <c r="I42" s="2"/>
      <c r="J42" s="2"/>
      <c r="K42" s="2"/>
      <c r="L42" s="2"/>
      <c r="M42" s="2"/>
      <c r="N42" s="2"/>
      <c r="O42" s="2"/>
      <c r="P42" s="2"/>
      <c r="Q42" s="2"/>
      <c r="R42" s="2"/>
      <c r="S42" s="2"/>
      <c r="T42" s="2"/>
      <c r="U42" s="2"/>
      <c r="V42" s="2"/>
    </row>
    <row r="43" ht="15.75" customHeight="1">
      <c r="C43" s="2"/>
      <c r="D43" s="2"/>
      <c r="E43" s="2"/>
      <c r="F43" s="2"/>
      <c r="G43" s="2"/>
      <c r="H43" s="2"/>
      <c r="I43" s="2"/>
      <c r="J43" s="2"/>
      <c r="K43" s="2"/>
      <c r="L43" s="2"/>
      <c r="M43" s="2"/>
      <c r="N43" s="2"/>
      <c r="O43" s="2"/>
      <c r="P43" s="2"/>
      <c r="Q43" s="2"/>
      <c r="R43" s="2"/>
      <c r="S43" s="2"/>
      <c r="T43" s="2"/>
      <c r="U43" s="2"/>
      <c r="V43" s="2"/>
    </row>
    <row r="44" ht="15.75" customHeight="1">
      <c r="A44" s="2"/>
      <c r="B44" s="2"/>
      <c r="C44" s="2"/>
      <c r="D44" s="2"/>
      <c r="E44" s="2"/>
      <c r="F44" s="2"/>
      <c r="G44" s="2"/>
      <c r="H44" s="2"/>
      <c r="I44" s="2"/>
      <c r="J44" s="2"/>
      <c r="K44" s="2"/>
      <c r="L44" s="2"/>
      <c r="M44" s="2"/>
      <c r="N44" s="2"/>
      <c r="O44" s="2"/>
      <c r="P44" s="2"/>
      <c r="Q44" s="2"/>
      <c r="R44" s="2"/>
      <c r="S44" s="2"/>
      <c r="T44" s="2"/>
      <c r="U44" s="2"/>
      <c r="V44" s="2"/>
    </row>
    <row r="45" ht="15.75" customHeight="1">
      <c r="A45" s="2"/>
      <c r="B45" s="2"/>
      <c r="C45" s="2"/>
      <c r="D45" s="2"/>
      <c r="E45" s="2"/>
      <c r="F45" s="2"/>
      <c r="G45" s="2"/>
      <c r="H45" s="2"/>
      <c r="I45" s="2"/>
      <c r="J45" s="2"/>
      <c r="K45" s="2"/>
      <c r="L45" s="2"/>
      <c r="M45" s="2"/>
      <c r="N45" s="2"/>
      <c r="O45" s="2"/>
      <c r="P45" s="2"/>
      <c r="Q45" s="2"/>
      <c r="R45" s="2"/>
      <c r="S45" s="2"/>
      <c r="T45" s="2"/>
      <c r="U45" s="2"/>
      <c r="V45" s="2"/>
    </row>
    <row r="46" ht="15.75" customHeight="1">
      <c r="A46" s="2"/>
      <c r="B46" s="2"/>
      <c r="C46" s="2"/>
      <c r="D46" s="2"/>
      <c r="E46" s="2"/>
      <c r="F46" s="2"/>
      <c r="G46" s="2"/>
      <c r="H46" s="2"/>
      <c r="I46" s="2"/>
      <c r="J46" s="2"/>
      <c r="K46" s="2"/>
      <c r="L46" s="2"/>
      <c r="M46" s="2"/>
      <c r="N46" s="2"/>
      <c r="O46" s="2"/>
      <c r="P46" s="2"/>
      <c r="Q46" s="2"/>
      <c r="R46" s="2"/>
      <c r="S46" s="2"/>
      <c r="T46" s="2"/>
      <c r="U46" s="2"/>
      <c r="V46" s="2"/>
    </row>
    <row r="47" ht="15.75" customHeight="1">
      <c r="A47" s="2"/>
      <c r="B47" s="2"/>
      <c r="C47" s="2"/>
      <c r="D47" s="2"/>
      <c r="E47" s="2"/>
      <c r="F47" s="2"/>
      <c r="G47" s="2"/>
      <c r="H47" s="2"/>
      <c r="I47" s="2"/>
      <c r="J47" s="2"/>
      <c r="K47" s="2"/>
      <c r="L47" s="2"/>
      <c r="M47" s="2"/>
      <c r="N47" s="2"/>
      <c r="O47" s="2"/>
      <c r="P47" s="2"/>
      <c r="Q47" s="2"/>
      <c r="R47" s="2"/>
      <c r="S47" s="2"/>
      <c r="T47" s="2"/>
      <c r="U47" s="2"/>
      <c r="V47" s="2"/>
    </row>
    <row r="48" ht="15.75" customHeight="1">
      <c r="A48" s="2"/>
      <c r="B48" s="2"/>
      <c r="C48" s="2"/>
      <c r="D48" s="2"/>
      <c r="E48" s="2"/>
      <c r="F48" s="2"/>
      <c r="G48" s="2"/>
      <c r="H48" s="2"/>
      <c r="I48" s="2"/>
      <c r="J48" s="2"/>
      <c r="K48" s="2"/>
      <c r="L48" s="2"/>
      <c r="M48" s="2"/>
      <c r="N48" s="2"/>
      <c r="O48" s="2"/>
      <c r="P48" s="2"/>
      <c r="Q48" s="2"/>
      <c r="R48" s="2"/>
      <c r="S48" s="2"/>
      <c r="T48" s="2"/>
      <c r="U48" s="2"/>
      <c r="V48" s="2"/>
    </row>
    <row r="49" ht="15.75" customHeight="1">
      <c r="A49" s="2"/>
      <c r="B49" s="2"/>
      <c r="C49" s="2"/>
      <c r="D49" s="2"/>
      <c r="E49" s="2"/>
      <c r="F49" s="2"/>
      <c r="G49" s="2"/>
      <c r="H49" s="2"/>
      <c r="I49" s="2"/>
      <c r="J49" s="2"/>
      <c r="K49" s="2"/>
      <c r="L49" s="2"/>
      <c r="M49" s="2"/>
      <c r="N49" s="2"/>
      <c r="O49" s="2"/>
      <c r="P49" s="2"/>
      <c r="Q49" s="2"/>
      <c r="R49" s="2"/>
      <c r="S49" s="2"/>
      <c r="T49" s="2"/>
      <c r="U49" s="2"/>
      <c r="V49" s="2"/>
    </row>
    <row r="50" ht="15.75" customHeight="1">
      <c r="A50" s="15" t="s">
        <v>68</v>
      </c>
      <c r="B50" s="2"/>
      <c r="C50" s="2"/>
      <c r="D50" s="2"/>
      <c r="E50" s="2"/>
      <c r="F50" s="2"/>
      <c r="G50" s="2"/>
      <c r="H50" s="2"/>
      <c r="I50" s="2"/>
      <c r="J50" s="2"/>
      <c r="K50" s="2"/>
      <c r="L50" s="2"/>
      <c r="M50" s="2"/>
      <c r="N50" s="2"/>
      <c r="O50" s="2"/>
      <c r="P50" s="2"/>
      <c r="Q50" s="2"/>
      <c r="R50" s="2"/>
      <c r="S50" s="2"/>
      <c r="T50" s="2"/>
      <c r="U50" s="2"/>
      <c r="V50" s="2"/>
    </row>
    <row r="51" ht="15.75" customHeight="1">
      <c r="A51" s="2"/>
      <c r="B51" s="2"/>
      <c r="C51" s="2"/>
      <c r="D51" s="2"/>
      <c r="E51" s="2"/>
      <c r="F51" s="2"/>
      <c r="G51" s="2"/>
      <c r="H51" s="2"/>
      <c r="I51" s="2"/>
      <c r="J51" s="2"/>
      <c r="K51" s="2"/>
      <c r="L51" s="2"/>
      <c r="M51" s="2"/>
      <c r="N51" s="2"/>
      <c r="O51" s="2"/>
      <c r="P51" s="2"/>
      <c r="Q51" s="2"/>
      <c r="R51" s="2"/>
      <c r="S51" s="2"/>
      <c r="T51" s="2"/>
      <c r="U51" s="2"/>
      <c r="V51" s="2"/>
    </row>
    <row r="52" ht="15.75" customHeight="1">
      <c r="A52" s="2"/>
      <c r="B52" s="2"/>
      <c r="C52" s="2"/>
      <c r="D52" s="2"/>
      <c r="E52" s="2"/>
      <c r="F52" s="2"/>
      <c r="G52" s="2"/>
      <c r="H52" s="2"/>
      <c r="I52" s="2"/>
      <c r="J52" s="2"/>
      <c r="K52" s="2"/>
      <c r="L52" s="2"/>
      <c r="M52" s="2"/>
      <c r="N52" s="2"/>
      <c r="O52" s="2"/>
      <c r="P52" s="2"/>
      <c r="Q52" s="2"/>
      <c r="R52" s="2"/>
      <c r="S52" s="2"/>
      <c r="T52" s="2"/>
      <c r="U52" s="2"/>
      <c r="V52" s="2"/>
    </row>
    <row r="53" ht="15.75" customHeight="1">
      <c r="A53" s="2"/>
      <c r="B53" s="2"/>
      <c r="C53" s="2"/>
      <c r="D53" s="2"/>
      <c r="E53" s="2"/>
      <c r="F53" s="2"/>
      <c r="G53" s="2"/>
      <c r="H53" s="2"/>
      <c r="I53" s="2"/>
      <c r="J53" s="2"/>
      <c r="K53" s="2"/>
      <c r="L53" s="2"/>
      <c r="M53" s="2"/>
      <c r="N53" s="2"/>
      <c r="O53" s="2"/>
      <c r="P53" s="2"/>
      <c r="Q53" s="2"/>
      <c r="R53" s="2"/>
      <c r="S53" s="2"/>
      <c r="T53" s="2"/>
      <c r="U53" s="2"/>
      <c r="V53" s="2"/>
    </row>
    <row r="54" ht="15.75" customHeight="1">
      <c r="A54" s="2"/>
      <c r="B54" s="2"/>
      <c r="C54" s="2"/>
      <c r="D54" s="2"/>
      <c r="E54" s="2"/>
      <c r="F54" s="2"/>
      <c r="G54" s="2"/>
      <c r="H54" s="2"/>
      <c r="I54" s="2"/>
      <c r="J54" s="2"/>
      <c r="K54" s="2"/>
      <c r="L54" s="2"/>
      <c r="M54" s="2"/>
      <c r="N54" s="2"/>
      <c r="O54" s="2"/>
      <c r="P54" s="2"/>
      <c r="Q54" s="2"/>
      <c r="R54" s="2"/>
      <c r="S54" s="2"/>
      <c r="T54" s="2"/>
      <c r="U54" s="2"/>
      <c r="V54" s="2"/>
    </row>
    <row r="55" ht="15.75" customHeight="1">
      <c r="A55" s="2"/>
      <c r="B55" s="2"/>
      <c r="C55" s="2"/>
      <c r="D55" s="2"/>
      <c r="E55" s="2"/>
      <c r="F55" s="2"/>
      <c r="G55" s="2"/>
      <c r="H55" s="2"/>
      <c r="I55" s="2"/>
      <c r="J55" s="2"/>
      <c r="K55" s="2"/>
      <c r="L55" s="2"/>
      <c r="M55" s="2"/>
      <c r="N55" s="2"/>
      <c r="O55" s="2"/>
      <c r="P55" s="2"/>
      <c r="Q55" s="2"/>
      <c r="R55" s="2"/>
      <c r="S55" s="2"/>
      <c r="T55" s="2"/>
      <c r="U55" s="2"/>
      <c r="V55" s="2"/>
    </row>
    <row r="56" ht="15.75" customHeight="1">
      <c r="A56" s="2"/>
      <c r="B56" s="2"/>
      <c r="C56" s="2"/>
      <c r="D56" s="2"/>
      <c r="E56" s="2"/>
      <c r="F56" s="2"/>
      <c r="G56" s="2"/>
      <c r="H56" s="2"/>
      <c r="I56" s="2"/>
      <c r="J56" s="2"/>
      <c r="K56" s="2"/>
      <c r="L56" s="2"/>
      <c r="M56" s="2"/>
      <c r="N56" s="2"/>
      <c r="O56" s="2"/>
      <c r="P56" s="2"/>
      <c r="Q56" s="2"/>
      <c r="R56" s="2"/>
      <c r="S56" s="2"/>
      <c r="T56" s="2"/>
      <c r="U56" s="2"/>
      <c r="V56" s="2"/>
    </row>
    <row r="57" ht="15.75" customHeight="1">
      <c r="A57" s="2"/>
      <c r="B57" s="2"/>
      <c r="C57" s="2"/>
      <c r="D57" s="2"/>
      <c r="E57" s="2"/>
      <c r="F57" s="2"/>
      <c r="G57" s="2"/>
      <c r="H57" s="2"/>
      <c r="I57" s="2"/>
      <c r="J57" s="2"/>
      <c r="K57" s="2"/>
      <c r="L57" s="2"/>
      <c r="M57" s="2"/>
      <c r="N57" s="2"/>
      <c r="O57" s="2"/>
      <c r="P57" s="2"/>
      <c r="Q57" s="2"/>
      <c r="R57" s="2"/>
      <c r="S57" s="2"/>
      <c r="T57" s="2"/>
      <c r="U57" s="2"/>
      <c r="V57" s="2"/>
    </row>
    <row r="58" ht="15.75" customHeight="1">
      <c r="A58" s="2"/>
      <c r="B58" s="2"/>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2"/>
      <c r="B60" s="2"/>
      <c r="C60" s="2"/>
      <c r="D60" s="2"/>
      <c r="E60" s="2"/>
      <c r="F60" s="2"/>
      <c r="G60" s="2"/>
      <c r="H60" s="2"/>
      <c r="I60" s="2"/>
      <c r="J60" s="2"/>
      <c r="K60" s="2"/>
      <c r="L60" s="2"/>
      <c r="M60" s="2"/>
      <c r="N60" s="2"/>
      <c r="O60" s="2"/>
      <c r="P60" s="2"/>
      <c r="Q60" s="2"/>
      <c r="R60" s="2"/>
      <c r="S60" s="2"/>
      <c r="T60" s="2"/>
      <c r="U60" s="2"/>
      <c r="V60" s="2"/>
    </row>
    <row r="61" ht="15.75" customHeight="1">
      <c r="A61" s="2"/>
      <c r="B61" s="2"/>
      <c r="C61" s="2"/>
      <c r="D61" s="2"/>
      <c r="E61" s="2"/>
      <c r="F61" s="2"/>
      <c r="G61" s="2"/>
      <c r="H61" s="2"/>
      <c r="I61" s="2"/>
      <c r="J61" s="2"/>
      <c r="K61" s="2"/>
      <c r="L61" s="2"/>
      <c r="M61" s="2"/>
      <c r="N61" s="2"/>
      <c r="O61" s="2"/>
      <c r="P61" s="2"/>
      <c r="Q61" s="2"/>
      <c r="R61" s="2"/>
      <c r="S61" s="2"/>
      <c r="T61" s="2"/>
      <c r="U61" s="2"/>
      <c r="V61" s="2"/>
    </row>
    <row r="62" ht="15.75" customHeight="1">
      <c r="A62" s="2"/>
      <c r="B62" s="2"/>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2"/>
      <c r="B64" s="2"/>
      <c r="C64" s="2"/>
      <c r="D64" s="2"/>
      <c r="E64" s="2"/>
      <c r="F64" s="2"/>
      <c r="G64" s="2"/>
      <c r="H64" s="2"/>
      <c r="I64" s="2"/>
      <c r="J64" s="2"/>
      <c r="K64" s="2"/>
      <c r="L64" s="2"/>
      <c r="M64" s="2"/>
      <c r="N64" s="2"/>
      <c r="O64" s="2"/>
      <c r="P64" s="2"/>
      <c r="Q64" s="2"/>
      <c r="R64" s="2"/>
      <c r="S64" s="2"/>
      <c r="T64" s="2"/>
      <c r="U64" s="2"/>
      <c r="V64" s="2"/>
    </row>
    <row r="65" ht="15.75" customHeight="1">
      <c r="A65" s="2"/>
      <c r="B65" s="2"/>
      <c r="C65" s="2"/>
      <c r="D65" s="2"/>
      <c r="E65" s="2"/>
      <c r="F65" s="2"/>
      <c r="G65" s="2"/>
      <c r="H65" s="2"/>
      <c r="I65" s="2"/>
      <c r="J65" s="2"/>
      <c r="K65" s="2"/>
      <c r="L65" s="2"/>
      <c r="M65" s="2"/>
      <c r="N65" s="2"/>
      <c r="O65" s="2"/>
      <c r="P65" s="2"/>
      <c r="Q65" s="2"/>
      <c r="R65" s="2"/>
      <c r="S65" s="2"/>
      <c r="T65" s="2"/>
      <c r="U65" s="2"/>
      <c r="V65" s="2"/>
    </row>
    <row r="66" ht="15.75" customHeight="1">
      <c r="A66" s="2"/>
      <c r="B66" s="2"/>
      <c r="C66" s="2"/>
      <c r="D66" s="2"/>
      <c r="E66" s="2"/>
      <c r="F66" s="2"/>
      <c r="G66" s="2"/>
      <c r="H66" s="2"/>
      <c r="I66" s="2"/>
      <c r="J66" s="2"/>
      <c r="K66" s="2"/>
      <c r="L66" s="2"/>
      <c r="M66" s="2"/>
      <c r="N66" s="2"/>
      <c r="O66" s="2"/>
      <c r="P66" s="2"/>
      <c r="Q66" s="2"/>
      <c r="R66" s="2"/>
      <c r="S66" s="2"/>
      <c r="T66" s="2"/>
      <c r="U66" s="2"/>
      <c r="V66" s="2"/>
    </row>
    <row r="67" ht="15.75" customHeight="1">
      <c r="A67" s="2"/>
      <c r="B67" s="2"/>
      <c r="C67" s="2"/>
      <c r="D67" s="2"/>
      <c r="E67" s="2"/>
      <c r="F67" s="2"/>
      <c r="G67" s="2"/>
      <c r="H67" s="2"/>
      <c r="I67" s="2"/>
      <c r="J67" s="2"/>
      <c r="K67" s="2"/>
      <c r="L67" s="2"/>
      <c r="M67" s="2"/>
      <c r="N67" s="2"/>
      <c r="O67" s="2"/>
      <c r="P67" s="2"/>
      <c r="Q67" s="2"/>
      <c r="R67" s="2"/>
      <c r="S67" s="2"/>
      <c r="T67" s="2"/>
      <c r="U67" s="2"/>
      <c r="V67" s="2"/>
    </row>
    <row r="68" ht="15.75" customHeight="1">
      <c r="A68" s="2"/>
      <c r="B68" s="2"/>
      <c r="C68" s="2"/>
      <c r="D68" s="2"/>
      <c r="E68" s="2"/>
      <c r="F68" s="2"/>
      <c r="G68" s="2"/>
      <c r="H68" s="2"/>
      <c r="I68" s="2"/>
      <c r="J68" s="2"/>
      <c r="K68" s="2"/>
      <c r="L68" s="2"/>
      <c r="M68" s="2"/>
      <c r="N68" s="2"/>
      <c r="O68" s="2"/>
      <c r="P68" s="2"/>
      <c r="Q68" s="2"/>
      <c r="R68" s="2"/>
      <c r="S68" s="2"/>
      <c r="T68" s="2"/>
      <c r="U68" s="2"/>
      <c r="V68" s="2"/>
    </row>
    <row r="69" ht="15.75" customHeight="1">
      <c r="A69" s="2"/>
      <c r="B69" s="2"/>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2"/>
      <c r="B71" s="2"/>
      <c r="C71" s="2"/>
      <c r="D71" s="2"/>
      <c r="E71" s="2"/>
      <c r="F71" s="2"/>
      <c r="G71" s="2"/>
      <c r="H71" s="2"/>
      <c r="I71" s="2"/>
      <c r="J71" s="2"/>
      <c r="K71" s="2"/>
      <c r="L71" s="2"/>
      <c r="M71" s="2"/>
      <c r="N71" s="2"/>
      <c r="O71" s="2"/>
      <c r="P71" s="2"/>
      <c r="Q71" s="2"/>
      <c r="R71" s="2"/>
      <c r="S71" s="2"/>
      <c r="T71" s="2"/>
      <c r="U71" s="2"/>
      <c r="V71" s="2"/>
    </row>
    <row r="72" ht="15.75" customHeight="1">
      <c r="A72" s="2"/>
      <c r="B72" s="2"/>
      <c r="C72" s="2"/>
      <c r="D72" s="2"/>
      <c r="E72" s="2"/>
      <c r="F72" s="2"/>
      <c r="G72" s="2"/>
      <c r="H72" s="2"/>
      <c r="I72" s="2"/>
      <c r="J72" s="2"/>
      <c r="K72" s="2"/>
      <c r="L72" s="2"/>
      <c r="M72" s="2"/>
      <c r="N72" s="2"/>
      <c r="O72" s="2"/>
      <c r="P72" s="2"/>
      <c r="Q72" s="2"/>
      <c r="R72" s="2"/>
      <c r="S72" s="2"/>
      <c r="T72" s="2"/>
      <c r="U72" s="2"/>
      <c r="V72" s="2"/>
    </row>
    <row r="73" ht="15.75" customHeight="1">
      <c r="A73" s="2"/>
      <c r="B73" s="2"/>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2"/>
      <c r="B75" s="2"/>
      <c r="C75" s="2"/>
      <c r="D75" s="2"/>
      <c r="E75" s="2"/>
      <c r="F75" s="2"/>
      <c r="G75" s="2"/>
      <c r="H75" s="2"/>
      <c r="I75" s="2"/>
      <c r="J75" s="2"/>
      <c r="K75" s="2"/>
      <c r="L75" s="2"/>
      <c r="M75" s="2"/>
      <c r="N75" s="2"/>
      <c r="O75" s="2"/>
      <c r="P75" s="2"/>
      <c r="Q75" s="2"/>
      <c r="R75" s="2"/>
      <c r="S75" s="2"/>
      <c r="T75" s="2"/>
      <c r="U75" s="2"/>
      <c r="V75" s="2"/>
    </row>
    <row r="76" ht="15.75" customHeight="1">
      <c r="A76" s="2"/>
      <c r="B76" s="2"/>
      <c r="C76" s="2"/>
      <c r="D76" s="2"/>
      <c r="E76" s="2"/>
      <c r="F76" s="2"/>
      <c r="G76" s="2"/>
      <c r="H76" s="2"/>
      <c r="I76" s="2"/>
      <c r="J76" s="2"/>
      <c r="K76" s="2"/>
      <c r="L76" s="2"/>
      <c r="M76" s="2"/>
      <c r="N76" s="2"/>
      <c r="O76" s="2"/>
      <c r="P76" s="2"/>
      <c r="Q76" s="2"/>
      <c r="R76" s="2"/>
      <c r="S76" s="2"/>
      <c r="T76" s="2"/>
      <c r="U76" s="2"/>
      <c r="V76" s="2"/>
    </row>
    <row r="77" ht="15.75" customHeight="1">
      <c r="A77" s="2"/>
      <c r="B77" s="2"/>
      <c r="C77" s="2"/>
      <c r="D77" s="2"/>
      <c r="E77" s="2"/>
      <c r="F77" s="2"/>
      <c r="G77" s="2"/>
      <c r="H77" s="2"/>
      <c r="I77" s="2"/>
      <c r="J77" s="2"/>
      <c r="K77" s="2"/>
      <c r="L77" s="2"/>
      <c r="M77" s="2"/>
      <c r="N77" s="2"/>
      <c r="O77" s="2"/>
      <c r="P77" s="2"/>
      <c r="Q77" s="2"/>
      <c r="R77" s="2"/>
      <c r="S77" s="2"/>
      <c r="T77" s="2"/>
      <c r="U77" s="2"/>
      <c r="V77" s="2"/>
    </row>
    <row r="78" ht="15.75" customHeight="1">
      <c r="A78" s="2"/>
      <c r="B78" s="2"/>
      <c r="C78" s="2"/>
      <c r="D78" s="2"/>
      <c r="E78" s="2"/>
      <c r="F78" s="2"/>
      <c r="G78" s="2"/>
      <c r="H78" s="2"/>
      <c r="I78" s="2"/>
      <c r="J78" s="2"/>
      <c r="K78" s="2"/>
      <c r="L78" s="2"/>
      <c r="M78" s="2"/>
      <c r="N78" s="2"/>
      <c r="O78" s="2"/>
      <c r="P78" s="2"/>
      <c r="Q78" s="2"/>
      <c r="R78" s="2"/>
      <c r="S78" s="2"/>
      <c r="T78" s="2"/>
      <c r="U78" s="2"/>
      <c r="V78" s="2"/>
    </row>
    <row r="79" ht="15.75" customHeight="1">
      <c r="A79" s="2"/>
      <c r="B79" s="2"/>
      <c r="C79" s="2"/>
      <c r="D79" s="2"/>
      <c r="E79" s="2"/>
      <c r="F79" s="2"/>
      <c r="G79" s="2"/>
      <c r="H79" s="2"/>
      <c r="I79" s="2"/>
      <c r="J79" s="2"/>
      <c r="K79" s="2"/>
      <c r="L79" s="2"/>
      <c r="M79" s="2"/>
      <c r="N79" s="2"/>
      <c r="O79" s="2"/>
      <c r="P79" s="2"/>
      <c r="Q79" s="2"/>
      <c r="R79" s="2"/>
      <c r="S79" s="2"/>
      <c r="T79" s="2"/>
      <c r="U79" s="2"/>
      <c r="V79" s="2"/>
    </row>
    <row r="80" ht="15.75" customHeight="1">
      <c r="A80" s="2"/>
      <c r="B80" s="2"/>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B224" s="17"/>
    </row>
    <row r="225" ht="15.75" customHeight="1">
      <c r="B225" s="17"/>
    </row>
    <row r="226" ht="15.75" customHeight="1">
      <c r="B226" s="17"/>
    </row>
    <row r="227" ht="15.75" customHeight="1">
      <c r="B227" s="17"/>
    </row>
    <row r="228" ht="15.75" customHeight="1">
      <c r="B228" s="17"/>
    </row>
    <row r="229" ht="15.75" customHeight="1">
      <c r="B229" s="17"/>
    </row>
    <row r="230" ht="15.75" customHeight="1">
      <c r="B230" s="17"/>
    </row>
    <row r="231" ht="15.75" customHeight="1">
      <c r="B231" s="17"/>
    </row>
    <row r="232" ht="15.75" customHeight="1">
      <c r="B232" s="17"/>
    </row>
    <row r="233" ht="15.75" customHeight="1">
      <c r="B233" s="17"/>
    </row>
    <row r="234" ht="15.75" customHeight="1">
      <c r="B234" s="17"/>
    </row>
    <row r="235" ht="15.75" customHeight="1">
      <c r="B235" s="17"/>
    </row>
    <row r="236" ht="15.75" customHeight="1">
      <c r="B236" s="17"/>
    </row>
    <row r="237" ht="15.75" customHeight="1">
      <c r="B237" s="17"/>
    </row>
    <row r="238" ht="15.75" customHeight="1">
      <c r="B238" s="17"/>
    </row>
    <row r="239" ht="15.75" customHeight="1">
      <c r="B239" s="17"/>
    </row>
    <row r="240" ht="15.75" customHeight="1">
      <c r="B240" s="17"/>
    </row>
    <row r="241" ht="15.75" customHeight="1">
      <c r="B241" s="17"/>
    </row>
    <row r="242" ht="15.75" customHeight="1">
      <c r="B242" s="17"/>
    </row>
    <row r="243" ht="15.75" customHeight="1">
      <c r="B243" s="17"/>
    </row>
    <row r="244" ht="15.75" customHeight="1">
      <c r="B244" s="17"/>
    </row>
    <row r="245" ht="15.75" customHeight="1">
      <c r="B245" s="17"/>
    </row>
    <row r="246" ht="15.75" customHeight="1">
      <c r="B246" s="17"/>
    </row>
    <row r="247" ht="15.75" customHeight="1">
      <c r="B247" s="17"/>
    </row>
    <row r="248" ht="15.75" customHeight="1">
      <c r="B248" s="17"/>
    </row>
    <row r="249" ht="15.75" customHeight="1">
      <c r="B249" s="17"/>
    </row>
    <row r="250" ht="15.75" customHeight="1">
      <c r="B250" s="17"/>
    </row>
    <row r="251" ht="15.75" customHeight="1">
      <c r="B251" s="17"/>
    </row>
    <row r="252" ht="15.75" customHeight="1">
      <c r="B252" s="17"/>
    </row>
    <row r="253" ht="15.75" customHeight="1">
      <c r="B253" s="17"/>
    </row>
    <row r="254" ht="15.75" customHeight="1">
      <c r="B254" s="17"/>
    </row>
    <row r="255" ht="15.75" customHeight="1">
      <c r="B255" s="17"/>
    </row>
    <row r="256" ht="15.75" customHeight="1">
      <c r="B256" s="17"/>
    </row>
    <row r="257" ht="15.75" customHeight="1">
      <c r="B257" s="17"/>
    </row>
    <row r="258" ht="15.75" customHeight="1">
      <c r="B258" s="17"/>
    </row>
    <row r="259" ht="15.75" customHeight="1">
      <c r="B259" s="17"/>
    </row>
    <row r="260" ht="15.75" customHeight="1">
      <c r="B260" s="17"/>
    </row>
    <row r="261" ht="15.75" customHeight="1">
      <c r="B261" s="17"/>
    </row>
    <row r="262" ht="15.75" customHeight="1">
      <c r="B262" s="17"/>
    </row>
    <row r="263" ht="15.75" customHeight="1">
      <c r="B263" s="17"/>
    </row>
    <row r="264" ht="15.75" customHeight="1">
      <c r="B264" s="17"/>
    </row>
    <row r="265" ht="15.75" customHeight="1">
      <c r="B265" s="17"/>
    </row>
    <row r="266" ht="15.75" customHeight="1">
      <c r="B266" s="17"/>
    </row>
    <row r="267" ht="15.75" customHeight="1">
      <c r="B267" s="17"/>
    </row>
    <row r="268" ht="15.75" customHeight="1">
      <c r="B268" s="17"/>
    </row>
    <row r="269" ht="15.75" customHeight="1">
      <c r="B269" s="17"/>
    </row>
    <row r="270" ht="15.75" customHeight="1">
      <c r="B270" s="17"/>
    </row>
    <row r="271" ht="15.75" customHeight="1">
      <c r="B271" s="17"/>
    </row>
    <row r="272" ht="15.75" customHeight="1">
      <c r="B272" s="17"/>
    </row>
    <row r="273" ht="15.75" customHeight="1">
      <c r="B273" s="17"/>
    </row>
    <row r="274" ht="15.75" customHeight="1">
      <c r="B274" s="17"/>
    </row>
    <row r="275" ht="15.75" customHeight="1">
      <c r="B275" s="17"/>
    </row>
    <row r="276" ht="15.75" customHeight="1">
      <c r="B276" s="17"/>
    </row>
    <row r="277" ht="15.75" customHeight="1">
      <c r="B277" s="17"/>
    </row>
    <row r="278" ht="15.75" customHeight="1">
      <c r="B278" s="17"/>
    </row>
    <row r="279" ht="15.75" customHeight="1">
      <c r="B279" s="17"/>
    </row>
    <row r="280" ht="15.75" customHeight="1">
      <c r="B280" s="17"/>
    </row>
    <row r="281" ht="15.75" customHeight="1">
      <c r="B281" s="17"/>
    </row>
    <row r="282" ht="15.75" customHeight="1">
      <c r="B282" s="17"/>
    </row>
    <row r="283" ht="15.75" customHeight="1">
      <c r="B283" s="17"/>
    </row>
    <row r="284" ht="15.75" customHeight="1">
      <c r="B284" s="17"/>
    </row>
    <row r="285" ht="15.75" customHeight="1">
      <c r="B285" s="17"/>
    </row>
    <row r="286" ht="15.75" customHeight="1">
      <c r="B286" s="17"/>
    </row>
    <row r="287" ht="15.75" customHeight="1">
      <c r="B287" s="17"/>
    </row>
    <row r="288" ht="15.75" customHeight="1">
      <c r="B288" s="17"/>
    </row>
    <row r="289" ht="15.75" customHeight="1">
      <c r="B289" s="17"/>
    </row>
    <row r="290" ht="15.75" customHeight="1">
      <c r="B290" s="17"/>
    </row>
    <row r="291" ht="15.75" customHeight="1">
      <c r="B291" s="17"/>
    </row>
    <row r="292" ht="15.75" customHeight="1">
      <c r="B292" s="17"/>
    </row>
    <row r="293" ht="15.75" customHeight="1">
      <c r="B293" s="17"/>
    </row>
    <row r="294" ht="15.75" customHeight="1">
      <c r="B294" s="17"/>
    </row>
    <row r="295" ht="15.75" customHeight="1">
      <c r="B295" s="17"/>
    </row>
    <row r="296" ht="15.75" customHeight="1">
      <c r="B296" s="17"/>
    </row>
    <row r="297" ht="15.75" customHeight="1">
      <c r="B297" s="17"/>
    </row>
    <row r="298" ht="15.75" customHeight="1">
      <c r="B298" s="17"/>
    </row>
    <row r="299" ht="15.75" customHeight="1">
      <c r="B299" s="17"/>
    </row>
    <row r="300" ht="15.75" customHeight="1">
      <c r="B300" s="17"/>
    </row>
    <row r="301" ht="15.75" customHeight="1">
      <c r="B301" s="17"/>
    </row>
    <row r="302" ht="15.75" customHeight="1">
      <c r="B302" s="17"/>
    </row>
    <row r="303" ht="15.75" customHeight="1">
      <c r="B303" s="17"/>
    </row>
    <row r="304" ht="15.75" customHeight="1">
      <c r="B304" s="17"/>
    </row>
    <row r="305" ht="15.75" customHeight="1">
      <c r="B305" s="17"/>
    </row>
    <row r="306" ht="15.75" customHeight="1">
      <c r="B306" s="17"/>
    </row>
    <row r="307" ht="15.75" customHeight="1">
      <c r="B307" s="17"/>
    </row>
    <row r="308" ht="15.75" customHeight="1">
      <c r="B308" s="17"/>
    </row>
    <row r="309" ht="15.75" customHeight="1">
      <c r="B309" s="17"/>
    </row>
    <row r="310" ht="15.75" customHeight="1">
      <c r="B310" s="17"/>
    </row>
    <row r="311" ht="15.75" customHeight="1">
      <c r="B311" s="17"/>
    </row>
    <row r="312" ht="15.75" customHeight="1">
      <c r="B312" s="17"/>
    </row>
    <row r="313" ht="15.75" customHeight="1">
      <c r="B313" s="17"/>
    </row>
    <row r="314" ht="15.75" customHeight="1">
      <c r="B314" s="17"/>
    </row>
    <row r="315" ht="15.75" customHeight="1">
      <c r="B315" s="17"/>
    </row>
    <row r="316" ht="15.75" customHeight="1">
      <c r="B316" s="17"/>
    </row>
    <row r="317" ht="15.75" customHeight="1">
      <c r="B317" s="17"/>
    </row>
    <row r="318" ht="15.75" customHeight="1">
      <c r="B318" s="17"/>
    </row>
    <row r="319" ht="15.75" customHeight="1">
      <c r="B319" s="17"/>
    </row>
    <row r="320" ht="15.75" customHeight="1">
      <c r="B320" s="17"/>
    </row>
    <row r="321" ht="15.75" customHeight="1">
      <c r="B321" s="17"/>
    </row>
    <row r="322" ht="15.75" customHeight="1">
      <c r="B322" s="17"/>
    </row>
    <row r="323" ht="15.75" customHeight="1">
      <c r="B323" s="17"/>
    </row>
    <row r="324" ht="15.75" customHeight="1">
      <c r="B324" s="17"/>
    </row>
    <row r="325" ht="15.75" customHeight="1">
      <c r="B325" s="17"/>
    </row>
    <row r="326" ht="15.75" customHeight="1">
      <c r="B326" s="17"/>
    </row>
    <row r="327" ht="15.75" customHeight="1">
      <c r="B327" s="17"/>
    </row>
    <row r="328" ht="15.75" customHeight="1">
      <c r="B328" s="17"/>
    </row>
    <row r="329" ht="15.75" customHeight="1">
      <c r="B329" s="17"/>
    </row>
    <row r="330" ht="15.75" customHeight="1">
      <c r="B330" s="17"/>
    </row>
    <row r="331" ht="15.75" customHeight="1">
      <c r="B331" s="17"/>
    </row>
    <row r="332" ht="15.75" customHeight="1">
      <c r="B332" s="17"/>
    </row>
    <row r="333" ht="15.75" customHeight="1">
      <c r="B333" s="17"/>
    </row>
    <row r="334" ht="15.75" customHeight="1">
      <c r="B334" s="17"/>
    </row>
    <row r="335" ht="15.75" customHeight="1">
      <c r="B335" s="17"/>
    </row>
    <row r="336" ht="15.75" customHeight="1">
      <c r="B336" s="17"/>
    </row>
    <row r="337" ht="15.75" customHeight="1">
      <c r="B337" s="17"/>
    </row>
    <row r="338" ht="15.75" customHeight="1">
      <c r="B338" s="17"/>
    </row>
    <row r="339" ht="15.75" customHeight="1">
      <c r="B339" s="17"/>
    </row>
    <row r="340" ht="15.75" customHeight="1">
      <c r="B340" s="17"/>
    </row>
    <row r="341" ht="15.75" customHeight="1">
      <c r="B341" s="17"/>
    </row>
    <row r="342" ht="15.75" customHeight="1">
      <c r="B342" s="17"/>
    </row>
    <row r="343" ht="15.75" customHeight="1">
      <c r="B343" s="17"/>
    </row>
    <row r="344" ht="15.75" customHeight="1">
      <c r="B344" s="17"/>
    </row>
    <row r="345" ht="15.75" customHeight="1">
      <c r="B345" s="17"/>
    </row>
    <row r="346" ht="15.75" customHeight="1">
      <c r="B346" s="17"/>
    </row>
    <row r="347" ht="15.75" customHeight="1">
      <c r="B347" s="17"/>
    </row>
    <row r="348" ht="15.75" customHeight="1">
      <c r="B348" s="17"/>
    </row>
    <row r="349" ht="15.75" customHeight="1">
      <c r="B349" s="17"/>
    </row>
    <row r="350" ht="15.75" customHeight="1">
      <c r="B350" s="17"/>
    </row>
    <row r="351" ht="15.75" customHeight="1">
      <c r="B351" s="17"/>
    </row>
    <row r="352" ht="15.75" customHeight="1">
      <c r="B352" s="17"/>
    </row>
    <row r="353" ht="15.75" customHeight="1">
      <c r="B353" s="17"/>
    </row>
    <row r="354" ht="15.75" customHeight="1">
      <c r="B354" s="17"/>
    </row>
    <row r="355" ht="15.75" customHeight="1">
      <c r="B355" s="17"/>
    </row>
    <row r="356" ht="15.75" customHeight="1">
      <c r="B356" s="17"/>
    </row>
    <row r="357" ht="15.75" customHeight="1">
      <c r="B357" s="17"/>
    </row>
    <row r="358" ht="15.75" customHeight="1">
      <c r="B358" s="17"/>
    </row>
    <row r="359" ht="15.75" customHeight="1">
      <c r="B359" s="17"/>
    </row>
    <row r="360" ht="15.75" customHeight="1">
      <c r="B360" s="17"/>
    </row>
    <row r="361" ht="15.75" customHeight="1">
      <c r="B361" s="17"/>
    </row>
    <row r="362" ht="15.75" customHeight="1">
      <c r="B362" s="17"/>
    </row>
    <row r="363" ht="15.75" customHeight="1">
      <c r="B363" s="17"/>
    </row>
    <row r="364" ht="15.75" customHeight="1">
      <c r="B364" s="17"/>
    </row>
    <row r="365" ht="15.75" customHeight="1">
      <c r="B365" s="17"/>
    </row>
    <row r="366" ht="15.75" customHeight="1">
      <c r="B366" s="17"/>
    </row>
    <row r="367" ht="15.75" customHeight="1">
      <c r="B367" s="17"/>
    </row>
    <row r="368" ht="15.75" customHeight="1">
      <c r="B368" s="17"/>
    </row>
    <row r="369" ht="15.75" customHeight="1">
      <c r="B369" s="17"/>
    </row>
    <row r="370" ht="15.75" customHeight="1">
      <c r="B370" s="17"/>
    </row>
    <row r="371" ht="15.75" customHeight="1">
      <c r="B371" s="17"/>
    </row>
    <row r="372" ht="15.75" customHeight="1">
      <c r="B372" s="17"/>
    </row>
    <row r="373" ht="15.75" customHeight="1">
      <c r="B373" s="17"/>
    </row>
    <row r="374" ht="15.75" customHeight="1">
      <c r="B374" s="17"/>
    </row>
    <row r="375" ht="15.75" customHeight="1">
      <c r="B375" s="17"/>
    </row>
    <row r="376" ht="15.75" customHeight="1">
      <c r="B376" s="17"/>
    </row>
    <row r="377" ht="15.75" customHeight="1">
      <c r="B377" s="17"/>
    </row>
    <row r="378" ht="15.75" customHeight="1">
      <c r="B378" s="17"/>
    </row>
    <row r="379" ht="15.75" customHeight="1">
      <c r="B379" s="17"/>
    </row>
    <row r="380" ht="15.75" customHeight="1">
      <c r="B380" s="17"/>
    </row>
    <row r="381" ht="15.75" customHeight="1">
      <c r="B381" s="17"/>
    </row>
    <row r="382" ht="15.75" customHeight="1">
      <c r="B382" s="17"/>
    </row>
    <row r="383" ht="15.75" customHeight="1">
      <c r="B383" s="17"/>
    </row>
    <row r="384" ht="15.75" customHeight="1">
      <c r="B384" s="17"/>
    </row>
    <row r="385" ht="15.75" customHeight="1">
      <c r="B385" s="17"/>
    </row>
    <row r="386" ht="15.75" customHeight="1">
      <c r="B386" s="17"/>
    </row>
    <row r="387" ht="15.75" customHeight="1">
      <c r="B387" s="17"/>
    </row>
    <row r="388" ht="15.75" customHeight="1">
      <c r="B388" s="17"/>
    </row>
    <row r="389" ht="15.75" customHeight="1">
      <c r="B389" s="17"/>
    </row>
    <row r="390" ht="15.75" customHeight="1">
      <c r="B390" s="17"/>
    </row>
    <row r="391" ht="15.75" customHeight="1">
      <c r="B391" s="17"/>
    </row>
    <row r="392" ht="15.75" customHeight="1">
      <c r="B392" s="17"/>
    </row>
    <row r="393" ht="15.75" customHeight="1">
      <c r="B393" s="17"/>
    </row>
    <row r="394" ht="15.75" customHeight="1">
      <c r="B394" s="17"/>
    </row>
    <row r="395" ht="15.75" customHeight="1">
      <c r="B395" s="17"/>
    </row>
    <row r="396" ht="15.75" customHeight="1">
      <c r="B396" s="17"/>
    </row>
    <row r="397" ht="15.75" customHeight="1">
      <c r="B397" s="17"/>
    </row>
    <row r="398" ht="15.75" customHeight="1">
      <c r="B398" s="17"/>
    </row>
    <row r="399" ht="15.75" customHeight="1">
      <c r="B399" s="17"/>
    </row>
    <row r="400" ht="15.75" customHeight="1">
      <c r="B400" s="17"/>
    </row>
    <row r="401" ht="15.75" customHeight="1">
      <c r="B401" s="17"/>
    </row>
    <row r="402" ht="15.75" customHeight="1">
      <c r="B402" s="17"/>
    </row>
    <row r="403" ht="15.75" customHeight="1">
      <c r="B403" s="17"/>
    </row>
    <row r="404" ht="15.75" customHeight="1">
      <c r="B404" s="17"/>
    </row>
    <row r="405" ht="15.75" customHeight="1">
      <c r="B405" s="17"/>
    </row>
    <row r="406" ht="15.75" customHeight="1">
      <c r="B406" s="17"/>
    </row>
    <row r="407" ht="15.75" customHeight="1">
      <c r="B407" s="17"/>
    </row>
    <row r="408" ht="15.75" customHeight="1">
      <c r="B408" s="17"/>
    </row>
    <row r="409" ht="15.75" customHeight="1">
      <c r="B409" s="17"/>
    </row>
    <row r="410" ht="15.75" customHeight="1">
      <c r="B410" s="17"/>
    </row>
    <row r="411" ht="15.75" customHeight="1">
      <c r="B411" s="17"/>
    </row>
    <row r="412" ht="15.75" customHeight="1">
      <c r="B412" s="17"/>
    </row>
    <row r="413" ht="15.75" customHeight="1">
      <c r="B413" s="17"/>
    </row>
    <row r="414" ht="15.75" customHeight="1">
      <c r="B414" s="17"/>
    </row>
    <row r="415" ht="15.75" customHeight="1">
      <c r="B415" s="17"/>
    </row>
    <row r="416" ht="15.75" customHeight="1">
      <c r="B416" s="17"/>
    </row>
    <row r="417" ht="15.75" customHeight="1">
      <c r="B417" s="17"/>
    </row>
    <row r="418" ht="15.75" customHeight="1">
      <c r="B418" s="17"/>
    </row>
    <row r="419" ht="15.75" customHeight="1">
      <c r="B419" s="17"/>
    </row>
    <row r="420" ht="15.75" customHeight="1">
      <c r="B420" s="17"/>
    </row>
    <row r="421" ht="15.75" customHeight="1">
      <c r="B421" s="17"/>
    </row>
    <row r="422" ht="15.75" customHeight="1">
      <c r="B422" s="17"/>
    </row>
    <row r="423" ht="15.75" customHeight="1">
      <c r="B423" s="17"/>
    </row>
    <row r="424" ht="15.75" customHeight="1">
      <c r="B424" s="17"/>
    </row>
    <row r="425" ht="15.75" customHeight="1">
      <c r="B425" s="17"/>
    </row>
    <row r="426" ht="15.75" customHeight="1">
      <c r="B426" s="17"/>
    </row>
    <row r="427" ht="15.75" customHeight="1">
      <c r="B427" s="17"/>
    </row>
    <row r="428" ht="15.75" customHeight="1">
      <c r="B428" s="17"/>
    </row>
    <row r="429" ht="15.75" customHeight="1">
      <c r="B429" s="17"/>
    </row>
    <row r="430" ht="15.75" customHeight="1">
      <c r="B430" s="17"/>
    </row>
    <row r="431" ht="15.75" customHeight="1">
      <c r="B431" s="17"/>
    </row>
    <row r="432" ht="15.75" customHeight="1">
      <c r="B432" s="17"/>
    </row>
    <row r="433" ht="15.75" customHeight="1">
      <c r="B433" s="17"/>
    </row>
    <row r="434" ht="15.75" customHeight="1">
      <c r="B434" s="17"/>
    </row>
    <row r="435" ht="15.75" customHeight="1">
      <c r="B435" s="17"/>
    </row>
    <row r="436" ht="15.75" customHeight="1">
      <c r="B436" s="17"/>
    </row>
    <row r="437" ht="15.75" customHeight="1">
      <c r="B437" s="17"/>
    </row>
    <row r="438" ht="15.75" customHeight="1">
      <c r="B438" s="17"/>
    </row>
    <row r="439" ht="15.75" customHeight="1">
      <c r="B439" s="17"/>
    </row>
    <row r="440" ht="15.75" customHeight="1">
      <c r="B440" s="17"/>
    </row>
    <row r="441" ht="15.75" customHeight="1">
      <c r="B441" s="17"/>
    </row>
    <row r="442" ht="15.75" customHeight="1">
      <c r="B442" s="17"/>
    </row>
    <row r="443" ht="15.75" customHeight="1">
      <c r="B443" s="17"/>
    </row>
    <row r="444" ht="15.75" customHeight="1">
      <c r="B444" s="17"/>
    </row>
    <row r="445" ht="15.75" customHeight="1">
      <c r="B445" s="17"/>
    </row>
    <row r="446" ht="15.75" customHeight="1">
      <c r="B446" s="17"/>
    </row>
    <row r="447" ht="15.75" customHeight="1">
      <c r="B447" s="17"/>
    </row>
    <row r="448" ht="15.75" customHeight="1">
      <c r="B448" s="17"/>
    </row>
    <row r="449" ht="15.75" customHeight="1">
      <c r="B449" s="17"/>
    </row>
    <row r="450" ht="15.75" customHeight="1">
      <c r="B450" s="17"/>
    </row>
    <row r="451" ht="15.75" customHeight="1">
      <c r="B451" s="17"/>
    </row>
    <row r="452" ht="15.75" customHeight="1">
      <c r="B452" s="17"/>
    </row>
    <row r="453" ht="15.75" customHeight="1">
      <c r="B453" s="17"/>
    </row>
    <row r="454" ht="15.75" customHeight="1">
      <c r="B454" s="17"/>
    </row>
    <row r="455" ht="15.75" customHeight="1">
      <c r="B455" s="17"/>
    </row>
    <row r="456" ht="15.75" customHeight="1">
      <c r="B456" s="17"/>
    </row>
    <row r="457" ht="15.75" customHeight="1">
      <c r="B457" s="17"/>
    </row>
    <row r="458" ht="15.75" customHeight="1">
      <c r="B458" s="17"/>
    </row>
    <row r="459" ht="15.75" customHeight="1">
      <c r="B459" s="17"/>
    </row>
    <row r="460" ht="15.75" customHeight="1">
      <c r="B460" s="17"/>
    </row>
    <row r="461" ht="15.75" customHeight="1">
      <c r="B461" s="17"/>
    </row>
    <row r="462" ht="15.75" customHeight="1">
      <c r="B462" s="17"/>
    </row>
    <row r="463" ht="15.75" customHeight="1">
      <c r="B463" s="17"/>
    </row>
    <row r="464" ht="15.75" customHeight="1">
      <c r="B464" s="17"/>
    </row>
    <row r="465" ht="15.75" customHeight="1">
      <c r="B465" s="17"/>
    </row>
    <row r="466" ht="15.75" customHeight="1">
      <c r="B466" s="17"/>
    </row>
    <row r="467" ht="15.75" customHeight="1">
      <c r="B467" s="17"/>
    </row>
    <row r="468" ht="15.75" customHeight="1">
      <c r="B468" s="17"/>
    </row>
    <row r="469" ht="15.75" customHeight="1">
      <c r="B469" s="17"/>
    </row>
    <row r="470" ht="15.75" customHeight="1">
      <c r="B470" s="17"/>
    </row>
    <row r="471" ht="15.75" customHeight="1">
      <c r="B471" s="17"/>
    </row>
    <row r="472" ht="15.75" customHeight="1">
      <c r="B472" s="17"/>
    </row>
    <row r="473" ht="15.75" customHeight="1">
      <c r="B473" s="17"/>
    </row>
    <row r="474" ht="15.75" customHeight="1">
      <c r="B474" s="17"/>
    </row>
    <row r="475" ht="15.75" customHeight="1">
      <c r="B475" s="17"/>
    </row>
    <row r="476" ht="15.75" customHeight="1">
      <c r="B476" s="17"/>
    </row>
    <row r="477" ht="15.75" customHeight="1">
      <c r="B477" s="17"/>
    </row>
    <row r="478" ht="15.75" customHeight="1">
      <c r="B478" s="17"/>
    </row>
    <row r="479" ht="15.75" customHeight="1">
      <c r="B479" s="17"/>
    </row>
    <row r="480" ht="15.75" customHeight="1">
      <c r="B480" s="17"/>
    </row>
    <row r="481" ht="15.75" customHeight="1">
      <c r="B481" s="17"/>
    </row>
    <row r="482" ht="15.75" customHeight="1">
      <c r="B482" s="17"/>
    </row>
    <row r="483" ht="15.75" customHeight="1">
      <c r="B483" s="17"/>
    </row>
    <row r="484" ht="15.75" customHeight="1">
      <c r="B484" s="17"/>
    </row>
    <row r="485" ht="15.75" customHeight="1">
      <c r="B485" s="17"/>
    </row>
    <row r="486" ht="15.75" customHeight="1">
      <c r="B486" s="17"/>
    </row>
    <row r="487" ht="15.75" customHeight="1">
      <c r="B487" s="17"/>
    </row>
    <row r="488" ht="15.75" customHeight="1">
      <c r="B488" s="17"/>
    </row>
    <row r="489" ht="15.75" customHeight="1">
      <c r="B489" s="17"/>
    </row>
    <row r="490" ht="15.75" customHeight="1">
      <c r="B490" s="17"/>
    </row>
    <row r="491" ht="15.75" customHeight="1">
      <c r="B491" s="17"/>
    </row>
    <row r="492" ht="15.75" customHeight="1">
      <c r="B492" s="17"/>
    </row>
    <row r="493" ht="15.75" customHeight="1">
      <c r="B493" s="17"/>
    </row>
    <row r="494" ht="15.75" customHeight="1">
      <c r="B494" s="17"/>
    </row>
    <row r="495" ht="15.75" customHeight="1">
      <c r="B495" s="17"/>
    </row>
    <row r="496" ht="15.75" customHeight="1">
      <c r="B496" s="17"/>
    </row>
    <row r="497" ht="15.75" customHeight="1">
      <c r="B497" s="17"/>
    </row>
    <row r="498" ht="15.75" customHeight="1">
      <c r="B498" s="17"/>
    </row>
    <row r="499" ht="15.75" customHeight="1">
      <c r="B499" s="17"/>
    </row>
    <row r="500" ht="15.75" customHeight="1">
      <c r="B500" s="17"/>
    </row>
    <row r="501" ht="15.75" customHeight="1">
      <c r="B501" s="17"/>
    </row>
    <row r="502" ht="15.75" customHeight="1">
      <c r="B502" s="17"/>
    </row>
    <row r="503" ht="15.75" customHeight="1">
      <c r="B503" s="17"/>
    </row>
    <row r="504" ht="15.75" customHeight="1">
      <c r="B504" s="17"/>
    </row>
    <row r="505" ht="15.75" customHeight="1">
      <c r="B505" s="17"/>
    </row>
    <row r="506" ht="15.75" customHeight="1">
      <c r="B506" s="17"/>
    </row>
    <row r="507" ht="15.75" customHeight="1">
      <c r="B507" s="17"/>
    </row>
    <row r="508" ht="15.75" customHeight="1">
      <c r="B508" s="17"/>
    </row>
    <row r="509" ht="15.75" customHeight="1">
      <c r="B509" s="17"/>
    </row>
    <row r="510" ht="15.75" customHeight="1">
      <c r="B510" s="17"/>
    </row>
    <row r="511" ht="15.75" customHeight="1">
      <c r="B511" s="17"/>
    </row>
    <row r="512" ht="15.75" customHeight="1">
      <c r="B512" s="17"/>
    </row>
    <row r="513" ht="15.75" customHeight="1">
      <c r="B513" s="17"/>
    </row>
    <row r="514" ht="15.75" customHeight="1">
      <c r="B514" s="17"/>
    </row>
    <row r="515" ht="15.75" customHeight="1">
      <c r="B515" s="17"/>
    </row>
    <row r="516" ht="15.75" customHeight="1">
      <c r="B516" s="17"/>
    </row>
    <row r="517" ht="15.75" customHeight="1">
      <c r="B517" s="17"/>
    </row>
    <row r="518" ht="15.75" customHeight="1">
      <c r="B518" s="17"/>
    </row>
    <row r="519" ht="15.75" customHeight="1">
      <c r="B519" s="17"/>
    </row>
    <row r="520" ht="15.75" customHeight="1">
      <c r="B520" s="17"/>
    </row>
    <row r="521" ht="15.75" customHeight="1">
      <c r="B521" s="17"/>
    </row>
    <row r="522" ht="15.75" customHeight="1">
      <c r="B522" s="17"/>
    </row>
    <row r="523" ht="15.75" customHeight="1">
      <c r="B523" s="17"/>
    </row>
    <row r="524" ht="15.75" customHeight="1">
      <c r="B524" s="17"/>
    </row>
    <row r="525" ht="15.75" customHeight="1">
      <c r="B525" s="17"/>
    </row>
    <row r="526" ht="15.75" customHeight="1">
      <c r="B526" s="17"/>
    </row>
    <row r="527" ht="15.75" customHeight="1">
      <c r="B527" s="17"/>
    </row>
    <row r="528" ht="15.75" customHeight="1">
      <c r="B528" s="17"/>
    </row>
    <row r="529" ht="15.75" customHeight="1">
      <c r="B529" s="17"/>
    </row>
    <row r="530" ht="15.75" customHeight="1">
      <c r="B530" s="17"/>
    </row>
    <row r="531" ht="15.75" customHeight="1">
      <c r="B531" s="17"/>
    </row>
    <row r="532" ht="15.75" customHeight="1">
      <c r="B532" s="17"/>
    </row>
    <row r="533" ht="15.75" customHeight="1">
      <c r="B533" s="17"/>
    </row>
    <row r="534" ht="15.75" customHeight="1">
      <c r="B534" s="17"/>
    </row>
    <row r="535" ht="15.75" customHeight="1">
      <c r="B535" s="17"/>
    </row>
    <row r="536" ht="15.75" customHeight="1">
      <c r="B536" s="17"/>
    </row>
    <row r="537" ht="15.75" customHeight="1">
      <c r="B537" s="17"/>
    </row>
    <row r="538" ht="15.75" customHeight="1">
      <c r="B538" s="17"/>
    </row>
    <row r="539" ht="15.75" customHeight="1">
      <c r="B539" s="17"/>
    </row>
    <row r="540" ht="15.75" customHeight="1">
      <c r="B540" s="17"/>
    </row>
    <row r="541" ht="15.75" customHeight="1">
      <c r="B541" s="17"/>
    </row>
    <row r="542" ht="15.75" customHeight="1">
      <c r="B542" s="17"/>
    </row>
    <row r="543" ht="15.75" customHeight="1">
      <c r="B543" s="17"/>
    </row>
    <row r="544" ht="15.75" customHeight="1">
      <c r="B544" s="17"/>
    </row>
    <row r="545" ht="15.75" customHeight="1">
      <c r="B545" s="17"/>
    </row>
    <row r="546" ht="15.75" customHeight="1">
      <c r="B546" s="17"/>
    </row>
    <row r="547" ht="15.75" customHeight="1">
      <c r="B547" s="17"/>
    </row>
    <row r="548" ht="15.75" customHeight="1">
      <c r="B548" s="17"/>
    </row>
    <row r="549" ht="15.75" customHeight="1">
      <c r="B549" s="17"/>
    </row>
    <row r="550" ht="15.75" customHeight="1">
      <c r="B550" s="17"/>
    </row>
    <row r="551" ht="15.75" customHeight="1">
      <c r="B551" s="17"/>
    </row>
    <row r="552" ht="15.75" customHeight="1">
      <c r="B552" s="17"/>
    </row>
    <row r="553" ht="15.75" customHeight="1">
      <c r="B553" s="17"/>
    </row>
    <row r="554" ht="15.75" customHeight="1">
      <c r="B554" s="17"/>
    </row>
    <row r="555" ht="15.75" customHeight="1">
      <c r="B555" s="17"/>
    </row>
    <row r="556" ht="15.75" customHeight="1">
      <c r="B556" s="17"/>
    </row>
    <row r="557" ht="15.75" customHeight="1">
      <c r="B557" s="17"/>
    </row>
    <row r="558" ht="15.75" customHeight="1">
      <c r="B558" s="17"/>
    </row>
    <row r="559" ht="15.75" customHeight="1">
      <c r="B559" s="17"/>
    </row>
    <row r="560" ht="15.75" customHeight="1">
      <c r="B560" s="17"/>
    </row>
    <row r="561" ht="15.75" customHeight="1">
      <c r="B561" s="17"/>
    </row>
    <row r="562" ht="15.75" customHeight="1">
      <c r="B562" s="17"/>
    </row>
    <row r="563" ht="15.75" customHeight="1">
      <c r="B563" s="17"/>
    </row>
    <row r="564" ht="15.75" customHeight="1">
      <c r="B564" s="17"/>
    </row>
    <row r="565" ht="15.75" customHeight="1">
      <c r="B565" s="17"/>
    </row>
    <row r="566" ht="15.75" customHeight="1">
      <c r="B566" s="17"/>
    </row>
    <row r="567" ht="15.75" customHeight="1">
      <c r="B567" s="17"/>
    </row>
    <row r="568" ht="15.75" customHeight="1">
      <c r="B568" s="17"/>
    </row>
    <row r="569" ht="15.75" customHeight="1">
      <c r="B569" s="17"/>
    </row>
    <row r="570" ht="15.75" customHeight="1">
      <c r="B570" s="17"/>
    </row>
    <row r="571" ht="15.75" customHeight="1">
      <c r="B571" s="17"/>
    </row>
    <row r="572" ht="15.75" customHeight="1">
      <c r="B572" s="17"/>
    </row>
    <row r="573" ht="15.75" customHeight="1">
      <c r="B573" s="17"/>
    </row>
    <row r="574" ht="15.75" customHeight="1">
      <c r="B574" s="17"/>
    </row>
    <row r="575" ht="15.75" customHeight="1">
      <c r="B575" s="17"/>
    </row>
    <row r="576" ht="15.75" customHeight="1">
      <c r="B576" s="17"/>
    </row>
    <row r="577" ht="15.75" customHeight="1">
      <c r="B577" s="17"/>
    </row>
    <row r="578" ht="15.75" customHeight="1">
      <c r="B578" s="17"/>
    </row>
    <row r="579" ht="15.75" customHeight="1">
      <c r="B579" s="17"/>
    </row>
    <row r="580" ht="15.75" customHeight="1">
      <c r="B580" s="17"/>
    </row>
    <row r="581" ht="15.75" customHeight="1">
      <c r="B581" s="17"/>
    </row>
    <row r="582" ht="15.75" customHeight="1">
      <c r="B582" s="17"/>
    </row>
    <row r="583" ht="15.75" customHeight="1">
      <c r="B583" s="17"/>
    </row>
    <row r="584" ht="15.75" customHeight="1">
      <c r="B584" s="17"/>
    </row>
    <row r="585" ht="15.75" customHeight="1">
      <c r="B585" s="17"/>
    </row>
    <row r="586" ht="15.75" customHeight="1">
      <c r="B586" s="17"/>
    </row>
    <row r="587" ht="15.75" customHeight="1">
      <c r="B587" s="17"/>
    </row>
    <row r="588" ht="15.75" customHeight="1">
      <c r="B588" s="17"/>
    </row>
    <row r="589" ht="15.75" customHeight="1">
      <c r="B589" s="17"/>
    </row>
    <row r="590" ht="15.75" customHeight="1">
      <c r="B590" s="17"/>
    </row>
    <row r="591" ht="15.75" customHeight="1">
      <c r="B591" s="17"/>
    </row>
    <row r="592" ht="15.75" customHeight="1">
      <c r="B592" s="17"/>
    </row>
    <row r="593" ht="15.75" customHeight="1">
      <c r="B593" s="17"/>
    </row>
    <row r="594" ht="15.75" customHeight="1">
      <c r="B594" s="17"/>
    </row>
    <row r="595" ht="15.75" customHeight="1">
      <c r="B595" s="17"/>
    </row>
    <row r="596" ht="15.75" customHeight="1">
      <c r="B596" s="17"/>
    </row>
    <row r="597" ht="15.75" customHeight="1">
      <c r="B597" s="17"/>
    </row>
    <row r="598" ht="15.75" customHeight="1">
      <c r="B598" s="17"/>
    </row>
    <row r="599" ht="15.75" customHeight="1">
      <c r="B599" s="17"/>
    </row>
    <row r="600" ht="15.75" customHeight="1">
      <c r="B600" s="17"/>
    </row>
    <row r="601" ht="15.75" customHeight="1">
      <c r="B601" s="17"/>
    </row>
    <row r="602" ht="15.75" customHeight="1">
      <c r="B602" s="17"/>
    </row>
    <row r="603" ht="15.75" customHeight="1">
      <c r="B603" s="17"/>
    </row>
    <row r="604" ht="15.75" customHeight="1">
      <c r="B604" s="17"/>
    </row>
    <row r="605" ht="15.75" customHeight="1">
      <c r="B605" s="17"/>
    </row>
    <row r="606" ht="15.75" customHeight="1">
      <c r="B606" s="17"/>
    </row>
    <row r="607" ht="15.75" customHeight="1">
      <c r="B607" s="17"/>
    </row>
    <row r="608" ht="15.75" customHeight="1">
      <c r="B608" s="17"/>
    </row>
    <row r="609" ht="15.75" customHeight="1">
      <c r="B609" s="17"/>
    </row>
    <row r="610" ht="15.75" customHeight="1">
      <c r="B610" s="17"/>
    </row>
    <row r="611" ht="15.75" customHeight="1">
      <c r="B611" s="17"/>
    </row>
    <row r="612" ht="15.75" customHeight="1">
      <c r="B612" s="17"/>
    </row>
    <row r="613" ht="15.75" customHeight="1">
      <c r="B613" s="17"/>
    </row>
    <row r="614" ht="15.75" customHeight="1">
      <c r="B614" s="17"/>
    </row>
    <row r="615" ht="15.75" customHeight="1">
      <c r="B615" s="17"/>
    </row>
    <row r="616" ht="15.75" customHeight="1">
      <c r="B616" s="17"/>
    </row>
    <row r="617" ht="15.75" customHeight="1">
      <c r="B617" s="17"/>
    </row>
    <row r="618" ht="15.75" customHeight="1">
      <c r="B618" s="17"/>
    </row>
    <row r="619" ht="15.75" customHeight="1">
      <c r="B619" s="17"/>
    </row>
    <row r="620" ht="15.75" customHeight="1">
      <c r="B620" s="17"/>
    </row>
    <row r="621" ht="15.75" customHeight="1">
      <c r="B621" s="17"/>
    </row>
    <row r="622" ht="15.75" customHeight="1">
      <c r="B622" s="17"/>
    </row>
    <row r="623" ht="15.75" customHeight="1">
      <c r="B623" s="17"/>
    </row>
    <row r="624" ht="15.75" customHeight="1">
      <c r="B624" s="17"/>
    </row>
    <row r="625" ht="15.75" customHeight="1">
      <c r="B625" s="17"/>
    </row>
    <row r="626" ht="15.75" customHeight="1">
      <c r="B626" s="17"/>
    </row>
    <row r="627" ht="15.75" customHeight="1">
      <c r="B627" s="17"/>
    </row>
    <row r="628" ht="15.75" customHeight="1">
      <c r="B628" s="17"/>
    </row>
    <row r="629" ht="15.75" customHeight="1">
      <c r="B629" s="17"/>
    </row>
    <row r="630" ht="15.75" customHeight="1">
      <c r="B630" s="17"/>
    </row>
    <row r="631" ht="15.75" customHeight="1">
      <c r="B631" s="17"/>
    </row>
    <row r="632" ht="15.75" customHeight="1">
      <c r="B632" s="17"/>
    </row>
    <row r="633" ht="15.75" customHeight="1">
      <c r="B633" s="17"/>
    </row>
    <row r="634" ht="15.75" customHeight="1">
      <c r="B634" s="17"/>
    </row>
    <row r="635" ht="15.75" customHeight="1">
      <c r="B635" s="17"/>
    </row>
    <row r="636" ht="15.75" customHeight="1">
      <c r="B636" s="17"/>
    </row>
    <row r="637" ht="15.75" customHeight="1">
      <c r="B637" s="17"/>
    </row>
    <row r="638" ht="15.75" customHeight="1">
      <c r="B638" s="17"/>
    </row>
    <row r="639" ht="15.75" customHeight="1">
      <c r="B639" s="17"/>
    </row>
    <row r="640" ht="15.75" customHeight="1">
      <c r="B640" s="17"/>
    </row>
    <row r="641" ht="15.75" customHeight="1">
      <c r="B641" s="17"/>
    </row>
    <row r="642" ht="15.75" customHeight="1">
      <c r="B642" s="17"/>
    </row>
    <row r="643" ht="15.75" customHeight="1">
      <c r="B643" s="17"/>
    </row>
    <row r="644" ht="15.75" customHeight="1">
      <c r="B644" s="17"/>
    </row>
    <row r="645" ht="15.75" customHeight="1">
      <c r="B645" s="17"/>
    </row>
    <row r="646" ht="15.75" customHeight="1">
      <c r="B646" s="17"/>
    </row>
    <row r="647" ht="15.75" customHeight="1">
      <c r="B647" s="17"/>
    </row>
    <row r="648" ht="15.75" customHeight="1">
      <c r="B648" s="17"/>
    </row>
    <row r="649" ht="15.75" customHeight="1">
      <c r="B649" s="17"/>
    </row>
    <row r="650" ht="15.75" customHeight="1">
      <c r="B650" s="17"/>
    </row>
    <row r="651" ht="15.75" customHeight="1">
      <c r="B651" s="17"/>
    </row>
    <row r="652" ht="15.75" customHeight="1">
      <c r="B652" s="17"/>
    </row>
    <row r="653" ht="15.75" customHeight="1">
      <c r="B653" s="17"/>
    </row>
    <row r="654" ht="15.75" customHeight="1">
      <c r="B654" s="17"/>
    </row>
    <row r="655" ht="15.75" customHeight="1">
      <c r="B655" s="17"/>
    </row>
    <row r="656" ht="15.75" customHeight="1">
      <c r="B656" s="17"/>
    </row>
    <row r="657" ht="15.75" customHeight="1">
      <c r="B657" s="17"/>
    </row>
    <row r="658" ht="15.75" customHeight="1">
      <c r="B658" s="17"/>
    </row>
    <row r="659" ht="15.75" customHeight="1">
      <c r="B659" s="17"/>
    </row>
    <row r="660" ht="15.75" customHeight="1">
      <c r="B660" s="17"/>
    </row>
    <row r="661" ht="15.75" customHeight="1">
      <c r="B661" s="17"/>
    </row>
    <row r="662" ht="15.75" customHeight="1">
      <c r="B662" s="17"/>
    </row>
    <row r="663" ht="15.75" customHeight="1">
      <c r="B663" s="17"/>
    </row>
    <row r="664" ht="15.75" customHeight="1">
      <c r="B664" s="17"/>
    </row>
    <row r="665" ht="15.75" customHeight="1">
      <c r="B665" s="17"/>
    </row>
    <row r="666" ht="15.75" customHeight="1">
      <c r="B666" s="17"/>
    </row>
    <row r="667" ht="15.75" customHeight="1">
      <c r="B667" s="17"/>
    </row>
    <row r="668" ht="15.75" customHeight="1">
      <c r="B668" s="17"/>
    </row>
    <row r="669" ht="15.75" customHeight="1">
      <c r="B669" s="17"/>
    </row>
    <row r="670" ht="15.75" customHeight="1">
      <c r="B670" s="17"/>
    </row>
    <row r="671" ht="15.75" customHeight="1">
      <c r="B671" s="17"/>
    </row>
    <row r="672" ht="15.75" customHeight="1">
      <c r="B672" s="17"/>
    </row>
    <row r="673" ht="15.75" customHeight="1">
      <c r="B673" s="17"/>
    </row>
    <row r="674" ht="15.75" customHeight="1">
      <c r="B674" s="17"/>
    </row>
    <row r="675" ht="15.75" customHeight="1">
      <c r="B675" s="17"/>
    </row>
    <row r="676" ht="15.75" customHeight="1">
      <c r="B676" s="17"/>
    </row>
    <row r="677" ht="15.75" customHeight="1">
      <c r="B677" s="17"/>
    </row>
    <row r="678" ht="15.75" customHeight="1">
      <c r="B678" s="17"/>
    </row>
    <row r="679" ht="15.75" customHeight="1">
      <c r="B679" s="17"/>
    </row>
    <row r="680" ht="15.75" customHeight="1">
      <c r="B680" s="17"/>
    </row>
    <row r="681" ht="15.75" customHeight="1">
      <c r="B681" s="17"/>
    </row>
    <row r="682" ht="15.75" customHeight="1">
      <c r="B682" s="17"/>
    </row>
    <row r="683" ht="15.75" customHeight="1">
      <c r="B683" s="17"/>
    </row>
    <row r="684" ht="15.75" customHeight="1">
      <c r="B684" s="17"/>
    </row>
    <row r="685" ht="15.75" customHeight="1">
      <c r="B685" s="17"/>
    </row>
    <row r="686" ht="15.75" customHeight="1">
      <c r="B686" s="17"/>
    </row>
    <row r="687" ht="15.75" customHeight="1">
      <c r="B687" s="17"/>
    </row>
    <row r="688" ht="15.75" customHeight="1">
      <c r="B688" s="17"/>
    </row>
    <row r="689" ht="15.75" customHeight="1">
      <c r="B689" s="17"/>
    </row>
    <row r="690" ht="15.75" customHeight="1">
      <c r="B690" s="17"/>
    </row>
    <row r="691" ht="15.75" customHeight="1">
      <c r="B691" s="17"/>
    </row>
    <row r="692" ht="15.75" customHeight="1">
      <c r="B692" s="17"/>
    </row>
    <row r="693" ht="15.75" customHeight="1">
      <c r="B693" s="17"/>
    </row>
    <row r="694" ht="15.75" customHeight="1">
      <c r="B694" s="17"/>
    </row>
    <row r="695" ht="15.75" customHeight="1">
      <c r="B695" s="17"/>
    </row>
    <row r="696" ht="15.75" customHeight="1">
      <c r="B696" s="17"/>
    </row>
    <row r="697" ht="15.75" customHeight="1">
      <c r="B697" s="17"/>
    </row>
    <row r="698" ht="15.75" customHeight="1">
      <c r="B698" s="17"/>
    </row>
    <row r="699" ht="15.75" customHeight="1">
      <c r="B699" s="17"/>
    </row>
    <row r="700" ht="15.75" customHeight="1">
      <c r="B700" s="17"/>
    </row>
    <row r="701" ht="15.75" customHeight="1">
      <c r="B701" s="17"/>
    </row>
    <row r="702" ht="15.75" customHeight="1">
      <c r="B702" s="17"/>
    </row>
    <row r="703" ht="15.75" customHeight="1">
      <c r="B703" s="17"/>
    </row>
    <row r="704" ht="15.75" customHeight="1">
      <c r="B704" s="17"/>
    </row>
    <row r="705" ht="15.75" customHeight="1">
      <c r="B705" s="17"/>
    </row>
    <row r="706" ht="15.75" customHeight="1">
      <c r="B706" s="17"/>
    </row>
    <row r="707" ht="15.75" customHeight="1">
      <c r="B707" s="17"/>
    </row>
    <row r="708" ht="15.75" customHeight="1">
      <c r="B708" s="17"/>
    </row>
    <row r="709" ht="15.75" customHeight="1">
      <c r="B709" s="17"/>
    </row>
    <row r="710" ht="15.75" customHeight="1">
      <c r="B710" s="17"/>
    </row>
    <row r="711" ht="15.75" customHeight="1">
      <c r="B711" s="17"/>
    </row>
    <row r="712" ht="15.75" customHeight="1">
      <c r="B712" s="17"/>
    </row>
    <row r="713" ht="15.75" customHeight="1">
      <c r="B713" s="17"/>
    </row>
    <row r="714" ht="15.75" customHeight="1">
      <c r="B714" s="17"/>
    </row>
    <row r="715" ht="15.75" customHeight="1">
      <c r="B715" s="17"/>
    </row>
    <row r="716" ht="15.75" customHeight="1">
      <c r="B716" s="17"/>
    </row>
    <row r="717" ht="15.75" customHeight="1">
      <c r="B717" s="17"/>
    </row>
    <row r="718" ht="15.75" customHeight="1">
      <c r="B718" s="17"/>
    </row>
    <row r="719" ht="15.75" customHeight="1">
      <c r="B719" s="17"/>
    </row>
    <row r="720" ht="15.75" customHeight="1">
      <c r="B720" s="17"/>
    </row>
    <row r="721" ht="15.75" customHeight="1">
      <c r="B721" s="17"/>
    </row>
    <row r="722" ht="15.75" customHeight="1">
      <c r="B722" s="17"/>
    </row>
    <row r="723" ht="15.75" customHeight="1">
      <c r="B723" s="17"/>
    </row>
    <row r="724" ht="15.75" customHeight="1">
      <c r="B724" s="17"/>
    </row>
    <row r="725" ht="15.75" customHeight="1">
      <c r="B725" s="17"/>
    </row>
    <row r="726" ht="15.75" customHeight="1">
      <c r="B726" s="17"/>
    </row>
    <row r="727" ht="15.75" customHeight="1">
      <c r="B727" s="17"/>
    </row>
    <row r="728" ht="15.75" customHeight="1">
      <c r="B728" s="17"/>
    </row>
    <row r="729" ht="15.75" customHeight="1">
      <c r="B729" s="17"/>
    </row>
    <row r="730" ht="15.75" customHeight="1">
      <c r="B730" s="17"/>
    </row>
    <row r="731" ht="15.75" customHeight="1">
      <c r="B731" s="17"/>
    </row>
    <row r="732" ht="15.75" customHeight="1">
      <c r="B732" s="17"/>
    </row>
    <row r="733" ht="15.75" customHeight="1">
      <c r="B733" s="17"/>
    </row>
    <row r="734" ht="15.75" customHeight="1">
      <c r="B734" s="17"/>
    </row>
    <row r="735" ht="15.75" customHeight="1">
      <c r="B735" s="17"/>
    </row>
    <row r="736" ht="15.75" customHeight="1">
      <c r="B736" s="17"/>
    </row>
    <row r="737" ht="15.75" customHeight="1">
      <c r="B737" s="17"/>
    </row>
    <row r="738" ht="15.75" customHeight="1">
      <c r="B738" s="17"/>
    </row>
    <row r="739" ht="15.75" customHeight="1">
      <c r="B739" s="17"/>
    </row>
    <row r="740" ht="15.75" customHeight="1">
      <c r="B740" s="17"/>
    </row>
    <row r="741" ht="15.75" customHeight="1">
      <c r="B741" s="17"/>
    </row>
    <row r="742" ht="15.75" customHeight="1">
      <c r="B742" s="17"/>
    </row>
    <row r="743" ht="15.75" customHeight="1">
      <c r="B743" s="17"/>
    </row>
    <row r="744" ht="15.75" customHeight="1">
      <c r="B744" s="17"/>
    </row>
    <row r="745" ht="15.75" customHeight="1">
      <c r="B745" s="17"/>
    </row>
    <row r="746" ht="15.75" customHeight="1">
      <c r="B746" s="17"/>
    </row>
    <row r="747" ht="15.75" customHeight="1">
      <c r="B747" s="17"/>
    </row>
    <row r="748" ht="15.75" customHeight="1">
      <c r="B748" s="17"/>
    </row>
    <row r="749" ht="15.75" customHeight="1">
      <c r="B749" s="17"/>
    </row>
    <row r="750" ht="15.75" customHeight="1">
      <c r="B750" s="17"/>
    </row>
    <row r="751" ht="15.75" customHeight="1">
      <c r="B751" s="17"/>
    </row>
    <row r="752" ht="15.75" customHeight="1">
      <c r="B752" s="17"/>
    </row>
    <row r="753" ht="15.75" customHeight="1">
      <c r="B753" s="17"/>
    </row>
    <row r="754" ht="15.75" customHeight="1">
      <c r="B754" s="17"/>
    </row>
    <row r="755" ht="15.75" customHeight="1">
      <c r="B755" s="17"/>
    </row>
    <row r="756" ht="15.75" customHeight="1">
      <c r="B756" s="17"/>
    </row>
    <row r="757" ht="15.75" customHeight="1">
      <c r="B757" s="17"/>
    </row>
    <row r="758" ht="15.75" customHeight="1">
      <c r="B758" s="17"/>
    </row>
    <row r="759" ht="15.75" customHeight="1">
      <c r="B759" s="17"/>
    </row>
    <row r="760" ht="15.75" customHeight="1">
      <c r="B760" s="17"/>
    </row>
    <row r="761" ht="15.75" customHeight="1">
      <c r="B761" s="17"/>
    </row>
    <row r="762" ht="15.75" customHeight="1">
      <c r="B762" s="17"/>
    </row>
    <row r="763" ht="15.75" customHeight="1">
      <c r="B763" s="17"/>
    </row>
    <row r="764" ht="15.75" customHeight="1">
      <c r="B764" s="17"/>
    </row>
    <row r="765" ht="15.75" customHeight="1">
      <c r="B765" s="17"/>
    </row>
    <row r="766" ht="15.75" customHeight="1">
      <c r="B766" s="17"/>
    </row>
    <row r="767" ht="15.75" customHeight="1">
      <c r="B767" s="17"/>
    </row>
    <row r="768" ht="15.75" customHeight="1">
      <c r="B768" s="17"/>
    </row>
    <row r="769" ht="15.75" customHeight="1">
      <c r="B769" s="17"/>
    </row>
    <row r="770" ht="15.75" customHeight="1">
      <c r="B770" s="17"/>
    </row>
    <row r="771" ht="15.75" customHeight="1">
      <c r="B771" s="17"/>
    </row>
    <row r="772" ht="15.75" customHeight="1">
      <c r="B772" s="17"/>
    </row>
    <row r="773" ht="15.75" customHeight="1">
      <c r="B773" s="17"/>
    </row>
    <row r="774" ht="15.75" customHeight="1">
      <c r="B774" s="17"/>
    </row>
    <row r="775" ht="15.75" customHeight="1">
      <c r="B775" s="17"/>
    </row>
    <row r="776" ht="15.75" customHeight="1">
      <c r="B776" s="17"/>
    </row>
    <row r="777" ht="15.75" customHeight="1">
      <c r="B777" s="17"/>
    </row>
    <row r="778" ht="15.75" customHeight="1">
      <c r="B778" s="17"/>
    </row>
    <row r="779" ht="15.75" customHeight="1">
      <c r="B779" s="17"/>
    </row>
    <row r="780" ht="15.75" customHeight="1">
      <c r="B780" s="17"/>
    </row>
    <row r="781" ht="15.75" customHeight="1">
      <c r="B781" s="17"/>
    </row>
    <row r="782" ht="15.75" customHeight="1">
      <c r="B782" s="17"/>
    </row>
    <row r="783" ht="15.75" customHeight="1">
      <c r="B783" s="17"/>
    </row>
    <row r="784" ht="15.75" customHeight="1">
      <c r="B784" s="17"/>
    </row>
    <row r="785" ht="15.75" customHeight="1">
      <c r="B785" s="17"/>
    </row>
    <row r="786" ht="15.75" customHeight="1">
      <c r="B786" s="17"/>
    </row>
    <row r="787" ht="15.75" customHeight="1">
      <c r="B787" s="17"/>
    </row>
    <row r="788" ht="15.75" customHeight="1">
      <c r="B788" s="17"/>
    </row>
    <row r="789" ht="15.75" customHeight="1">
      <c r="B789" s="17"/>
    </row>
    <row r="790" ht="15.75" customHeight="1">
      <c r="B790" s="17"/>
    </row>
    <row r="791" ht="15.75" customHeight="1">
      <c r="B791" s="17"/>
    </row>
    <row r="792" ht="15.75" customHeight="1">
      <c r="B792" s="17"/>
    </row>
    <row r="793" ht="15.75" customHeight="1">
      <c r="B793" s="17"/>
    </row>
    <row r="794" ht="15.75" customHeight="1">
      <c r="B794" s="17"/>
    </row>
    <row r="795" ht="15.75" customHeight="1">
      <c r="B795" s="17"/>
    </row>
    <row r="796" ht="15.75" customHeight="1">
      <c r="B796" s="17"/>
    </row>
    <row r="797" ht="15.75" customHeight="1">
      <c r="B797" s="17"/>
    </row>
    <row r="798" ht="15.75" customHeight="1">
      <c r="B798" s="17"/>
    </row>
    <row r="799" ht="15.75" customHeight="1">
      <c r="B799" s="17"/>
    </row>
    <row r="800" ht="15.75" customHeight="1">
      <c r="B800" s="17"/>
    </row>
    <row r="801" ht="15.75" customHeight="1">
      <c r="B801" s="17"/>
    </row>
    <row r="802" ht="15.75" customHeight="1">
      <c r="B802" s="17"/>
    </row>
    <row r="803" ht="15.75" customHeight="1">
      <c r="B803" s="17"/>
    </row>
    <row r="804" ht="15.75" customHeight="1">
      <c r="B804" s="17"/>
    </row>
    <row r="805" ht="15.75" customHeight="1">
      <c r="B805" s="17"/>
    </row>
    <row r="806" ht="15.75" customHeight="1">
      <c r="B806" s="17"/>
    </row>
    <row r="807" ht="15.75" customHeight="1">
      <c r="B807" s="17"/>
    </row>
    <row r="808" ht="15.75" customHeight="1">
      <c r="B808" s="17"/>
    </row>
    <row r="809" ht="15.75" customHeight="1">
      <c r="B809" s="17"/>
    </row>
    <row r="810" ht="15.75" customHeight="1">
      <c r="B810" s="17"/>
    </row>
    <row r="811" ht="15.75" customHeight="1">
      <c r="B811" s="17"/>
    </row>
    <row r="812" ht="15.75" customHeight="1">
      <c r="B812" s="17"/>
    </row>
    <row r="813" ht="15.75" customHeight="1">
      <c r="B813" s="17"/>
    </row>
    <row r="814" ht="15.75" customHeight="1">
      <c r="B814" s="17"/>
    </row>
    <row r="815" ht="15.75" customHeight="1">
      <c r="B815" s="17"/>
    </row>
    <row r="816" ht="15.75" customHeight="1">
      <c r="B816" s="17"/>
    </row>
    <row r="817" ht="15.75" customHeight="1">
      <c r="B817" s="17"/>
    </row>
    <row r="818" ht="15.75" customHeight="1">
      <c r="B818" s="17"/>
    </row>
    <row r="819" ht="15.75" customHeight="1">
      <c r="B819" s="17"/>
    </row>
    <row r="820" ht="15.75" customHeight="1">
      <c r="B820" s="17"/>
    </row>
    <row r="821" ht="15.75" customHeight="1">
      <c r="B821" s="17"/>
    </row>
    <row r="822" ht="15.75" customHeight="1">
      <c r="B822" s="17"/>
    </row>
    <row r="823" ht="15.75" customHeight="1">
      <c r="B823" s="17"/>
    </row>
    <row r="824" ht="15.75" customHeight="1">
      <c r="B824" s="17"/>
    </row>
    <row r="825" ht="15.75" customHeight="1">
      <c r="B825" s="17"/>
    </row>
    <row r="826" ht="15.75" customHeight="1">
      <c r="B826" s="17"/>
    </row>
    <row r="827" ht="15.75" customHeight="1">
      <c r="B827" s="17"/>
    </row>
    <row r="828" ht="15.75" customHeight="1">
      <c r="B828" s="17"/>
    </row>
    <row r="829" ht="15.75" customHeight="1">
      <c r="B829" s="17"/>
    </row>
    <row r="830" ht="15.75" customHeight="1">
      <c r="B830" s="17"/>
    </row>
    <row r="831" ht="15.75" customHeight="1">
      <c r="B831" s="17"/>
    </row>
    <row r="832" ht="15.75" customHeight="1">
      <c r="B832" s="17"/>
    </row>
    <row r="833" ht="15.75" customHeight="1">
      <c r="B833" s="17"/>
    </row>
    <row r="834" ht="15.75" customHeight="1">
      <c r="B834" s="17"/>
    </row>
    <row r="835" ht="15.75" customHeight="1">
      <c r="B835" s="17"/>
    </row>
    <row r="836" ht="15.75" customHeight="1">
      <c r="B836" s="17"/>
    </row>
    <row r="837" ht="15.75" customHeight="1">
      <c r="B837" s="17"/>
    </row>
    <row r="838" ht="15.75" customHeight="1">
      <c r="B838" s="17"/>
    </row>
    <row r="839" ht="15.75" customHeight="1">
      <c r="B839" s="17"/>
    </row>
    <row r="840" ht="15.75" customHeight="1">
      <c r="B840" s="17"/>
    </row>
    <row r="841" ht="15.75" customHeight="1">
      <c r="B841" s="17"/>
    </row>
    <row r="842" ht="15.75" customHeight="1">
      <c r="B842" s="17"/>
    </row>
    <row r="843" ht="15.75" customHeight="1">
      <c r="B843" s="17"/>
    </row>
    <row r="844" ht="15.75" customHeight="1">
      <c r="B844" s="17"/>
    </row>
    <row r="845" ht="15.75" customHeight="1">
      <c r="B845" s="17"/>
    </row>
    <row r="846" ht="15.75" customHeight="1">
      <c r="B846" s="17"/>
    </row>
    <row r="847" ht="15.75" customHeight="1">
      <c r="B847" s="17"/>
    </row>
    <row r="848" ht="15.75" customHeight="1">
      <c r="B848" s="17"/>
    </row>
    <row r="849" ht="15.75" customHeight="1">
      <c r="B849" s="17"/>
    </row>
    <row r="850" ht="15.75" customHeight="1">
      <c r="B850" s="17"/>
    </row>
    <row r="851" ht="15.75" customHeight="1">
      <c r="B851" s="17"/>
    </row>
    <row r="852" ht="15.75" customHeight="1">
      <c r="B852" s="17"/>
    </row>
    <row r="853" ht="15.75" customHeight="1">
      <c r="B853" s="17"/>
    </row>
    <row r="854" ht="15.75" customHeight="1">
      <c r="B854" s="17"/>
    </row>
    <row r="855" ht="15.75" customHeight="1">
      <c r="B855" s="17"/>
    </row>
    <row r="856" ht="15.75" customHeight="1">
      <c r="B856" s="17"/>
    </row>
    <row r="857" ht="15.75" customHeight="1">
      <c r="B857" s="17"/>
    </row>
    <row r="858" ht="15.75" customHeight="1">
      <c r="B858" s="17"/>
    </row>
    <row r="859" ht="15.75" customHeight="1">
      <c r="B859" s="17"/>
    </row>
    <row r="860" ht="15.75" customHeight="1">
      <c r="B860" s="17"/>
    </row>
    <row r="861" ht="15.75" customHeight="1">
      <c r="B861" s="17"/>
    </row>
    <row r="862" ht="15.75" customHeight="1">
      <c r="B862" s="17"/>
    </row>
    <row r="863" ht="15.75" customHeight="1">
      <c r="B863" s="17"/>
    </row>
    <row r="864" ht="15.75" customHeight="1">
      <c r="B864" s="17"/>
    </row>
    <row r="865" ht="15.75" customHeight="1">
      <c r="B865" s="17"/>
    </row>
    <row r="866" ht="15.75" customHeight="1">
      <c r="B866" s="17"/>
    </row>
    <row r="867" ht="15.75" customHeight="1">
      <c r="B867" s="17"/>
    </row>
    <row r="868" ht="15.75" customHeight="1">
      <c r="B868" s="17"/>
    </row>
    <row r="869" ht="15.75" customHeight="1">
      <c r="B869" s="17"/>
    </row>
    <row r="870" ht="15.75" customHeight="1">
      <c r="B870" s="17"/>
    </row>
    <row r="871" ht="15.75" customHeight="1">
      <c r="B871" s="17"/>
    </row>
    <row r="872" ht="15.75" customHeight="1">
      <c r="B872" s="17"/>
    </row>
    <row r="873" ht="15.75" customHeight="1">
      <c r="B873" s="17"/>
    </row>
    <row r="874" ht="15.75" customHeight="1">
      <c r="B874" s="17"/>
    </row>
    <row r="875" ht="15.75" customHeight="1">
      <c r="B875" s="17"/>
    </row>
    <row r="876" ht="15.75" customHeight="1">
      <c r="B876" s="17"/>
    </row>
    <row r="877" ht="15.75" customHeight="1">
      <c r="B877" s="17"/>
    </row>
    <row r="878" ht="15.75" customHeight="1">
      <c r="B878" s="17"/>
    </row>
    <row r="879" ht="15.75" customHeight="1">
      <c r="B879" s="17"/>
    </row>
    <row r="880" ht="15.75" customHeight="1">
      <c r="B880" s="17"/>
    </row>
    <row r="881" ht="15.75" customHeight="1">
      <c r="B881" s="17"/>
    </row>
    <row r="882" ht="15.75" customHeight="1">
      <c r="B882" s="17"/>
    </row>
    <row r="883" ht="15.75" customHeight="1">
      <c r="B883" s="17"/>
    </row>
    <row r="884" ht="15.75" customHeight="1">
      <c r="B884" s="17"/>
    </row>
    <row r="885" ht="15.75" customHeight="1">
      <c r="B885" s="17"/>
    </row>
    <row r="886" ht="15.75" customHeight="1">
      <c r="B886" s="17"/>
    </row>
    <row r="887" ht="15.75" customHeight="1">
      <c r="B887" s="17"/>
    </row>
    <row r="888" ht="15.75" customHeight="1">
      <c r="B888" s="17"/>
    </row>
    <row r="889" ht="15.75" customHeight="1">
      <c r="B889" s="17"/>
    </row>
    <row r="890" ht="15.75" customHeight="1">
      <c r="B890" s="17"/>
    </row>
    <row r="891" ht="15.75" customHeight="1">
      <c r="B891" s="17"/>
    </row>
    <row r="892" ht="15.75" customHeight="1">
      <c r="B892" s="17"/>
    </row>
    <row r="893" ht="15.75" customHeight="1">
      <c r="B893" s="17"/>
    </row>
    <row r="894" ht="15.75" customHeight="1">
      <c r="B894" s="17"/>
    </row>
    <row r="895" ht="15.75" customHeight="1">
      <c r="B895" s="17"/>
    </row>
    <row r="896" ht="15.75" customHeight="1">
      <c r="B896" s="17"/>
    </row>
    <row r="897" ht="15.75" customHeight="1">
      <c r="B897" s="17"/>
    </row>
    <row r="898" ht="15.75" customHeight="1">
      <c r="B898" s="17"/>
    </row>
    <row r="899" ht="15.75" customHeight="1">
      <c r="B899" s="17"/>
    </row>
    <row r="900" ht="15.75" customHeight="1">
      <c r="B900" s="17"/>
    </row>
    <row r="901" ht="15.75" customHeight="1">
      <c r="B901" s="17"/>
    </row>
    <row r="902" ht="15.75" customHeight="1">
      <c r="B902" s="17"/>
    </row>
    <row r="903" ht="15.75" customHeight="1">
      <c r="B903" s="17"/>
    </row>
    <row r="904" ht="15.75" customHeight="1">
      <c r="B904" s="17"/>
    </row>
    <row r="905" ht="15.75" customHeight="1">
      <c r="B905" s="17"/>
    </row>
    <row r="906" ht="15.75" customHeight="1">
      <c r="B906" s="17"/>
    </row>
    <row r="907" ht="15.75" customHeight="1">
      <c r="B907" s="17"/>
    </row>
    <row r="908" ht="15.75" customHeight="1">
      <c r="B908" s="17"/>
    </row>
    <row r="909" ht="15.75" customHeight="1">
      <c r="B909" s="17"/>
    </row>
    <row r="910" ht="15.75" customHeight="1">
      <c r="B910" s="17"/>
    </row>
    <row r="911" ht="15.75" customHeight="1">
      <c r="B911" s="17"/>
    </row>
    <row r="912" ht="15.75" customHeight="1">
      <c r="B912" s="17"/>
    </row>
    <row r="913" ht="15.75" customHeight="1">
      <c r="B913" s="17"/>
    </row>
    <row r="914" ht="15.75" customHeight="1">
      <c r="B914" s="17"/>
    </row>
    <row r="915" ht="15.75" customHeight="1">
      <c r="B915" s="17"/>
    </row>
    <row r="916" ht="15.75" customHeight="1">
      <c r="B916" s="17"/>
    </row>
    <row r="917" ht="15.75" customHeight="1">
      <c r="B917" s="17"/>
    </row>
    <row r="918" ht="15.75" customHeight="1">
      <c r="B918" s="17"/>
    </row>
    <row r="919" ht="15.75" customHeight="1">
      <c r="B919" s="17"/>
    </row>
    <row r="920" ht="15.75" customHeight="1">
      <c r="B920" s="17"/>
    </row>
    <row r="921" ht="15.75" customHeight="1">
      <c r="B921" s="17"/>
    </row>
    <row r="922" ht="15.75" customHeight="1">
      <c r="B922" s="17"/>
    </row>
    <row r="923" ht="15.75" customHeight="1">
      <c r="B923" s="17"/>
    </row>
    <row r="924" ht="15.75" customHeight="1">
      <c r="B924" s="17"/>
    </row>
    <row r="925" ht="15.75" customHeight="1">
      <c r="B925" s="17"/>
    </row>
    <row r="926" ht="15.75" customHeight="1">
      <c r="B926" s="17"/>
    </row>
    <row r="927" ht="15.75" customHeight="1">
      <c r="B927" s="17"/>
    </row>
    <row r="928" ht="15.75" customHeight="1">
      <c r="B928" s="17"/>
    </row>
    <row r="929" ht="15.75" customHeight="1">
      <c r="B929" s="17"/>
    </row>
    <row r="930" ht="15.75" customHeight="1">
      <c r="B930" s="17"/>
    </row>
    <row r="931" ht="15.75" customHeight="1">
      <c r="B931" s="17"/>
    </row>
    <row r="932" ht="15.75" customHeight="1">
      <c r="B932" s="17"/>
    </row>
    <row r="933" ht="15.75" customHeight="1">
      <c r="B933" s="17"/>
    </row>
    <row r="934" ht="15.75" customHeight="1">
      <c r="B934" s="17"/>
    </row>
    <row r="935" ht="15.75" customHeight="1">
      <c r="B935" s="17"/>
    </row>
    <row r="936" ht="15.75" customHeight="1">
      <c r="B936" s="17"/>
    </row>
    <row r="937" ht="15.75" customHeight="1">
      <c r="B937" s="17"/>
    </row>
    <row r="938" ht="15.75" customHeight="1">
      <c r="B938" s="17"/>
    </row>
    <row r="939" ht="15.75" customHeight="1">
      <c r="B939" s="17"/>
    </row>
    <row r="940" ht="15.75" customHeight="1">
      <c r="B940" s="17"/>
    </row>
    <row r="941" ht="15.75" customHeight="1">
      <c r="B941" s="17"/>
    </row>
    <row r="942" ht="15.75" customHeight="1">
      <c r="B942" s="17"/>
    </row>
    <row r="943" ht="15.75" customHeight="1">
      <c r="B943" s="17"/>
    </row>
    <row r="944" ht="15.75" customHeight="1">
      <c r="B944" s="17"/>
    </row>
    <row r="945" ht="15.75" customHeight="1">
      <c r="B945" s="17"/>
    </row>
    <row r="946" ht="15.75" customHeight="1">
      <c r="B946" s="17"/>
    </row>
    <row r="947" ht="15.75" customHeight="1">
      <c r="B947" s="17"/>
    </row>
    <row r="948" ht="15.75" customHeight="1">
      <c r="B948" s="17"/>
    </row>
    <row r="949" ht="15.75" customHeight="1">
      <c r="B949" s="17"/>
    </row>
    <row r="950" ht="15.75" customHeight="1">
      <c r="B950" s="17"/>
    </row>
    <row r="951" ht="15.75" customHeight="1">
      <c r="B951" s="17"/>
    </row>
    <row r="952" ht="15.75" customHeight="1">
      <c r="B952" s="17"/>
    </row>
    <row r="953" ht="15.75" customHeight="1">
      <c r="B953" s="17"/>
    </row>
    <row r="954" ht="15.75" customHeight="1">
      <c r="B954" s="17"/>
    </row>
    <row r="955" ht="15.75" customHeight="1">
      <c r="B955" s="17"/>
    </row>
    <row r="956" ht="15.75" customHeight="1">
      <c r="B956" s="17"/>
    </row>
    <row r="957" ht="15.75" customHeight="1">
      <c r="B957" s="17"/>
    </row>
    <row r="958" ht="15.75" customHeight="1">
      <c r="B958" s="17"/>
    </row>
    <row r="959" ht="15.75" customHeight="1">
      <c r="B959" s="17"/>
    </row>
    <row r="960" ht="15.75" customHeight="1">
      <c r="B960" s="17"/>
    </row>
    <row r="961" ht="15.75" customHeight="1">
      <c r="B961" s="17"/>
    </row>
    <row r="962" ht="15.75" customHeight="1">
      <c r="B962" s="17"/>
    </row>
    <row r="963" ht="15.75" customHeight="1">
      <c r="B963" s="17"/>
    </row>
    <row r="964" ht="15.75" customHeight="1">
      <c r="B964" s="17"/>
    </row>
    <row r="965" ht="15.75" customHeight="1">
      <c r="B965" s="17"/>
    </row>
    <row r="966" ht="15.75" customHeight="1">
      <c r="B966" s="17"/>
    </row>
    <row r="967" ht="15.75" customHeight="1">
      <c r="B967" s="17"/>
    </row>
    <row r="968" ht="15.75" customHeight="1">
      <c r="B968" s="17"/>
    </row>
    <row r="969" ht="15.75" customHeight="1">
      <c r="B969" s="17"/>
    </row>
    <row r="970" ht="15.75" customHeight="1">
      <c r="B970" s="17"/>
    </row>
    <row r="971" ht="15.75" customHeight="1">
      <c r="B971" s="17"/>
    </row>
    <row r="972" ht="15.75" customHeight="1">
      <c r="B972" s="17"/>
    </row>
    <row r="973" ht="15.75" customHeight="1">
      <c r="B973" s="17"/>
    </row>
    <row r="974" ht="15.75" customHeight="1">
      <c r="B974" s="17"/>
    </row>
    <row r="975" ht="15.75" customHeight="1">
      <c r="B975" s="17"/>
    </row>
    <row r="976" ht="15.75" customHeight="1">
      <c r="B976" s="17"/>
    </row>
    <row r="977" ht="15.75" customHeight="1">
      <c r="B977" s="17"/>
    </row>
    <row r="978" ht="15.75" customHeight="1">
      <c r="B978" s="17"/>
    </row>
    <row r="979" ht="15.75" customHeight="1">
      <c r="B979" s="17"/>
    </row>
    <row r="980" ht="15.75" customHeight="1">
      <c r="B980" s="17"/>
    </row>
    <row r="981" ht="15.75" customHeight="1">
      <c r="B981" s="17"/>
    </row>
    <row r="982" ht="15.75" customHeight="1">
      <c r="B982" s="17"/>
    </row>
    <row r="983" ht="15.75" customHeight="1">
      <c r="B983" s="17"/>
    </row>
    <row r="984" ht="15.75" customHeight="1">
      <c r="B984" s="17"/>
    </row>
    <row r="985" ht="15.75" customHeight="1">
      <c r="B985" s="17"/>
    </row>
    <row r="986" ht="15.75" customHeight="1">
      <c r="B986" s="17"/>
    </row>
    <row r="987" ht="15.75" customHeight="1">
      <c r="B987" s="17"/>
    </row>
    <row r="988" ht="15.75" customHeight="1">
      <c r="B988" s="17"/>
    </row>
    <row r="989" ht="15.75" customHeight="1">
      <c r="B989" s="17"/>
    </row>
    <row r="990" ht="15.75" customHeight="1">
      <c r="B990" s="17"/>
    </row>
    <row r="991" ht="15.75" customHeight="1">
      <c r="B991" s="17"/>
    </row>
    <row r="992" ht="15.75" customHeight="1">
      <c r="B992" s="17"/>
    </row>
    <row r="993" ht="15.75" customHeight="1">
      <c r="B993" s="17"/>
    </row>
    <row r="994" ht="15.75" customHeight="1">
      <c r="B994" s="17"/>
    </row>
    <row r="995" ht="15.75" customHeight="1">
      <c r="B995" s="17"/>
    </row>
    <row r="996" ht="15.75" customHeight="1">
      <c r="B996" s="17"/>
    </row>
    <row r="997" ht="15.75" customHeight="1">
      <c r="B997" s="17"/>
    </row>
    <row r="998" ht="15.75" customHeight="1">
      <c r="B998" s="17"/>
    </row>
    <row r="999" ht="15.75" customHeight="1">
      <c r="B999" s="17"/>
    </row>
    <row r="1000" ht="15.75" customHeight="1">
      <c r="B1000" s="17"/>
    </row>
    <row r="1001" ht="15.75" customHeight="1">
      <c r="B1001" s="17"/>
    </row>
    <row r="1002" ht="15.75" customHeight="1">
      <c r="B1002" s="17"/>
    </row>
    <row r="1003" ht="15.75" customHeight="1">
      <c r="B1003" s="17"/>
    </row>
  </sheetData>
  <conditionalFormatting sqref="C2:C3">
    <cfRule type="expression" dxfId="0" priority="1">
      <formula>if(countif(C:C,C2)&gt;1,1,0)</formula>
    </cfRule>
  </conditionalFormatting>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9.86"/>
    <col customWidth="1" min="2" max="2" width="18.43"/>
    <col customWidth="1" min="3" max="3" width="49.86"/>
    <col customWidth="1" min="6" max="6" width="33.43"/>
    <col customWidth="1" min="14" max="14" width="29.57"/>
  </cols>
  <sheetData>
    <row r="1">
      <c r="A1" s="167" t="str">
        <f>IFERROR(__xludf.DUMMYFUNCTION("IMPORTRANGE(""https://docs.google.com/spreadsheets/d/1l-iYfI0QgEr79PyHxt6PzvSrO-8AcvmgKswY_DQKKlo/edit#gid=279667306"",""SCV Level - B2C!A:N"")
"),"ATTRIBUTE NAME")</f>
        <v>ATTRIBUTE NAME</v>
      </c>
      <c r="B1" s="167" t="str">
        <f>IFERROR(__xludf.DUMMYFUNCTION("""COMPUTED_VALUE"""),"DATA CATEGORY")</f>
        <v>DATA CATEGORY</v>
      </c>
      <c r="C1" s="167" t="str">
        <f>IFERROR(__xludf.DUMMYFUNCTION("""COMPUTED_VALUE"""),"DEFINITION")</f>
        <v>DEFINITION</v>
      </c>
      <c r="D1" s="168" t="str">
        <f>IFERROR(__xludf.DUMMYFUNCTION("""COMPUTED_VALUE"""),"DERIVATION TYPE")</f>
        <v>DERIVATION TYPE</v>
      </c>
      <c r="E1" s="167" t="str">
        <f>IFERROR(__xludf.DUMMYFUNCTION("""COMPUTED_VALUE"""),"DATA TYPE")</f>
        <v>DATA TYPE</v>
      </c>
      <c r="F1" s="168" t="str">
        <f>IFERROR(__xludf.DUMMYFUNCTION("""COMPUTED_VALUE"""),"SAMPLE VALUES")</f>
        <v>SAMPLE VALUES</v>
      </c>
      <c r="G1" s="167" t="str">
        <f>IFERROR(__xludf.DUMMYFUNCTION("""COMPUTED_VALUE"""),"DATA OWNER")</f>
        <v>DATA OWNER</v>
      </c>
      <c r="H1" s="168" t="str">
        <f>IFERROR(__xludf.DUMMYFUNCTION("""COMPUTED_VALUE"""),"DATA REQUESTOR")</f>
        <v>DATA REQUESTOR</v>
      </c>
      <c r="I1" s="168" t="str">
        <f>IFERROR(__xludf.DUMMYFUNCTION("""COMPUTED_VALUE"""),"DATA USER")</f>
        <v>DATA USER</v>
      </c>
      <c r="J1" s="168" t="str">
        <f>IFERROR(__xludf.DUMMYFUNCTION("""COMPUTED_VALUE"""),"FREQUENCY OF REFRESH")</f>
        <v>FREQUENCY OF REFRESH</v>
      </c>
      <c r="K1" s="168" t="str">
        <f>IFERROR(__xludf.DUMMYFUNCTION("""COMPUTED_VALUE"""),"BRAND")</f>
        <v>BRAND</v>
      </c>
      <c r="L1" s="168" t="str">
        <f>IFERROR(__xludf.DUMMYFUNCTION("""COMPUTED_VALUE"""),"CFU")</f>
        <v>CFU</v>
      </c>
      <c r="M1" s="167" t="str">
        <f>IFERROR(__xludf.DUMMYFUNCTION("""COMPUTED_VALUE"""),"SUBJECT AREA")</f>
        <v>SUBJECT AREA</v>
      </c>
      <c r="N1" s="168" t="str">
        <f>IFERROR(__xludf.DUMMYFUNCTION("""COMPUTED_VALUE"""),"REDSHIFT TABLE")</f>
        <v>REDSHIFT TABLE</v>
      </c>
    </row>
    <row r="2">
      <c r="A2" s="257" t="str">
        <f>IFERROR(__xludf.DUMMYFUNCTION("""COMPUTED_VALUE"""),"gid_b2c")</f>
        <v>gid_b2c</v>
      </c>
      <c r="B2" s="257" t="str">
        <f>IFERROR(__xludf.DUMMYFUNCTION("""COMPUTED_VALUE"""),"Globe ID")</f>
        <v>Globe ID</v>
      </c>
      <c r="C2" s="258" t="str">
        <f>IFERROR(__xludf.DUMMYFUNCTION("""COMPUTED_VALUE"""),"Unique global identifier (gid) used to identify multiple subscrptions belonging to one customer.  
Each subscription matched to one customer will have the same GID.  
The rules for matching is defined in the Master Data Management (MDM) platform.")</f>
        <v>Unique global identifier (gid) used to identify multiple subscrptions belonging to one customer.  
Each subscription matched to one customer will have the same GID.  
The rules for matching is defined in the Master Data Management (MDM) platform.</v>
      </c>
      <c r="D2" s="257" t="str">
        <f>IFERROR(__xludf.DUMMYFUNCTION("""COMPUTED_VALUE"""),"Direct Pull")</f>
        <v>Direct Pull</v>
      </c>
      <c r="E2" s="257" t="str">
        <f>IFERROR(__xludf.DUMMYFUNCTION("""COMPUTED_VALUE"""),"String")</f>
        <v>String</v>
      </c>
      <c r="F2" s="257" t="str">
        <f>IFERROR(__xludf.DUMMYFUNCTION("""COMPUTED_VALUE"""),"46db2c95-9e9c-459a-a1b3-ee7648fc0873")</f>
        <v>46db2c95-9e9c-459a-a1b3-ee7648fc0873</v>
      </c>
      <c r="G2" s="258" t="str">
        <f>IFERROR(__xludf.DUMMYFUNCTION("""COMPUTED_VALUE"""),"CSSG-CDA")</f>
        <v>CSSG-CDA</v>
      </c>
      <c r="H2" s="258" t="str">
        <f>IFERROR(__xludf.DUMMYFUNCTION("""COMPUTED_VALUE"""),"EDO-DG")</f>
        <v>EDO-DG</v>
      </c>
      <c r="I2" s="258" t="str">
        <f>IFERROR(__xludf.DUMMYFUNCTION("""COMPUTED_VALUE"""),"FVT
CSSG
Arrow")</f>
        <v>FVT
CSSG
Arrow</v>
      </c>
      <c r="J2" s="258" t="str">
        <f>IFERROR(__xludf.DUMMYFUNCTION("""COMPUTED_VALUE"""),"Monthly")</f>
        <v>Monthly</v>
      </c>
      <c r="K2" s="258" t="str">
        <f>IFERROR(__xludf.DUMMYFUNCTION("""COMPUTED_VALUE"""),"NA - SCV View")</f>
        <v>NA - SCV View</v>
      </c>
      <c r="L2" s="258" t="str">
        <f>IFERROR(__xludf.DUMMYFUNCTION("""COMPUTED_VALUE"""),"Consumer
EG
SG")</f>
        <v>Consumer
EG
SG</v>
      </c>
      <c r="M2" s="258" t="str">
        <f>IFERROR(__xludf.DUMMYFUNCTION("""COMPUTED_VALUE"""),"customer")</f>
        <v>customer</v>
      </c>
      <c r="N2" s="258" t="str">
        <f>IFERROR(__xludf.DUMMYFUNCTION("""COMPUTED_VALUE"""),"scv_b2c_customer_profile")</f>
        <v>scv_b2c_customer_profile</v>
      </c>
    </row>
    <row r="3" ht="225.0" customHeight="1">
      <c r="A3" s="257" t="str">
        <f>IFERROR(__xludf.DUMMYFUNCTION("""COMPUTED_VALUE"""),"subscriber_id")</f>
        <v>subscriber_id</v>
      </c>
      <c r="B3" s="257" t="str">
        <f>IFERROR(__xludf.DUMMYFUNCTION("""COMPUTED_VALUE"""),"Globe ID")</f>
        <v>Globe ID</v>
      </c>
      <c r="C3" s="258" t="str">
        <f>IFERROR(__xludf.DUMMYFUNCTION("""COMPUTED_VALUE"""),"Unique subscriber identifier")</f>
        <v>Unique subscriber identifier</v>
      </c>
      <c r="D3" s="257" t="str">
        <f>IFERROR(__xludf.DUMMYFUNCTION("""COMPUTED_VALUE"""),"Direct Pull")</f>
        <v>Direct Pull</v>
      </c>
      <c r="E3" s="257" t="str">
        <f>IFERROR(__xludf.DUMMYFUNCTION("""COMPUTED_VALUE"""),"varchar(1000)")</f>
        <v>varchar(1000)</v>
      </c>
      <c r="F3" s="257">
        <f>IFERROR(__xludf.DUMMYFUNCTION("""COMPUTED_VALUE"""),5496688.0)</f>
        <v>5496688</v>
      </c>
      <c r="G3" s="258" t="str">
        <f>IFERROR(__xludf.DUMMYFUNCTION("""COMPUTED_VALUE"""),"EDO-UUP")</f>
        <v>EDO-UUP</v>
      </c>
      <c r="H3" s="258" t="str">
        <f>IFERROR(__xludf.DUMMYFUNCTION("""COMPUTED_VALUE"""),"DPA")</f>
        <v>DPA</v>
      </c>
      <c r="I3" s="258" t="str">
        <f>IFERROR(__xludf.DUMMYFUNCTION("""COMPUTED_VALUE"""),"DPA")</f>
        <v>DPA</v>
      </c>
      <c r="J3" s="258" t="str">
        <f>IFERROR(__xludf.DUMMYFUNCTION("""COMPUTED_VALUE"""),"Daily")</f>
        <v>Daily</v>
      </c>
      <c r="K3" s="258" t="str">
        <f>IFERROR(__xludf.DUMMYFUNCTION("""COMPUTED_VALUE"""),"GHP, GHP-PREPAID, TM, PW, GOMO, WIRELINE, BAYAN, GLOBE")</f>
        <v>GHP, GHP-PREPAID, TM, PW, GOMO, WIRELINE, BAYAN, GLOBE</v>
      </c>
      <c r="L3" s="258" t="str">
        <f>IFERROR(__xludf.DUMMYFUNCTION("""COMPUTED_VALUE"""),"Consumer
EG
SG")</f>
        <v>Consumer
EG
SG</v>
      </c>
      <c r="M3" s="258" t="str">
        <f>IFERROR(__xludf.DUMMYFUNCTION("""COMPUTED_VALUE"""),"customer")</f>
        <v>customer</v>
      </c>
      <c r="N3" s="258" t="str">
        <f>IFERROR(__xludf.DUMMYFUNCTION("""COMPUTED_VALUE"""),"scv_b2b_customer_profile")</f>
        <v>scv_b2b_customer_profile</v>
      </c>
    </row>
    <row r="4">
      <c r="A4" s="257" t="str">
        <f>IFERROR(__xludf.DUMMYFUNCTION("""COMPUTED_VALUE"""),"msisdn_value")</f>
        <v>msisdn_value</v>
      </c>
      <c r="B4" s="257" t="str">
        <f>IFERROR(__xludf.DUMMYFUNCTION("""COMPUTED_VALUE"""),"Customer PII")</f>
        <v>Customer PII</v>
      </c>
      <c r="C4" s="258" t="str">
        <f>IFERROR(__xludf.DUMMYFUNCTION("""COMPUTED_VALUE"""),"Mobile number of the subscriber for wireless while for wireline it is the service ID/landline number")</f>
        <v>Mobile number of the subscriber for wireless while for wireline it is the service ID/landline number</v>
      </c>
      <c r="D4" s="257" t="str">
        <f>IFERROR(__xludf.DUMMYFUNCTION("""COMPUTED_VALUE"""),"Derived")</f>
        <v>Derived</v>
      </c>
      <c r="E4" s="257" t="str">
        <f>IFERROR(__xludf.DUMMYFUNCTION("""COMPUTED_VALUE"""),"varchar(1000)")</f>
        <v>varchar(1000)</v>
      </c>
      <c r="F4" s="257" t="str">
        <f>IFERROR(__xludf.DUMMYFUNCTION("""COMPUTED_VALUE"""),"9120000000")</f>
        <v>9120000000</v>
      </c>
      <c r="G4" s="258" t="str">
        <f>IFERROR(__xludf.DUMMYFUNCTION("""COMPUTED_VALUE"""),"NTG-CPEI")</f>
        <v>NTG-CPEI</v>
      </c>
      <c r="H4" s="258" t="str">
        <f>IFERROR(__xludf.DUMMYFUNCTION("""COMPUTED_VALUE"""),"DPA")</f>
        <v>DPA</v>
      </c>
      <c r="I4" s="258" t="str">
        <f>IFERROR(__xludf.DUMMYFUNCTION("""COMPUTED_VALUE"""),"DPA")</f>
        <v>DPA</v>
      </c>
      <c r="J4" s="258" t="str">
        <f>IFERROR(__xludf.DUMMYFUNCTION("""COMPUTED_VALUE"""),"Daily")</f>
        <v>Daily</v>
      </c>
      <c r="K4" s="258" t="str">
        <f>IFERROR(__xludf.DUMMYFUNCTION("""COMPUTED_VALUE"""),"GHP, GHP-PREPAID, TM, PW, GOMO, WIRELINE, BAYAN, GLOBE")</f>
        <v>GHP, GHP-PREPAID, TM, PW, GOMO, WIRELINE, BAYAN, GLOBE</v>
      </c>
      <c r="L4" s="258" t="str">
        <f>IFERROR(__xludf.DUMMYFUNCTION("""COMPUTED_VALUE"""),"Consumer, EG, SG, In house, IBG Traveler")</f>
        <v>Consumer, EG, SG, In house, IBG Traveler</v>
      </c>
      <c r="M4" s="258" t="str">
        <f>IFERROR(__xludf.DUMMYFUNCTION("""COMPUTED_VALUE"""),"customer")</f>
        <v>customer</v>
      </c>
      <c r="N4" s="258" t="str">
        <f>IFERROR(__xludf.DUMMYFUNCTION("""COMPUTED_VALUE"""),"scv_b2c_customer_profile")</f>
        <v>scv_b2c_customer_profile</v>
      </c>
    </row>
    <row r="5">
      <c r="A5" s="257" t="str">
        <f>IFERROR(__xludf.DUMMYFUNCTION("""COMPUTED_VALUE"""),"financial_account_id")</f>
        <v>financial_account_id</v>
      </c>
      <c r="B5" s="257" t="str">
        <f>IFERROR(__xludf.DUMMYFUNCTION("""COMPUTED_VALUE"""),"Globe ID")</f>
        <v>Globe ID</v>
      </c>
      <c r="C5" s="258" t="str">
        <f>IFERROR(__xludf.DUMMYFUNCTION("""COMPUTED_VALUE"""),"The unique identifier of the financial account of the subscriber")</f>
        <v>The unique identifier of the financial account of the subscriber</v>
      </c>
      <c r="D5" s="257" t="str">
        <f>IFERROR(__xludf.DUMMYFUNCTION("""COMPUTED_VALUE"""),"Direct Pull")</f>
        <v>Direct Pull</v>
      </c>
      <c r="E5" s="257" t="str">
        <f>IFERROR(__xludf.DUMMYFUNCTION("""COMPUTED_VALUE"""),"integer")</f>
        <v>integer</v>
      </c>
      <c r="F5" s="257">
        <f>IFERROR(__xludf.DUMMYFUNCTION("""COMPUTED_VALUE"""),15.0)</f>
        <v>15</v>
      </c>
      <c r="G5" s="258" t="str">
        <f>IFERROR(__xludf.DUMMYFUNCTION("""COMPUTED_VALUE"""),"FVT CRM BB Postpaid")</f>
        <v>FVT CRM BB Postpaid</v>
      </c>
      <c r="H5" s="258" t="str">
        <f>IFERROR(__xludf.DUMMYFUNCTION("""COMPUTED_VALUE"""),"FVT CRM BB Postpaid")</f>
        <v>FVT CRM BB Postpaid</v>
      </c>
      <c r="I5" s="258" t="str">
        <f>IFERROR(__xludf.DUMMYFUNCTION("""COMPUTED_VALUE"""),"FVT CRM BB Postpaid")</f>
        <v>FVT CRM BB Postpaid</v>
      </c>
      <c r="J5" s="258" t="str">
        <f>IFERROR(__xludf.DUMMYFUNCTION("""COMPUTED_VALUE"""),"Daily")</f>
        <v>Daily</v>
      </c>
      <c r="K5" s="258" t="str">
        <f>IFERROR(__xludf.DUMMYFUNCTION("""COMPUTED_VALUE"""),"GHP, WIRELINE, BAYAN, GLOBE")</f>
        <v>GHP, WIRELINE, BAYAN, GLOBE</v>
      </c>
      <c r="L5" s="258" t="str">
        <f>IFERROR(__xludf.DUMMYFUNCTION("""COMPUTED_VALUE"""),"Consumer, EG, SG, In house")</f>
        <v>Consumer, EG, SG, In house</v>
      </c>
      <c r="M5" s="258" t="str">
        <f>IFERROR(__xludf.DUMMYFUNCTION("""COMPUTED_VALUE"""),"customer")</f>
        <v>customer</v>
      </c>
      <c r="N5" s="258" t="str">
        <f>IFERROR(__xludf.DUMMYFUNCTION("""COMPUTED_VALUE"""),"scv_b2c_customer_profile")</f>
        <v>scv_b2c_customer_profile</v>
      </c>
    </row>
    <row r="6">
      <c r="A6" s="257" t="str">
        <f>IFERROR(__xludf.DUMMYFUNCTION("""COMPUTED_VALUE"""),"total_promo_availment_count")</f>
        <v>total_promo_availment_count</v>
      </c>
      <c r="B6" s="257" t="str">
        <f>IFERROR(__xludf.DUMMYFUNCTION("""COMPUTED_VALUE"""),"Profitability")</f>
        <v>Profitability</v>
      </c>
      <c r="C6" s="258" t="str">
        <f>IFERROR(__xludf.DUMMYFUNCTION("""COMPUTED_VALUE"""),"Total count of successful promo registrations done by the customer. 
For Postpaid: 
The following are considered as promos:
1. Plan packs and add ons - offers that are not part of the main plan even if it is included on the subscriber's monthly recurring"&amp;" fee (MRF)
2. Freebie offers and content subscriptions
The following are not promos and should be excluded: 
1. Main plan - where subscriber's MSF is based from
2. Handset cashout
3. Admin fee
4. Other offers related to provisioning 
For Prepaid: 
- Att"&amp;"ribution belongs to the receiving number (b num)
The following are considered as promos:
1. Regular promo registrations done by any prepaid brands (GHP-Prepaid, TM, PW) from all CFUs (Consumer, EG, SMB)
2. CYO (create your own promo - GoSAKTO) promo regis"&amp;"trations done by any prepaid brands (GHP-Prepaid, TM) from all CFUs (Consumer, EG, SMB)
3. GYRO (direct promo registration) and Share a Promo transactions from all CFUs (Consumer, EG, SMB)  with the following originating (a num) and receiving (b num) prep"&amp;"aid brands:
    GHP-Prepaid to TM, HPW
    TM to GHP-Prepaid, HPW
4. Gyro loan (loan for direct promo registration) done by any prepaid brands (GHP-Prepaid, TM, PW) from all CFUs (Consumer, EG, SMB)
The following are invalid transactions:
1. HPW to GHP-P"&amp;"repaid, TM from all CFUs (Consumer, EG, SMB)  
")</f>
        <v>Total count of successful promo registrations done by the customer. 
For Postpaid: 
The following are considered as promos:
1. Plan packs and add ons - offers that are not part of the main plan even if it is included on the subscriber's monthly recurring fee (MRF)
2. Freebie offers and content subscriptions
The following are not promos and should be excluded: 
1. Main plan - where subscriber's MSF is based from
2. Handset cashout
3. Admin fee
4. Other offers related to provisioning 
For Prepaid: 
- Attribution belongs to the receiving number (b num)
The following are considered as promos:
1. Regular promo registrations done by any prepaid brands (GHP-Prepaid, TM, PW) from all CFUs (Consumer, EG, SMB)
2. CYO (create your own promo - GoSAKTO) promo registrations done by any prepaid brands (GHP-Prepaid, TM) from all CFUs (Consumer, EG, SMB)
3. GYRO (direct promo registration) and Share a Promo transactions from all CFUs (Consumer, EG, SMB)  with the following originating (a num) and receiving (b num) prepaid brands:
    GHP-Prepaid to TM, HPW
    TM to GHP-Prepaid, HPW
4. Gyro loan (loan for direct promo registration) done by any prepaid brands (GHP-Prepaid, TM, PW) from all CFUs (Consumer, EG, SMB)
The following are invalid transactions:
1. HPW to GHP-Prepaid, TM from all CFUs (Consumer, EG, SMB)  
</v>
      </c>
      <c r="D6" s="257" t="str">
        <f>IFERROR(__xludf.DUMMYFUNCTION("""COMPUTED_VALUE"""),"Direct Pull")</f>
        <v>Direct Pull</v>
      </c>
      <c r="E6" s="257" t="str">
        <f>IFERROR(__xludf.DUMMYFUNCTION("""COMPUTED_VALUE"""),"BigInt")</f>
        <v>BigInt</v>
      </c>
      <c r="F6" s="257">
        <f>IFERROR(__xludf.DUMMYFUNCTION("""COMPUTED_VALUE"""),999.0)</f>
        <v>999</v>
      </c>
      <c r="G6" s="258" t="str">
        <f>IFERROR(__xludf.DUMMYFUNCTION("""COMPUTED_VALUE"""),"CSSG-CDA")</f>
        <v>CSSG-CDA</v>
      </c>
      <c r="H6" s="258" t="str">
        <f>IFERROR(__xludf.DUMMYFUNCTION("""COMPUTED_VALUE"""),"EDO-DG")</f>
        <v>EDO-DG</v>
      </c>
      <c r="I6" s="258" t="str">
        <f>IFERROR(__xludf.DUMMYFUNCTION("""COMPUTED_VALUE"""),"FVT
CSSG
Arrow")</f>
        <v>FVT
CSSG
Arrow</v>
      </c>
      <c r="J6" s="258" t="str">
        <f>IFERROR(__xludf.DUMMYFUNCTION("""COMPUTED_VALUE"""),"Monthly")</f>
        <v>Monthly</v>
      </c>
      <c r="K6" s="258" t="str">
        <f>IFERROR(__xludf.DUMMYFUNCTION("""COMPUTED_VALUE"""),"NA - SCV View")</f>
        <v>NA - SCV View</v>
      </c>
      <c r="L6" s="258" t="str">
        <f>IFERROR(__xludf.DUMMYFUNCTION("""COMPUTED_VALUE"""),"Consumer
EG
SG")</f>
        <v>Consumer
EG
SG</v>
      </c>
      <c r="M6" s="258" t="str">
        <f>IFERROR(__xludf.DUMMYFUNCTION("""COMPUTED_VALUE"""),"availment")</f>
        <v>availment</v>
      </c>
      <c r="N6" s="258" t="str">
        <f>IFERROR(__xludf.DUMMYFUNCTION("""COMPUTED_VALUE"""),"scv_b2c_availment_profile")</f>
        <v>scv_b2c_availment_profile</v>
      </c>
    </row>
    <row r="7">
      <c r="A7" s="257" t="str">
        <f>IFERROR(__xludf.DUMMYFUNCTION("""COMPUTED_VALUE"""),"highest_monthly_service_fee_amount")</f>
        <v>highest_monthly_service_fee_amount</v>
      </c>
      <c r="B7" s="257" t="str">
        <f>IFERROR(__xludf.DUMMYFUNCTION("""COMPUTED_VALUE"""),"Profitability")</f>
        <v>Profitability</v>
      </c>
      <c r="C7" s="258" t="str">
        <f>IFERROR(__xludf.DUMMYFUNCTION("""COMPUTED_VALUE"""),"Highest recurring fixed amount (including tax) among all the customer's postpaid mobile and broadband subscriptions")</f>
        <v>Highest recurring fixed amount (including tax) among all the customer's postpaid mobile and broadband subscriptions</v>
      </c>
      <c r="D7" s="257" t="str">
        <f>IFERROR(__xludf.DUMMYFUNCTION("""COMPUTED_VALUE"""),"Direct Pull")</f>
        <v>Direct Pull</v>
      </c>
      <c r="E7" s="257" t="str">
        <f>IFERROR(__xludf.DUMMYFUNCTION("""COMPUTED_VALUE"""),"Decimal(19,4)")</f>
        <v>Decimal(19,4)</v>
      </c>
      <c r="F7" s="257">
        <f>IFERROR(__xludf.DUMMYFUNCTION("""COMPUTED_VALUE"""),999.0)</f>
        <v>999</v>
      </c>
      <c r="G7" s="258" t="str">
        <f>IFERROR(__xludf.DUMMYFUNCTION("""COMPUTED_VALUE"""),"CSSG-CDA")</f>
        <v>CSSG-CDA</v>
      </c>
      <c r="H7" s="258" t="str">
        <f>IFERROR(__xludf.DUMMYFUNCTION("""COMPUTED_VALUE"""),"EDO-DG")</f>
        <v>EDO-DG</v>
      </c>
      <c r="I7" s="258" t="str">
        <f>IFERROR(__xludf.DUMMYFUNCTION("""COMPUTED_VALUE"""),"FVT
CSSG
Arrow")</f>
        <v>FVT
CSSG
Arrow</v>
      </c>
      <c r="J7" s="258" t="str">
        <f>IFERROR(__xludf.DUMMYFUNCTION("""COMPUTED_VALUE"""),"Monthly")</f>
        <v>Monthly</v>
      </c>
      <c r="K7" s="258" t="str">
        <f>IFERROR(__xludf.DUMMYFUNCTION("""COMPUTED_VALUE"""),"NA - SCV View")</f>
        <v>NA - SCV View</v>
      </c>
      <c r="L7" s="258" t="str">
        <f>IFERROR(__xludf.DUMMYFUNCTION("""COMPUTED_VALUE"""),"Consumer
EG
SG")</f>
        <v>Consumer
EG
SG</v>
      </c>
      <c r="M7" s="258" t="str">
        <f>IFERROR(__xludf.DUMMYFUNCTION("""COMPUTED_VALUE"""),"contract")</f>
        <v>contract</v>
      </c>
      <c r="N7" s="258" t="str">
        <f>IFERROR(__xludf.DUMMYFUNCTION("""COMPUTED_VALUE"""),"scv_b2c_contract_profile")</f>
        <v>scv_b2c_contract_profile</v>
      </c>
    </row>
    <row r="8">
      <c r="A8" s="257" t="str">
        <f>IFERROR(__xludf.DUMMYFUNCTION("""COMPUTED_VALUE"""),"total_monthly_service_fee_amount")</f>
        <v>total_monthly_service_fee_amount</v>
      </c>
      <c r="B8" s="257" t="str">
        <f>IFERROR(__xludf.DUMMYFUNCTION("""COMPUTED_VALUE"""),"Profitability")</f>
        <v>Profitability</v>
      </c>
      <c r="C8" s="258" t="str">
        <f>IFERROR(__xludf.DUMMYFUNCTION("""COMPUTED_VALUE"""),"Sum of all the recurring fixed amount (including tax) charged to all of the customer's postpaid mobile and broadband subscriptions")</f>
        <v>Sum of all the recurring fixed amount (including tax) charged to all of the customer's postpaid mobile and broadband subscriptions</v>
      </c>
      <c r="D8" s="257" t="str">
        <f>IFERROR(__xludf.DUMMYFUNCTION("""COMPUTED_VALUE"""),"Direct Pull")</f>
        <v>Direct Pull</v>
      </c>
      <c r="E8" s="257" t="str">
        <f>IFERROR(__xludf.DUMMYFUNCTION("""COMPUTED_VALUE"""),"Decimal(19,4)")</f>
        <v>Decimal(19,4)</v>
      </c>
      <c r="F8" s="257">
        <f>IFERROR(__xludf.DUMMYFUNCTION("""COMPUTED_VALUE"""),999.0)</f>
        <v>999</v>
      </c>
      <c r="G8" s="258" t="str">
        <f>IFERROR(__xludf.DUMMYFUNCTION("""COMPUTED_VALUE"""),"CSSG-CDA")</f>
        <v>CSSG-CDA</v>
      </c>
      <c r="H8" s="258" t="str">
        <f>IFERROR(__xludf.DUMMYFUNCTION("""COMPUTED_VALUE"""),"EDO-DG")</f>
        <v>EDO-DG</v>
      </c>
      <c r="I8" s="258" t="str">
        <f>IFERROR(__xludf.DUMMYFUNCTION("""COMPUTED_VALUE"""),"FVT
CSSG
Arrow")</f>
        <v>FVT
CSSG
Arrow</v>
      </c>
      <c r="J8" s="258" t="str">
        <f>IFERROR(__xludf.DUMMYFUNCTION("""COMPUTED_VALUE"""),"Monthly")</f>
        <v>Monthly</v>
      </c>
      <c r="K8" s="258" t="str">
        <f>IFERROR(__xludf.DUMMYFUNCTION("""COMPUTED_VALUE"""),"NA - SCV View")</f>
        <v>NA - SCV View</v>
      </c>
      <c r="L8" s="258" t="str">
        <f>IFERROR(__xludf.DUMMYFUNCTION("""COMPUTED_VALUE"""),"Consumer
EG
SG")</f>
        <v>Consumer
EG
SG</v>
      </c>
      <c r="M8" s="258" t="str">
        <f>IFERROR(__xludf.DUMMYFUNCTION("""COMPUTED_VALUE"""),"contract")</f>
        <v>contract</v>
      </c>
      <c r="N8" s="258" t="str">
        <f>IFERROR(__xludf.DUMMYFUNCTION("""COMPUTED_VALUE"""),"scv_b2c_contract_profile")</f>
        <v>scv_b2c_contract_profile</v>
      </c>
    </row>
    <row r="9">
      <c r="A9" s="257" t="str">
        <f>IFERROR(__xludf.DUMMYFUNCTION("""COMPUTED_VALUE"""),"total_monthly_service_fee_amount_plus_total_reload_amount")</f>
        <v>total_monthly_service_fee_amount_plus_total_reload_amount</v>
      </c>
      <c r="B9" s="257" t="str">
        <f>IFERROR(__xludf.DUMMYFUNCTION("""COMPUTED_VALUE"""),"Profitability")</f>
        <v>Profitability</v>
      </c>
      <c r="C9" s="258" t="str">
        <f>IFERROR(__xludf.DUMMYFUNCTION("""COMPUTED_VALUE"""),"Sum of all the monthly fees and reload transaction amount from all the customer's postpaid and prepaid subscriptions for both mobile and broadband.
Refer to 'Total_Monthly_Service_Fee_Amount' and 'Total_Reload_Amount' for additional details ")</f>
        <v>Sum of all the monthly fees and reload transaction amount from all the customer's postpaid and prepaid subscriptions for both mobile and broadband.
Refer to 'Total_Monthly_Service_Fee_Amount' and 'Total_Reload_Amount' for additional details </v>
      </c>
      <c r="D9" s="257" t="str">
        <f>IFERROR(__xludf.DUMMYFUNCTION("""COMPUTED_VALUE"""),"Direct Pull")</f>
        <v>Direct Pull</v>
      </c>
      <c r="E9" s="257" t="str">
        <f>IFERROR(__xludf.DUMMYFUNCTION("""COMPUTED_VALUE"""),"Decimal(19,4)")</f>
        <v>Decimal(19,4)</v>
      </c>
      <c r="F9" s="257">
        <f>IFERROR(__xludf.DUMMYFUNCTION("""COMPUTED_VALUE"""),999.0)</f>
        <v>999</v>
      </c>
      <c r="G9" s="258" t="str">
        <f>IFERROR(__xludf.DUMMYFUNCTION("""COMPUTED_VALUE"""),"CSSG-CDA")</f>
        <v>CSSG-CDA</v>
      </c>
      <c r="H9" s="258" t="str">
        <f>IFERROR(__xludf.DUMMYFUNCTION("""COMPUTED_VALUE"""),"EDO-DG")</f>
        <v>EDO-DG</v>
      </c>
      <c r="I9" s="258" t="str">
        <f>IFERROR(__xludf.DUMMYFUNCTION("""COMPUTED_VALUE"""),"FVT
CSSG
Arrow")</f>
        <v>FVT
CSSG
Arrow</v>
      </c>
      <c r="J9" s="258" t="str">
        <f>IFERROR(__xludf.DUMMYFUNCTION("""COMPUTED_VALUE"""),"Monthly")</f>
        <v>Monthly</v>
      </c>
      <c r="K9" s="258" t="str">
        <f>IFERROR(__xludf.DUMMYFUNCTION("""COMPUTED_VALUE"""),"NA - SCV View")</f>
        <v>NA - SCV View</v>
      </c>
      <c r="L9" s="258" t="str">
        <f>IFERROR(__xludf.DUMMYFUNCTION("""COMPUTED_VALUE"""),"Consumer
EG
SG")</f>
        <v>Consumer
EG
SG</v>
      </c>
      <c r="M9" s="258" t="str">
        <f>IFERROR(__xludf.DUMMYFUNCTION("""COMPUTED_VALUE"""),"contract")</f>
        <v>contract</v>
      </c>
      <c r="N9" s="258" t="str">
        <f>IFERROR(__xludf.DUMMYFUNCTION("""COMPUTED_VALUE"""),"scv_b2c_contract_profile")</f>
        <v>scv_b2c_contract_profile</v>
      </c>
    </row>
    <row r="10">
      <c r="A10" s="257" t="str">
        <f>IFERROR(__xludf.DUMMYFUNCTION("""COMPUTED_VALUE"""),"total_mobile_lines_count")</f>
        <v>total_mobile_lines_count</v>
      </c>
      <c r="B10" s="257" t="str">
        <f>IFERROR(__xludf.DUMMYFUNCTION("""COMPUTED_VALUE"""),"Profitability")</f>
        <v>Profitability</v>
      </c>
      <c r="C10" s="258" t="str">
        <f>IFERROR(__xludf.DUMMYFUNCTION("""COMPUTED_VALUE"""),"Total count of mobile postpaid and prepaid subscriptions that a customer has")</f>
        <v>Total count of mobile postpaid and prepaid subscriptions that a customer has</v>
      </c>
      <c r="D10" s="257" t="str">
        <f>IFERROR(__xludf.DUMMYFUNCTION("""COMPUTED_VALUE"""),"Direct Pull")</f>
        <v>Direct Pull</v>
      </c>
      <c r="E10" s="257" t="str">
        <f>IFERROR(__xludf.DUMMYFUNCTION("""COMPUTED_VALUE"""),"BigInt")</f>
        <v>BigInt</v>
      </c>
      <c r="F10" s="257">
        <f>IFERROR(__xludf.DUMMYFUNCTION("""COMPUTED_VALUE"""),3.0)</f>
        <v>3</v>
      </c>
      <c r="G10" s="258" t="str">
        <f>IFERROR(__xludf.DUMMYFUNCTION("""COMPUTED_VALUE"""),"CSSG-CDA")</f>
        <v>CSSG-CDA</v>
      </c>
      <c r="H10" s="258" t="str">
        <f>IFERROR(__xludf.DUMMYFUNCTION("""COMPUTED_VALUE"""),"EDO-DG")</f>
        <v>EDO-DG</v>
      </c>
      <c r="I10" s="258" t="str">
        <f>IFERROR(__xludf.DUMMYFUNCTION("""COMPUTED_VALUE"""),"FVT
CSSG
Arrow")</f>
        <v>FVT
CSSG
Arrow</v>
      </c>
      <c r="J10" s="258" t="str">
        <f>IFERROR(__xludf.DUMMYFUNCTION("""COMPUTED_VALUE"""),"Monthly")</f>
        <v>Monthly</v>
      </c>
      <c r="K10" s="258" t="str">
        <f>IFERROR(__xludf.DUMMYFUNCTION("""COMPUTED_VALUE"""),"NA - SCV View")</f>
        <v>NA - SCV View</v>
      </c>
      <c r="L10" s="258" t="str">
        <f>IFERROR(__xludf.DUMMYFUNCTION("""COMPUTED_VALUE"""),"Consumer
EG
SG")</f>
        <v>Consumer
EG
SG</v>
      </c>
      <c r="M10" s="258" t="str">
        <f>IFERROR(__xludf.DUMMYFUNCTION("""COMPUTED_VALUE"""),"contract")</f>
        <v>contract</v>
      </c>
      <c r="N10" s="258" t="str">
        <f>IFERROR(__xludf.DUMMYFUNCTION("""COMPUTED_VALUE"""),"scv_b2c_contract_profile")</f>
        <v>scv_b2c_contract_profile</v>
      </c>
    </row>
    <row r="11">
      <c r="A11" s="257" t="str">
        <f>IFERROR(__xludf.DUMMYFUNCTION("""COMPUTED_VALUE"""),"total_broadband_lines_count")</f>
        <v>total_broadband_lines_count</v>
      </c>
      <c r="B11" s="257" t="str">
        <f>IFERROR(__xludf.DUMMYFUNCTION("""COMPUTED_VALUE"""),"Profitability")</f>
        <v>Profitability</v>
      </c>
      <c r="C11" s="258" t="str">
        <f>IFERROR(__xludf.DUMMYFUNCTION("""COMPUTED_VALUE"""),"Total count of Broadband postpaid and prepaid subscriptions that a customer has")</f>
        <v>Total count of Broadband postpaid and prepaid subscriptions that a customer has</v>
      </c>
      <c r="D11" s="257" t="str">
        <f>IFERROR(__xludf.DUMMYFUNCTION("""COMPUTED_VALUE"""),"Direct Pull")</f>
        <v>Direct Pull</v>
      </c>
      <c r="E11" s="257" t="str">
        <f>IFERROR(__xludf.DUMMYFUNCTION("""COMPUTED_VALUE"""),"BigInt")</f>
        <v>BigInt</v>
      </c>
      <c r="F11" s="257">
        <f>IFERROR(__xludf.DUMMYFUNCTION("""COMPUTED_VALUE"""),3.0)</f>
        <v>3</v>
      </c>
      <c r="G11" s="258" t="str">
        <f>IFERROR(__xludf.DUMMYFUNCTION("""COMPUTED_VALUE"""),"CSSG-CDA")</f>
        <v>CSSG-CDA</v>
      </c>
      <c r="H11" s="258" t="str">
        <f>IFERROR(__xludf.DUMMYFUNCTION("""COMPUTED_VALUE"""),"EDO-DG")</f>
        <v>EDO-DG</v>
      </c>
      <c r="I11" s="258" t="str">
        <f>IFERROR(__xludf.DUMMYFUNCTION("""COMPUTED_VALUE"""),"FVT
CSSG
Arrow")</f>
        <v>FVT
CSSG
Arrow</v>
      </c>
      <c r="J11" s="258" t="str">
        <f>IFERROR(__xludf.DUMMYFUNCTION("""COMPUTED_VALUE"""),"Monthly")</f>
        <v>Monthly</v>
      </c>
      <c r="K11" s="258" t="str">
        <f>IFERROR(__xludf.DUMMYFUNCTION("""COMPUTED_VALUE"""),"NA - SCV View")</f>
        <v>NA - SCV View</v>
      </c>
      <c r="L11" s="258" t="str">
        <f>IFERROR(__xludf.DUMMYFUNCTION("""COMPUTED_VALUE"""),"Consumer
EG
SG")</f>
        <v>Consumer
EG
SG</v>
      </c>
      <c r="M11" s="258" t="str">
        <f>IFERROR(__xludf.DUMMYFUNCTION("""COMPUTED_VALUE"""),"contract")</f>
        <v>contract</v>
      </c>
      <c r="N11" s="258" t="str">
        <f>IFERROR(__xludf.DUMMYFUNCTION("""COMPUTED_VALUE"""),"scv_b2c_contract_profile")</f>
        <v>scv_b2c_contract_profile</v>
      </c>
    </row>
    <row r="12">
      <c r="A12" s="257" t="str">
        <f>IFERROR(__xludf.DUMMYFUNCTION("""COMPUTED_VALUE"""),"total_lines_count")</f>
        <v>total_lines_count</v>
      </c>
      <c r="B12" s="257" t="str">
        <f>IFERROR(__xludf.DUMMYFUNCTION("""COMPUTED_VALUE"""),"Profitability")</f>
        <v>Profitability</v>
      </c>
      <c r="C12" s="258" t="str">
        <f>IFERROR(__xludf.DUMMYFUNCTION("""COMPUTED_VALUE"""),"Total count of lines from mobile and broadband susbcriptions of a customer
Note: GOMO is not (yet) included in the count")</f>
        <v>Total count of lines from mobile and broadband susbcriptions of a customer
Note: GOMO is not (yet) included in the count</v>
      </c>
      <c r="D12" s="257" t="str">
        <f>IFERROR(__xludf.DUMMYFUNCTION("""COMPUTED_VALUE"""),"Direct Pull")</f>
        <v>Direct Pull</v>
      </c>
      <c r="E12" s="257" t="str">
        <f>IFERROR(__xludf.DUMMYFUNCTION("""COMPUTED_VALUE"""),"BigInt")</f>
        <v>BigInt</v>
      </c>
      <c r="F12" s="257">
        <f>IFERROR(__xludf.DUMMYFUNCTION("""COMPUTED_VALUE"""),3.0)</f>
        <v>3</v>
      </c>
      <c r="G12" s="258" t="str">
        <f>IFERROR(__xludf.DUMMYFUNCTION("""COMPUTED_VALUE"""),"CSSG-CDA")</f>
        <v>CSSG-CDA</v>
      </c>
      <c r="H12" s="258" t="str">
        <f>IFERROR(__xludf.DUMMYFUNCTION("""COMPUTED_VALUE"""),"EDO-DG")</f>
        <v>EDO-DG</v>
      </c>
      <c r="I12" s="258" t="str">
        <f>IFERROR(__xludf.DUMMYFUNCTION("""COMPUTED_VALUE"""),"FVT
CSSG
Arrow")</f>
        <v>FVT
CSSG
Arrow</v>
      </c>
      <c r="J12" s="258" t="str">
        <f>IFERROR(__xludf.DUMMYFUNCTION("""COMPUTED_VALUE"""),"Monthly")</f>
        <v>Monthly</v>
      </c>
      <c r="K12" s="258" t="str">
        <f>IFERROR(__xludf.DUMMYFUNCTION("""COMPUTED_VALUE"""),"NA - SCV View")</f>
        <v>NA - SCV View</v>
      </c>
      <c r="L12" s="258" t="str">
        <f>IFERROR(__xludf.DUMMYFUNCTION("""COMPUTED_VALUE"""),"Consumer
EG
SG")</f>
        <v>Consumer
EG
SG</v>
      </c>
      <c r="M12" s="258" t="str">
        <f>IFERROR(__xludf.DUMMYFUNCTION("""COMPUTED_VALUE"""),"contract")</f>
        <v>contract</v>
      </c>
      <c r="N12" s="258" t="str">
        <f>IFERROR(__xludf.DUMMYFUNCTION("""COMPUTED_VALUE"""),"scv_b2c_contract_profile")</f>
        <v>scv_b2c_contract_profile</v>
      </c>
    </row>
    <row r="13">
      <c r="A13" s="257" t="str">
        <f>IFERROR(__xludf.DUMMYFUNCTION("""COMPUTED_VALUE"""),"earliest_customer_final_customer_name")</f>
        <v>earliest_customer_final_customer_name</v>
      </c>
      <c r="B13" s="257" t="str">
        <f>IFERROR(__xludf.DUMMYFUNCTION("""COMPUTED_VALUE"""),"Customer PII - Masked")</f>
        <v>Customer PII - Masked</v>
      </c>
      <c r="C13" s="258" t="str">
        <f>IFERROR(__xludf.DUMMYFUNCTION("""COMPUTED_VALUE"""),"Registered customer's full name captured from the record with the earliest customer acquisition date. 
Notes:
1. Earliest record is captured regardless if it is Postpaid or Prepaid
2. Value will be null for customers with only prepaid subscription/s witho"&amp;"ut any customer demographics information from identified sources e.g. BSS, GCash ")</f>
        <v>Registered customer's full name captured from the record with the earliest customer acquisition date. 
Notes:
1. Earliest record is captured regardless if it is Postpaid or Prepaid
2. Value will be null for customers with only prepaid subscription/s without any customer demographics information from identified sources e.g. BSS, GCash </v>
      </c>
      <c r="D13" s="257" t="str">
        <f>IFERROR(__xludf.DUMMYFUNCTION("""COMPUTED_VALUE"""),"Direct Pull")</f>
        <v>Direct Pull</v>
      </c>
      <c r="E13" s="257" t="str">
        <f>IFERROR(__xludf.DUMMYFUNCTION("""COMPUTED_VALUE"""),"String")</f>
        <v>String</v>
      </c>
      <c r="F13" s="257" t="str">
        <f>IFERROR(__xludf.DUMMYFUNCTION("""COMPUTED_VALUE"""),"John Cruz Doe")</f>
        <v>John Cruz Doe</v>
      </c>
      <c r="G13" s="258" t="str">
        <f>IFERROR(__xludf.DUMMYFUNCTION("""COMPUTED_VALUE"""),"CSSG-CDA")</f>
        <v>CSSG-CDA</v>
      </c>
      <c r="H13" s="258" t="str">
        <f>IFERROR(__xludf.DUMMYFUNCTION("""COMPUTED_VALUE"""),"EDO-DG")</f>
        <v>EDO-DG</v>
      </c>
      <c r="I13" s="258" t="str">
        <f>IFERROR(__xludf.DUMMYFUNCTION("""COMPUTED_VALUE"""),"FVT
CSSG
Arrow")</f>
        <v>FVT
CSSG
Arrow</v>
      </c>
      <c r="J13" s="258" t="str">
        <f>IFERROR(__xludf.DUMMYFUNCTION("""COMPUTED_VALUE"""),"Monthly")</f>
        <v>Monthly</v>
      </c>
      <c r="K13" s="258" t="str">
        <f>IFERROR(__xludf.DUMMYFUNCTION("""COMPUTED_VALUE"""),"NA - SCV View")</f>
        <v>NA - SCV View</v>
      </c>
      <c r="L13" s="258" t="str">
        <f>IFERROR(__xludf.DUMMYFUNCTION("""COMPUTED_VALUE"""),"Consumer
EG
SG")</f>
        <v>Consumer
EG
SG</v>
      </c>
      <c r="M13" s="258" t="str">
        <f>IFERROR(__xludf.DUMMYFUNCTION("""COMPUTED_VALUE"""),"customer")</f>
        <v>customer</v>
      </c>
      <c r="N13" s="258" t="str">
        <f>IFERROR(__xludf.DUMMYFUNCTION("""COMPUTED_VALUE"""),"scv_b2c_customer_profile")</f>
        <v>scv_b2c_customer_profile</v>
      </c>
    </row>
    <row r="14">
      <c r="A14" s="257" t="str">
        <f>IFERROR(__xludf.DUMMYFUNCTION("""COMPUTED_VALUE"""),"earliest_customer_acquisition_date")</f>
        <v>earliest_customer_acquisition_date</v>
      </c>
      <c r="B14" s="257" t="str">
        <f>IFERROR(__xludf.DUMMYFUNCTION("""COMPUTED_VALUE"""),"Demographic/Affluence")</f>
        <v>Demographic/Affluence</v>
      </c>
      <c r="C14" s="258" t="str">
        <f>IFERROR(__xludf.DUMMYFUNCTION("""COMPUTED_VALUE"""),"Creation date of the customer in MyBSS/ICCBS from the record with the earliest customer acquisition date. 
Notes: 
1. Customer Acquisition Date is when a customer record is created in the CRM system while
2. Subscriber Activation Date is when a particular"&amp;" subscription of a customer is activated in the system. 
3. A customer may have several subscriber records. 
4. Only live subscriptions of the customer are included, hence value may change when subscriptions under a customer account are churned. ")</f>
        <v>Creation date of the customer in MyBSS/ICCBS from the record with the earliest customer acquisition date. 
Notes: 
1. Customer Acquisition Date is when a customer record is created in the CRM system while
2. Subscriber Activation Date is when a particular subscription of a customer is activated in the system. 
3. A customer may have several subscriber records. 
4. Only live subscriptions of the customer are included, hence value may change when subscriptions under a customer account are churned. </v>
      </c>
      <c r="D14" s="257" t="str">
        <f>IFERROR(__xludf.DUMMYFUNCTION("""COMPUTED_VALUE"""),"Direct Pull")</f>
        <v>Direct Pull</v>
      </c>
      <c r="E14" s="257" t="str">
        <f>IFERROR(__xludf.DUMMYFUNCTION("""COMPUTED_VALUE"""),"String")</f>
        <v>String</v>
      </c>
      <c r="F14" s="257">
        <f>IFERROR(__xludf.DUMMYFUNCTION("""COMPUTED_VALUE"""),44847.0)</f>
        <v>44847</v>
      </c>
      <c r="G14" s="258" t="str">
        <f>IFERROR(__xludf.DUMMYFUNCTION("""COMPUTED_VALUE"""),"CSSG-CDA")</f>
        <v>CSSG-CDA</v>
      </c>
      <c r="H14" s="258" t="str">
        <f>IFERROR(__xludf.DUMMYFUNCTION("""COMPUTED_VALUE"""),"EDO-DG")</f>
        <v>EDO-DG</v>
      </c>
      <c r="I14" s="258" t="str">
        <f>IFERROR(__xludf.DUMMYFUNCTION("""COMPUTED_VALUE"""),"FVT
CSSG
Arrow")</f>
        <v>FVT
CSSG
Arrow</v>
      </c>
      <c r="J14" s="258" t="str">
        <f>IFERROR(__xludf.DUMMYFUNCTION("""COMPUTED_VALUE"""),"Monthly")</f>
        <v>Monthly</v>
      </c>
      <c r="K14" s="258" t="str">
        <f>IFERROR(__xludf.DUMMYFUNCTION("""COMPUTED_VALUE"""),"NA - SCV View")</f>
        <v>NA - SCV View</v>
      </c>
      <c r="L14" s="258" t="str">
        <f>IFERROR(__xludf.DUMMYFUNCTION("""COMPUTED_VALUE"""),"Consumer
EG
SG")</f>
        <v>Consumer
EG
SG</v>
      </c>
      <c r="M14" s="258" t="str">
        <f>IFERROR(__xludf.DUMMYFUNCTION("""COMPUTED_VALUE"""),"customer")</f>
        <v>customer</v>
      </c>
      <c r="N14" s="258" t="str">
        <f>IFERROR(__xludf.DUMMYFUNCTION("""COMPUTED_VALUE"""),"scv_b2c_customer_profile")</f>
        <v>scv_b2c_customer_profile</v>
      </c>
    </row>
    <row r="15">
      <c r="A15" s="257" t="str">
        <f>IFERROR(__xludf.DUMMYFUNCTION("""COMPUTED_VALUE"""),"earliest_customer_birth_date")</f>
        <v>earliest_customer_birth_date</v>
      </c>
      <c r="B15" s="257" t="str">
        <f>IFERROR(__xludf.DUMMYFUNCTION("""COMPUTED_VALUE"""),"Customer PII - Masked")</f>
        <v>Customer PII - Masked</v>
      </c>
      <c r="C15" s="258" t="str">
        <f>IFERROR(__xludf.DUMMYFUNCTION("""COMPUTED_VALUE"""),"Birthdate of the customer sourced from SCV matching in the Master Data Management platform. 
Notes:
1. Value will be null for customers with only prepaid subscription/s without any customer demographics information from identified sources e.g. BSS, GCash
"&amp;"2. Capturing the record with the earliest customer acquisition date does not apply to this field since birth dates must always be an exact match to identify subscriptions belonging to one customer ")</f>
        <v>Birthdate of the customer sourced from SCV matching in the Master Data Management platform. 
Notes:
1. Value will be null for customers with only prepaid subscription/s without any customer demographics information from identified sources e.g. BSS, GCash
2. Capturing the record with the earliest customer acquisition date does not apply to this field since birth dates must always be an exact match to identify subscriptions belonging to one customer </v>
      </c>
      <c r="D15" s="257" t="str">
        <f>IFERROR(__xludf.DUMMYFUNCTION("""COMPUTED_VALUE"""),"Direct Pull")</f>
        <v>Direct Pull</v>
      </c>
      <c r="E15" s="257" t="str">
        <f>IFERROR(__xludf.DUMMYFUNCTION("""COMPUTED_VALUE"""),"String")</f>
        <v>String</v>
      </c>
      <c r="F15" s="257">
        <f>IFERROR(__xludf.DUMMYFUNCTION("""COMPUTED_VALUE"""),33907.0)</f>
        <v>33907</v>
      </c>
      <c r="G15" s="258" t="str">
        <f>IFERROR(__xludf.DUMMYFUNCTION("""COMPUTED_VALUE"""),"CSSG-CDA")</f>
        <v>CSSG-CDA</v>
      </c>
      <c r="H15" s="258" t="str">
        <f>IFERROR(__xludf.DUMMYFUNCTION("""COMPUTED_VALUE"""),"EDO-DG")</f>
        <v>EDO-DG</v>
      </c>
      <c r="I15" s="258" t="str">
        <f>IFERROR(__xludf.DUMMYFUNCTION("""COMPUTED_VALUE"""),"FVT
CSSG
Arrow")</f>
        <v>FVT
CSSG
Arrow</v>
      </c>
      <c r="J15" s="258" t="str">
        <f>IFERROR(__xludf.DUMMYFUNCTION("""COMPUTED_VALUE"""),"Monthly")</f>
        <v>Monthly</v>
      </c>
      <c r="K15" s="258" t="str">
        <f>IFERROR(__xludf.DUMMYFUNCTION("""COMPUTED_VALUE"""),"NA - SCV View")</f>
        <v>NA - SCV View</v>
      </c>
      <c r="L15" s="258" t="str">
        <f>IFERROR(__xludf.DUMMYFUNCTION("""COMPUTED_VALUE"""),"Consumer
EG
SG")</f>
        <v>Consumer
EG
SG</v>
      </c>
      <c r="M15" s="258" t="str">
        <f>IFERROR(__xludf.DUMMYFUNCTION("""COMPUTED_VALUE"""),"customer")</f>
        <v>customer</v>
      </c>
      <c r="N15" s="258" t="str">
        <f>IFERROR(__xludf.DUMMYFUNCTION("""COMPUTED_VALUE"""),"scv_b2c_customer_profile")</f>
        <v>scv_b2c_customer_profile</v>
      </c>
    </row>
    <row r="16">
      <c r="A16" s="257" t="str">
        <f>IFERROR(__xludf.DUMMYFUNCTION("""COMPUTED_VALUE"""),"highest_net_promoter_score_description")</f>
        <v>highest_net_promoter_score_description</v>
      </c>
      <c r="B16" s="257" t="str">
        <f>IFERROR(__xludf.DUMMYFUNCTION("""COMPUTED_VALUE"""),"Loyalty &amp; Retention")</f>
        <v>Loyalty &amp; Retention</v>
      </c>
      <c r="C16" s="258" t="str">
        <f>IFERROR(__xludf.DUMMYFUNCTION("""COMPUTED_VALUE"""),"Highest score index that states customer's likelihood to recommend Globe based on a recent experience or interaction (e.g. inquiring about promos, new account application, change of plan, bill payment). Scores are captured from the surveys sent to custome"&amp;"rs using different channels and triggers.
If any of the surveys aswered by the customer have a rating of 9-10, then value is 'Promoter'
For surveys without 9-10 rating but have scores of 7-8, then value is 'Passive'
For surveys where highest rating is on"&amp;"ly 0-6, then value is 'Detractor'
If there are no ratings, then value is 'null' ")</f>
        <v>Highest score index that states customer's likelihood to recommend Globe based on a recent experience or interaction (e.g. inquiring about promos, new account application, change of plan, bill payment). Scores are captured from the surveys sent to customers using different channels and triggers.
If any of the surveys aswered by the customer have a rating of 9-10, then value is 'Promoter'
For surveys without 9-10 rating but have scores of 7-8, then value is 'Passive'
For surveys where highest rating is only 0-6, then value is 'Detractor'
If there are no ratings, then value is 'null' </v>
      </c>
      <c r="D16" s="257" t="str">
        <f>IFERROR(__xludf.DUMMYFUNCTION("""COMPUTED_VALUE"""),"Direct Pull")</f>
        <v>Direct Pull</v>
      </c>
      <c r="E16" s="257" t="str">
        <f>IFERROR(__xludf.DUMMYFUNCTION("""COMPUTED_VALUE"""),"String")</f>
        <v>String</v>
      </c>
      <c r="F16" s="257">
        <f>IFERROR(__xludf.DUMMYFUNCTION("""COMPUTED_VALUE"""),9.0)</f>
        <v>9</v>
      </c>
      <c r="G16" s="258" t="str">
        <f>IFERROR(__xludf.DUMMYFUNCTION("""COMPUTED_VALUE"""),"CSSG-CDA")</f>
        <v>CSSG-CDA</v>
      </c>
      <c r="H16" s="258" t="str">
        <f>IFERROR(__xludf.DUMMYFUNCTION("""COMPUTED_VALUE"""),"EDO-DG")</f>
        <v>EDO-DG</v>
      </c>
      <c r="I16" s="258" t="str">
        <f>IFERROR(__xludf.DUMMYFUNCTION("""COMPUTED_VALUE"""),"FVT
CSSG
Arrow")</f>
        <v>FVT
CSSG
Arrow</v>
      </c>
      <c r="J16" s="258" t="str">
        <f>IFERROR(__xludf.DUMMYFUNCTION("""COMPUTED_VALUE"""),"Monthly")</f>
        <v>Monthly</v>
      </c>
      <c r="K16" s="258" t="str">
        <f>IFERROR(__xludf.DUMMYFUNCTION("""COMPUTED_VALUE"""),"NA - SCV View")</f>
        <v>NA - SCV View</v>
      </c>
      <c r="L16" s="258" t="str">
        <f>IFERROR(__xludf.DUMMYFUNCTION("""COMPUTED_VALUE"""),"Consumer
EG
SG")</f>
        <v>Consumer
EG
SG</v>
      </c>
      <c r="M16" s="258" t="str">
        <f>IFERROR(__xludf.DUMMYFUNCTION("""COMPUTED_VALUE"""),"network")</f>
        <v>network</v>
      </c>
      <c r="N16" s="258" t="str">
        <f>IFERROR(__xludf.DUMMYFUNCTION("""COMPUTED_VALUE"""),"scv_b2c_network_profile")</f>
        <v>scv_b2c_network_profile</v>
      </c>
    </row>
    <row r="17">
      <c r="A17" s="257" t="str">
        <f>IFERROR(__xludf.DUMMYFUNCTION("""COMPUTED_VALUE"""),"total_reload_amount")</f>
        <v>total_reload_amount</v>
      </c>
      <c r="B17" s="257" t="str">
        <f>IFERROR(__xludf.DUMMYFUNCTION("""COMPUTED_VALUE"""),"Profitability")</f>
        <v>Profitability</v>
      </c>
      <c r="C17" s="258" t="str">
        <f>IFERROR(__xludf.DUMMYFUNCTION("""COMPUTED_VALUE"""),"Total amount successfully reloaded to all the customer's mobile and broadband prepaid subscriptions.
Invalid transactions excluded:
1. Share-A-Load and Share-A-Promo 
   - where sender brand is prepaid or tm and receiver brand is prepaid or tm
   -  wher"&amp;"e sender brand is prepaid wifi - should not have the capability to SAL/SAP
2. Regular Load Loans - since this is also reflected in regular load transactions (will be double counted if not excluded)
3. Gyro Loans - since this is also reflected in regular l"&amp;"oad transactions (will be double counted if not excluded)
4. Load transactions using test wallets")</f>
        <v>Total amount successfully reloaded to all the customer's mobile and broadband prepaid subscriptions.
Invalid transactions excluded:
1. Share-A-Load and Share-A-Promo 
   - where sender brand is prepaid or tm and receiver brand is prepaid or tm
   -  where sender brand is prepaid wifi - should not have the capability to SAL/SAP
2. Regular Load Loans - since this is also reflected in regular load transactions (will be double counted if not excluded)
3. Gyro Loans - since this is also reflected in regular load transactions (will be double counted if not excluded)
4. Load transactions using test wallets</v>
      </c>
      <c r="D17" s="257" t="str">
        <f>IFERROR(__xludf.DUMMYFUNCTION("""COMPUTED_VALUE"""),"Direct Pull")</f>
        <v>Direct Pull</v>
      </c>
      <c r="E17" s="257" t="str">
        <f>IFERROR(__xludf.DUMMYFUNCTION("""COMPUTED_VALUE"""),"Decimal(19,4)")</f>
        <v>Decimal(19,4)</v>
      </c>
      <c r="F17" s="257">
        <f>IFERROR(__xludf.DUMMYFUNCTION("""COMPUTED_VALUE"""),999.0)</f>
        <v>999</v>
      </c>
      <c r="G17" s="258" t="str">
        <f>IFERROR(__xludf.DUMMYFUNCTION("""COMPUTED_VALUE"""),"CSSG-CDA")</f>
        <v>CSSG-CDA</v>
      </c>
      <c r="H17" s="258" t="str">
        <f>IFERROR(__xludf.DUMMYFUNCTION("""COMPUTED_VALUE"""),"EDO-DG")</f>
        <v>EDO-DG</v>
      </c>
      <c r="I17" s="258" t="str">
        <f>IFERROR(__xludf.DUMMYFUNCTION("""COMPUTED_VALUE"""),"FVT
CSSG
Arrow")</f>
        <v>FVT
CSSG
Arrow</v>
      </c>
      <c r="J17" s="258" t="str">
        <f>IFERROR(__xludf.DUMMYFUNCTION("""COMPUTED_VALUE"""),"Monthly")</f>
        <v>Monthly</v>
      </c>
      <c r="K17" s="258" t="str">
        <f>IFERROR(__xludf.DUMMYFUNCTION("""COMPUTED_VALUE"""),"NA - SCV View")</f>
        <v>NA - SCV View</v>
      </c>
      <c r="L17" s="258" t="str">
        <f>IFERROR(__xludf.DUMMYFUNCTION("""COMPUTED_VALUE"""),"Consumer
EG
SG")</f>
        <v>Consumer
EG
SG</v>
      </c>
      <c r="M17" s="258" t="str">
        <f>IFERROR(__xludf.DUMMYFUNCTION("""COMPUTED_VALUE"""),"reload")</f>
        <v>reload</v>
      </c>
      <c r="N17" s="258" t="str">
        <f>IFERROR(__xludf.DUMMYFUNCTION("""COMPUTED_VALUE"""),"scv_b2c_reload_profile")</f>
        <v>scv_b2c_reload_profile</v>
      </c>
    </row>
    <row r="18">
      <c r="A18" s="257" t="str">
        <f>IFERROR(__xludf.DUMMYFUNCTION("""COMPUTED_VALUE"""),"total_reward_points_earned_quantity")</f>
        <v>total_reward_points_earned_quantity</v>
      </c>
      <c r="B18" s="257" t="str">
        <f>IFERROR(__xludf.DUMMYFUNCTION("""COMPUTED_VALUE"""),"Loyalty &amp; Retention")</f>
        <v>Loyalty &amp; Retention</v>
      </c>
      <c r="C18" s="258" t="str">
        <f>IFERROR(__xludf.DUMMYFUNCTION("""COMPUTED_VALUE"""),"Sum of all the reward points earned from all the customer's postpaid and prepaid subscriptions for both mobile and broadband.")</f>
        <v>Sum of all the reward points earned from all the customer's postpaid and prepaid subscriptions for both mobile and broadband.</v>
      </c>
      <c r="D18" s="257" t="str">
        <f>IFERROR(__xludf.DUMMYFUNCTION("""COMPUTED_VALUE"""),"Direct Pull")</f>
        <v>Direct Pull</v>
      </c>
      <c r="E18" s="257" t="str">
        <f>IFERROR(__xludf.DUMMYFUNCTION("""COMPUTED_VALUE"""),"BigInt")</f>
        <v>BigInt</v>
      </c>
      <c r="F18" s="257">
        <f>IFERROR(__xludf.DUMMYFUNCTION("""COMPUTED_VALUE"""),350.0)</f>
        <v>350</v>
      </c>
      <c r="G18" s="258" t="str">
        <f>IFERROR(__xludf.DUMMYFUNCTION("""COMPUTED_VALUE"""),"CSSG-CDA")</f>
        <v>CSSG-CDA</v>
      </c>
      <c r="H18" s="258" t="str">
        <f>IFERROR(__xludf.DUMMYFUNCTION("""COMPUTED_VALUE"""),"EDO-DG")</f>
        <v>EDO-DG</v>
      </c>
      <c r="I18" s="258" t="str">
        <f>IFERROR(__xludf.DUMMYFUNCTION("""COMPUTED_VALUE"""),"FVT
CSSG
Arrow")</f>
        <v>FVT
CSSG
Arrow</v>
      </c>
      <c r="J18" s="258" t="str">
        <f>IFERROR(__xludf.DUMMYFUNCTION("""COMPUTED_VALUE"""),"Monthly")</f>
        <v>Monthly</v>
      </c>
      <c r="K18" s="258" t="str">
        <f>IFERROR(__xludf.DUMMYFUNCTION("""COMPUTED_VALUE"""),"NA - SCV View")</f>
        <v>NA - SCV View</v>
      </c>
      <c r="L18" s="258" t="str">
        <f>IFERROR(__xludf.DUMMYFUNCTION("""COMPUTED_VALUE"""),"Consumer
EG
SG")</f>
        <v>Consumer
EG
SG</v>
      </c>
      <c r="M18" s="258" t="str">
        <f>IFERROR(__xludf.DUMMYFUNCTION("""COMPUTED_VALUE"""),"rewardcampaign")</f>
        <v>rewardcampaign</v>
      </c>
      <c r="N18" s="258" t="str">
        <f>IFERROR(__xludf.DUMMYFUNCTION("""COMPUTED_VALUE"""),"scv_b2c_reward_campaign_profile")</f>
        <v>scv_b2c_reward_campaign_profile</v>
      </c>
    </row>
    <row r="19">
      <c r="A19" s="257" t="str">
        <f>IFERROR(__xludf.DUMMYFUNCTION("""COMPUTED_VALUE"""),"total_reward_points_redeemed_quantity")</f>
        <v>total_reward_points_redeemed_quantity</v>
      </c>
      <c r="B19" s="257" t="str">
        <f>IFERROR(__xludf.DUMMYFUNCTION("""COMPUTED_VALUE"""),"Loyalty &amp; Retention")</f>
        <v>Loyalty &amp; Retention</v>
      </c>
      <c r="C19" s="258" t="str">
        <f>IFERROR(__xludf.DUMMYFUNCTION("""COMPUTED_VALUE"""),"Sum of all the reward points redeemed from all the customer's postpaid and prepaid subscriptions for both mobile and broadband.")</f>
        <v>Sum of all the reward points redeemed from all the customer's postpaid and prepaid subscriptions for both mobile and broadband.</v>
      </c>
      <c r="D19" s="257" t="str">
        <f>IFERROR(__xludf.DUMMYFUNCTION("""COMPUTED_VALUE"""),"Direct Pull")</f>
        <v>Direct Pull</v>
      </c>
      <c r="E19" s="257" t="str">
        <f>IFERROR(__xludf.DUMMYFUNCTION("""COMPUTED_VALUE"""),"BigInt")</f>
        <v>BigInt</v>
      </c>
      <c r="F19" s="257">
        <f>IFERROR(__xludf.DUMMYFUNCTION("""COMPUTED_VALUE"""),200.0)</f>
        <v>200</v>
      </c>
      <c r="G19" s="258" t="str">
        <f>IFERROR(__xludf.DUMMYFUNCTION("""COMPUTED_VALUE"""),"CSSG-CDA")</f>
        <v>CSSG-CDA</v>
      </c>
      <c r="H19" s="258" t="str">
        <f>IFERROR(__xludf.DUMMYFUNCTION("""COMPUTED_VALUE"""),"EDO-DG")</f>
        <v>EDO-DG</v>
      </c>
      <c r="I19" s="258" t="str">
        <f>IFERROR(__xludf.DUMMYFUNCTION("""COMPUTED_VALUE"""),"FVT
CSSG
Arrow")</f>
        <v>FVT
CSSG
Arrow</v>
      </c>
      <c r="J19" s="258" t="str">
        <f>IFERROR(__xludf.DUMMYFUNCTION("""COMPUTED_VALUE"""),"Monthly")</f>
        <v>Monthly</v>
      </c>
      <c r="K19" s="258" t="str">
        <f>IFERROR(__xludf.DUMMYFUNCTION("""COMPUTED_VALUE"""),"NA - SCV View")</f>
        <v>NA - SCV View</v>
      </c>
      <c r="L19" s="258" t="str">
        <f>IFERROR(__xludf.DUMMYFUNCTION("""COMPUTED_VALUE"""),"Consumer
EG
SG")</f>
        <v>Consumer
EG
SG</v>
      </c>
      <c r="M19" s="258" t="str">
        <f>IFERROR(__xludf.DUMMYFUNCTION("""COMPUTED_VALUE"""),"rewardcampaign")</f>
        <v>rewardcampaign</v>
      </c>
      <c r="N19" s="258" t="str">
        <f>IFERROR(__xludf.DUMMYFUNCTION("""COMPUTED_VALUE"""),"scv_b2c_reward_campaign_profile")</f>
        <v>scv_b2c_reward_campaign_profile</v>
      </c>
    </row>
    <row r="20">
      <c r="A20" s="257" t="str">
        <f>IFERROR(__xludf.DUMMYFUNCTION("""COMPUTED_VALUE"""),"total_gross_service_revenue_indicative_amount")</f>
        <v>total_gross_service_revenue_indicative_amount</v>
      </c>
      <c r="B20" s="257" t="str">
        <f>IFERROR(__xludf.DUMMYFUNCTION("""COMPUTED_VALUE"""),"Profitability")</f>
        <v>Profitability</v>
      </c>
      <c r="C20" s="258" t="str">
        <f>IFERROR(__xludf.DUMMYFUNCTION("""COMPUTED_VALUE"""),"Sum of all the indicative gross service revenue earned from all the customer's postpaid and prepaid subscriptions for both mobile and broadband.
For Postpaid - Amount that has already been placed on the bill of the subscriber (regardless if for payment or"&amp;" has already been paid in advance) for product/offer/service that has been consumed less all the possible adjustment amounts applied to the account for a particular billing cycle (typically caused by disputing in billing)
For Prepaid - includes earned amo"&amp;"unts from availed or expired prepaid product offers and services
Note:
Provided data is only indicative and sourced directly from different systems, it does not include data from SAP, payment services, and manual adjustments. 
e.g. For prepaid, actual loa"&amp;"d value provided to the customer is captured rather than discounted amount (if there is any)")</f>
        <v>Sum of all the indicative gross service revenue earned from all the customer's postpaid and prepaid subscriptions for both mobile and broadband.
For Postpaid - Amount that has already been placed on the bill of the subscriber (regardless if for payment or has already been paid in advance) for product/offer/service that has been consumed less all the possible adjustment amounts applied to the account for a particular billing cycle (typically caused by disputing in billing)
For Prepaid - includes earned amounts from availed or expired prepaid product offers and services
Note:
Provided data is only indicative and sourced directly from different systems, it does not include data from SAP, payment services, and manual adjustments. 
e.g. For prepaid, actual load value provided to the customer is captured rather than discounted amount (if there is any)</v>
      </c>
      <c r="D20" s="257" t="str">
        <f>IFERROR(__xludf.DUMMYFUNCTION("""COMPUTED_VALUE"""),"Direct Pull")</f>
        <v>Direct Pull</v>
      </c>
      <c r="E20" s="257" t="str">
        <f>IFERROR(__xludf.DUMMYFUNCTION("""COMPUTED_VALUE"""),"Decimal(19,4)")</f>
        <v>Decimal(19,4)</v>
      </c>
      <c r="F20" s="257">
        <f>IFERROR(__xludf.DUMMYFUNCTION("""COMPUTED_VALUE"""),999.0)</f>
        <v>999</v>
      </c>
      <c r="G20" s="258" t="str">
        <f>IFERROR(__xludf.DUMMYFUNCTION("""COMPUTED_VALUE"""),"CSSG-CDA")</f>
        <v>CSSG-CDA</v>
      </c>
      <c r="H20" s="258" t="str">
        <f>IFERROR(__xludf.DUMMYFUNCTION("""COMPUTED_VALUE"""),"EDO-DG")</f>
        <v>EDO-DG</v>
      </c>
      <c r="I20" s="258" t="str">
        <f>IFERROR(__xludf.DUMMYFUNCTION("""COMPUTED_VALUE"""),"FVT
CSSG
Arrow")</f>
        <v>FVT
CSSG
Arrow</v>
      </c>
      <c r="J20" s="258" t="str">
        <f>IFERROR(__xludf.DUMMYFUNCTION("""COMPUTED_VALUE"""),"Monthly")</f>
        <v>Monthly</v>
      </c>
      <c r="K20" s="258" t="str">
        <f>IFERROR(__xludf.DUMMYFUNCTION("""COMPUTED_VALUE"""),"NA - SCV View")</f>
        <v>NA - SCV View</v>
      </c>
      <c r="L20" s="258" t="str">
        <f>IFERROR(__xludf.DUMMYFUNCTION("""COMPUTED_VALUE"""),"Consumer
EG
SG")</f>
        <v>Consumer
EG
SG</v>
      </c>
      <c r="M20" s="258" t="str">
        <f>IFERROR(__xludf.DUMMYFUNCTION("""COMPUTED_VALUE"""),"revenue")</f>
        <v>revenue</v>
      </c>
      <c r="N20" s="258" t="str">
        <f>IFERROR(__xludf.DUMMYFUNCTION("""COMPUTED_VALUE"""),"scv_b2c_revenue_profile")</f>
        <v>scv_b2c_revenue_profile</v>
      </c>
    </row>
    <row r="21">
      <c r="A21" s="257" t="str">
        <f>IFERROR(__xludf.DUMMYFUNCTION("""COMPUTED_VALUE"""),"total_data_volume_count")</f>
        <v>total_data_volume_count</v>
      </c>
      <c r="B21" s="257" t="str">
        <f>IFERROR(__xludf.DUMMYFUNCTION("""COMPUTED_VALUE"""),"Behavioral")</f>
        <v>Behavioral</v>
      </c>
      <c r="C21" s="258" t="str">
        <f>IFERROR(__xludf.DUMMYFUNCTION("""COMPUTED_VALUE"""),"Total volume consumed from the data usage transactions of the customer from all subscriptions.
Usages have 3 classifications:  
1.) Pay-per-Use - regular use of services, charge based on actual consumption
2.) Promo - use of promo offers to utilize servi"&amp;"ces
3.) Free - use of services for free 
Pay-per-use usages are charged depending on the usage direction of the service. 
Usage Directions: 
1.) Inbound -  Mobile Terminating
2.) Outbound - Mobile Originating
Valid usage type and direction to be charged"&amp;": 
1.) Data - usage direction is always outbound
Note: GOMO is not (yet) included in the count")</f>
        <v>Total volume consumed from the data usage transactions of the customer from all subscriptions.
Usages have 3 classifications:  
1.) Pay-per-Use - regular use of services, charge based on actual consumption
2.) Promo - use of promo offers to utilize services
3.) Free - use of services for free 
Pay-per-use usages are charged depending on the usage direction of the service. 
Usage Directions: 
1.) Inbound -  Mobile Terminating
2.) Outbound - Mobile Originating
Valid usage type and direction to be charged: 
1.) Data - usage direction is always outbound
Note: GOMO is not (yet) included in the count</v>
      </c>
      <c r="D21" s="257" t="str">
        <f>IFERROR(__xludf.DUMMYFUNCTION("""COMPUTED_VALUE"""),"Direct Pull")</f>
        <v>Direct Pull</v>
      </c>
      <c r="E21" s="257" t="str">
        <f>IFERROR(__xludf.DUMMYFUNCTION("""COMPUTED_VALUE"""),"BigInt")</f>
        <v>BigInt</v>
      </c>
      <c r="F21" s="257">
        <f>IFERROR(__xludf.DUMMYFUNCTION("""COMPUTED_VALUE"""),60.0)</f>
        <v>60</v>
      </c>
      <c r="G21" s="258" t="str">
        <f>IFERROR(__xludf.DUMMYFUNCTION("""COMPUTED_VALUE"""),"CSSG-CDA")</f>
        <v>CSSG-CDA</v>
      </c>
      <c r="H21" s="258" t="str">
        <f>IFERROR(__xludf.DUMMYFUNCTION("""COMPUTED_VALUE"""),"EDO-DG")</f>
        <v>EDO-DG</v>
      </c>
      <c r="I21" s="258" t="str">
        <f>IFERROR(__xludf.DUMMYFUNCTION("""COMPUTED_VALUE"""),"FVT
CSSG
Arrow")</f>
        <v>FVT
CSSG
Arrow</v>
      </c>
      <c r="J21" s="258" t="str">
        <f>IFERROR(__xludf.DUMMYFUNCTION("""COMPUTED_VALUE"""),"Monthly")</f>
        <v>Monthly</v>
      </c>
      <c r="K21" s="258" t="str">
        <f>IFERROR(__xludf.DUMMYFUNCTION("""COMPUTED_VALUE"""),"NA - SCV View")</f>
        <v>NA - SCV View</v>
      </c>
      <c r="L21" s="258" t="str">
        <f>IFERROR(__xludf.DUMMYFUNCTION("""COMPUTED_VALUE"""),"Consumer
EG
SG")</f>
        <v>Consumer
EG
SG</v>
      </c>
      <c r="M21" s="258" t="str">
        <f>IFERROR(__xludf.DUMMYFUNCTION("""COMPUTED_VALUE"""),"usage")</f>
        <v>usage</v>
      </c>
      <c r="N21" s="258" t="str">
        <f>IFERROR(__xludf.DUMMYFUNCTION("""COMPUTED_VALUE"""),"scv_b2c_usage_profile")</f>
        <v>scv_b2c_usage_profile</v>
      </c>
    </row>
    <row r="22">
      <c r="A22" s="257" t="str">
        <f>IFERROR(__xludf.DUMMYFUNCTION("""COMPUTED_VALUE"""),"total_voice_minutes")</f>
        <v>total_voice_minutes</v>
      </c>
      <c r="B22" s="257" t="str">
        <f>IFERROR(__xludf.DUMMYFUNCTION("""COMPUTED_VALUE"""),"Behavioral")</f>
        <v>Behavioral</v>
      </c>
      <c r="C22" s="258" t="str">
        <f>IFERROR(__xludf.DUMMYFUNCTION("""COMPUTED_VALUE"""),"Total minutes spent by the customer for calls from all subscriptions.
Notes: 
1. GOMO is not (yet) included in the count
2. HPW voice transactions are included if there is any. This a compliance issue. ")</f>
        <v>Total minutes spent by the customer for calls from all subscriptions.
Notes: 
1. GOMO is not (yet) included in the count
2. HPW voice transactions are included if there is any. This a compliance issue. </v>
      </c>
      <c r="D22" s="257" t="str">
        <f>IFERROR(__xludf.DUMMYFUNCTION("""COMPUTED_VALUE"""),"Direct Pull")</f>
        <v>Direct Pull</v>
      </c>
      <c r="E22" s="257" t="str">
        <f>IFERROR(__xludf.DUMMYFUNCTION("""COMPUTED_VALUE"""),"Decimal(19,4)")</f>
        <v>Decimal(19,4)</v>
      </c>
      <c r="F22" s="257">
        <f>IFERROR(__xludf.DUMMYFUNCTION("""COMPUTED_VALUE"""),60.0)</f>
        <v>60</v>
      </c>
      <c r="G22" s="258" t="str">
        <f>IFERROR(__xludf.DUMMYFUNCTION("""COMPUTED_VALUE"""),"CSSG-CDA")</f>
        <v>CSSG-CDA</v>
      </c>
      <c r="H22" s="258" t="str">
        <f>IFERROR(__xludf.DUMMYFUNCTION("""COMPUTED_VALUE"""),"EDO-DG")</f>
        <v>EDO-DG</v>
      </c>
      <c r="I22" s="258" t="str">
        <f>IFERROR(__xludf.DUMMYFUNCTION("""COMPUTED_VALUE"""),"FVT
CSSG
Arrow")</f>
        <v>FVT
CSSG
Arrow</v>
      </c>
      <c r="J22" s="258" t="str">
        <f>IFERROR(__xludf.DUMMYFUNCTION("""COMPUTED_VALUE"""),"Monthly")</f>
        <v>Monthly</v>
      </c>
      <c r="K22" s="258" t="str">
        <f>IFERROR(__xludf.DUMMYFUNCTION("""COMPUTED_VALUE"""),"NA - SCV View")</f>
        <v>NA - SCV View</v>
      </c>
      <c r="L22" s="258" t="str">
        <f>IFERROR(__xludf.DUMMYFUNCTION("""COMPUTED_VALUE"""),"Consumer
EG
SG")</f>
        <v>Consumer
EG
SG</v>
      </c>
      <c r="M22" s="258" t="str">
        <f>IFERROR(__xludf.DUMMYFUNCTION("""COMPUTED_VALUE"""),"usage")</f>
        <v>usage</v>
      </c>
      <c r="N22" s="258" t="str">
        <f>IFERROR(__xludf.DUMMYFUNCTION("""COMPUTED_VALUE"""),"scv_b2c_usage_profile")</f>
        <v>scv_b2c_usage_profile</v>
      </c>
    </row>
    <row r="23">
      <c r="A23" s="257" t="str">
        <f>IFERROR(__xludf.DUMMYFUNCTION("""COMPUTED_VALUE"""),"total_sms_usage_count")</f>
        <v>total_sms_usage_count</v>
      </c>
      <c r="B23" s="257" t="str">
        <f>IFERROR(__xludf.DUMMYFUNCTION("""COMPUTED_VALUE"""),"Behavioral")</f>
        <v>Behavioral</v>
      </c>
      <c r="C23" s="258" t="str">
        <f>IFERROR(__xludf.DUMMYFUNCTION("""COMPUTED_VALUE"""),"Total number of SMS sent by the customer from all subscriptions.
Notes: 
1. GOMO is not (yet) included in the count
2. HPW SMS transactions are included if there is any. 
- Only SMS transactions for registration purposes are valid while others are conside"&amp;"red as a complinace issue (usage of HPW for regular texts) ")</f>
        <v>Total number of SMS sent by the customer from all subscriptions.
Notes: 
1. GOMO is not (yet) included in the count
2. HPW SMS transactions are included if there is any. 
- Only SMS transactions for registration purposes are valid while others are considered as a complinace issue (usage of HPW for regular texts) </v>
      </c>
      <c r="D23" s="257" t="str">
        <f>IFERROR(__xludf.DUMMYFUNCTION("""COMPUTED_VALUE"""),"Direct Pull")</f>
        <v>Direct Pull</v>
      </c>
      <c r="E23" s="257" t="str">
        <f>IFERROR(__xludf.DUMMYFUNCTION("""COMPUTED_VALUE"""),"BigInt")</f>
        <v>BigInt</v>
      </c>
      <c r="F23" s="257">
        <f>IFERROR(__xludf.DUMMYFUNCTION("""COMPUTED_VALUE"""),60.0)</f>
        <v>60</v>
      </c>
      <c r="G23" s="258" t="str">
        <f>IFERROR(__xludf.DUMMYFUNCTION("""COMPUTED_VALUE"""),"CSSG-CDA")</f>
        <v>CSSG-CDA</v>
      </c>
      <c r="H23" s="258" t="str">
        <f>IFERROR(__xludf.DUMMYFUNCTION("""COMPUTED_VALUE"""),"EDO-DG")</f>
        <v>EDO-DG</v>
      </c>
      <c r="I23" s="258" t="str">
        <f>IFERROR(__xludf.DUMMYFUNCTION("""COMPUTED_VALUE"""),"FVT
CSSG
Arrow")</f>
        <v>FVT
CSSG
Arrow</v>
      </c>
      <c r="J23" s="258" t="str">
        <f>IFERROR(__xludf.DUMMYFUNCTION("""COMPUTED_VALUE"""),"Monthly")</f>
        <v>Monthly</v>
      </c>
      <c r="K23" s="258" t="str">
        <f>IFERROR(__xludf.DUMMYFUNCTION("""COMPUTED_VALUE"""),"NA - SCV View")</f>
        <v>NA - SCV View</v>
      </c>
      <c r="L23" s="258" t="str">
        <f>IFERROR(__xludf.DUMMYFUNCTION("""COMPUTED_VALUE"""),"Consumer
EG
SG")</f>
        <v>Consumer
EG
SG</v>
      </c>
      <c r="M23" s="258" t="str">
        <f>IFERROR(__xludf.DUMMYFUNCTION("""COMPUTED_VALUE"""),"usage")</f>
        <v>usage</v>
      </c>
      <c r="N23" s="258" t="str">
        <f>IFERROR(__xludf.DUMMYFUNCTION("""COMPUTED_VALUE"""),"scv_b2c_usage_profile")</f>
        <v>scv_b2c_usage_profile</v>
      </c>
    </row>
    <row r="24">
      <c r="A24" s="257" t="str">
        <f>IFERROR(__xludf.DUMMYFUNCTION("""COMPUTED_VALUE"""),"total_mobile_prepaid_lines_count")</f>
        <v>total_mobile_prepaid_lines_count</v>
      </c>
      <c r="B24" s="257" t="str">
        <f>IFERROR(__xludf.DUMMYFUNCTION("""COMPUTED_VALUE"""),"Profitability")</f>
        <v>Profitability</v>
      </c>
      <c r="C24" s="258" t="str">
        <f>IFERROR(__xludf.DUMMYFUNCTION("""COMPUTED_VALUE"""),"Total count of a mobile prepaid subscriptions that a customer has
Note: GOMO is not included as part of mobile prepaid ")</f>
        <v>Total count of a mobile prepaid subscriptions that a customer has
Note: GOMO is not included as part of mobile prepaid </v>
      </c>
      <c r="D24" s="257" t="str">
        <f>IFERROR(__xludf.DUMMYFUNCTION("""COMPUTED_VALUE"""),"Direct Pull")</f>
        <v>Direct Pull</v>
      </c>
      <c r="E24" s="257" t="str">
        <f>IFERROR(__xludf.DUMMYFUNCTION("""COMPUTED_VALUE"""),"Bigint")</f>
        <v>Bigint</v>
      </c>
      <c r="F24" s="257">
        <f>IFERROR(__xludf.DUMMYFUNCTION("""COMPUTED_VALUE"""),1.0)</f>
        <v>1</v>
      </c>
      <c r="G24" s="258" t="str">
        <f>IFERROR(__xludf.DUMMYFUNCTION("""COMPUTED_VALUE"""),"CSSG-CDA")</f>
        <v>CSSG-CDA</v>
      </c>
      <c r="H24" s="258" t="str">
        <f>IFERROR(__xludf.DUMMYFUNCTION("""COMPUTED_VALUE"""),"EDO-DG")</f>
        <v>EDO-DG</v>
      </c>
      <c r="I24" s="258" t="str">
        <f>IFERROR(__xludf.DUMMYFUNCTION("""COMPUTED_VALUE"""),"FVT
CSSG
Arrow")</f>
        <v>FVT
CSSG
Arrow</v>
      </c>
      <c r="J24" s="258" t="str">
        <f>IFERROR(__xludf.DUMMYFUNCTION("""COMPUTED_VALUE"""),"Monthly")</f>
        <v>Monthly</v>
      </c>
      <c r="K24" s="258" t="str">
        <f>IFERROR(__xludf.DUMMYFUNCTION("""COMPUTED_VALUE"""),"NA - SCV View")</f>
        <v>NA - SCV View</v>
      </c>
      <c r="L24" s="258" t="str">
        <f>IFERROR(__xludf.DUMMYFUNCTION("""COMPUTED_VALUE"""),"Consumer
EG
SG")</f>
        <v>Consumer
EG
SG</v>
      </c>
      <c r="M24" s="258" t="str">
        <f>IFERROR(__xludf.DUMMYFUNCTION("""COMPUTED_VALUE"""),"contract")</f>
        <v>contract</v>
      </c>
      <c r="N24" s="258" t="str">
        <f>IFERROR(__xludf.DUMMYFUNCTION("""COMPUTED_VALUE"""),"scv_b2c_contract_profile")</f>
        <v>scv_b2c_contract_profile</v>
      </c>
    </row>
    <row r="25">
      <c r="A25" s="257" t="str">
        <f>IFERROR(__xludf.DUMMYFUNCTION("""COMPUTED_VALUE"""),"earliest_subscriber_activation_date")</f>
        <v>earliest_subscriber_activation_date</v>
      </c>
      <c r="B25" s="257" t="str">
        <f>IFERROR(__xludf.DUMMYFUNCTION("""COMPUTED_VALUE"""),"Demographic/Affluence")</f>
        <v>Demographic/Affluence</v>
      </c>
      <c r="C25" s="258" t="str">
        <f>IFERROR(__xludf.DUMMYFUNCTION("""COMPUTED_VALUE"""),"Activation date of the customer in MyBSS/ICCBS from the record of the customer's earliest subscription (subscriber activation date).
Notes: 
1. Customer Acquisition Date is when a customer record is created in the CRM system while
2. Subscriber Activation"&amp;" Date is when a particular subscription of a customer is activated in the system. 
3. A customer may have several subscriber records. 
4. Only live subscriptions of the customer are included, hence value may change when subscriptions under a customer acco"&amp;"unt are churned. ")</f>
        <v>Activation date of the customer in MyBSS/ICCBS from the record of the customer's earliest subscription (subscriber activation date).
Notes: 
1. Customer Acquisition Date is when a customer record is created in the CRM system while
2. Subscriber Activation Date is when a particular subscription of a customer is activated in the system. 
3. A customer may have several subscriber records. 
4. Only live subscriptions of the customer are included, hence value may change when subscriptions under a customer account are churned. </v>
      </c>
      <c r="D25" s="257" t="str">
        <f>IFERROR(__xludf.DUMMYFUNCTION("""COMPUTED_VALUE"""),"Direct Pull")</f>
        <v>Direct Pull</v>
      </c>
      <c r="E25" s="257" t="str">
        <f>IFERROR(__xludf.DUMMYFUNCTION("""COMPUTED_VALUE"""),"timestamp")</f>
        <v>timestamp</v>
      </c>
      <c r="F25" s="257">
        <f>IFERROR(__xludf.DUMMYFUNCTION("""COMPUTED_VALUE"""),44847.0)</f>
        <v>44847</v>
      </c>
      <c r="G25" s="258" t="str">
        <f>IFERROR(__xludf.DUMMYFUNCTION("""COMPUTED_VALUE"""),"CSSG-CDA")</f>
        <v>CSSG-CDA</v>
      </c>
      <c r="H25" s="258" t="str">
        <f>IFERROR(__xludf.DUMMYFUNCTION("""COMPUTED_VALUE"""),"EDO-DG")</f>
        <v>EDO-DG</v>
      </c>
      <c r="I25" s="258" t="str">
        <f>IFERROR(__xludf.DUMMYFUNCTION("""COMPUTED_VALUE"""),"FVT
CSSG
Arrow")</f>
        <v>FVT
CSSG
Arrow</v>
      </c>
      <c r="J25" s="258" t="str">
        <f>IFERROR(__xludf.DUMMYFUNCTION("""COMPUTED_VALUE"""),"Monthly")</f>
        <v>Monthly</v>
      </c>
      <c r="K25" s="258" t="str">
        <f>IFERROR(__xludf.DUMMYFUNCTION("""COMPUTED_VALUE"""),"NA - SCV View")</f>
        <v>NA - SCV View</v>
      </c>
      <c r="L25" s="258" t="str">
        <f>IFERROR(__xludf.DUMMYFUNCTION("""COMPUTED_VALUE"""),"Consumer
EG
SG")</f>
        <v>Consumer
EG
SG</v>
      </c>
      <c r="M25" s="258" t="str">
        <f>IFERROR(__xludf.DUMMYFUNCTION("""COMPUTED_VALUE"""),"customer")</f>
        <v>customer</v>
      </c>
      <c r="N25" s="258" t="str">
        <f>IFERROR(__xludf.DUMMYFUNCTION("""COMPUTED_VALUE"""),"scv_b2c_customer_profile")</f>
        <v>scv_b2c_customer_profile</v>
      </c>
    </row>
    <row r="26">
      <c r="A26" s="257" t="str">
        <f>IFERROR(__xludf.DUMMYFUNCTION("""COMPUTED_VALUE"""),"total_mobile_postpaid_lines_count")</f>
        <v>total_mobile_postpaid_lines_count</v>
      </c>
      <c r="B26" s="257" t="str">
        <f>IFERROR(__xludf.DUMMYFUNCTION("""COMPUTED_VALUE"""),"Profitability")</f>
        <v>Profitability</v>
      </c>
      <c r="C26" s="258" t="str">
        <f>IFERROR(__xludf.DUMMYFUNCTION("""COMPUTED_VALUE"""),"Total count of mobile postpaid subscriptions that a customer has")</f>
        <v>Total count of mobile postpaid subscriptions that a customer has</v>
      </c>
      <c r="D26" s="257" t="str">
        <f>IFERROR(__xludf.DUMMYFUNCTION("""COMPUTED_VALUE"""),"Direct Pull")</f>
        <v>Direct Pull</v>
      </c>
      <c r="E26" s="257" t="str">
        <f>IFERROR(__xludf.DUMMYFUNCTION("""COMPUTED_VALUE"""),"Bigint")</f>
        <v>Bigint</v>
      </c>
      <c r="F26" s="257">
        <f>IFERROR(__xludf.DUMMYFUNCTION("""COMPUTED_VALUE"""),1.0)</f>
        <v>1</v>
      </c>
      <c r="G26" s="258" t="str">
        <f>IFERROR(__xludf.DUMMYFUNCTION("""COMPUTED_VALUE"""),"CSSG-CDA")</f>
        <v>CSSG-CDA</v>
      </c>
      <c r="H26" s="258" t="str">
        <f>IFERROR(__xludf.DUMMYFUNCTION("""COMPUTED_VALUE"""),"EDO-DG")</f>
        <v>EDO-DG</v>
      </c>
      <c r="I26" s="258" t="str">
        <f>IFERROR(__xludf.DUMMYFUNCTION("""COMPUTED_VALUE"""),"FVT
CSSG
Arrow")</f>
        <v>FVT
CSSG
Arrow</v>
      </c>
      <c r="J26" s="258" t="str">
        <f>IFERROR(__xludf.DUMMYFUNCTION("""COMPUTED_VALUE"""),"Monthly")</f>
        <v>Monthly</v>
      </c>
      <c r="K26" s="258" t="str">
        <f>IFERROR(__xludf.DUMMYFUNCTION("""COMPUTED_VALUE"""),"NA - SCV View")</f>
        <v>NA - SCV View</v>
      </c>
      <c r="L26" s="258" t="str">
        <f>IFERROR(__xludf.DUMMYFUNCTION("""COMPUTED_VALUE"""),"Consumer
EG
SG")</f>
        <v>Consumer
EG
SG</v>
      </c>
      <c r="M26" s="258" t="str">
        <f>IFERROR(__xludf.DUMMYFUNCTION("""COMPUTED_VALUE"""),"contract")</f>
        <v>contract</v>
      </c>
      <c r="N26" s="258" t="str">
        <f>IFERROR(__xludf.DUMMYFUNCTION("""COMPUTED_VALUE"""),"scv_b2c_contract_profile")</f>
        <v>scv_b2c_contract_profile</v>
      </c>
    </row>
    <row r="27">
      <c r="A27" s="257" t="str">
        <f>IFERROR(__xludf.DUMMYFUNCTION("""COMPUTED_VALUE"""),"total_broadband_postpaid_lines_count")</f>
        <v>total_broadband_postpaid_lines_count</v>
      </c>
      <c r="B27" s="257" t="str">
        <f>IFERROR(__xludf.DUMMYFUNCTION("""COMPUTED_VALUE"""),"Profitability")</f>
        <v>Profitability</v>
      </c>
      <c r="C27" s="258" t="str">
        <f>IFERROR(__xludf.DUMMYFUNCTION("""COMPUTED_VALUE"""),"Total count of broadband postpaid subscriptions that a customer has")</f>
        <v>Total count of broadband postpaid subscriptions that a customer has</v>
      </c>
      <c r="D27" s="257" t="str">
        <f>IFERROR(__xludf.DUMMYFUNCTION("""COMPUTED_VALUE"""),"Direct Pull")</f>
        <v>Direct Pull</v>
      </c>
      <c r="E27" s="257" t="str">
        <f>IFERROR(__xludf.DUMMYFUNCTION("""COMPUTED_VALUE"""),"Bigint")</f>
        <v>Bigint</v>
      </c>
      <c r="F27" s="257">
        <f>IFERROR(__xludf.DUMMYFUNCTION("""COMPUTED_VALUE"""),1.0)</f>
        <v>1</v>
      </c>
      <c r="G27" s="258" t="str">
        <f>IFERROR(__xludf.DUMMYFUNCTION("""COMPUTED_VALUE"""),"CSSG-CDA")</f>
        <v>CSSG-CDA</v>
      </c>
      <c r="H27" s="258" t="str">
        <f>IFERROR(__xludf.DUMMYFUNCTION("""COMPUTED_VALUE"""),"EDO-DG")</f>
        <v>EDO-DG</v>
      </c>
      <c r="I27" s="258" t="str">
        <f>IFERROR(__xludf.DUMMYFUNCTION("""COMPUTED_VALUE"""),"FVT
CSSG
Arrow")</f>
        <v>FVT
CSSG
Arrow</v>
      </c>
      <c r="J27" s="258" t="str">
        <f>IFERROR(__xludf.DUMMYFUNCTION("""COMPUTED_VALUE"""),"Monthly")</f>
        <v>Monthly</v>
      </c>
      <c r="K27" s="258" t="str">
        <f>IFERROR(__xludf.DUMMYFUNCTION("""COMPUTED_VALUE"""),"NA - SCV View")</f>
        <v>NA - SCV View</v>
      </c>
      <c r="L27" s="258" t="str">
        <f>IFERROR(__xludf.DUMMYFUNCTION("""COMPUTED_VALUE"""),"Consumer
EG
SG")</f>
        <v>Consumer
EG
SG</v>
      </c>
      <c r="M27" s="258" t="str">
        <f>IFERROR(__xludf.DUMMYFUNCTION("""COMPUTED_VALUE"""),"contract")</f>
        <v>contract</v>
      </c>
      <c r="N27" s="258" t="str">
        <f>IFERROR(__xludf.DUMMYFUNCTION("""COMPUTED_VALUE"""),"scv_b2c_contract_profile")</f>
        <v>scv_b2c_contract_profile</v>
      </c>
    </row>
    <row r="28">
      <c r="A28" s="257" t="str">
        <f>IFERROR(__xludf.DUMMYFUNCTION("""COMPUTED_VALUE"""),"total_broadband_prepaid_lines_count")</f>
        <v>total_broadband_prepaid_lines_count</v>
      </c>
      <c r="B28" s="257" t="str">
        <f>IFERROR(__xludf.DUMMYFUNCTION("""COMPUTED_VALUE"""),"Profitability")</f>
        <v>Profitability</v>
      </c>
      <c r="C28" s="258" t="str">
        <f>IFERROR(__xludf.DUMMYFUNCTION("""COMPUTED_VALUE"""),"Total count of Broadband preapaid subscriptions that a customer has")</f>
        <v>Total count of Broadband preapaid subscriptions that a customer has</v>
      </c>
      <c r="D28" s="257" t="str">
        <f>IFERROR(__xludf.DUMMYFUNCTION("""COMPUTED_VALUE"""),"Direct Pull")</f>
        <v>Direct Pull</v>
      </c>
      <c r="E28" s="257" t="str">
        <f>IFERROR(__xludf.DUMMYFUNCTION("""COMPUTED_VALUE"""),"Bigint")</f>
        <v>Bigint</v>
      </c>
      <c r="F28" s="257">
        <f>IFERROR(__xludf.DUMMYFUNCTION("""COMPUTED_VALUE"""),1.0)</f>
        <v>1</v>
      </c>
      <c r="G28" s="258" t="str">
        <f>IFERROR(__xludf.DUMMYFUNCTION("""COMPUTED_VALUE"""),"CSSG-CDA")</f>
        <v>CSSG-CDA</v>
      </c>
      <c r="H28" s="258" t="str">
        <f>IFERROR(__xludf.DUMMYFUNCTION("""COMPUTED_VALUE"""),"EDO-DG")</f>
        <v>EDO-DG</v>
      </c>
      <c r="I28" s="258" t="str">
        <f>IFERROR(__xludf.DUMMYFUNCTION("""COMPUTED_VALUE"""),"FVT
CSSG
Arrow")</f>
        <v>FVT
CSSG
Arrow</v>
      </c>
      <c r="J28" s="258" t="str">
        <f>IFERROR(__xludf.DUMMYFUNCTION("""COMPUTED_VALUE"""),"Monthly")</f>
        <v>Monthly</v>
      </c>
      <c r="K28" s="258" t="str">
        <f>IFERROR(__xludf.DUMMYFUNCTION("""COMPUTED_VALUE"""),"NA - SCV View")</f>
        <v>NA - SCV View</v>
      </c>
      <c r="L28" s="258" t="str">
        <f>IFERROR(__xludf.DUMMYFUNCTION("""COMPUTED_VALUE"""),"Consumer
EG
SG")</f>
        <v>Consumer
EG
SG</v>
      </c>
      <c r="M28" s="258" t="str">
        <f>IFERROR(__xludf.DUMMYFUNCTION("""COMPUTED_VALUE"""),"contract")</f>
        <v>contract</v>
      </c>
      <c r="N28" s="258" t="str">
        <f>IFERROR(__xludf.DUMMYFUNCTION("""COMPUTED_VALUE"""),"scv_b2c_contract_profile")</f>
        <v>scv_b2c_contract_profile</v>
      </c>
    </row>
    <row r="29">
      <c r="A29" s="257"/>
      <c r="B29" s="257"/>
      <c r="C29" s="258"/>
      <c r="D29" s="257"/>
      <c r="E29" s="257"/>
      <c r="F29" s="257"/>
      <c r="G29" s="258"/>
      <c r="H29" s="258"/>
      <c r="I29" s="258"/>
      <c r="J29" s="258"/>
      <c r="K29" s="258"/>
      <c r="L29" s="258"/>
      <c r="M29" s="258"/>
      <c r="N29" s="258"/>
    </row>
    <row r="30">
      <c r="A30" s="257"/>
      <c r="B30" s="257"/>
      <c r="C30" s="258"/>
      <c r="D30" s="257"/>
      <c r="E30" s="257"/>
      <c r="F30" s="257"/>
      <c r="G30" s="258"/>
      <c r="H30" s="258"/>
      <c r="I30" s="258"/>
      <c r="J30" s="258"/>
      <c r="K30" s="258"/>
      <c r="L30" s="258"/>
      <c r="M30" s="258"/>
      <c r="N30" s="258"/>
    </row>
    <row r="31">
      <c r="A31" s="257"/>
      <c r="B31" s="257"/>
      <c r="C31" s="258"/>
      <c r="D31" s="257"/>
      <c r="E31" s="257"/>
      <c r="F31" s="257"/>
      <c r="G31" s="258"/>
      <c r="H31" s="258"/>
      <c r="I31" s="258"/>
      <c r="J31" s="258"/>
      <c r="K31" s="258"/>
      <c r="L31" s="258"/>
      <c r="M31" s="258"/>
      <c r="N31" s="258"/>
    </row>
    <row r="32">
      <c r="A32" s="257"/>
      <c r="B32" s="257"/>
      <c r="C32" s="258"/>
      <c r="D32" s="257"/>
      <c r="E32" s="257"/>
      <c r="F32" s="257"/>
      <c r="G32" s="258"/>
      <c r="H32" s="258"/>
      <c r="I32" s="258"/>
      <c r="J32" s="258"/>
      <c r="K32" s="258"/>
      <c r="L32" s="258"/>
      <c r="M32" s="258"/>
      <c r="N32" s="258"/>
    </row>
    <row r="33">
      <c r="A33" s="257"/>
      <c r="B33" s="257"/>
      <c r="C33" s="258"/>
      <c r="D33" s="257"/>
      <c r="E33" s="257"/>
      <c r="F33" s="257"/>
      <c r="G33" s="258"/>
      <c r="H33" s="258"/>
      <c r="I33" s="258"/>
      <c r="J33" s="258"/>
      <c r="K33" s="258"/>
      <c r="L33" s="258"/>
      <c r="M33" s="258"/>
      <c r="N33" s="258"/>
    </row>
    <row r="34">
      <c r="A34" s="257"/>
      <c r="B34" s="257"/>
      <c r="C34" s="258"/>
      <c r="D34" s="257"/>
      <c r="E34" s="257"/>
      <c r="F34" s="257"/>
      <c r="G34" s="258"/>
      <c r="H34" s="258"/>
      <c r="I34" s="258"/>
      <c r="J34" s="258"/>
      <c r="K34" s="258"/>
      <c r="L34" s="258"/>
      <c r="M34" s="258"/>
      <c r="N34" s="258"/>
    </row>
    <row r="35">
      <c r="A35" s="257"/>
      <c r="B35" s="257"/>
      <c r="C35" s="258"/>
      <c r="D35" s="257"/>
      <c r="E35" s="257"/>
      <c r="F35" s="257"/>
      <c r="G35" s="258"/>
      <c r="H35" s="258"/>
      <c r="I35" s="258"/>
      <c r="J35" s="258"/>
      <c r="K35" s="258"/>
      <c r="L35" s="258"/>
      <c r="M35" s="258"/>
      <c r="N35" s="258"/>
    </row>
    <row r="36">
      <c r="A36" s="257"/>
      <c r="B36" s="257"/>
      <c r="C36" s="258"/>
      <c r="D36" s="257"/>
      <c r="E36" s="257"/>
      <c r="F36" s="257"/>
      <c r="G36" s="258"/>
      <c r="H36" s="258"/>
      <c r="I36" s="258"/>
      <c r="J36" s="258"/>
      <c r="K36" s="258"/>
      <c r="L36" s="258"/>
      <c r="M36" s="258"/>
      <c r="N36" s="258"/>
    </row>
    <row r="37">
      <c r="A37" s="257"/>
      <c r="B37" s="257"/>
      <c r="C37" s="258"/>
      <c r="D37" s="257"/>
      <c r="E37" s="257"/>
      <c r="F37" s="257"/>
      <c r="G37" s="258"/>
      <c r="H37" s="258"/>
      <c r="I37" s="258"/>
      <c r="J37" s="258"/>
      <c r="K37" s="258"/>
      <c r="L37" s="258"/>
      <c r="M37" s="258"/>
      <c r="N37" s="258"/>
    </row>
    <row r="38">
      <c r="A38" s="257"/>
      <c r="B38" s="257"/>
      <c r="C38" s="258"/>
      <c r="D38" s="257"/>
      <c r="E38" s="257"/>
      <c r="F38" s="257"/>
      <c r="G38" s="258"/>
      <c r="H38" s="258"/>
      <c r="I38" s="258"/>
      <c r="J38" s="258"/>
      <c r="K38" s="258"/>
      <c r="L38" s="258"/>
      <c r="M38" s="258"/>
      <c r="N38" s="258"/>
    </row>
    <row r="39">
      <c r="A39" s="257"/>
      <c r="B39" s="257"/>
      <c r="C39" s="258"/>
      <c r="D39" s="257"/>
      <c r="E39" s="257"/>
      <c r="F39" s="257"/>
      <c r="G39" s="258"/>
      <c r="H39" s="258"/>
      <c r="I39" s="258"/>
      <c r="J39" s="258"/>
      <c r="K39" s="258"/>
      <c r="L39" s="258"/>
      <c r="M39" s="258"/>
      <c r="N39" s="258"/>
    </row>
    <row r="40">
      <c r="A40" s="257"/>
      <c r="B40" s="257"/>
      <c r="C40" s="258"/>
      <c r="D40" s="257"/>
      <c r="E40" s="257"/>
      <c r="F40" s="257"/>
      <c r="G40" s="258"/>
      <c r="H40" s="258"/>
      <c r="I40" s="258"/>
      <c r="J40" s="258"/>
      <c r="K40" s="258"/>
      <c r="L40" s="258"/>
      <c r="M40" s="258"/>
      <c r="N40" s="258"/>
    </row>
    <row r="41">
      <c r="A41" s="257"/>
      <c r="B41" s="257"/>
      <c r="C41" s="258"/>
      <c r="D41" s="257"/>
      <c r="E41" s="257"/>
      <c r="F41" s="257"/>
      <c r="G41" s="258"/>
      <c r="H41" s="258"/>
      <c r="I41" s="258"/>
      <c r="J41" s="258"/>
      <c r="K41" s="258"/>
      <c r="L41" s="258"/>
      <c r="M41" s="258"/>
      <c r="N41" s="258"/>
    </row>
    <row r="42">
      <c r="A42" s="257"/>
      <c r="B42" s="257"/>
      <c r="C42" s="258"/>
      <c r="D42" s="257"/>
      <c r="E42" s="257"/>
      <c r="F42" s="257"/>
      <c r="G42" s="258"/>
      <c r="H42" s="258"/>
      <c r="I42" s="258"/>
      <c r="J42" s="258"/>
      <c r="K42" s="258"/>
      <c r="L42" s="258"/>
      <c r="M42" s="258"/>
      <c r="N42" s="258"/>
    </row>
    <row r="43">
      <c r="A43" s="257"/>
      <c r="B43" s="257"/>
      <c r="C43" s="258"/>
      <c r="D43" s="257"/>
      <c r="E43" s="257"/>
      <c r="F43" s="257"/>
      <c r="G43" s="258"/>
      <c r="H43" s="258"/>
      <c r="I43" s="258"/>
      <c r="J43" s="258"/>
      <c r="K43" s="258"/>
      <c r="L43" s="258"/>
      <c r="M43" s="258"/>
      <c r="N43" s="258"/>
    </row>
    <row r="44">
      <c r="A44" s="257"/>
      <c r="B44" s="257"/>
      <c r="C44" s="258"/>
      <c r="D44" s="257"/>
      <c r="E44" s="257"/>
      <c r="F44" s="257"/>
      <c r="G44" s="258"/>
      <c r="H44" s="258"/>
      <c r="I44" s="258"/>
      <c r="J44" s="258"/>
      <c r="K44" s="258"/>
      <c r="L44" s="258"/>
      <c r="M44" s="258"/>
      <c r="N44" s="258"/>
    </row>
    <row r="45">
      <c r="A45" s="257"/>
      <c r="B45" s="257"/>
      <c r="C45" s="258"/>
      <c r="D45" s="257"/>
      <c r="E45" s="257"/>
      <c r="F45" s="257"/>
      <c r="G45" s="258"/>
      <c r="H45" s="258"/>
      <c r="I45" s="258"/>
      <c r="J45" s="258"/>
      <c r="K45" s="258"/>
      <c r="L45" s="258"/>
      <c r="M45" s="258"/>
      <c r="N45" s="258"/>
    </row>
    <row r="46">
      <c r="A46" s="257"/>
      <c r="B46" s="257"/>
      <c r="C46" s="258"/>
      <c r="D46" s="257"/>
      <c r="E46" s="257"/>
      <c r="F46" s="257"/>
      <c r="G46" s="258"/>
      <c r="H46" s="258"/>
      <c r="I46" s="258"/>
      <c r="J46" s="258"/>
      <c r="K46" s="258"/>
      <c r="L46" s="258"/>
      <c r="M46" s="258"/>
      <c r="N46" s="258"/>
    </row>
    <row r="47">
      <c r="A47" s="257"/>
      <c r="B47" s="257"/>
      <c r="C47" s="258"/>
      <c r="D47" s="257"/>
      <c r="E47" s="257"/>
      <c r="F47" s="257"/>
      <c r="G47" s="258"/>
      <c r="H47" s="258"/>
      <c r="I47" s="258"/>
      <c r="J47" s="258"/>
      <c r="K47" s="258"/>
      <c r="L47" s="258"/>
      <c r="M47" s="258"/>
      <c r="N47" s="258"/>
    </row>
    <row r="48">
      <c r="A48" s="257"/>
      <c r="B48" s="257"/>
      <c r="C48" s="258"/>
      <c r="D48" s="257"/>
      <c r="E48" s="257"/>
      <c r="F48" s="257"/>
      <c r="G48" s="258"/>
      <c r="H48" s="258"/>
      <c r="I48" s="258"/>
      <c r="J48" s="258"/>
      <c r="K48" s="258"/>
      <c r="L48" s="258"/>
      <c r="M48" s="258"/>
      <c r="N48" s="258"/>
    </row>
    <row r="49">
      <c r="A49" s="257"/>
      <c r="B49" s="257"/>
      <c r="C49" s="258"/>
      <c r="D49" s="257"/>
      <c r="E49" s="257"/>
      <c r="F49" s="257"/>
      <c r="G49" s="258"/>
      <c r="H49" s="258"/>
      <c r="I49" s="258"/>
      <c r="J49" s="258"/>
      <c r="K49" s="258"/>
      <c r="L49" s="258"/>
      <c r="M49" s="258"/>
      <c r="N49" s="258"/>
    </row>
    <row r="50">
      <c r="A50" s="257"/>
      <c r="B50" s="257"/>
      <c r="C50" s="258"/>
      <c r="D50" s="257"/>
      <c r="E50" s="257"/>
      <c r="F50" s="257"/>
      <c r="G50" s="258"/>
      <c r="H50" s="258"/>
      <c r="I50" s="258"/>
      <c r="J50" s="258"/>
      <c r="K50" s="258"/>
      <c r="L50" s="258"/>
      <c r="M50" s="258"/>
      <c r="N50" s="258"/>
    </row>
    <row r="51">
      <c r="A51" s="257"/>
      <c r="B51" s="257"/>
      <c r="C51" s="258"/>
      <c r="D51" s="257"/>
      <c r="E51" s="257"/>
      <c r="F51" s="257"/>
      <c r="G51" s="258"/>
      <c r="H51" s="258"/>
      <c r="I51" s="258"/>
      <c r="J51" s="258"/>
      <c r="K51" s="258"/>
      <c r="L51" s="258"/>
      <c r="M51" s="258"/>
      <c r="N51" s="258"/>
    </row>
    <row r="52">
      <c r="A52" s="257"/>
      <c r="B52" s="257"/>
      <c r="C52" s="258"/>
      <c r="D52" s="257"/>
      <c r="E52" s="257"/>
      <c r="F52" s="257"/>
      <c r="G52" s="258"/>
      <c r="H52" s="258"/>
      <c r="I52" s="258"/>
      <c r="J52" s="258"/>
      <c r="K52" s="258"/>
      <c r="L52" s="258"/>
      <c r="M52" s="258"/>
      <c r="N52" s="258"/>
    </row>
    <row r="53">
      <c r="A53" s="257"/>
      <c r="B53" s="257"/>
      <c r="C53" s="258"/>
      <c r="D53" s="257"/>
      <c r="E53" s="257"/>
      <c r="F53" s="257"/>
      <c r="G53" s="258"/>
      <c r="H53" s="258"/>
      <c r="I53" s="258"/>
      <c r="J53" s="258"/>
      <c r="K53" s="258"/>
      <c r="L53" s="258"/>
      <c r="M53" s="258"/>
      <c r="N53" s="258"/>
    </row>
    <row r="54">
      <c r="A54" s="257"/>
      <c r="B54" s="257"/>
      <c r="C54" s="258"/>
      <c r="D54" s="257"/>
      <c r="E54" s="257"/>
      <c r="F54" s="257"/>
      <c r="G54" s="258"/>
      <c r="H54" s="258"/>
      <c r="I54" s="258"/>
      <c r="J54" s="258"/>
      <c r="K54" s="258"/>
      <c r="L54" s="258"/>
      <c r="M54" s="258"/>
      <c r="N54" s="258"/>
    </row>
    <row r="55">
      <c r="A55" s="257"/>
      <c r="B55" s="257"/>
      <c r="C55" s="258"/>
      <c r="D55" s="257"/>
      <c r="E55" s="257"/>
      <c r="F55" s="257"/>
      <c r="G55" s="258"/>
      <c r="H55" s="258"/>
      <c r="I55" s="258"/>
      <c r="J55" s="258"/>
      <c r="K55" s="258"/>
      <c r="L55" s="258"/>
      <c r="M55" s="258"/>
      <c r="N55" s="258"/>
    </row>
    <row r="56">
      <c r="A56" s="257"/>
      <c r="B56" s="257"/>
      <c r="C56" s="258"/>
      <c r="D56" s="257"/>
      <c r="E56" s="257"/>
      <c r="F56" s="257"/>
      <c r="G56" s="258"/>
      <c r="H56" s="258"/>
      <c r="I56" s="258"/>
      <c r="J56" s="258"/>
      <c r="K56" s="258"/>
      <c r="L56" s="258"/>
      <c r="M56" s="258"/>
      <c r="N56" s="258"/>
    </row>
    <row r="57">
      <c r="A57" s="257"/>
      <c r="B57" s="257"/>
      <c r="C57" s="258"/>
      <c r="D57" s="257"/>
      <c r="E57" s="257"/>
      <c r="F57" s="257"/>
      <c r="G57" s="258"/>
      <c r="H57" s="258"/>
      <c r="I57" s="258"/>
      <c r="J57" s="258"/>
      <c r="K57" s="258"/>
      <c r="L57" s="258"/>
      <c r="M57" s="258"/>
      <c r="N57" s="258"/>
    </row>
    <row r="58">
      <c r="A58" s="257"/>
      <c r="B58" s="257"/>
      <c r="C58" s="258"/>
      <c r="D58" s="257"/>
      <c r="E58" s="257"/>
      <c r="F58" s="257"/>
      <c r="G58" s="258"/>
      <c r="H58" s="258"/>
      <c r="I58" s="258"/>
      <c r="J58" s="258"/>
      <c r="K58" s="258"/>
      <c r="L58" s="258"/>
      <c r="M58" s="258"/>
      <c r="N58" s="258"/>
    </row>
    <row r="59">
      <c r="A59" s="257"/>
      <c r="B59" s="257"/>
      <c r="C59" s="258"/>
      <c r="D59" s="257"/>
      <c r="E59" s="257"/>
      <c r="F59" s="257"/>
      <c r="G59" s="258"/>
      <c r="H59" s="258"/>
      <c r="I59" s="258"/>
      <c r="J59" s="258"/>
      <c r="K59" s="258"/>
      <c r="L59" s="258"/>
      <c r="M59" s="258"/>
      <c r="N59" s="258"/>
    </row>
    <row r="60">
      <c r="A60" s="257"/>
      <c r="B60" s="257"/>
      <c r="C60" s="258"/>
      <c r="D60" s="257"/>
      <c r="E60" s="257"/>
      <c r="F60" s="257"/>
      <c r="G60" s="258"/>
      <c r="H60" s="258"/>
      <c r="I60" s="258"/>
      <c r="J60" s="258"/>
      <c r="K60" s="258"/>
      <c r="L60" s="258"/>
      <c r="M60" s="258"/>
      <c r="N60" s="258"/>
    </row>
    <row r="61">
      <c r="A61" s="257"/>
      <c r="B61" s="257"/>
      <c r="C61" s="258"/>
      <c r="D61" s="257"/>
      <c r="E61" s="257"/>
      <c r="F61" s="257"/>
      <c r="G61" s="258"/>
      <c r="H61" s="258"/>
      <c r="I61" s="258"/>
      <c r="J61" s="258"/>
      <c r="K61" s="258"/>
      <c r="L61" s="258"/>
      <c r="M61" s="258"/>
      <c r="N61" s="258"/>
    </row>
    <row r="62">
      <c r="A62" s="257"/>
      <c r="B62" s="257"/>
      <c r="C62" s="258"/>
      <c r="D62" s="257"/>
      <c r="E62" s="257"/>
      <c r="F62" s="257"/>
      <c r="G62" s="258"/>
      <c r="H62" s="258"/>
      <c r="I62" s="258"/>
      <c r="J62" s="258"/>
      <c r="K62" s="258"/>
      <c r="L62" s="258"/>
      <c r="M62" s="258"/>
      <c r="N62" s="258"/>
    </row>
    <row r="63">
      <c r="A63" s="257"/>
      <c r="B63" s="257"/>
      <c r="C63" s="258"/>
      <c r="D63" s="257"/>
      <c r="E63" s="257"/>
      <c r="F63" s="257"/>
      <c r="G63" s="258"/>
      <c r="H63" s="258"/>
      <c r="I63" s="258"/>
      <c r="J63" s="258"/>
      <c r="K63" s="258"/>
      <c r="L63" s="258"/>
      <c r="M63" s="258"/>
      <c r="N63" s="258"/>
    </row>
    <row r="64">
      <c r="A64" s="257"/>
      <c r="B64" s="257"/>
      <c r="C64" s="258"/>
      <c r="D64" s="257"/>
      <c r="E64" s="257"/>
      <c r="F64" s="257"/>
      <c r="G64" s="258"/>
      <c r="H64" s="258"/>
      <c r="I64" s="258"/>
      <c r="J64" s="258"/>
      <c r="K64" s="258"/>
      <c r="L64" s="258"/>
      <c r="M64" s="258"/>
      <c r="N64" s="258"/>
    </row>
    <row r="65">
      <c r="A65" s="257"/>
      <c r="B65" s="257"/>
      <c r="C65" s="258"/>
      <c r="D65" s="257"/>
      <c r="E65" s="257"/>
      <c r="F65" s="257"/>
      <c r="G65" s="258"/>
      <c r="H65" s="258"/>
      <c r="I65" s="258"/>
      <c r="J65" s="258"/>
      <c r="K65" s="258"/>
      <c r="L65" s="258"/>
      <c r="M65" s="258"/>
      <c r="N65" s="258"/>
    </row>
    <row r="66">
      <c r="A66" s="257"/>
      <c r="B66" s="257"/>
      <c r="C66" s="258"/>
      <c r="D66" s="257"/>
      <c r="E66" s="257"/>
      <c r="F66" s="257"/>
      <c r="G66" s="258"/>
      <c r="H66" s="258"/>
      <c r="I66" s="258"/>
      <c r="J66" s="258"/>
      <c r="K66" s="258"/>
      <c r="L66" s="258"/>
      <c r="M66" s="258"/>
      <c r="N66" s="258"/>
    </row>
    <row r="67">
      <c r="A67" s="257"/>
      <c r="B67" s="257"/>
      <c r="C67" s="258"/>
      <c r="D67" s="257"/>
      <c r="E67" s="257"/>
      <c r="F67" s="257"/>
      <c r="G67" s="258"/>
      <c r="H67" s="258"/>
      <c r="I67" s="258"/>
      <c r="J67" s="258"/>
      <c r="K67" s="258"/>
      <c r="L67" s="258"/>
      <c r="M67" s="258"/>
      <c r="N67" s="258"/>
    </row>
    <row r="68">
      <c r="A68" s="257"/>
      <c r="B68" s="257"/>
      <c r="C68" s="258"/>
      <c r="D68" s="257"/>
      <c r="E68" s="257"/>
      <c r="F68" s="257"/>
      <c r="G68" s="258"/>
      <c r="H68" s="258"/>
      <c r="I68" s="258"/>
      <c r="J68" s="258"/>
      <c r="K68" s="258"/>
      <c r="L68" s="258"/>
      <c r="M68" s="258"/>
      <c r="N68" s="258"/>
    </row>
    <row r="69">
      <c r="A69" s="257"/>
      <c r="B69" s="257"/>
      <c r="C69" s="258"/>
      <c r="D69" s="257"/>
      <c r="E69" s="257"/>
      <c r="F69" s="257"/>
      <c r="G69" s="258"/>
      <c r="H69" s="258"/>
      <c r="I69" s="258"/>
      <c r="J69" s="258"/>
      <c r="K69" s="258"/>
      <c r="L69" s="258"/>
      <c r="M69" s="258"/>
      <c r="N69" s="258"/>
    </row>
    <row r="70">
      <c r="A70" s="257"/>
      <c r="B70" s="257"/>
      <c r="C70" s="258"/>
      <c r="D70" s="257"/>
      <c r="E70" s="257"/>
      <c r="F70" s="257"/>
      <c r="G70" s="258"/>
      <c r="H70" s="258"/>
      <c r="I70" s="258"/>
      <c r="J70" s="258"/>
      <c r="K70" s="258"/>
      <c r="L70" s="258"/>
      <c r="M70" s="258"/>
      <c r="N70" s="258"/>
    </row>
    <row r="71">
      <c r="A71" s="257"/>
      <c r="B71" s="257"/>
      <c r="C71" s="258"/>
      <c r="D71" s="257"/>
      <c r="E71" s="257"/>
      <c r="F71" s="257"/>
      <c r="G71" s="258"/>
      <c r="H71" s="258"/>
      <c r="I71" s="258"/>
      <c r="J71" s="258"/>
      <c r="K71" s="258"/>
      <c r="L71" s="258"/>
      <c r="M71" s="258"/>
      <c r="N71" s="258"/>
    </row>
    <row r="72">
      <c r="A72" s="257"/>
      <c r="B72" s="257"/>
      <c r="C72" s="258"/>
      <c r="D72" s="257"/>
      <c r="E72" s="257"/>
      <c r="F72" s="257"/>
      <c r="G72" s="258"/>
      <c r="H72" s="258"/>
      <c r="I72" s="258"/>
      <c r="J72" s="258"/>
      <c r="K72" s="258"/>
      <c r="L72" s="258"/>
      <c r="M72" s="258"/>
      <c r="N72" s="258"/>
    </row>
    <row r="73">
      <c r="A73" s="257"/>
      <c r="B73" s="257"/>
      <c r="C73" s="258"/>
      <c r="D73" s="257"/>
      <c r="E73" s="257"/>
      <c r="F73" s="257"/>
      <c r="G73" s="258"/>
      <c r="H73" s="258"/>
      <c r="I73" s="258"/>
      <c r="J73" s="258"/>
      <c r="K73" s="258"/>
      <c r="L73" s="258"/>
      <c r="M73" s="258"/>
      <c r="N73" s="258"/>
    </row>
    <row r="74">
      <c r="A74" s="257"/>
      <c r="B74" s="257"/>
      <c r="C74" s="258"/>
      <c r="D74" s="257"/>
      <c r="E74" s="257"/>
      <c r="F74" s="257"/>
      <c r="G74" s="258"/>
      <c r="H74" s="258"/>
      <c r="I74" s="258"/>
      <c r="J74" s="258"/>
      <c r="K74" s="258"/>
      <c r="L74" s="258"/>
      <c r="M74" s="258"/>
      <c r="N74" s="258"/>
    </row>
    <row r="75">
      <c r="A75" s="257"/>
      <c r="B75" s="257"/>
      <c r="C75" s="258"/>
      <c r="D75" s="257"/>
      <c r="E75" s="257"/>
      <c r="F75" s="257"/>
      <c r="G75" s="258"/>
      <c r="H75" s="258"/>
      <c r="I75" s="258"/>
      <c r="J75" s="258"/>
      <c r="K75" s="258"/>
      <c r="L75" s="258"/>
      <c r="M75" s="258"/>
      <c r="N75" s="258"/>
    </row>
    <row r="76">
      <c r="A76" s="257"/>
      <c r="B76" s="257"/>
      <c r="C76" s="258"/>
      <c r="D76" s="257"/>
      <c r="E76" s="257"/>
      <c r="F76" s="257"/>
      <c r="G76" s="258"/>
      <c r="H76" s="258"/>
      <c r="I76" s="258"/>
      <c r="J76" s="258"/>
      <c r="K76" s="258"/>
      <c r="L76" s="258"/>
      <c r="M76" s="258"/>
      <c r="N76" s="258"/>
    </row>
    <row r="77">
      <c r="A77" s="257"/>
      <c r="B77" s="257"/>
      <c r="C77" s="258"/>
      <c r="D77" s="257"/>
      <c r="E77" s="257"/>
      <c r="F77" s="257"/>
      <c r="G77" s="258"/>
      <c r="H77" s="258"/>
      <c r="I77" s="258"/>
      <c r="J77" s="258"/>
      <c r="K77" s="258"/>
      <c r="L77" s="258"/>
      <c r="M77" s="258"/>
      <c r="N77" s="258"/>
    </row>
    <row r="78">
      <c r="A78" s="257"/>
      <c r="B78" s="257"/>
      <c r="C78" s="258"/>
      <c r="D78" s="257"/>
      <c r="E78" s="257"/>
      <c r="F78" s="257"/>
      <c r="G78" s="258"/>
      <c r="H78" s="258"/>
      <c r="I78" s="258"/>
      <c r="J78" s="258"/>
      <c r="K78" s="258"/>
      <c r="L78" s="258"/>
      <c r="M78" s="258"/>
      <c r="N78" s="258"/>
    </row>
    <row r="79">
      <c r="A79" s="257"/>
      <c r="B79" s="257"/>
      <c r="C79" s="258"/>
      <c r="D79" s="257"/>
      <c r="E79" s="257"/>
      <c r="F79" s="257"/>
      <c r="G79" s="258"/>
      <c r="H79" s="258"/>
      <c r="I79" s="258"/>
      <c r="J79" s="258"/>
      <c r="K79" s="258"/>
      <c r="L79" s="258"/>
      <c r="M79" s="258"/>
      <c r="N79" s="258"/>
    </row>
    <row r="80">
      <c r="A80" s="257"/>
      <c r="B80" s="257"/>
      <c r="C80" s="258"/>
      <c r="D80" s="257"/>
      <c r="E80" s="257"/>
      <c r="F80" s="257"/>
      <c r="G80" s="258"/>
      <c r="H80" s="258"/>
      <c r="I80" s="258"/>
      <c r="J80" s="258"/>
      <c r="K80" s="258"/>
      <c r="L80" s="258"/>
      <c r="M80" s="258"/>
      <c r="N80" s="258"/>
    </row>
    <row r="81">
      <c r="A81" s="257"/>
      <c r="B81" s="257"/>
      <c r="C81" s="258"/>
      <c r="D81" s="257"/>
      <c r="E81" s="257"/>
      <c r="F81" s="257"/>
      <c r="G81" s="258"/>
      <c r="H81" s="258"/>
      <c r="I81" s="258"/>
      <c r="J81" s="258"/>
      <c r="K81" s="258"/>
      <c r="L81" s="258"/>
      <c r="M81" s="258"/>
      <c r="N81" s="258"/>
    </row>
    <row r="82">
      <c r="A82" s="257"/>
      <c r="B82" s="257"/>
      <c r="C82" s="258"/>
      <c r="D82" s="257"/>
      <c r="E82" s="257"/>
      <c r="F82" s="257"/>
      <c r="G82" s="258"/>
      <c r="H82" s="258"/>
      <c r="I82" s="258"/>
      <c r="J82" s="258"/>
      <c r="K82" s="258"/>
      <c r="L82" s="258"/>
      <c r="M82" s="258"/>
      <c r="N82" s="258"/>
    </row>
    <row r="83">
      <c r="A83" s="257"/>
      <c r="B83" s="257"/>
      <c r="C83" s="258"/>
      <c r="D83" s="257"/>
      <c r="E83" s="257"/>
      <c r="F83" s="257"/>
      <c r="G83" s="258"/>
      <c r="H83" s="258"/>
      <c r="I83" s="258"/>
      <c r="J83" s="258"/>
      <c r="K83" s="258"/>
      <c r="L83" s="258"/>
      <c r="M83" s="258"/>
      <c r="N83" s="258"/>
    </row>
    <row r="84">
      <c r="A84" s="257"/>
      <c r="B84" s="257"/>
      <c r="C84" s="258"/>
      <c r="D84" s="257"/>
      <c r="E84" s="257"/>
      <c r="F84" s="257"/>
      <c r="G84" s="258"/>
      <c r="H84" s="258"/>
      <c r="I84" s="258"/>
      <c r="J84" s="258"/>
      <c r="K84" s="258"/>
      <c r="L84" s="258"/>
      <c r="M84" s="258"/>
      <c r="N84" s="258"/>
    </row>
    <row r="85">
      <c r="A85" s="257"/>
      <c r="B85" s="257"/>
      <c r="C85" s="258"/>
      <c r="D85" s="257"/>
      <c r="E85" s="257"/>
      <c r="F85" s="257"/>
      <c r="G85" s="258"/>
      <c r="H85" s="258"/>
      <c r="I85" s="258"/>
      <c r="J85" s="258"/>
      <c r="K85" s="258"/>
      <c r="L85" s="258"/>
      <c r="M85" s="258"/>
      <c r="N85" s="258"/>
    </row>
    <row r="86" ht="225.0" customHeight="1">
      <c r="A86" s="257"/>
      <c r="B86" s="257"/>
      <c r="C86" s="258"/>
      <c r="D86" s="257"/>
      <c r="E86" s="257"/>
      <c r="F86" s="257"/>
      <c r="G86" s="258"/>
      <c r="H86" s="258"/>
      <c r="I86" s="258"/>
      <c r="J86" s="258"/>
      <c r="K86" s="258"/>
      <c r="L86" s="258"/>
      <c r="M86" s="258"/>
      <c r="N86" s="258"/>
    </row>
    <row r="87">
      <c r="A87" s="257"/>
      <c r="B87" s="257"/>
      <c r="C87" s="258"/>
      <c r="D87" s="257"/>
      <c r="E87" s="257"/>
      <c r="F87" s="257"/>
      <c r="G87" s="258"/>
      <c r="H87" s="258"/>
      <c r="I87" s="258"/>
      <c r="J87" s="258"/>
      <c r="K87" s="258"/>
      <c r="L87" s="258"/>
      <c r="M87" s="258"/>
      <c r="N87" s="258"/>
    </row>
    <row r="88">
      <c r="A88" s="257"/>
      <c r="B88" s="257"/>
      <c r="C88" s="258"/>
      <c r="D88" s="257"/>
      <c r="E88" s="257"/>
      <c r="F88" s="257"/>
      <c r="G88" s="258"/>
      <c r="H88" s="258"/>
      <c r="I88" s="258"/>
      <c r="J88" s="258"/>
      <c r="K88" s="258"/>
      <c r="L88" s="258"/>
      <c r="M88" s="258"/>
      <c r="N88" s="258"/>
    </row>
    <row r="89">
      <c r="A89" s="257"/>
      <c r="B89" s="257"/>
      <c r="C89" s="258"/>
      <c r="D89" s="257"/>
      <c r="E89" s="257"/>
      <c r="F89" s="257"/>
      <c r="G89" s="258"/>
      <c r="H89" s="258"/>
      <c r="I89" s="258"/>
      <c r="J89" s="258"/>
      <c r="K89" s="258"/>
      <c r="L89" s="258"/>
      <c r="M89" s="258"/>
      <c r="N89" s="258"/>
    </row>
    <row r="90">
      <c r="A90" s="257"/>
      <c r="B90" s="257"/>
      <c r="C90" s="258"/>
      <c r="D90" s="257"/>
      <c r="E90" s="257"/>
      <c r="F90" s="257"/>
      <c r="G90" s="258"/>
      <c r="H90" s="258"/>
      <c r="I90" s="258"/>
      <c r="J90" s="258"/>
      <c r="K90" s="258"/>
      <c r="L90" s="258"/>
      <c r="M90" s="258"/>
      <c r="N90" s="258"/>
    </row>
    <row r="91">
      <c r="A91" s="257"/>
      <c r="B91" s="257"/>
      <c r="C91" s="258"/>
      <c r="D91" s="257"/>
      <c r="E91" s="257"/>
      <c r="F91" s="257"/>
      <c r="G91" s="258"/>
      <c r="H91" s="258"/>
      <c r="I91" s="258"/>
      <c r="J91" s="258"/>
      <c r="K91" s="258"/>
      <c r="L91" s="258"/>
      <c r="M91" s="258"/>
      <c r="N91" s="258"/>
    </row>
    <row r="92">
      <c r="A92" s="257"/>
      <c r="B92" s="257"/>
      <c r="C92" s="258"/>
      <c r="D92" s="257"/>
      <c r="E92" s="257"/>
      <c r="F92" s="257"/>
      <c r="G92" s="258"/>
      <c r="H92" s="258"/>
      <c r="I92" s="258"/>
      <c r="J92" s="258"/>
      <c r="K92" s="258"/>
      <c r="L92" s="258"/>
      <c r="M92" s="258"/>
      <c r="N92" s="258"/>
    </row>
    <row r="93">
      <c r="A93" s="257"/>
      <c r="B93" s="257"/>
      <c r="C93" s="258"/>
      <c r="D93" s="257"/>
      <c r="E93" s="257"/>
      <c r="F93" s="257"/>
      <c r="G93" s="258"/>
      <c r="H93" s="258"/>
      <c r="I93" s="258"/>
      <c r="J93" s="258"/>
      <c r="K93" s="258"/>
      <c r="L93" s="258"/>
      <c r="M93" s="258"/>
      <c r="N93" s="258"/>
    </row>
    <row r="94">
      <c r="A94" s="257"/>
      <c r="B94" s="257"/>
      <c r="C94" s="258"/>
      <c r="D94" s="257"/>
      <c r="E94" s="257"/>
      <c r="F94" s="257"/>
      <c r="G94" s="258"/>
      <c r="H94" s="258"/>
      <c r="I94" s="258"/>
      <c r="J94" s="258"/>
      <c r="K94" s="258"/>
      <c r="L94" s="258"/>
      <c r="M94" s="258"/>
      <c r="N94" s="258"/>
    </row>
    <row r="95">
      <c r="A95" s="257"/>
      <c r="B95" s="257"/>
      <c r="C95" s="258"/>
      <c r="D95" s="257"/>
      <c r="E95" s="257"/>
      <c r="F95" s="257"/>
      <c r="G95" s="258"/>
      <c r="H95" s="258"/>
      <c r="I95" s="258"/>
      <c r="J95" s="258"/>
      <c r="K95" s="258"/>
      <c r="L95" s="258"/>
      <c r="M95" s="258"/>
      <c r="N95" s="258"/>
    </row>
    <row r="96">
      <c r="A96" s="257"/>
      <c r="B96" s="257"/>
      <c r="C96" s="258"/>
      <c r="D96" s="257"/>
      <c r="E96" s="257"/>
      <c r="F96" s="257"/>
      <c r="G96" s="258"/>
      <c r="H96" s="258"/>
      <c r="I96" s="258"/>
      <c r="J96" s="258"/>
      <c r="K96" s="258"/>
      <c r="L96" s="258"/>
      <c r="M96" s="258"/>
      <c r="N96" s="258"/>
    </row>
    <row r="97">
      <c r="A97" s="257"/>
      <c r="B97" s="257"/>
      <c r="C97" s="258"/>
      <c r="D97" s="257"/>
      <c r="E97" s="257"/>
      <c r="F97" s="257"/>
      <c r="G97" s="258"/>
      <c r="H97" s="258"/>
      <c r="I97" s="258"/>
      <c r="J97" s="258"/>
      <c r="K97" s="258"/>
      <c r="L97" s="258"/>
      <c r="M97" s="258"/>
      <c r="N97" s="258"/>
    </row>
    <row r="98">
      <c r="A98" s="257"/>
      <c r="B98" s="257"/>
      <c r="C98" s="258"/>
      <c r="D98" s="257"/>
      <c r="E98" s="257"/>
      <c r="F98" s="257"/>
      <c r="G98" s="258"/>
      <c r="H98" s="258"/>
      <c r="I98" s="258"/>
      <c r="J98" s="258"/>
      <c r="K98" s="258"/>
      <c r="L98" s="258"/>
      <c r="M98" s="258"/>
      <c r="N98" s="258"/>
    </row>
    <row r="99">
      <c r="A99" s="257"/>
      <c r="B99" s="257"/>
      <c r="C99" s="258"/>
      <c r="D99" s="257"/>
      <c r="E99" s="257"/>
      <c r="F99" s="257"/>
      <c r="G99" s="258"/>
      <c r="H99" s="258"/>
      <c r="I99" s="258"/>
      <c r="J99" s="258"/>
      <c r="K99" s="258"/>
      <c r="L99" s="258"/>
      <c r="M99" s="258"/>
      <c r="N99" s="258"/>
    </row>
    <row r="100">
      <c r="A100" s="257"/>
      <c r="B100" s="257"/>
      <c r="C100" s="258"/>
      <c r="D100" s="257"/>
      <c r="E100" s="257"/>
      <c r="F100" s="257"/>
      <c r="G100" s="258"/>
      <c r="H100" s="258"/>
      <c r="I100" s="258"/>
      <c r="J100" s="258"/>
      <c r="K100" s="258"/>
      <c r="L100" s="258"/>
      <c r="M100" s="258"/>
      <c r="N100" s="258"/>
    </row>
    <row r="101">
      <c r="A101" s="257"/>
      <c r="B101" s="257"/>
      <c r="C101" s="258"/>
      <c r="D101" s="257"/>
      <c r="E101" s="257"/>
      <c r="F101" s="257"/>
      <c r="G101" s="258"/>
      <c r="H101" s="258"/>
      <c r="I101" s="258"/>
      <c r="J101" s="258"/>
      <c r="K101" s="258"/>
      <c r="L101" s="258"/>
      <c r="M101" s="258"/>
      <c r="N101" s="258"/>
    </row>
    <row r="102">
      <c r="A102" s="257"/>
      <c r="B102" s="257"/>
      <c r="C102" s="258"/>
      <c r="D102" s="257"/>
      <c r="E102" s="257"/>
      <c r="F102" s="257"/>
      <c r="G102" s="258"/>
      <c r="H102" s="258"/>
      <c r="I102" s="258"/>
      <c r="J102" s="258"/>
      <c r="K102" s="258"/>
      <c r="L102" s="258"/>
      <c r="M102" s="258"/>
      <c r="N102" s="258"/>
    </row>
    <row r="103">
      <c r="A103" s="257"/>
      <c r="B103" s="257"/>
      <c r="C103" s="258"/>
      <c r="D103" s="257"/>
      <c r="E103" s="257"/>
      <c r="F103" s="257"/>
      <c r="G103" s="258"/>
      <c r="H103" s="258"/>
      <c r="I103" s="258"/>
      <c r="J103" s="258"/>
      <c r="K103" s="258"/>
      <c r="L103" s="258"/>
      <c r="M103" s="258"/>
      <c r="N103" s="258"/>
    </row>
    <row r="104">
      <c r="A104" s="257"/>
      <c r="B104" s="257"/>
      <c r="C104" s="258"/>
      <c r="D104" s="257"/>
      <c r="E104" s="257"/>
      <c r="F104" s="257"/>
      <c r="G104" s="258"/>
      <c r="H104" s="258"/>
      <c r="I104" s="258"/>
      <c r="J104" s="258"/>
      <c r="K104" s="258"/>
      <c r="L104" s="258"/>
      <c r="M104" s="258"/>
      <c r="N104" s="258"/>
    </row>
    <row r="105">
      <c r="A105" s="257"/>
      <c r="B105" s="257"/>
      <c r="C105" s="258"/>
      <c r="D105" s="257"/>
      <c r="E105" s="257"/>
      <c r="F105" s="257"/>
      <c r="G105" s="258"/>
      <c r="H105" s="258"/>
      <c r="I105" s="258"/>
      <c r="J105" s="258"/>
      <c r="K105" s="258"/>
      <c r="L105" s="258"/>
      <c r="M105" s="258"/>
      <c r="N105" s="258"/>
    </row>
    <row r="106">
      <c r="A106" s="257"/>
      <c r="B106" s="257"/>
      <c r="C106" s="258"/>
      <c r="D106" s="257"/>
      <c r="E106" s="257"/>
      <c r="F106" s="257"/>
      <c r="G106" s="258"/>
      <c r="H106" s="258"/>
      <c r="I106" s="258"/>
      <c r="J106" s="258"/>
      <c r="K106" s="258"/>
      <c r="L106" s="258"/>
      <c r="M106" s="258"/>
      <c r="N106" s="258"/>
    </row>
    <row r="107">
      <c r="A107" s="257"/>
      <c r="B107" s="257"/>
      <c r="C107" s="258"/>
      <c r="D107" s="257"/>
      <c r="E107" s="257"/>
      <c r="F107" s="257"/>
      <c r="G107" s="258"/>
      <c r="H107" s="258"/>
      <c r="I107" s="258"/>
      <c r="J107" s="258"/>
      <c r="K107" s="258"/>
      <c r="L107" s="258"/>
      <c r="M107" s="258"/>
      <c r="N107" s="258"/>
    </row>
    <row r="108">
      <c r="A108" s="257"/>
      <c r="B108" s="257"/>
      <c r="C108" s="258"/>
      <c r="D108" s="257"/>
      <c r="E108" s="257"/>
      <c r="F108" s="257"/>
      <c r="G108" s="258"/>
      <c r="H108" s="258"/>
      <c r="I108" s="258"/>
      <c r="J108" s="258"/>
      <c r="K108" s="258"/>
      <c r="L108" s="258"/>
      <c r="M108" s="258"/>
      <c r="N108" s="258"/>
    </row>
    <row r="109">
      <c r="A109" s="257"/>
      <c r="B109" s="257"/>
      <c r="C109" s="258"/>
      <c r="D109" s="257"/>
      <c r="E109" s="257"/>
      <c r="F109" s="257"/>
      <c r="G109" s="258"/>
      <c r="H109" s="258"/>
      <c r="I109" s="258"/>
      <c r="J109" s="258"/>
      <c r="K109" s="258"/>
      <c r="L109" s="258"/>
      <c r="M109" s="258"/>
      <c r="N109" s="258"/>
    </row>
    <row r="110">
      <c r="A110" s="257"/>
      <c r="B110" s="257"/>
      <c r="C110" s="258"/>
      <c r="D110" s="257"/>
      <c r="E110" s="257"/>
      <c r="F110" s="257"/>
      <c r="G110" s="258"/>
      <c r="H110" s="258"/>
      <c r="I110" s="258"/>
      <c r="J110" s="258"/>
      <c r="K110" s="258"/>
      <c r="L110" s="258"/>
      <c r="M110" s="258"/>
      <c r="N110" s="258"/>
    </row>
    <row r="111">
      <c r="A111" s="257"/>
      <c r="B111" s="257"/>
      <c r="C111" s="258"/>
      <c r="D111" s="257"/>
      <c r="E111" s="257"/>
      <c r="F111" s="257"/>
      <c r="G111" s="258"/>
      <c r="H111" s="258"/>
      <c r="I111" s="258"/>
      <c r="J111" s="258"/>
      <c r="K111" s="258"/>
      <c r="L111" s="258"/>
      <c r="M111" s="258"/>
      <c r="N111" s="258"/>
    </row>
    <row r="112">
      <c r="A112" s="257"/>
      <c r="B112" s="257"/>
      <c r="C112" s="258"/>
      <c r="D112" s="257"/>
      <c r="E112" s="257"/>
      <c r="F112" s="257"/>
      <c r="G112" s="258"/>
      <c r="H112" s="258"/>
      <c r="I112" s="258"/>
      <c r="J112" s="258"/>
      <c r="K112" s="258"/>
      <c r="L112" s="258"/>
      <c r="M112" s="258"/>
      <c r="N112" s="258"/>
    </row>
    <row r="113">
      <c r="A113" s="257"/>
      <c r="B113" s="257"/>
      <c r="C113" s="258"/>
      <c r="D113" s="257"/>
      <c r="E113" s="257"/>
      <c r="F113" s="257"/>
      <c r="G113" s="258"/>
      <c r="H113" s="258"/>
      <c r="I113" s="258"/>
      <c r="J113" s="258"/>
      <c r="K113" s="258"/>
      <c r="L113" s="258"/>
      <c r="M113" s="258"/>
      <c r="N113" s="258"/>
    </row>
    <row r="114">
      <c r="A114" s="257"/>
      <c r="B114" s="257"/>
      <c r="C114" s="258"/>
      <c r="D114" s="257"/>
      <c r="E114" s="257"/>
      <c r="F114" s="257"/>
      <c r="G114" s="258"/>
      <c r="H114" s="258"/>
      <c r="I114" s="258"/>
      <c r="J114" s="258"/>
      <c r="K114" s="258"/>
      <c r="L114" s="258"/>
      <c r="M114" s="258"/>
      <c r="N114" s="258"/>
    </row>
    <row r="115">
      <c r="A115" s="257"/>
      <c r="B115" s="257"/>
      <c r="C115" s="258"/>
      <c r="D115" s="257"/>
      <c r="E115" s="257"/>
      <c r="F115" s="257"/>
      <c r="G115" s="258"/>
      <c r="H115" s="258"/>
      <c r="I115" s="258"/>
      <c r="J115" s="258"/>
      <c r="K115" s="258"/>
      <c r="L115" s="258"/>
      <c r="M115" s="258"/>
      <c r="N115" s="258"/>
    </row>
    <row r="116">
      <c r="A116" s="257"/>
      <c r="B116" s="257"/>
      <c r="C116" s="258"/>
      <c r="D116" s="257"/>
      <c r="E116" s="257"/>
      <c r="F116" s="257"/>
      <c r="G116" s="258"/>
      <c r="H116" s="258"/>
      <c r="I116" s="258"/>
      <c r="J116" s="258"/>
      <c r="K116" s="258"/>
      <c r="L116" s="258"/>
      <c r="M116" s="258"/>
      <c r="N116" s="258"/>
    </row>
    <row r="117">
      <c r="A117" s="257"/>
      <c r="B117" s="257"/>
      <c r="C117" s="258"/>
      <c r="D117" s="257"/>
      <c r="E117" s="257"/>
      <c r="F117" s="257"/>
      <c r="G117" s="258"/>
      <c r="H117" s="258"/>
      <c r="I117" s="258"/>
      <c r="J117" s="258"/>
      <c r="K117" s="258"/>
      <c r="L117" s="258"/>
      <c r="M117" s="258"/>
      <c r="N117" s="258"/>
    </row>
    <row r="118">
      <c r="A118" s="257"/>
      <c r="B118" s="257"/>
      <c r="C118" s="258"/>
      <c r="D118" s="257"/>
      <c r="E118" s="257"/>
      <c r="F118" s="257"/>
      <c r="G118" s="258"/>
      <c r="H118" s="258"/>
      <c r="I118" s="258"/>
      <c r="J118" s="258"/>
      <c r="K118" s="258"/>
      <c r="L118" s="258"/>
      <c r="M118" s="258"/>
      <c r="N118" s="258"/>
    </row>
    <row r="119">
      <c r="A119" s="257"/>
      <c r="B119" s="257"/>
      <c r="C119" s="258"/>
      <c r="D119" s="257"/>
      <c r="E119" s="257"/>
      <c r="F119" s="257"/>
      <c r="G119" s="258"/>
      <c r="H119" s="258"/>
      <c r="I119" s="258"/>
      <c r="J119" s="258"/>
      <c r="K119" s="258"/>
      <c r="L119" s="258"/>
      <c r="M119" s="258"/>
      <c r="N119" s="258"/>
    </row>
    <row r="120">
      <c r="A120" s="257"/>
      <c r="B120" s="257"/>
      <c r="C120" s="258"/>
      <c r="D120" s="257"/>
      <c r="E120" s="257"/>
      <c r="F120" s="257"/>
      <c r="G120" s="258"/>
      <c r="H120" s="258"/>
      <c r="I120" s="258"/>
      <c r="J120" s="258"/>
      <c r="K120" s="258"/>
      <c r="L120" s="258"/>
      <c r="M120" s="258"/>
      <c r="N120" s="258"/>
    </row>
    <row r="121">
      <c r="A121" s="257"/>
      <c r="B121" s="257"/>
      <c r="C121" s="258"/>
      <c r="D121" s="257"/>
      <c r="E121" s="257"/>
      <c r="F121" s="257"/>
      <c r="G121" s="258"/>
      <c r="H121" s="258"/>
      <c r="I121" s="258"/>
      <c r="J121" s="258"/>
      <c r="K121" s="258"/>
      <c r="L121" s="258"/>
      <c r="M121" s="258"/>
      <c r="N121" s="258"/>
    </row>
    <row r="122">
      <c r="A122" s="257"/>
      <c r="B122" s="257"/>
      <c r="C122" s="258"/>
      <c r="D122" s="257"/>
      <c r="E122" s="257"/>
      <c r="F122" s="257"/>
      <c r="G122" s="258"/>
      <c r="H122" s="258"/>
      <c r="I122" s="258"/>
      <c r="J122" s="258"/>
      <c r="K122" s="258"/>
      <c r="L122" s="258"/>
      <c r="M122" s="258"/>
      <c r="N122" s="258"/>
    </row>
    <row r="123">
      <c r="A123" s="257"/>
      <c r="B123" s="257"/>
      <c r="C123" s="258"/>
      <c r="D123" s="257"/>
      <c r="E123" s="257"/>
      <c r="F123" s="257"/>
      <c r="G123" s="258"/>
      <c r="H123" s="258"/>
      <c r="I123" s="258"/>
      <c r="J123" s="258"/>
      <c r="K123" s="258"/>
      <c r="L123" s="258"/>
      <c r="M123" s="258"/>
      <c r="N123" s="258"/>
    </row>
    <row r="124">
      <c r="A124" s="257"/>
      <c r="B124" s="257"/>
      <c r="C124" s="258"/>
      <c r="D124" s="257"/>
      <c r="E124" s="257"/>
      <c r="F124" s="257"/>
      <c r="G124" s="258"/>
      <c r="H124" s="258"/>
      <c r="I124" s="258"/>
      <c r="J124" s="258"/>
      <c r="K124" s="258"/>
      <c r="L124" s="258"/>
      <c r="M124" s="258"/>
      <c r="N124" s="258"/>
    </row>
    <row r="125">
      <c r="A125" s="257"/>
      <c r="B125" s="257"/>
      <c r="C125" s="258"/>
      <c r="D125" s="257"/>
      <c r="E125" s="257"/>
      <c r="F125" s="257"/>
      <c r="G125" s="258"/>
      <c r="H125" s="258"/>
      <c r="I125" s="258"/>
      <c r="J125" s="258"/>
      <c r="K125" s="258"/>
      <c r="L125" s="258"/>
      <c r="M125" s="258"/>
      <c r="N125" s="258"/>
    </row>
    <row r="126">
      <c r="A126" s="257"/>
      <c r="B126" s="257"/>
      <c r="C126" s="258"/>
      <c r="D126" s="257"/>
      <c r="E126" s="257"/>
      <c r="F126" s="257"/>
      <c r="G126" s="258"/>
      <c r="H126" s="258"/>
      <c r="I126" s="258"/>
      <c r="J126" s="258"/>
      <c r="K126" s="258"/>
      <c r="L126" s="258"/>
      <c r="M126" s="258"/>
      <c r="N126" s="258"/>
    </row>
    <row r="127">
      <c r="A127" s="257"/>
      <c r="B127" s="257"/>
      <c r="C127" s="258"/>
      <c r="D127" s="257"/>
      <c r="E127" s="257"/>
      <c r="F127" s="257"/>
      <c r="G127" s="258"/>
      <c r="H127" s="258"/>
      <c r="I127" s="258"/>
      <c r="J127" s="258"/>
      <c r="K127" s="258"/>
      <c r="L127" s="258"/>
      <c r="M127" s="258"/>
      <c r="N127" s="258"/>
    </row>
    <row r="128">
      <c r="A128" s="257"/>
      <c r="B128" s="257"/>
      <c r="C128" s="258"/>
      <c r="D128" s="257"/>
      <c r="E128" s="257"/>
      <c r="F128" s="257"/>
      <c r="G128" s="258"/>
      <c r="H128" s="258"/>
      <c r="I128" s="258"/>
      <c r="J128" s="258"/>
      <c r="K128" s="258"/>
      <c r="L128" s="258"/>
      <c r="M128" s="258"/>
      <c r="N128" s="258"/>
    </row>
    <row r="129">
      <c r="A129" s="257"/>
      <c r="B129" s="257"/>
      <c r="C129" s="258"/>
      <c r="D129" s="257"/>
      <c r="E129" s="257"/>
      <c r="F129" s="257"/>
      <c r="G129" s="258"/>
      <c r="H129" s="258"/>
      <c r="I129" s="258"/>
      <c r="J129" s="258"/>
      <c r="K129" s="258"/>
      <c r="L129" s="258"/>
      <c r="M129" s="258"/>
      <c r="N129" s="258"/>
    </row>
    <row r="130">
      <c r="A130" s="257"/>
      <c r="B130" s="257"/>
      <c r="C130" s="258"/>
      <c r="D130" s="257"/>
      <c r="E130" s="257"/>
      <c r="F130" s="257"/>
      <c r="G130" s="258"/>
      <c r="H130" s="258"/>
      <c r="I130" s="258"/>
      <c r="J130" s="258"/>
      <c r="K130" s="258"/>
      <c r="L130" s="258"/>
      <c r="M130" s="258"/>
      <c r="N130" s="258"/>
    </row>
    <row r="131">
      <c r="A131" s="257"/>
      <c r="B131" s="257"/>
      <c r="C131" s="258"/>
      <c r="D131" s="257"/>
      <c r="E131" s="257"/>
      <c r="F131" s="257"/>
      <c r="G131" s="258"/>
      <c r="H131" s="258"/>
      <c r="I131" s="258"/>
      <c r="J131" s="258"/>
      <c r="K131" s="258"/>
      <c r="L131" s="258"/>
      <c r="M131" s="258"/>
      <c r="N131" s="258"/>
    </row>
    <row r="132">
      <c r="A132" s="257"/>
      <c r="B132" s="257"/>
      <c r="C132" s="258"/>
      <c r="D132" s="257"/>
      <c r="E132" s="257"/>
      <c r="F132" s="257"/>
      <c r="G132" s="258"/>
      <c r="H132" s="258"/>
      <c r="I132" s="258"/>
      <c r="J132" s="258"/>
      <c r="K132" s="258"/>
      <c r="L132" s="258"/>
      <c r="M132" s="258"/>
      <c r="N132" s="258"/>
    </row>
    <row r="133">
      <c r="A133" s="257"/>
      <c r="B133" s="257"/>
      <c r="C133" s="258"/>
      <c r="D133" s="257"/>
      <c r="E133" s="257"/>
      <c r="F133" s="257"/>
      <c r="G133" s="258"/>
      <c r="H133" s="258"/>
      <c r="I133" s="258"/>
      <c r="J133" s="258"/>
      <c r="K133" s="258"/>
      <c r="L133" s="258"/>
      <c r="M133" s="258"/>
      <c r="N133" s="258"/>
    </row>
    <row r="134">
      <c r="A134" s="257"/>
      <c r="B134" s="257"/>
      <c r="C134" s="258"/>
      <c r="D134" s="257"/>
      <c r="E134" s="257"/>
      <c r="F134" s="257"/>
      <c r="G134" s="258"/>
      <c r="H134" s="258"/>
      <c r="I134" s="258"/>
      <c r="J134" s="258"/>
      <c r="K134" s="258"/>
      <c r="L134" s="258"/>
      <c r="M134" s="258"/>
      <c r="N134" s="258"/>
    </row>
    <row r="135">
      <c r="A135" s="257"/>
      <c r="B135" s="257"/>
      <c r="C135" s="258"/>
      <c r="D135" s="257"/>
      <c r="E135" s="257"/>
      <c r="F135" s="257"/>
      <c r="G135" s="258"/>
      <c r="H135" s="258"/>
      <c r="I135" s="258"/>
      <c r="J135" s="258"/>
      <c r="K135" s="258"/>
      <c r="L135" s="258"/>
      <c r="M135" s="258"/>
      <c r="N135" s="258"/>
    </row>
    <row r="136">
      <c r="A136" s="257"/>
      <c r="B136" s="257"/>
      <c r="C136" s="258"/>
      <c r="D136" s="257"/>
      <c r="E136" s="257"/>
      <c r="F136" s="257"/>
      <c r="G136" s="258"/>
      <c r="H136" s="258"/>
      <c r="I136" s="258"/>
      <c r="J136" s="258"/>
      <c r="K136" s="258"/>
      <c r="L136" s="258"/>
      <c r="M136" s="258"/>
      <c r="N136" s="258"/>
    </row>
    <row r="137">
      <c r="A137" s="257"/>
      <c r="B137" s="257"/>
      <c r="C137" s="258"/>
      <c r="D137" s="257"/>
      <c r="E137" s="257"/>
      <c r="F137" s="257"/>
      <c r="G137" s="258"/>
      <c r="H137" s="258"/>
      <c r="I137" s="258"/>
      <c r="J137" s="258"/>
      <c r="K137" s="258"/>
      <c r="L137" s="258"/>
      <c r="M137" s="258"/>
      <c r="N137" s="258"/>
    </row>
    <row r="138">
      <c r="A138" s="257"/>
      <c r="B138" s="257"/>
      <c r="C138" s="258"/>
      <c r="D138" s="257"/>
      <c r="E138" s="257"/>
      <c r="F138" s="257"/>
      <c r="G138" s="258"/>
      <c r="H138" s="258"/>
      <c r="I138" s="258"/>
      <c r="J138" s="258"/>
      <c r="K138" s="258"/>
      <c r="L138" s="258"/>
      <c r="M138" s="258"/>
      <c r="N138" s="258"/>
    </row>
    <row r="139">
      <c r="A139" s="257"/>
      <c r="B139" s="257"/>
      <c r="C139" s="258"/>
      <c r="D139" s="257"/>
      <c r="E139" s="257"/>
      <c r="F139" s="257"/>
      <c r="G139" s="258"/>
      <c r="H139" s="258"/>
      <c r="I139" s="258"/>
      <c r="J139" s="258"/>
      <c r="K139" s="258"/>
      <c r="L139" s="258"/>
      <c r="M139" s="258"/>
      <c r="N139" s="258"/>
    </row>
    <row r="140">
      <c r="A140" s="257"/>
      <c r="B140" s="257"/>
      <c r="C140" s="258"/>
      <c r="D140" s="257"/>
      <c r="E140" s="257"/>
      <c r="F140" s="257"/>
      <c r="G140" s="258"/>
      <c r="H140" s="258"/>
      <c r="I140" s="258"/>
      <c r="J140" s="258"/>
      <c r="K140" s="258"/>
      <c r="L140" s="258"/>
      <c r="M140" s="258"/>
      <c r="N140" s="258"/>
    </row>
    <row r="141">
      <c r="A141" s="257"/>
      <c r="B141" s="257"/>
      <c r="C141" s="258"/>
      <c r="D141" s="257"/>
      <c r="E141" s="257"/>
      <c r="F141" s="257"/>
      <c r="G141" s="258"/>
      <c r="H141" s="258"/>
      <c r="I141" s="258"/>
      <c r="J141" s="258"/>
      <c r="K141" s="258"/>
      <c r="L141" s="258"/>
      <c r="M141" s="258"/>
      <c r="N141" s="258"/>
    </row>
    <row r="142">
      <c r="A142" s="257"/>
      <c r="B142" s="257"/>
      <c r="C142" s="258"/>
      <c r="D142" s="257"/>
      <c r="E142" s="257"/>
      <c r="F142" s="257"/>
      <c r="G142" s="258"/>
      <c r="H142" s="258"/>
      <c r="I142" s="258"/>
      <c r="J142" s="258"/>
      <c r="K142" s="258"/>
      <c r="L142" s="258"/>
      <c r="M142" s="258"/>
      <c r="N142" s="258"/>
    </row>
    <row r="143">
      <c r="A143" s="257"/>
      <c r="B143" s="257"/>
      <c r="C143" s="258"/>
      <c r="D143" s="257"/>
      <c r="E143" s="257"/>
      <c r="F143" s="257"/>
      <c r="G143" s="258"/>
      <c r="H143" s="258"/>
      <c r="I143" s="258"/>
      <c r="J143" s="258"/>
      <c r="K143" s="258"/>
      <c r="L143" s="258"/>
      <c r="M143" s="258"/>
      <c r="N143" s="258"/>
    </row>
    <row r="144">
      <c r="A144" s="257"/>
      <c r="B144" s="257"/>
      <c r="C144" s="258"/>
      <c r="D144" s="257"/>
      <c r="E144" s="257"/>
      <c r="F144" s="257"/>
      <c r="G144" s="258"/>
      <c r="H144" s="258"/>
      <c r="I144" s="258"/>
      <c r="J144" s="258"/>
      <c r="K144" s="258"/>
      <c r="L144" s="258"/>
      <c r="M144" s="258"/>
      <c r="N144" s="258"/>
    </row>
    <row r="145">
      <c r="A145" s="257"/>
      <c r="B145" s="257"/>
      <c r="C145" s="258"/>
      <c r="D145" s="257"/>
      <c r="E145" s="257"/>
      <c r="F145" s="257"/>
      <c r="G145" s="258"/>
      <c r="H145" s="258"/>
      <c r="I145" s="258"/>
      <c r="J145" s="258"/>
      <c r="K145" s="258"/>
      <c r="L145" s="258"/>
      <c r="M145" s="258"/>
      <c r="N145" s="258"/>
    </row>
    <row r="146">
      <c r="A146" s="257"/>
      <c r="B146" s="257"/>
      <c r="C146" s="258"/>
      <c r="D146" s="257"/>
      <c r="E146" s="257"/>
      <c r="F146" s="257"/>
      <c r="G146" s="258"/>
      <c r="H146" s="258"/>
      <c r="I146" s="258"/>
      <c r="J146" s="258"/>
      <c r="K146" s="258"/>
      <c r="L146" s="258"/>
      <c r="M146" s="258"/>
      <c r="N146" s="258"/>
    </row>
    <row r="147">
      <c r="A147" s="257"/>
      <c r="B147" s="257"/>
      <c r="C147" s="258"/>
      <c r="D147" s="257"/>
      <c r="E147" s="257"/>
      <c r="F147" s="257"/>
      <c r="G147" s="258"/>
      <c r="H147" s="258"/>
      <c r="I147" s="258"/>
      <c r="J147" s="258"/>
      <c r="K147" s="258"/>
      <c r="L147" s="258"/>
      <c r="M147" s="258"/>
      <c r="N147" s="258"/>
    </row>
    <row r="148">
      <c r="A148" s="257"/>
      <c r="B148" s="257"/>
      <c r="C148" s="258"/>
      <c r="D148" s="257"/>
      <c r="E148" s="257"/>
      <c r="F148" s="257"/>
      <c r="G148" s="258"/>
      <c r="H148" s="258"/>
      <c r="I148" s="258"/>
      <c r="J148" s="258"/>
      <c r="K148" s="258"/>
      <c r="L148" s="258"/>
      <c r="M148" s="258"/>
      <c r="N148" s="258"/>
    </row>
    <row r="149">
      <c r="A149" s="257"/>
      <c r="B149" s="257"/>
      <c r="C149" s="258"/>
      <c r="D149" s="257"/>
      <c r="E149" s="257"/>
      <c r="F149" s="257"/>
      <c r="G149" s="258"/>
      <c r="H149" s="258"/>
      <c r="I149" s="258"/>
      <c r="J149" s="258"/>
      <c r="K149" s="258"/>
      <c r="L149" s="258"/>
      <c r="M149" s="258"/>
      <c r="N149" s="258"/>
    </row>
    <row r="150">
      <c r="A150" s="257"/>
      <c r="B150" s="257"/>
      <c r="C150" s="258"/>
      <c r="D150" s="257"/>
      <c r="E150" s="257"/>
      <c r="F150" s="257"/>
      <c r="G150" s="258"/>
      <c r="H150" s="258"/>
      <c r="I150" s="258"/>
      <c r="J150" s="258"/>
      <c r="K150" s="258"/>
      <c r="L150" s="258"/>
      <c r="M150" s="258"/>
      <c r="N150" s="258"/>
    </row>
    <row r="151">
      <c r="A151" s="257"/>
      <c r="B151" s="257"/>
      <c r="C151" s="258"/>
      <c r="D151" s="257"/>
      <c r="E151" s="257"/>
      <c r="F151" s="257"/>
      <c r="G151" s="258"/>
      <c r="H151" s="258"/>
      <c r="I151" s="258"/>
      <c r="J151" s="258"/>
      <c r="K151" s="258"/>
      <c r="L151" s="258"/>
      <c r="M151" s="258"/>
      <c r="N151" s="258"/>
    </row>
    <row r="152">
      <c r="A152" s="257"/>
      <c r="B152" s="257"/>
      <c r="C152" s="258"/>
      <c r="D152" s="257"/>
      <c r="E152" s="257"/>
      <c r="F152" s="257"/>
      <c r="G152" s="258"/>
      <c r="H152" s="258"/>
      <c r="I152" s="258"/>
      <c r="J152" s="258"/>
      <c r="K152" s="258"/>
      <c r="L152" s="258"/>
      <c r="M152" s="258"/>
      <c r="N152" s="258"/>
    </row>
    <row r="153">
      <c r="A153" s="257"/>
      <c r="B153" s="257"/>
      <c r="C153" s="258"/>
      <c r="D153" s="257"/>
      <c r="E153" s="257"/>
      <c r="F153" s="257"/>
      <c r="G153" s="258"/>
      <c r="H153" s="258"/>
      <c r="I153" s="258"/>
      <c r="J153" s="258"/>
      <c r="K153" s="258"/>
      <c r="L153" s="258"/>
      <c r="M153" s="258"/>
      <c r="N153" s="258"/>
    </row>
    <row r="154">
      <c r="A154" s="257"/>
      <c r="B154" s="257"/>
      <c r="C154" s="258"/>
      <c r="D154" s="257"/>
      <c r="E154" s="257"/>
      <c r="F154" s="257"/>
      <c r="G154" s="258"/>
      <c r="H154" s="258"/>
      <c r="I154" s="258"/>
      <c r="J154" s="258"/>
      <c r="K154" s="258"/>
      <c r="L154" s="258"/>
      <c r="M154" s="258"/>
      <c r="N154" s="258"/>
    </row>
    <row r="155">
      <c r="A155" s="257"/>
      <c r="B155" s="257"/>
      <c r="C155" s="258"/>
      <c r="D155" s="257"/>
      <c r="E155" s="257"/>
      <c r="F155" s="257"/>
      <c r="G155" s="258"/>
      <c r="H155" s="258"/>
      <c r="I155" s="258"/>
      <c r="J155" s="258"/>
      <c r="K155" s="258"/>
      <c r="L155" s="258"/>
      <c r="M155" s="258"/>
      <c r="N155" s="258"/>
    </row>
    <row r="156">
      <c r="A156" s="257"/>
      <c r="B156" s="257"/>
      <c r="C156" s="258"/>
      <c r="D156" s="257"/>
      <c r="E156" s="257"/>
      <c r="F156" s="257"/>
      <c r="G156" s="258"/>
      <c r="H156" s="258"/>
      <c r="I156" s="258"/>
      <c r="J156" s="258"/>
      <c r="K156" s="258"/>
      <c r="L156" s="258"/>
      <c r="M156" s="258"/>
      <c r="N156" s="258"/>
    </row>
    <row r="157">
      <c r="A157" s="257"/>
      <c r="B157" s="257"/>
      <c r="C157" s="258"/>
      <c r="D157" s="257"/>
      <c r="E157" s="257"/>
      <c r="F157" s="257"/>
      <c r="G157" s="258"/>
      <c r="H157" s="258"/>
      <c r="I157" s="258"/>
      <c r="J157" s="258"/>
      <c r="K157" s="258"/>
      <c r="L157" s="258"/>
      <c r="M157" s="258"/>
      <c r="N157" s="258"/>
    </row>
    <row r="158">
      <c r="A158" s="257"/>
      <c r="B158" s="257"/>
      <c r="C158" s="258"/>
      <c r="D158" s="257"/>
      <c r="E158" s="257"/>
      <c r="F158" s="257"/>
      <c r="G158" s="258"/>
      <c r="H158" s="258"/>
      <c r="I158" s="258"/>
      <c r="J158" s="258"/>
      <c r="K158" s="258"/>
      <c r="L158" s="258"/>
      <c r="M158" s="258"/>
      <c r="N158" s="258"/>
    </row>
    <row r="159">
      <c r="A159" s="257"/>
      <c r="B159" s="257"/>
      <c r="C159" s="258"/>
      <c r="D159" s="257"/>
      <c r="E159" s="257"/>
      <c r="F159" s="257"/>
      <c r="G159" s="258"/>
      <c r="H159" s="258"/>
      <c r="I159" s="258"/>
      <c r="J159" s="258"/>
      <c r="K159" s="258"/>
      <c r="L159" s="258"/>
      <c r="M159" s="258"/>
      <c r="N159" s="258"/>
    </row>
    <row r="160">
      <c r="A160" s="257"/>
      <c r="B160" s="257"/>
      <c r="C160" s="258"/>
      <c r="D160" s="257"/>
      <c r="E160" s="257"/>
      <c r="F160" s="257"/>
      <c r="G160" s="258"/>
      <c r="H160" s="258"/>
      <c r="I160" s="258"/>
      <c r="J160" s="258"/>
      <c r="K160" s="258"/>
      <c r="L160" s="258"/>
      <c r="M160" s="258"/>
      <c r="N160" s="258"/>
    </row>
    <row r="161">
      <c r="A161" s="257"/>
      <c r="B161" s="257"/>
      <c r="C161" s="258"/>
      <c r="D161" s="257"/>
      <c r="E161" s="257"/>
      <c r="F161" s="257"/>
      <c r="G161" s="258"/>
      <c r="H161" s="258"/>
      <c r="I161" s="258"/>
      <c r="J161" s="258"/>
      <c r="K161" s="258"/>
      <c r="L161" s="258"/>
      <c r="M161" s="258"/>
      <c r="N161" s="258"/>
    </row>
    <row r="162">
      <c r="A162" s="257"/>
      <c r="B162" s="257"/>
      <c r="C162" s="258"/>
      <c r="D162" s="257"/>
      <c r="E162" s="257"/>
      <c r="F162" s="257"/>
      <c r="G162" s="258"/>
      <c r="H162" s="258"/>
      <c r="I162" s="258"/>
      <c r="J162" s="258"/>
      <c r="K162" s="258"/>
      <c r="L162" s="258"/>
      <c r="M162" s="258"/>
      <c r="N162" s="258"/>
    </row>
    <row r="163">
      <c r="A163" s="257"/>
      <c r="B163" s="257"/>
      <c r="C163" s="258"/>
      <c r="D163" s="257"/>
      <c r="E163" s="257"/>
      <c r="F163" s="257"/>
      <c r="G163" s="258"/>
      <c r="H163" s="258"/>
      <c r="I163" s="258"/>
      <c r="J163" s="258"/>
      <c r="K163" s="258"/>
      <c r="L163" s="258"/>
      <c r="M163" s="258"/>
      <c r="N163" s="258"/>
    </row>
    <row r="164">
      <c r="A164" s="257"/>
      <c r="B164" s="257"/>
      <c r="C164" s="258"/>
      <c r="D164" s="257"/>
      <c r="E164" s="257"/>
      <c r="F164" s="257"/>
      <c r="G164" s="258"/>
      <c r="H164" s="258"/>
      <c r="I164" s="258"/>
      <c r="J164" s="258"/>
      <c r="K164" s="258"/>
      <c r="L164" s="258"/>
      <c r="M164" s="258"/>
      <c r="N164" s="258"/>
    </row>
    <row r="165">
      <c r="A165" s="257"/>
      <c r="B165" s="257"/>
      <c r="C165" s="258"/>
      <c r="D165" s="257"/>
      <c r="E165" s="257"/>
      <c r="F165" s="257"/>
      <c r="G165" s="258"/>
      <c r="H165" s="258"/>
      <c r="I165" s="258"/>
      <c r="J165" s="258"/>
      <c r="K165" s="258"/>
      <c r="L165" s="258"/>
      <c r="M165" s="258"/>
      <c r="N165" s="258"/>
    </row>
    <row r="166">
      <c r="A166" s="257"/>
      <c r="B166" s="257"/>
      <c r="C166" s="258"/>
      <c r="D166" s="257"/>
      <c r="E166" s="257"/>
      <c r="F166" s="257"/>
      <c r="G166" s="258"/>
      <c r="H166" s="258"/>
      <c r="I166" s="258"/>
      <c r="J166" s="258"/>
      <c r="K166" s="258"/>
      <c r="L166" s="258"/>
      <c r="M166" s="258"/>
      <c r="N166" s="258"/>
    </row>
    <row r="167">
      <c r="A167" s="257"/>
      <c r="B167" s="257"/>
      <c r="C167" s="258"/>
      <c r="D167" s="257"/>
      <c r="E167" s="257"/>
      <c r="F167" s="257"/>
      <c r="G167" s="258"/>
      <c r="H167" s="258"/>
      <c r="I167" s="258"/>
      <c r="J167" s="258"/>
      <c r="K167" s="258"/>
      <c r="L167" s="258"/>
      <c r="M167" s="258"/>
      <c r="N167" s="258"/>
    </row>
    <row r="168">
      <c r="A168" s="257"/>
      <c r="B168" s="257"/>
      <c r="C168" s="258"/>
      <c r="D168" s="257"/>
      <c r="E168" s="257"/>
      <c r="F168" s="257"/>
      <c r="G168" s="258"/>
      <c r="H168" s="258"/>
      <c r="I168" s="258"/>
      <c r="J168" s="258"/>
      <c r="K168" s="258"/>
      <c r="L168" s="258"/>
      <c r="M168" s="258"/>
      <c r="N168" s="258"/>
    </row>
    <row r="169">
      <c r="A169" s="257"/>
      <c r="B169" s="257"/>
      <c r="C169" s="258"/>
      <c r="D169" s="257"/>
      <c r="E169" s="257"/>
      <c r="F169" s="257"/>
      <c r="G169" s="258"/>
      <c r="H169" s="258"/>
      <c r="I169" s="258"/>
      <c r="J169" s="258"/>
      <c r="K169" s="258"/>
      <c r="L169" s="258"/>
      <c r="M169" s="258"/>
      <c r="N169" s="258"/>
    </row>
    <row r="170">
      <c r="A170" s="257"/>
      <c r="B170" s="257"/>
      <c r="C170" s="258"/>
      <c r="D170" s="257"/>
      <c r="E170" s="257"/>
      <c r="F170" s="257"/>
      <c r="G170" s="258"/>
      <c r="H170" s="258"/>
      <c r="I170" s="258"/>
      <c r="J170" s="258"/>
      <c r="K170" s="258"/>
      <c r="L170" s="258"/>
      <c r="M170" s="258"/>
      <c r="N170" s="258"/>
    </row>
    <row r="171">
      <c r="A171" s="257"/>
      <c r="B171" s="257"/>
      <c r="C171" s="258"/>
      <c r="D171" s="257"/>
      <c r="E171" s="257"/>
      <c r="F171" s="257"/>
      <c r="G171" s="258"/>
      <c r="H171" s="258"/>
      <c r="I171" s="258"/>
      <c r="J171" s="258"/>
      <c r="K171" s="258"/>
      <c r="L171" s="258"/>
      <c r="M171" s="258"/>
      <c r="N171" s="258"/>
    </row>
    <row r="172">
      <c r="A172" s="257"/>
      <c r="B172" s="257"/>
      <c r="C172" s="258"/>
      <c r="D172" s="257"/>
      <c r="E172" s="257"/>
      <c r="F172" s="257"/>
      <c r="G172" s="258"/>
      <c r="H172" s="258"/>
      <c r="I172" s="258"/>
      <c r="J172" s="258"/>
      <c r="K172" s="258"/>
      <c r="L172" s="258"/>
      <c r="M172" s="258"/>
      <c r="N172" s="258"/>
    </row>
    <row r="173">
      <c r="A173" s="257"/>
      <c r="B173" s="257"/>
      <c r="C173" s="258"/>
      <c r="D173" s="257"/>
      <c r="E173" s="257"/>
      <c r="F173" s="257"/>
      <c r="G173" s="258"/>
      <c r="H173" s="258"/>
      <c r="I173" s="258"/>
      <c r="J173" s="258"/>
      <c r="K173" s="258"/>
      <c r="L173" s="258"/>
      <c r="M173" s="258"/>
      <c r="N173" s="258"/>
    </row>
    <row r="174">
      <c r="A174" s="257"/>
      <c r="B174" s="257"/>
      <c r="C174" s="258"/>
      <c r="D174" s="257"/>
      <c r="E174" s="257"/>
      <c r="F174" s="257"/>
      <c r="G174" s="258"/>
      <c r="H174" s="258"/>
      <c r="I174" s="258"/>
      <c r="J174" s="258"/>
      <c r="K174" s="258"/>
      <c r="L174" s="258"/>
      <c r="M174" s="258"/>
      <c r="N174" s="258"/>
    </row>
    <row r="175">
      <c r="A175" s="257"/>
      <c r="B175" s="257"/>
      <c r="C175" s="258"/>
      <c r="D175" s="257"/>
      <c r="E175" s="257"/>
      <c r="F175" s="257"/>
      <c r="G175" s="258"/>
      <c r="H175" s="258"/>
      <c r="I175" s="258"/>
      <c r="J175" s="258"/>
      <c r="K175" s="258"/>
      <c r="L175" s="258"/>
      <c r="M175" s="258"/>
      <c r="N175" s="258"/>
    </row>
    <row r="176">
      <c r="A176" s="257"/>
      <c r="B176" s="257"/>
      <c r="C176" s="258"/>
      <c r="D176" s="257"/>
      <c r="E176" s="257"/>
      <c r="F176" s="257"/>
      <c r="G176" s="258"/>
      <c r="H176" s="258"/>
      <c r="I176" s="258"/>
      <c r="J176" s="258"/>
      <c r="K176" s="258"/>
      <c r="L176" s="258"/>
      <c r="M176" s="258"/>
      <c r="N176" s="258"/>
    </row>
    <row r="177">
      <c r="A177" s="257"/>
      <c r="B177" s="257"/>
      <c r="C177" s="258"/>
      <c r="D177" s="257"/>
      <c r="E177" s="257"/>
      <c r="F177" s="257"/>
      <c r="G177" s="258"/>
      <c r="H177" s="258"/>
      <c r="I177" s="258"/>
      <c r="J177" s="258"/>
      <c r="K177" s="258"/>
      <c r="L177" s="258"/>
      <c r="M177" s="258"/>
      <c r="N177" s="258"/>
    </row>
    <row r="178">
      <c r="A178" s="257"/>
      <c r="B178" s="257"/>
      <c r="C178" s="258"/>
      <c r="D178" s="257"/>
      <c r="E178" s="257"/>
      <c r="F178" s="257"/>
      <c r="G178" s="258"/>
      <c r="H178" s="258"/>
      <c r="I178" s="258"/>
      <c r="J178" s="258"/>
      <c r="K178" s="258"/>
      <c r="L178" s="258"/>
      <c r="M178" s="258"/>
      <c r="N178" s="258"/>
    </row>
    <row r="179">
      <c r="A179" s="257"/>
      <c r="B179" s="257"/>
      <c r="C179" s="258"/>
      <c r="D179" s="257"/>
      <c r="E179" s="257"/>
      <c r="F179" s="257"/>
      <c r="G179" s="258"/>
      <c r="H179" s="258"/>
      <c r="I179" s="258"/>
      <c r="J179" s="258"/>
      <c r="K179" s="258"/>
      <c r="L179" s="258"/>
      <c r="M179" s="258"/>
      <c r="N179" s="258"/>
    </row>
    <row r="180">
      <c r="A180" s="257"/>
      <c r="B180" s="257"/>
      <c r="C180" s="258"/>
      <c r="D180" s="257"/>
      <c r="E180" s="257"/>
      <c r="F180" s="257"/>
      <c r="G180" s="258"/>
      <c r="H180" s="258"/>
      <c r="I180" s="258"/>
      <c r="J180" s="258"/>
      <c r="K180" s="258"/>
      <c r="L180" s="258"/>
      <c r="M180" s="258"/>
      <c r="N180" s="258"/>
    </row>
    <row r="181">
      <c r="A181" s="257"/>
      <c r="B181" s="257"/>
      <c r="C181" s="258"/>
      <c r="D181" s="257"/>
      <c r="E181" s="257"/>
      <c r="F181" s="257"/>
      <c r="G181" s="258"/>
      <c r="H181" s="258"/>
      <c r="I181" s="258"/>
      <c r="J181" s="258"/>
      <c r="K181" s="258"/>
      <c r="L181" s="258"/>
      <c r="M181" s="258"/>
      <c r="N181" s="258"/>
    </row>
    <row r="182">
      <c r="A182" s="257"/>
      <c r="B182" s="257"/>
      <c r="C182" s="258"/>
      <c r="D182" s="257"/>
      <c r="E182" s="257"/>
      <c r="F182" s="257"/>
      <c r="G182" s="258"/>
      <c r="H182" s="258"/>
      <c r="I182" s="258"/>
      <c r="J182" s="258"/>
      <c r="K182" s="258"/>
      <c r="L182" s="258"/>
      <c r="M182" s="258"/>
      <c r="N182" s="258"/>
    </row>
    <row r="183">
      <c r="A183" s="257"/>
      <c r="B183" s="257"/>
      <c r="C183" s="258"/>
      <c r="D183" s="257"/>
      <c r="E183" s="257"/>
      <c r="F183" s="257"/>
      <c r="G183" s="258"/>
      <c r="H183" s="258"/>
      <c r="I183" s="258"/>
      <c r="J183" s="258"/>
      <c r="K183" s="258"/>
      <c r="L183" s="258"/>
      <c r="M183" s="258"/>
      <c r="N183" s="258"/>
    </row>
    <row r="184">
      <c r="A184" s="257"/>
      <c r="B184" s="257"/>
      <c r="C184" s="258"/>
      <c r="D184" s="257"/>
      <c r="E184" s="257"/>
      <c r="F184" s="257"/>
      <c r="G184" s="258"/>
      <c r="H184" s="258"/>
      <c r="I184" s="258"/>
      <c r="J184" s="258"/>
      <c r="K184" s="258"/>
      <c r="L184" s="258"/>
      <c r="M184" s="258"/>
      <c r="N184" s="258"/>
    </row>
    <row r="185">
      <c r="A185" s="257"/>
      <c r="B185" s="257"/>
      <c r="C185" s="258"/>
      <c r="D185" s="257"/>
      <c r="E185" s="257"/>
      <c r="F185" s="257"/>
      <c r="G185" s="258"/>
      <c r="H185" s="258"/>
      <c r="I185" s="258"/>
      <c r="J185" s="258"/>
      <c r="K185" s="258"/>
      <c r="L185" s="258"/>
      <c r="M185" s="258"/>
      <c r="N185" s="258"/>
    </row>
    <row r="186">
      <c r="A186" s="257"/>
      <c r="B186" s="257"/>
      <c r="C186" s="258"/>
      <c r="D186" s="257"/>
      <c r="E186" s="257"/>
      <c r="F186" s="257"/>
      <c r="G186" s="258"/>
      <c r="H186" s="258"/>
      <c r="I186" s="258"/>
      <c r="J186" s="258"/>
      <c r="K186" s="258"/>
      <c r="L186" s="258"/>
      <c r="M186" s="258"/>
      <c r="N186" s="258"/>
    </row>
    <row r="187">
      <c r="A187" s="257"/>
      <c r="B187" s="257"/>
      <c r="C187" s="258"/>
      <c r="D187" s="257"/>
      <c r="E187" s="257"/>
      <c r="F187" s="257"/>
      <c r="G187" s="258"/>
      <c r="H187" s="258"/>
      <c r="I187" s="258"/>
      <c r="J187" s="258"/>
      <c r="K187" s="258"/>
      <c r="L187" s="258"/>
      <c r="M187" s="258"/>
      <c r="N187" s="258"/>
    </row>
    <row r="188">
      <c r="A188" s="257"/>
      <c r="B188" s="257"/>
      <c r="C188" s="258"/>
      <c r="D188" s="257"/>
      <c r="E188" s="257"/>
      <c r="F188" s="257"/>
      <c r="G188" s="258"/>
      <c r="H188" s="258"/>
      <c r="I188" s="258"/>
      <c r="J188" s="258"/>
      <c r="K188" s="258"/>
      <c r="L188" s="258"/>
      <c r="M188" s="258"/>
      <c r="N188" s="258"/>
    </row>
    <row r="189">
      <c r="A189" s="257"/>
      <c r="B189" s="257"/>
      <c r="C189" s="258"/>
      <c r="D189" s="257"/>
      <c r="E189" s="257"/>
      <c r="F189" s="257"/>
      <c r="G189" s="258"/>
      <c r="H189" s="258"/>
      <c r="I189" s="258"/>
      <c r="J189" s="258"/>
      <c r="K189" s="258"/>
      <c r="L189" s="258"/>
      <c r="M189" s="258"/>
      <c r="N189" s="258"/>
    </row>
    <row r="190">
      <c r="A190" s="257"/>
      <c r="B190" s="257"/>
      <c r="C190" s="258"/>
      <c r="D190" s="257"/>
      <c r="E190" s="257"/>
      <c r="F190" s="257"/>
      <c r="G190" s="258"/>
      <c r="H190" s="258"/>
      <c r="I190" s="258"/>
      <c r="J190" s="258"/>
      <c r="K190" s="258"/>
      <c r="L190" s="258"/>
      <c r="M190" s="258"/>
      <c r="N190" s="258"/>
    </row>
    <row r="191">
      <c r="A191" s="257"/>
      <c r="B191" s="257"/>
      <c r="C191" s="258"/>
      <c r="D191" s="257"/>
      <c r="E191" s="257"/>
      <c r="F191" s="257"/>
      <c r="G191" s="258"/>
      <c r="H191" s="258"/>
      <c r="I191" s="258"/>
      <c r="J191" s="258"/>
      <c r="K191" s="258"/>
      <c r="L191" s="258"/>
      <c r="M191" s="258"/>
      <c r="N191" s="258"/>
    </row>
    <row r="192">
      <c r="A192" s="257"/>
      <c r="B192" s="257"/>
      <c r="C192" s="258"/>
      <c r="D192" s="257"/>
      <c r="E192" s="257"/>
      <c r="F192" s="257"/>
      <c r="G192" s="258"/>
      <c r="H192" s="258"/>
      <c r="I192" s="258"/>
      <c r="J192" s="258"/>
      <c r="K192" s="258"/>
      <c r="L192" s="258"/>
      <c r="M192" s="258"/>
      <c r="N192" s="258"/>
    </row>
    <row r="193">
      <c r="A193" s="257"/>
      <c r="B193" s="257"/>
      <c r="C193" s="258"/>
      <c r="D193" s="257"/>
      <c r="E193" s="257"/>
      <c r="F193" s="257"/>
      <c r="G193" s="258"/>
      <c r="H193" s="258"/>
      <c r="I193" s="258"/>
      <c r="J193" s="258"/>
      <c r="K193" s="258"/>
      <c r="L193" s="258"/>
      <c r="M193" s="258"/>
      <c r="N193" s="258"/>
    </row>
    <row r="194">
      <c r="A194" s="257"/>
      <c r="B194" s="257"/>
      <c r="C194" s="258"/>
      <c r="D194" s="257"/>
      <c r="E194" s="257"/>
      <c r="F194" s="257"/>
      <c r="G194" s="258"/>
      <c r="H194" s="258"/>
      <c r="I194" s="258"/>
      <c r="J194" s="258"/>
      <c r="K194" s="258"/>
      <c r="L194" s="258"/>
      <c r="M194" s="258"/>
      <c r="N194" s="258"/>
    </row>
    <row r="195">
      <c r="A195" s="257"/>
      <c r="B195" s="257"/>
      <c r="C195" s="258"/>
      <c r="D195" s="257"/>
      <c r="E195" s="257"/>
      <c r="F195" s="257"/>
      <c r="G195" s="258"/>
      <c r="H195" s="258"/>
      <c r="I195" s="258"/>
      <c r="J195" s="258"/>
      <c r="K195" s="258"/>
      <c r="L195" s="258"/>
      <c r="M195" s="258"/>
      <c r="N195" s="258"/>
    </row>
    <row r="196">
      <c r="A196" s="257"/>
      <c r="B196" s="257"/>
      <c r="C196" s="258"/>
      <c r="D196" s="257"/>
      <c r="E196" s="257"/>
      <c r="F196" s="257"/>
      <c r="G196" s="258"/>
      <c r="H196" s="258"/>
      <c r="I196" s="258"/>
      <c r="J196" s="258"/>
      <c r="K196" s="258"/>
      <c r="L196" s="258"/>
      <c r="M196" s="258"/>
      <c r="N196" s="258"/>
    </row>
    <row r="197">
      <c r="A197" s="257"/>
      <c r="B197" s="257"/>
      <c r="C197" s="258"/>
      <c r="D197" s="257"/>
      <c r="E197" s="257"/>
      <c r="F197" s="257"/>
      <c r="G197" s="258"/>
      <c r="H197" s="258"/>
      <c r="I197" s="258"/>
      <c r="J197" s="258"/>
      <c r="K197" s="258"/>
      <c r="L197" s="258"/>
      <c r="M197" s="258"/>
      <c r="N197" s="258"/>
    </row>
    <row r="198">
      <c r="A198" s="257"/>
      <c r="B198" s="257"/>
      <c r="C198" s="258"/>
      <c r="D198" s="257"/>
      <c r="E198" s="257"/>
      <c r="F198" s="257"/>
      <c r="G198" s="258"/>
      <c r="H198" s="258"/>
      <c r="I198" s="258"/>
      <c r="J198" s="258"/>
      <c r="K198" s="258"/>
      <c r="L198" s="258"/>
      <c r="M198" s="258"/>
      <c r="N198" s="258"/>
    </row>
    <row r="199">
      <c r="A199" s="257"/>
      <c r="B199" s="257"/>
      <c r="C199" s="258"/>
      <c r="D199" s="257"/>
      <c r="E199" s="257"/>
      <c r="F199" s="257"/>
      <c r="G199" s="258"/>
      <c r="H199" s="258"/>
      <c r="I199" s="258"/>
      <c r="J199" s="258"/>
      <c r="K199" s="258"/>
      <c r="L199" s="258"/>
      <c r="M199" s="258"/>
      <c r="N199" s="258"/>
    </row>
    <row r="200">
      <c r="A200" s="257"/>
      <c r="B200" s="257"/>
      <c r="C200" s="258"/>
      <c r="D200" s="257"/>
      <c r="E200" s="257"/>
      <c r="F200" s="257"/>
      <c r="G200" s="258"/>
      <c r="H200" s="258"/>
      <c r="I200" s="258"/>
      <c r="J200" s="258"/>
      <c r="K200" s="258"/>
      <c r="L200" s="258"/>
      <c r="M200" s="258"/>
      <c r="N200" s="258"/>
    </row>
    <row r="201">
      <c r="A201" s="257"/>
      <c r="B201" s="257"/>
      <c r="C201" s="258"/>
      <c r="D201" s="257"/>
      <c r="E201" s="257"/>
      <c r="F201" s="257"/>
      <c r="G201" s="258"/>
      <c r="H201" s="258"/>
      <c r="I201" s="258"/>
      <c r="J201" s="258"/>
      <c r="K201" s="258"/>
      <c r="L201" s="258"/>
      <c r="M201" s="258"/>
      <c r="N201" s="258"/>
    </row>
    <row r="202">
      <c r="A202" s="257"/>
      <c r="B202" s="257"/>
      <c r="C202" s="258"/>
      <c r="D202" s="257"/>
      <c r="E202" s="257"/>
      <c r="F202" s="257"/>
      <c r="G202" s="258"/>
      <c r="H202" s="258"/>
      <c r="I202" s="258"/>
      <c r="J202" s="258"/>
      <c r="K202" s="258"/>
      <c r="L202" s="258"/>
      <c r="M202" s="258"/>
      <c r="N202" s="258"/>
    </row>
    <row r="203">
      <c r="A203" s="257"/>
      <c r="B203" s="257"/>
      <c r="C203" s="258"/>
      <c r="D203" s="257"/>
      <c r="E203" s="257"/>
      <c r="F203" s="257"/>
      <c r="G203" s="258"/>
      <c r="H203" s="258"/>
      <c r="I203" s="258"/>
      <c r="J203" s="258"/>
      <c r="K203" s="258"/>
      <c r="L203" s="258"/>
      <c r="M203" s="258"/>
      <c r="N203" s="258"/>
    </row>
    <row r="204">
      <c r="A204" s="257"/>
      <c r="B204" s="257"/>
      <c r="C204" s="258"/>
      <c r="D204" s="257"/>
      <c r="E204" s="257"/>
      <c r="F204" s="257"/>
      <c r="G204" s="258"/>
      <c r="H204" s="258"/>
      <c r="I204" s="258"/>
      <c r="J204" s="258"/>
      <c r="K204" s="258"/>
      <c r="L204" s="258"/>
      <c r="M204" s="258"/>
      <c r="N204" s="258"/>
    </row>
    <row r="205">
      <c r="A205" s="257"/>
      <c r="B205" s="257"/>
      <c r="C205" s="258"/>
      <c r="D205" s="257"/>
      <c r="E205" s="257"/>
      <c r="F205" s="257"/>
      <c r="G205" s="258"/>
      <c r="H205" s="258"/>
      <c r="I205" s="258"/>
      <c r="J205" s="258"/>
      <c r="K205" s="258"/>
      <c r="L205" s="258"/>
      <c r="M205" s="258"/>
      <c r="N205" s="258"/>
    </row>
    <row r="206">
      <c r="A206" s="257"/>
      <c r="B206" s="257"/>
      <c r="C206" s="258"/>
      <c r="D206" s="257"/>
      <c r="E206" s="257"/>
      <c r="F206" s="257"/>
      <c r="G206" s="258"/>
      <c r="H206" s="258"/>
      <c r="I206" s="258"/>
      <c r="J206" s="258"/>
      <c r="K206" s="258"/>
      <c r="L206" s="258"/>
      <c r="M206" s="258"/>
      <c r="N206" s="258"/>
    </row>
    <row r="207">
      <c r="A207" s="257"/>
      <c r="B207" s="257"/>
      <c r="C207" s="258"/>
      <c r="D207" s="257"/>
      <c r="E207" s="257"/>
      <c r="F207" s="257"/>
      <c r="G207" s="258"/>
      <c r="H207" s="258"/>
      <c r="I207" s="258"/>
      <c r="J207" s="258"/>
      <c r="K207" s="258"/>
      <c r="L207" s="258"/>
      <c r="M207" s="258"/>
      <c r="N207" s="258"/>
    </row>
    <row r="208">
      <c r="A208" s="257"/>
      <c r="B208" s="257"/>
      <c r="C208" s="258"/>
      <c r="D208" s="257"/>
      <c r="E208" s="257"/>
      <c r="F208" s="257"/>
      <c r="G208" s="258"/>
      <c r="H208" s="258"/>
      <c r="I208" s="258"/>
      <c r="J208" s="258"/>
      <c r="K208" s="258"/>
      <c r="L208" s="258"/>
      <c r="M208" s="258"/>
      <c r="N208" s="258"/>
    </row>
    <row r="209">
      <c r="A209" s="257"/>
      <c r="B209" s="257"/>
      <c r="C209" s="258"/>
      <c r="D209" s="257"/>
      <c r="E209" s="257"/>
      <c r="F209" s="257"/>
      <c r="G209" s="258"/>
      <c r="H209" s="258"/>
      <c r="I209" s="258"/>
      <c r="J209" s="258"/>
      <c r="K209" s="258"/>
      <c r="L209" s="258"/>
      <c r="M209" s="258"/>
      <c r="N209" s="258"/>
    </row>
    <row r="210">
      <c r="A210" s="257"/>
      <c r="B210" s="257"/>
      <c r="C210" s="258"/>
      <c r="D210" s="257"/>
      <c r="E210" s="257"/>
      <c r="F210" s="257"/>
      <c r="G210" s="258"/>
      <c r="H210" s="258"/>
      <c r="I210" s="258"/>
      <c r="J210" s="258"/>
      <c r="K210" s="258"/>
      <c r="L210" s="258"/>
      <c r="M210" s="258"/>
      <c r="N210" s="258"/>
    </row>
    <row r="211">
      <c r="A211" s="257"/>
      <c r="B211" s="257"/>
      <c r="C211" s="258"/>
      <c r="D211" s="257"/>
      <c r="E211" s="257"/>
      <c r="F211" s="257"/>
      <c r="G211" s="258"/>
      <c r="H211" s="258"/>
      <c r="I211" s="258"/>
      <c r="J211" s="258"/>
      <c r="K211" s="258"/>
      <c r="L211" s="258"/>
      <c r="M211" s="258"/>
      <c r="N211" s="258"/>
    </row>
    <row r="212">
      <c r="A212" s="257"/>
      <c r="B212" s="257"/>
      <c r="C212" s="258"/>
      <c r="D212" s="257"/>
      <c r="E212" s="257"/>
      <c r="F212" s="257"/>
      <c r="G212" s="258"/>
      <c r="H212" s="258"/>
      <c r="I212" s="258"/>
      <c r="J212" s="258"/>
      <c r="K212" s="258"/>
      <c r="L212" s="258"/>
      <c r="M212" s="258"/>
      <c r="N212" s="258"/>
    </row>
    <row r="213">
      <c r="A213" s="257"/>
      <c r="B213" s="257"/>
      <c r="C213" s="258"/>
      <c r="D213" s="257"/>
      <c r="E213" s="257"/>
      <c r="F213" s="257"/>
      <c r="G213" s="258"/>
      <c r="H213" s="258"/>
      <c r="I213" s="258"/>
      <c r="J213" s="258"/>
      <c r="K213" s="258"/>
      <c r="L213" s="258"/>
      <c r="M213" s="258"/>
      <c r="N213" s="258"/>
    </row>
    <row r="214">
      <c r="A214" s="257"/>
      <c r="B214" s="257"/>
      <c r="C214" s="258"/>
      <c r="D214" s="257"/>
      <c r="E214" s="257"/>
      <c r="F214" s="257"/>
      <c r="G214" s="258"/>
      <c r="H214" s="258"/>
      <c r="I214" s="258"/>
      <c r="J214" s="258"/>
      <c r="K214" s="258"/>
      <c r="L214" s="258"/>
      <c r="M214" s="258"/>
      <c r="N214" s="258"/>
    </row>
    <row r="215">
      <c r="A215" s="257"/>
      <c r="B215" s="257"/>
      <c r="C215" s="258"/>
      <c r="D215" s="257"/>
      <c r="E215" s="257"/>
      <c r="F215" s="257"/>
      <c r="G215" s="258"/>
      <c r="H215" s="258"/>
      <c r="I215" s="258"/>
      <c r="J215" s="258"/>
      <c r="K215" s="258"/>
      <c r="L215" s="258"/>
      <c r="M215" s="258"/>
      <c r="N215" s="258"/>
    </row>
    <row r="216">
      <c r="A216" s="257"/>
      <c r="B216" s="257"/>
      <c r="C216" s="258"/>
      <c r="D216" s="257"/>
      <c r="E216" s="257"/>
      <c r="F216" s="257"/>
      <c r="G216" s="258"/>
      <c r="H216" s="258"/>
      <c r="I216" s="258"/>
      <c r="J216" s="258"/>
      <c r="K216" s="258"/>
      <c r="L216" s="258"/>
      <c r="M216" s="258"/>
      <c r="N216" s="258"/>
    </row>
    <row r="217">
      <c r="A217" s="257"/>
      <c r="B217" s="257"/>
      <c r="C217" s="258"/>
      <c r="D217" s="257"/>
      <c r="E217" s="257"/>
      <c r="F217" s="257"/>
      <c r="G217" s="258"/>
      <c r="H217" s="258"/>
      <c r="I217" s="258"/>
      <c r="J217" s="258"/>
      <c r="K217" s="258"/>
      <c r="L217" s="258"/>
      <c r="M217" s="258"/>
      <c r="N217" s="258"/>
    </row>
    <row r="218">
      <c r="A218" s="257"/>
      <c r="B218" s="257"/>
      <c r="C218" s="258"/>
      <c r="D218" s="257"/>
      <c r="E218" s="257"/>
      <c r="F218" s="257"/>
      <c r="G218" s="258"/>
      <c r="H218" s="258"/>
      <c r="I218" s="258"/>
      <c r="J218" s="258"/>
      <c r="K218" s="258"/>
      <c r="L218" s="258"/>
      <c r="M218" s="258"/>
      <c r="N218" s="258"/>
    </row>
    <row r="219">
      <c r="A219" s="257"/>
      <c r="B219" s="257"/>
      <c r="C219" s="258"/>
      <c r="D219" s="257"/>
      <c r="E219" s="257"/>
      <c r="F219" s="257"/>
      <c r="G219" s="258"/>
      <c r="H219" s="258"/>
      <c r="I219" s="258"/>
      <c r="J219" s="258"/>
      <c r="K219" s="258"/>
      <c r="L219" s="258"/>
      <c r="M219" s="258"/>
      <c r="N219" s="258"/>
    </row>
    <row r="220">
      <c r="A220" s="257"/>
      <c r="B220" s="257"/>
      <c r="C220" s="258"/>
      <c r="D220" s="257"/>
      <c r="E220" s="257"/>
      <c r="F220" s="257"/>
      <c r="G220" s="258"/>
      <c r="H220" s="258"/>
      <c r="I220" s="258"/>
      <c r="J220" s="258"/>
      <c r="K220" s="258"/>
      <c r="L220" s="258"/>
      <c r="M220" s="258"/>
      <c r="N220" s="258"/>
    </row>
    <row r="221">
      <c r="A221" s="257"/>
      <c r="B221" s="257"/>
      <c r="C221" s="258"/>
      <c r="D221" s="257"/>
      <c r="E221" s="257"/>
      <c r="F221" s="257"/>
      <c r="G221" s="258"/>
      <c r="H221" s="258"/>
      <c r="I221" s="258"/>
      <c r="J221" s="258"/>
      <c r="K221" s="258"/>
      <c r="L221" s="258"/>
      <c r="M221" s="258"/>
      <c r="N221" s="258"/>
    </row>
    <row r="222">
      <c r="A222" s="257"/>
      <c r="B222" s="257"/>
      <c r="C222" s="258"/>
      <c r="D222" s="257"/>
      <c r="E222" s="257"/>
      <c r="F222" s="257"/>
      <c r="G222" s="258"/>
      <c r="H222" s="258"/>
      <c r="I222" s="258"/>
      <c r="J222" s="258"/>
      <c r="K222" s="258"/>
      <c r="L222" s="258"/>
      <c r="M222" s="258"/>
      <c r="N222" s="258"/>
    </row>
    <row r="223">
      <c r="A223" s="257"/>
      <c r="B223" s="257"/>
      <c r="C223" s="258"/>
      <c r="D223" s="257"/>
      <c r="E223" s="257"/>
      <c r="F223" s="257"/>
      <c r="G223" s="258"/>
      <c r="H223" s="258"/>
      <c r="I223" s="258"/>
      <c r="J223" s="258"/>
      <c r="K223" s="258"/>
      <c r="L223" s="258"/>
      <c r="M223" s="258"/>
      <c r="N223" s="258"/>
    </row>
    <row r="224">
      <c r="A224" s="257"/>
      <c r="B224" s="257"/>
      <c r="C224" s="258"/>
      <c r="D224" s="257"/>
      <c r="E224" s="257"/>
      <c r="F224" s="257"/>
      <c r="G224" s="258"/>
      <c r="H224" s="258"/>
      <c r="I224" s="258"/>
      <c r="J224" s="258"/>
      <c r="K224" s="258"/>
      <c r="L224" s="258"/>
      <c r="M224" s="258"/>
      <c r="N224" s="258"/>
    </row>
    <row r="225">
      <c r="A225" s="257"/>
      <c r="B225" s="257"/>
      <c r="C225" s="258"/>
      <c r="D225" s="257"/>
      <c r="E225" s="257"/>
      <c r="F225" s="257"/>
      <c r="G225" s="258"/>
      <c r="H225" s="258"/>
      <c r="I225" s="258"/>
      <c r="J225" s="258"/>
      <c r="K225" s="258"/>
      <c r="L225" s="258"/>
      <c r="M225" s="258"/>
      <c r="N225" s="258"/>
    </row>
    <row r="226">
      <c r="A226" s="257"/>
      <c r="B226" s="257"/>
      <c r="C226" s="258"/>
      <c r="D226" s="257"/>
      <c r="E226" s="257"/>
      <c r="F226" s="257"/>
      <c r="G226" s="258"/>
      <c r="H226" s="258"/>
      <c r="I226" s="258"/>
      <c r="J226" s="258"/>
      <c r="K226" s="258"/>
      <c r="L226" s="258"/>
      <c r="M226" s="258"/>
      <c r="N226" s="258"/>
    </row>
    <row r="227">
      <c r="A227" s="257"/>
      <c r="B227" s="257"/>
      <c r="C227" s="258"/>
      <c r="D227" s="257"/>
      <c r="E227" s="257"/>
      <c r="F227" s="257"/>
      <c r="G227" s="258"/>
      <c r="H227" s="258"/>
      <c r="I227" s="258"/>
      <c r="J227" s="258"/>
      <c r="K227" s="258"/>
      <c r="L227" s="258"/>
      <c r="M227" s="258"/>
      <c r="N227" s="258"/>
    </row>
    <row r="228">
      <c r="A228" s="257"/>
      <c r="B228" s="257"/>
      <c r="C228" s="258"/>
      <c r="D228" s="257"/>
      <c r="E228" s="257"/>
      <c r="F228" s="257"/>
      <c r="G228" s="258"/>
      <c r="H228" s="258"/>
      <c r="I228" s="258"/>
      <c r="J228" s="258"/>
      <c r="K228" s="258"/>
      <c r="L228" s="258"/>
      <c r="M228" s="258"/>
      <c r="N228" s="258"/>
    </row>
    <row r="229">
      <c r="A229" s="257"/>
      <c r="B229" s="257"/>
      <c r="C229" s="258"/>
      <c r="D229" s="257"/>
      <c r="E229" s="257"/>
      <c r="F229" s="257"/>
      <c r="G229" s="258"/>
      <c r="H229" s="258"/>
      <c r="I229" s="258"/>
      <c r="J229" s="258"/>
      <c r="K229" s="258"/>
      <c r="L229" s="258"/>
      <c r="M229" s="258"/>
      <c r="N229" s="258"/>
    </row>
    <row r="230">
      <c r="A230" s="257"/>
      <c r="B230" s="257"/>
      <c r="C230" s="258"/>
      <c r="D230" s="257"/>
      <c r="E230" s="257"/>
      <c r="F230" s="257"/>
      <c r="G230" s="258"/>
      <c r="H230" s="258"/>
      <c r="I230" s="258"/>
      <c r="J230" s="258"/>
      <c r="K230" s="258"/>
      <c r="L230" s="258"/>
      <c r="M230" s="258"/>
      <c r="N230" s="258"/>
    </row>
    <row r="231">
      <c r="A231" s="257"/>
      <c r="B231" s="257"/>
      <c r="C231" s="258"/>
      <c r="D231" s="257"/>
      <c r="E231" s="257"/>
      <c r="F231" s="257"/>
      <c r="G231" s="258"/>
      <c r="H231" s="258"/>
      <c r="I231" s="258"/>
      <c r="J231" s="258"/>
      <c r="K231" s="258"/>
      <c r="L231" s="258"/>
      <c r="M231" s="258"/>
      <c r="N231" s="258"/>
    </row>
    <row r="232">
      <c r="A232" s="257"/>
      <c r="B232" s="257"/>
      <c r="C232" s="258"/>
      <c r="D232" s="257"/>
      <c r="E232" s="257"/>
      <c r="F232" s="257"/>
      <c r="G232" s="258"/>
      <c r="H232" s="258"/>
      <c r="I232" s="258"/>
      <c r="J232" s="258"/>
      <c r="K232" s="258"/>
      <c r="L232" s="258"/>
      <c r="M232" s="258"/>
      <c r="N232" s="258"/>
    </row>
    <row r="233">
      <c r="A233" s="257"/>
      <c r="B233" s="257"/>
      <c r="C233" s="258"/>
      <c r="D233" s="257"/>
      <c r="E233" s="257"/>
      <c r="F233" s="257"/>
      <c r="G233" s="258"/>
      <c r="H233" s="258"/>
      <c r="I233" s="258"/>
      <c r="J233" s="258"/>
      <c r="K233" s="258"/>
      <c r="L233" s="258"/>
      <c r="M233" s="258"/>
      <c r="N233" s="258"/>
    </row>
    <row r="234">
      <c r="A234" s="257"/>
      <c r="B234" s="257"/>
      <c r="C234" s="258"/>
      <c r="D234" s="257"/>
      <c r="E234" s="257"/>
      <c r="F234" s="257"/>
      <c r="G234" s="258"/>
      <c r="H234" s="258"/>
      <c r="I234" s="258"/>
      <c r="J234" s="258"/>
      <c r="K234" s="258"/>
      <c r="L234" s="258"/>
      <c r="M234" s="258"/>
      <c r="N234" s="258"/>
    </row>
    <row r="235">
      <c r="A235" s="257"/>
      <c r="B235" s="257"/>
      <c r="C235" s="258"/>
      <c r="D235" s="257"/>
      <c r="E235" s="257"/>
      <c r="F235" s="257"/>
      <c r="G235" s="258"/>
      <c r="H235" s="258"/>
      <c r="I235" s="258"/>
      <c r="J235" s="258"/>
      <c r="K235" s="258"/>
      <c r="L235" s="258"/>
      <c r="M235" s="258"/>
      <c r="N235" s="258"/>
    </row>
    <row r="236">
      <c r="A236" s="257"/>
      <c r="B236" s="257"/>
      <c r="C236" s="258"/>
      <c r="D236" s="257"/>
      <c r="E236" s="257"/>
      <c r="F236" s="257"/>
      <c r="G236" s="258"/>
      <c r="H236" s="258"/>
      <c r="I236" s="258"/>
      <c r="J236" s="258"/>
      <c r="K236" s="258"/>
      <c r="L236" s="258"/>
      <c r="M236" s="258"/>
      <c r="N236" s="258"/>
    </row>
    <row r="237">
      <c r="A237" s="257"/>
      <c r="B237" s="257"/>
      <c r="C237" s="258"/>
      <c r="D237" s="257"/>
      <c r="E237" s="257"/>
      <c r="F237" s="257"/>
      <c r="G237" s="258"/>
      <c r="H237" s="258"/>
      <c r="I237" s="258"/>
      <c r="J237" s="258"/>
      <c r="K237" s="258"/>
      <c r="L237" s="258"/>
      <c r="M237" s="258"/>
      <c r="N237" s="258"/>
    </row>
    <row r="238">
      <c r="A238" s="257"/>
      <c r="B238" s="257"/>
      <c r="C238" s="258"/>
      <c r="D238" s="257"/>
      <c r="E238" s="257"/>
      <c r="F238" s="257"/>
      <c r="G238" s="258"/>
      <c r="H238" s="258"/>
      <c r="I238" s="258"/>
      <c r="J238" s="258"/>
      <c r="K238" s="258"/>
      <c r="L238" s="258"/>
      <c r="M238" s="258"/>
      <c r="N238" s="258"/>
    </row>
    <row r="239">
      <c r="A239" s="257"/>
      <c r="B239" s="257"/>
      <c r="C239" s="258"/>
      <c r="D239" s="257"/>
      <c r="E239" s="257"/>
      <c r="F239" s="257"/>
      <c r="G239" s="258"/>
      <c r="H239" s="258"/>
      <c r="I239" s="258"/>
      <c r="J239" s="258"/>
      <c r="K239" s="258"/>
      <c r="L239" s="258"/>
      <c r="M239" s="258"/>
      <c r="N239" s="258"/>
    </row>
    <row r="240">
      <c r="A240" s="257"/>
      <c r="B240" s="257"/>
      <c r="C240" s="258"/>
      <c r="D240" s="257"/>
      <c r="E240" s="257"/>
      <c r="F240" s="257"/>
      <c r="G240" s="258"/>
      <c r="H240" s="258"/>
      <c r="I240" s="258"/>
      <c r="J240" s="258"/>
      <c r="K240" s="258"/>
      <c r="L240" s="258"/>
      <c r="M240" s="258"/>
      <c r="N240" s="258"/>
    </row>
    <row r="241">
      <c r="A241" s="257"/>
      <c r="B241" s="257"/>
      <c r="C241" s="258"/>
      <c r="D241" s="257"/>
      <c r="E241" s="257"/>
      <c r="F241" s="257"/>
      <c r="G241" s="258"/>
      <c r="H241" s="258"/>
      <c r="I241" s="258"/>
      <c r="J241" s="258"/>
      <c r="K241" s="258"/>
      <c r="L241" s="258"/>
      <c r="M241" s="258"/>
      <c r="N241" s="258"/>
    </row>
    <row r="242">
      <c r="A242" s="257"/>
      <c r="B242" s="257"/>
      <c r="C242" s="258"/>
      <c r="D242" s="257"/>
      <c r="E242" s="257"/>
      <c r="F242" s="257"/>
      <c r="G242" s="258"/>
      <c r="H242" s="258"/>
      <c r="I242" s="258"/>
      <c r="J242" s="258"/>
      <c r="K242" s="258"/>
      <c r="L242" s="258"/>
      <c r="M242" s="258"/>
      <c r="N242" s="258"/>
    </row>
    <row r="243">
      <c r="A243" s="257"/>
      <c r="B243" s="257"/>
      <c r="C243" s="258"/>
      <c r="D243" s="257"/>
      <c r="E243" s="257"/>
      <c r="F243" s="257"/>
      <c r="G243" s="258"/>
      <c r="H243" s="258"/>
      <c r="I243" s="258"/>
      <c r="J243" s="258"/>
      <c r="K243" s="258"/>
      <c r="L243" s="258"/>
      <c r="M243" s="258"/>
      <c r="N243" s="258"/>
    </row>
    <row r="244">
      <c r="A244" s="257"/>
      <c r="B244" s="257"/>
      <c r="C244" s="258"/>
      <c r="D244" s="257"/>
      <c r="E244" s="257"/>
      <c r="F244" s="257"/>
      <c r="G244" s="258"/>
      <c r="H244" s="258"/>
      <c r="I244" s="258"/>
      <c r="J244" s="258"/>
      <c r="K244" s="258"/>
      <c r="L244" s="258"/>
      <c r="M244" s="258"/>
      <c r="N244" s="258"/>
    </row>
    <row r="245">
      <c r="A245" s="257"/>
      <c r="B245" s="257"/>
      <c r="C245" s="258"/>
      <c r="D245" s="257"/>
      <c r="E245" s="257"/>
      <c r="F245" s="257"/>
      <c r="G245" s="258"/>
      <c r="H245" s="258"/>
      <c r="I245" s="258"/>
      <c r="J245" s="258"/>
      <c r="K245" s="258"/>
      <c r="L245" s="258"/>
      <c r="M245" s="258"/>
      <c r="N245" s="258"/>
    </row>
    <row r="246">
      <c r="A246" s="257"/>
      <c r="B246" s="257"/>
      <c r="C246" s="258"/>
      <c r="D246" s="257"/>
      <c r="E246" s="257"/>
      <c r="F246" s="257"/>
      <c r="G246" s="258"/>
      <c r="H246" s="258"/>
      <c r="I246" s="258"/>
      <c r="J246" s="258"/>
      <c r="K246" s="258"/>
      <c r="L246" s="258"/>
      <c r="M246" s="258"/>
      <c r="N246" s="258"/>
    </row>
    <row r="247">
      <c r="A247" s="257"/>
      <c r="B247" s="257"/>
      <c r="C247" s="258"/>
      <c r="D247" s="257"/>
      <c r="E247" s="257"/>
      <c r="F247" s="257"/>
      <c r="G247" s="258"/>
      <c r="H247" s="258"/>
      <c r="I247" s="258"/>
      <c r="J247" s="258"/>
      <c r="K247" s="258"/>
      <c r="L247" s="258"/>
      <c r="M247" s="258"/>
      <c r="N247" s="258"/>
    </row>
    <row r="248">
      <c r="A248" s="257"/>
      <c r="B248" s="257"/>
      <c r="C248" s="258"/>
      <c r="D248" s="257"/>
      <c r="E248" s="257"/>
      <c r="F248" s="257"/>
      <c r="G248" s="258"/>
      <c r="H248" s="258"/>
      <c r="I248" s="258"/>
      <c r="J248" s="258"/>
      <c r="K248" s="258"/>
      <c r="L248" s="258"/>
      <c r="M248" s="258"/>
      <c r="N248" s="258"/>
    </row>
    <row r="249">
      <c r="A249" s="257"/>
      <c r="B249" s="257"/>
      <c r="C249" s="258"/>
      <c r="D249" s="257"/>
      <c r="E249" s="257"/>
      <c r="F249" s="257"/>
      <c r="G249" s="258"/>
      <c r="H249" s="258"/>
      <c r="I249" s="258"/>
      <c r="J249" s="258"/>
      <c r="K249" s="258"/>
      <c r="L249" s="258"/>
      <c r="M249" s="258"/>
      <c r="N249" s="258"/>
    </row>
    <row r="250">
      <c r="A250" s="257"/>
      <c r="B250" s="257"/>
      <c r="C250" s="258"/>
      <c r="D250" s="257"/>
      <c r="E250" s="257"/>
      <c r="F250" s="257"/>
      <c r="G250" s="258"/>
      <c r="H250" s="258"/>
      <c r="I250" s="258"/>
      <c r="J250" s="258"/>
      <c r="K250" s="258"/>
      <c r="L250" s="258"/>
      <c r="M250" s="258"/>
      <c r="N250" s="258"/>
    </row>
    <row r="251">
      <c r="A251" s="257"/>
      <c r="B251" s="257"/>
      <c r="C251" s="258"/>
      <c r="D251" s="257"/>
      <c r="E251" s="257"/>
      <c r="F251" s="257"/>
      <c r="G251" s="258"/>
      <c r="H251" s="258"/>
      <c r="I251" s="258"/>
      <c r="J251" s="258"/>
      <c r="K251" s="258"/>
      <c r="L251" s="258"/>
      <c r="M251" s="258"/>
      <c r="N251" s="258"/>
    </row>
    <row r="252">
      <c r="A252" s="257"/>
      <c r="B252" s="257"/>
      <c r="C252" s="258"/>
      <c r="D252" s="257"/>
      <c r="E252" s="257"/>
      <c r="F252" s="257"/>
      <c r="G252" s="258"/>
      <c r="H252" s="258"/>
      <c r="I252" s="258"/>
      <c r="J252" s="258"/>
      <c r="K252" s="258"/>
      <c r="L252" s="258"/>
      <c r="M252" s="258"/>
      <c r="N252" s="258"/>
    </row>
    <row r="253">
      <c r="A253" s="257"/>
      <c r="B253" s="257"/>
      <c r="C253" s="258"/>
      <c r="D253" s="257"/>
      <c r="E253" s="257"/>
      <c r="F253" s="257"/>
      <c r="G253" s="258"/>
      <c r="H253" s="258"/>
      <c r="I253" s="258"/>
      <c r="J253" s="258"/>
      <c r="K253" s="258"/>
      <c r="L253" s="258"/>
      <c r="M253" s="258"/>
      <c r="N253" s="258"/>
    </row>
    <row r="254">
      <c r="A254" s="257"/>
      <c r="B254" s="257"/>
      <c r="C254" s="258"/>
      <c r="D254" s="257"/>
      <c r="E254" s="257"/>
      <c r="F254" s="257"/>
      <c r="G254" s="258"/>
      <c r="H254" s="258"/>
      <c r="I254" s="258"/>
      <c r="J254" s="258"/>
      <c r="K254" s="258"/>
      <c r="L254" s="258"/>
      <c r="M254" s="258"/>
      <c r="N254" s="258"/>
    </row>
    <row r="255">
      <c r="A255" s="257"/>
      <c r="B255" s="257"/>
      <c r="C255" s="258"/>
      <c r="D255" s="257"/>
      <c r="E255" s="257"/>
      <c r="F255" s="257"/>
      <c r="G255" s="258"/>
      <c r="H255" s="258"/>
      <c r="I255" s="258"/>
      <c r="J255" s="258"/>
      <c r="K255" s="258"/>
      <c r="L255" s="258"/>
      <c r="M255" s="258"/>
      <c r="N255" s="258"/>
    </row>
    <row r="256">
      <c r="A256" s="257"/>
      <c r="B256" s="257"/>
      <c r="C256" s="258"/>
      <c r="D256" s="257"/>
      <c r="E256" s="257"/>
      <c r="F256" s="257"/>
      <c r="G256" s="258"/>
      <c r="H256" s="258"/>
      <c r="I256" s="258"/>
      <c r="J256" s="258"/>
      <c r="K256" s="258"/>
      <c r="L256" s="258"/>
      <c r="M256" s="258"/>
      <c r="N256" s="258"/>
    </row>
    <row r="257">
      <c r="A257" s="257"/>
      <c r="B257" s="257"/>
      <c r="C257" s="258"/>
      <c r="D257" s="257"/>
      <c r="E257" s="257"/>
      <c r="F257" s="257"/>
      <c r="G257" s="258"/>
      <c r="H257" s="258"/>
      <c r="I257" s="258"/>
      <c r="J257" s="258"/>
      <c r="K257" s="258"/>
      <c r="L257" s="258"/>
      <c r="M257" s="258"/>
      <c r="N257" s="258"/>
    </row>
    <row r="258">
      <c r="A258" s="257"/>
      <c r="B258" s="257"/>
      <c r="C258" s="258"/>
      <c r="D258" s="257"/>
      <c r="E258" s="257"/>
      <c r="F258" s="257"/>
      <c r="G258" s="258"/>
      <c r="H258" s="258"/>
      <c r="I258" s="258"/>
      <c r="J258" s="258"/>
      <c r="K258" s="258"/>
      <c r="L258" s="258"/>
      <c r="M258" s="258"/>
      <c r="N258" s="258"/>
    </row>
    <row r="259">
      <c r="A259" s="257"/>
      <c r="B259" s="257"/>
      <c r="C259" s="258"/>
      <c r="D259" s="257"/>
      <c r="E259" s="257"/>
      <c r="F259" s="257"/>
      <c r="G259" s="258"/>
      <c r="H259" s="258"/>
      <c r="I259" s="258"/>
      <c r="J259" s="258"/>
      <c r="K259" s="258"/>
      <c r="L259" s="258"/>
      <c r="M259" s="258"/>
      <c r="N259" s="258"/>
    </row>
    <row r="260">
      <c r="A260" s="257"/>
      <c r="B260" s="257"/>
      <c r="C260" s="258"/>
      <c r="D260" s="257"/>
      <c r="E260" s="257"/>
      <c r="F260" s="257"/>
      <c r="G260" s="258"/>
      <c r="H260" s="258"/>
      <c r="I260" s="258"/>
      <c r="J260" s="258"/>
      <c r="K260" s="258"/>
      <c r="L260" s="258"/>
      <c r="M260" s="258"/>
      <c r="N260" s="258"/>
    </row>
    <row r="261">
      <c r="A261" s="257"/>
      <c r="B261" s="257"/>
      <c r="C261" s="258"/>
      <c r="D261" s="257"/>
      <c r="E261" s="257"/>
      <c r="F261" s="257"/>
      <c r="G261" s="258"/>
      <c r="H261" s="258"/>
      <c r="I261" s="258"/>
      <c r="J261" s="258"/>
      <c r="K261" s="258"/>
      <c r="L261" s="258"/>
      <c r="M261" s="258"/>
      <c r="N261" s="258"/>
    </row>
    <row r="262">
      <c r="A262" s="257"/>
      <c r="B262" s="257"/>
      <c r="C262" s="258"/>
      <c r="D262" s="257"/>
      <c r="E262" s="257"/>
      <c r="F262" s="257"/>
      <c r="G262" s="258"/>
      <c r="H262" s="258"/>
      <c r="I262" s="258"/>
      <c r="J262" s="258"/>
      <c r="K262" s="258"/>
      <c r="L262" s="258"/>
      <c r="M262" s="258"/>
      <c r="N262" s="258"/>
    </row>
    <row r="263">
      <c r="A263" s="257"/>
      <c r="B263" s="257"/>
      <c r="C263" s="258"/>
      <c r="D263" s="257"/>
      <c r="E263" s="257"/>
      <c r="F263" s="257"/>
      <c r="G263" s="258"/>
      <c r="H263" s="258"/>
      <c r="I263" s="258"/>
      <c r="J263" s="258"/>
      <c r="K263" s="258"/>
      <c r="L263" s="258"/>
      <c r="M263" s="258"/>
      <c r="N263" s="258"/>
    </row>
    <row r="264">
      <c r="A264" s="257"/>
      <c r="B264" s="257"/>
      <c r="C264" s="258"/>
      <c r="D264" s="257"/>
      <c r="E264" s="257"/>
      <c r="F264" s="257"/>
      <c r="G264" s="258"/>
      <c r="H264" s="258"/>
      <c r="I264" s="258"/>
      <c r="J264" s="258"/>
      <c r="K264" s="258"/>
      <c r="L264" s="258"/>
      <c r="M264" s="258"/>
      <c r="N264" s="258"/>
    </row>
    <row r="265">
      <c r="A265" s="257"/>
      <c r="B265" s="257"/>
      <c r="C265" s="258"/>
      <c r="D265" s="257"/>
      <c r="E265" s="257"/>
      <c r="F265" s="257"/>
      <c r="G265" s="258"/>
      <c r="H265" s="258"/>
      <c r="I265" s="258"/>
      <c r="J265" s="258"/>
      <c r="K265" s="258"/>
      <c r="L265" s="258"/>
      <c r="M265" s="258"/>
      <c r="N265" s="258"/>
    </row>
    <row r="266">
      <c r="A266" s="257"/>
      <c r="B266" s="257"/>
      <c r="C266" s="258"/>
      <c r="D266" s="257"/>
      <c r="E266" s="257"/>
      <c r="F266" s="257"/>
      <c r="G266" s="258"/>
      <c r="H266" s="258"/>
      <c r="I266" s="258"/>
      <c r="J266" s="258"/>
      <c r="K266" s="258"/>
      <c r="L266" s="258"/>
      <c r="M266" s="258"/>
      <c r="N266" s="258"/>
    </row>
    <row r="267">
      <c r="A267" s="257"/>
      <c r="B267" s="257"/>
      <c r="C267" s="258"/>
      <c r="D267" s="257"/>
      <c r="E267" s="257"/>
      <c r="F267" s="257"/>
      <c r="G267" s="258"/>
      <c r="H267" s="258"/>
      <c r="I267" s="258"/>
      <c r="J267" s="258"/>
      <c r="K267" s="258"/>
      <c r="L267" s="258"/>
      <c r="M267" s="258"/>
      <c r="N267" s="258"/>
    </row>
    <row r="268">
      <c r="A268" s="257"/>
      <c r="B268" s="257"/>
      <c r="C268" s="258"/>
      <c r="D268" s="257"/>
      <c r="E268" s="257"/>
      <c r="F268" s="257"/>
      <c r="G268" s="258"/>
      <c r="H268" s="258"/>
      <c r="I268" s="258"/>
      <c r="J268" s="258"/>
      <c r="K268" s="258"/>
      <c r="L268" s="258"/>
      <c r="M268" s="258"/>
      <c r="N268" s="258"/>
    </row>
    <row r="269">
      <c r="A269" s="257"/>
      <c r="B269" s="257"/>
      <c r="C269" s="258"/>
      <c r="D269" s="257"/>
      <c r="E269" s="257"/>
      <c r="F269" s="257"/>
      <c r="G269" s="258"/>
      <c r="H269" s="258"/>
      <c r="I269" s="258"/>
      <c r="J269" s="258"/>
      <c r="K269" s="258"/>
      <c r="L269" s="258"/>
      <c r="M269" s="258"/>
      <c r="N269" s="258"/>
    </row>
    <row r="270">
      <c r="A270" s="257"/>
      <c r="B270" s="257"/>
      <c r="C270" s="258"/>
      <c r="D270" s="257"/>
      <c r="E270" s="257"/>
      <c r="F270" s="257"/>
      <c r="G270" s="258"/>
      <c r="H270" s="258"/>
      <c r="I270" s="258"/>
      <c r="J270" s="258"/>
      <c r="K270" s="258"/>
      <c r="L270" s="258"/>
      <c r="M270" s="258"/>
      <c r="N270" s="258"/>
    </row>
    <row r="271">
      <c r="A271" s="257"/>
      <c r="B271" s="257"/>
      <c r="C271" s="258"/>
      <c r="D271" s="257"/>
      <c r="E271" s="257"/>
      <c r="F271" s="257"/>
      <c r="G271" s="258"/>
      <c r="H271" s="258"/>
      <c r="I271" s="258"/>
      <c r="J271" s="258"/>
      <c r="K271" s="258"/>
      <c r="L271" s="258"/>
      <c r="M271" s="258"/>
      <c r="N271" s="258"/>
    </row>
    <row r="272">
      <c r="A272" s="257"/>
      <c r="B272" s="257"/>
      <c r="C272" s="258"/>
      <c r="D272" s="257"/>
      <c r="E272" s="257"/>
      <c r="F272" s="257"/>
      <c r="G272" s="258"/>
      <c r="H272" s="258"/>
      <c r="I272" s="258"/>
      <c r="J272" s="258"/>
      <c r="K272" s="258"/>
      <c r="L272" s="258"/>
      <c r="M272" s="258"/>
      <c r="N272" s="258"/>
    </row>
    <row r="273">
      <c r="A273" s="257"/>
      <c r="B273" s="257"/>
      <c r="C273" s="258"/>
      <c r="D273" s="257"/>
      <c r="E273" s="257"/>
      <c r="F273" s="257"/>
      <c r="G273" s="258"/>
      <c r="H273" s="258"/>
      <c r="I273" s="258"/>
      <c r="J273" s="258"/>
      <c r="K273" s="258"/>
      <c r="L273" s="258"/>
      <c r="M273" s="258"/>
      <c r="N273" s="258"/>
    </row>
    <row r="274">
      <c r="A274" s="257"/>
      <c r="B274" s="257"/>
      <c r="C274" s="258"/>
      <c r="D274" s="257"/>
      <c r="E274" s="257"/>
      <c r="F274" s="257"/>
      <c r="G274" s="258"/>
      <c r="H274" s="258"/>
      <c r="I274" s="258"/>
      <c r="J274" s="258"/>
      <c r="K274" s="258"/>
      <c r="L274" s="258"/>
      <c r="M274" s="258"/>
      <c r="N274" s="258"/>
    </row>
    <row r="275">
      <c r="A275" s="257"/>
      <c r="B275" s="257"/>
      <c r="C275" s="258"/>
      <c r="D275" s="257"/>
      <c r="E275" s="257"/>
      <c r="F275" s="257"/>
      <c r="G275" s="258"/>
      <c r="H275" s="258"/>
      <c r="I275" s="258"/>
      <c r="J275" s="258"/>
      <c r="K275" s="258"/>
      <c r="L275" s="258"/>
      <c r="M275" s="258"/>
      <c r="N275" s="258"/>
    </row>
    <row r="276">
      <c r="A276" s="257"/>
      <c r="B276" s="257"/>
      <c r="C276" s="258"/>
      <c r="D276" s="257"/>
      <c r="E276" s="257"/>
      <c r="F276" s="257"/>
      <c r="G276" s="258"/>
      <c r="H276" s="258"/>
      <c r="I276" s="258"/>
      <c r="J276" s="258"/>
      <c r="K276" s="258"/>
      <c r="L276" s="258"/>
      <c r="M276" s="258"/>
      <c r="N276" s="258"/>
    </row>
    <row r="277">
      <c r="A277" s="257"/>
      <c r="B277" s="257"/>
      <c r="C277" s="258"/>
      <c r="D277" s="257"/>
      <c r="E277" s="257"/>
      <c r="F277" s="257"/>
      <c r="G277" s="258"/>
      <c r="H277" s="258"/>
      <c r="I277" s="258"/>
      <c r="J277" s="258"/>
      <c r="K277" s="258"/>
      <c r="L277" s="258"/>
      <c r="M277" s="258"/>
      <c r="N277" s="258"/>
    </row>
    <row r="278">
      <c r="A278" s="257"/>
      <c r="B278" s="257"/>
      <c r="C278" s="258"/>
      <c r="D278" s="257"/>
      <c r="E278" s="257"/>
      <c r="F278" s="257"/>
      <c r="G278" s="258"/>
      <c r="H278" s="258"/>
      <c r="I278" s="258"/>
      <c r="J278" s="258"/>
      <c r="K278" s="258"/>
      <c r="L278" s="258"/>
      <c r="M278" s="258"/>
      <c r="N278" s="258"/>
    </row>
    <row r="279">
      <c r="A279" s="257"/>
      <c r="B279" s="257"/>
      <c r="C279" s="258"/>
      <c r="D279" s="257"/>
      <c r="E279" s="257"/>
      <c r="F279" s="257"/>
      <c r="G279" s="258"/>
      <c r="H279" s="258"/>
      <c r="I279" s="258"/>
      <c r="J279" s="258"/>
      <c r="K279" s="258"/>
      <c r="L279" s="258"/>
      <c r="M279" s="258"/>
      <c r="N279" s="258"/>
    </row>
    <row r="280">
      <c r="A280" s="257"/>
      <c r="B280" s="257"/>
      <c r="C280" s="258"/>
      <c r="D280" s="257"/>
      <c r="E280" s="257"/>
      <c r="F280" s="257"/>
      <c r="G280" s="258"/>
      <c r="H280" s="258"/>
      <c r="I280" s="258"/>
      <c r="J280" s="258"/>
      <c r="K280" s="258"/>
      <c r="L280" s="258"/>
      <c r="M280" s="258"/>
      <c r="N280" s="258"/>
    </row>
    <row r="281">
      <c r="A281" s="257"/>
      <c r="B281" s="257"/>
      <c r="C281" s="258"/>
      <c r="D281" s="257"/>
      <c r="E281" s="257"/>
      <c r="F281" s="257"/>
      <c r="G281" s="258"/>
      <c r="H281" s="258"/>
      <c r="I281" s="258"/>
      <c r="J281" s="258"/>
      <c r="K281" s="258"/>
      <c r="L281" s="258"/>
      <c r="M281" s="258"/>
      <c r="N281" s="258"/>
    </row>
    <row r="282">
      <c r="A282" s="257"/>
      <c r="B282" s="257"/>
      <c r="C282" s="258"/>
      <c r="D282" s="257"/>
      <c r="E282" s="257"/>
      <c r="F282" s="257"/>
      <c r="G282" s="258"/>
      <c r="H282" s="258"/>
      <c r="I282" s="258"/>
      <c r="J282" s="258"/>
      <c r="K282" s="258"/>
      <c r="L282" s="258"/>
      <c r="M282" s="258"/>
      <c r="N282" s="258"/>
    </row>
    <row r="283">
      <c r="A283" s="257"/>
      <c r="B283" s="257"/>
      <c r="C283" s="258"/>
      <c r="D283" s="257"/>
      <c r="E283" s="257"/>
      <c r="F283" s="257"/>
      <c r="G283" s="258"/>
      <c r="H283" s="258"/>
      <c r="I283" s="258"/>
      <c r="J283" s="258"/>
      <c r="K283" s="258"/>
      <c r="L283" s="258"/>
      <c r="M283" s="258"/>
      <c r="N283" s="258"/>
    </row>
    <row r="284">
      <c r="A284" s="257"/>
      <c r="B284" s="257"/>
      <c r="C284" s="258"/>
      <c r="D284" s="257"/>
      <c r="E284" s="257"/>
      <c r="F284" s="257"/>
      <c r="G284" s="258"/>
      <c r="H284" s="258"/>
      <c r="I284" s="258"/>
      <c r="J284" s="258"/>
      <c r="K284" s="258"/>
      <c r="L284" s="258"/>
      <c r="M284" s="258"/>
      <c r="N284" s="258"/>
    </row>
    <row r="285">
      <c r="A285" s="257"/>
      <c r="B285" s="257"/>
      <c r="C285" s="258"/>
      <c r="D285" s="257"/>
      <c r="E285" s="257"/>
      <c r="F285" s="257"/>
      <c r="G285" s="258"/>
      <c r="H285" s="258"/>
      <c r="I285" s="258"/>
      <c r="J285" s="258"/>
      <c r="K285" s="258"/>
      <c r="L285" s="258"/>
      <c r="M285" s="258"/>
      <c r="N285" s="258"/>
    </row>
    <row r="286">
      <c r="A286" s="257"/>
      <c r="B286" s="257"/>
      <c r="C286" s="258"/>
      <c r="D286" s="257"/>
      <c r="E286" s="257"/>
      <c r="F286" s="257"/>
      <c r="G286" s="258"/>
      <c r="H286" s="258"/>
      <c r="I286" s="258"/>
      <c r="J286" s="258"/>
      <c r="K286" s="258"/>
      <c r="L286" s="258"/>
      <c r="M286" s="258"/>
      <c r="N286" s="258"/>
    </row>
    <row r="287">
      <c r="A287" s="257"/>
      <c r="B287" s="257"/>
      <c r="C287" s="258"/>
      <c r="D287" s="257"/>
      <c r="E287" s="257"/>
      <c r="F287" s="257"/>
      <c r="G287" s="258"/>
      <c r="H287" s="258"/>
      <c r="I287" s="258"/>
      <c r="J287" s="258"/>
      <c r="K287" s="258"/>
      <c r="L287" s="258"/>
      <c r="M287" s="258"/>
      <c r="N287" s="258"/>
    </row>
    <row r="288">
      <c r="A288" s="257"/>
      <c r="B288" s="257"/>
      <c r="C288" s="258"/>
      <c r="D288" s="257"/>
      <c r="E288" s="257"/>
      <c r="F288" s="257"/>
      <c r="G288" s="258"/>
      <c r="H288" s="258"/>
      <c r="I288" s="258"/>
      <c r="J288" s="258"/>
      <c r="K288" s="258"/>
      <c r="L288" s="258"/>
      <c r="M288" s="258"/>
      <c r="N288" s="258"/>
    </row>
    <row r="289">
      <c r="A289" s="257"/>
      <c r="B289" s="257"/>
      <c r="C289" s="258"/>
      <c r="D289" s="257"/>
      <c r="E289" s="257"/>
      <c r="F289" s="257"/>
      <c r="G289" s="258"/>
      <c r="H289" s="258"/>
      <c r="I289" s="258"/>
      <c r="J289" s="258"/>
      <c r="K289" s="258"/>
      <c r="L289" s="258"/>
      <c r="M289" s="258"/>
      <c r="N289" s="258"/>
    </row>
    <row r="290">
      <c r="A290" s="257"/>
      <c r="B290" s="257"/>
      <c r="C290" s="258"/>
      <c r="D290" s="257"/>
      <c r="E290" s="257"/>
      <c r="F290" s="257"/>
      <c r="G290" s="258"/>
      <c r="H290" s="258"/>
      <c r="I290" s="258"/>
      <c r="J290" s="258"/>
      <c r="K290" s="258"/>
      <c r="L290" s="258"/>
      <c r="M290" s="258"/>
      <c r="N290" s="258"/>
    </row>
    <row r="291">
      <c r="A291" s="257"/>
      <c r="B291" s="257"/>
      <c r="C291" s="258"/>
      <c r="D291" s="257"/>
      <c r="E291" s="257"/>
      <c r="F291" s="257"/>
      <c r="G291" s="258"/>
      <c r="H291" s="258"/>
      <c r="I291" s="258"/>
      <c r="J291" s="258"/>
      <c r="K291" s="258"/>
      <c r="L291" s="258"/>
      <c r="M291" s="258"/>
      <c r="N291" s="258"/>
    </row>
    <row r="292">
      <c r="A292" s="257"/>
      <c r="B292" s="257"/>
      <c r="C292" s="258"/>
      <c r="D292" s="257"/>
      <c r="E292" s="257"/>
      <c r="F292" s="257"/>
      <c r="G292" s="258"/>
      <c r="H292" s="258"/>
      <c r="I292" s="258"/>
      <c r="J292" s="258"/>
      <c r="K292" s="258"/>
      <c r="L292" s="258"/>
      <c r="M292" s="258"/>
      <c r="N292" s="258"/>
    </row>
    <row r="293">
      <c r="A293" s="257"/>
      <c r="B293" s="257"/>
      <c r="C293" s="258"/>
      <c r="D293" s="257"/>
      <c r="E293" s="257"/>
      <c r="F293" s="257"/>
      <c r="G293" s="258"/>
      <c r="H293" s="258"/>
      <c r="I293" s="258"/>
      <c r="J293" s="258"/>
      <c r="K293" s="258"/>
      <c r="L293" s="258"/>
      <c r="M293" s="258"/>
      <c r="N293" s="258"/>
    </row>
    <row r="294">
      <c r="A294" s="257"/>
      <c r="B294" s="257"/>
      <c r="C294" s="258"/>
      <c r="D294" s="257"/>
      <c r="E294" s="257"/>
      <c r="F294" s="257"/>
      <c r="G294" s="258"/>
      <c r="H294" s="258"/>
      <c r="I294" s="258"/>
      <c r="J294" s="258"/>
      <c r="K294" s="258"/>
      <c r="L294" s="258"/>
      <c r="M294" s="258"/>
      <c r="N294" s="258"/>
    </row>
    <row r="295">
      <c r="A295" s="257"/>
      <c r="B295" s="257"/>
      <c r="C295" s="258"/>
      <c r="D295" s="257"/>
      <c r="E295" s="257"/>
      <c r="F295" s="257"/>
      <c r="G295" s="258"/>
      <c r="H295" s="258"/>
      <c r="I295" s="258"/>
      <c r="J295" s="258"/>
      <c r="K295" s="258"/>
      <c r="L295" s="258"/>
      <c r="M295" s="258"/>
      <c r="N295" s="258"/>
    </row>
    <row r="296">
      <c r="A296" s="257"/>
      <c r="B296" s="257"/>
      <c r="C296" s="258"/>
      <c r="D296" s="257"/>
      <c r="E296" s="257"/>
      <c r="F296" s="257"/>
      <c r="G296" s="258"/>
      <c r="H296" s="258"/>
      <c r="I296" s="258"/>
      <c r="J296" s="258"/>
      <c r="K296" s="258"/>
      <c r="L296" s="258"/>
      <c r="M296" s="258"/>
      <c r="N296" s="258"/>
    </row>
    <row r="297">
      <c r="A297" s="257"/>
      <c r="B297" s="257"/>
      <c r="C297" s="258"/>
      <c r="D297" s="257"/>
      <c r="E297" s="257"/>
      <c r="F297" s="257"/>
      <c r="G297" s="258"/>
      <c r="H297" s="258"/>
      <c r="I297" s="258"/>
      <c r="J297" s="258"/>
      <c r="K297" s="258"/>
      <c r="L297" s="258"/>
      <c r="M297" s="258"/>
      <c r="N297" s="258"/>
    </row>
    <row r="298">
      <c r="A298" s="257"/>
      <c r="B298" s="257"/>
      <c r="C298" s="258"/>
      <c r="D298" s="257"/>
      <c r="E298" s="257"/>
      <c r="F298" s="257"/>
      <c r="G298" s="258"/>
      <c r="H298" s="258"/>
      <c r="I298" s="258"/>
      <c r="J298" s="258"/>
      <c r="K298" s="258"/>
      <c r="L298" s="258"/>
      <c r="M298" s="258"/>
      <c r="N298" s="258"/>
    </row>
    <row r="299">
      <c r="A299" s="257"/>
      <c r="B299" s="257"/>
      <c r="C299" s="258"/>
      <c r="D299" s="257"/>
      <c r="E299" s="257"/>
      <c r="F299" s="257"/>
      <c r="G299" s="258"/>
      <c r="H299" s="258"/>
      <c r="I299" s="258"/>
      <c r="J299" s="258"/>
      <c r="K299" s="258"/>
      <c r="L299" s="258"/>
      <c r="M299" s="258"/>
      <c r="N299" s="258"/>
    </row>
    <row r="300">
      <c r="A300" s="257"/>
      <c r="B300" s="257"/>
      <c r="C300" s="258"/>
      <c r="D300" s="257"/>
      <c r="E300" s="257"/>
      <c r="F300" s="257"/>
      <c r="G300" s="258"/>
      <c r="H300" s="258"/>
      <c r="I300" s="258"/>
      <c r="J300" s="258"/>
      <c r="K300" s="258"/>
      <c r="L300" s="258"/>
      <c r="M300" s="258"/>
      <c r="N300" s="258"/>
    </row>
    <row r="301">
      <c r="A301" s="257"/>
      <c r="B301" s="257"/>
      <c r="C301" s="258"/>
      <c r="D301" s="257"/>
      <c r="E301" s="257"/>
      <c r="F301" s="257"/>
      <c r="G301" s="258"/>
      <c r="H301" s="258"/>
      <c r="I301" s="258"/>
      <c r="J301" s="258"/>
      <c r="K301" s="258"/>
      <c r="L301" s="258"/>
      <c r="M301" s="258"/>
      <c r="N301" s="258"/>
    </row>
    <row r="302">
      <c r="A302" s="257"/>
      <c r="B302" s="257"/>
      <c r="C302" s="258"/>
      <c r="D302" s="257"/>
      <c r="E302" s="257"/>
      <c r="F302" s="257"/>
      <c r="G302" s="258"/>
      <c r="H302" s="258"/>
      <c r="I302" s="258"/>
      <c r="J302" s="258"/>
      <c r="K302" s="258"/>
      <c r="L302" s="258"/>
      <c r="M302" s="258"/>
      <c r="N302" s="258"/>
    </row>
    <row r="303">
      <c r="A303" s="257"/>
      <c r="B303" s="257"/>
      <c r="C303" s="258"/>
      <c r="D303" s="257"/>
      <c r="E303" s="257"/>
      <c r="F303" s="257"/>
      <c r="G303" s="258"/>
      <c r="H303" s="258"/>
      <c r="I303" s="258"/>
      <c r="J303" s="258"/>
      <c r="K303" s="258"/>
      <c r="L303" s="258"/>
      <c r="M303" s="258"/>
      <c r="N303" s="258"/>
    </row>
    <row r="304">
      <c r="A304" s="257"/>
      <c r="B304" s="257"/>
      <c r="C304" s="258"/>
      <c r="D304" s="257"/>
      <c r="E304" s="257"/>
      <c r="F304" s="257"/>
      <c r="G304" s="258"/>
      <c r="H304" s="258"/>
      <c r="I304" s="258"/>
      <c r="J304" s="258"/>
      <c r="K304" s="258"/>
      <c r="L304" s="258"/>
      <c r="M304" s="258"/>
      <c r="N304" s="258"/>
    </row>
    <row r="305">
      <c r="A305" s="257"/>
      <c r="B305" s="257"/>
      <c r="C305" s="258"/>
      <c r="D305" s="257"/>
      <c r="E305" s="257"/>
      <c r="F305" s="257"/>
      <c r="G305" s="258"/>
      <c r="H305" s="258"/>
      <c r="I305" s="258"/>
      <c r="J305" s="258"/>
      <c r="K305" s="258"/>
      <c r="L305" s="258"/>
      <c r="M305" s="258"/>
      <c r="N305" s="258"/>
    </row>
    <row r="306">
      <c r="A306" s="257"/>
      <c r="B306" s="257"/>
      <c r="C306" s="258"/>
      <c r="D306" s="257"/>
      <c r="E306" s="257"/>
      <c r="F306" s="257"/>
      <c r="G306" s="258"/>
      <c r="H306" s="258"/>
      <c r="I306" s="258"/>
      <c r="J306" s="258"/>
      <c r="K306" s="258"/>
      <c r="L306" s="258"/>
      <c r="M306" s="258"/>
      <c r="N306" s="258"/>
    </row>
    <row r="307">
      <c r="A307" s="257"/>
      <c r="B307" s="257"/>
      <c r="C307" s="258"/>
      <c r="D307" s="257"/>
      <c r="E307" s="257"/>
      <c r="F307" s="257"/>
      <c r="G307" s="258"/>
      <c r="H307" s="258"/>
      <c r="I307" s="258"/>
      <c r="J307" s="258"/>
      <c r="K307" s="258"/>
      <c r="L307" s="258"/>
      <c r="M307" s="258"/>
      <c r="N307" s="258"/>
    </row>
    <row r="308">
      <c r="A308" s="257"/>
      <c r="B308" s="257"/>
      <c r="C308" s="258"/>
      <c r="D308" s="257"/>
      <c r="E308" s="257"/>
      <c r="F308" s="257"/>
      <c r="G308" s="258"/>
      <c r="H308" s="258"/>
      <c r="I308" s="258"/>
      <c r="J308" s="258"/>
      <c r="K308" s="258"/>
      <c r="L308" s="258"/>
      <c r="M308" s="258"/>
      <c r="N308" s="258"/>
    </row>
    <row r="309">
      <c r="A309" s="257"/>
      <c r="B309" s="257"/>
      <c r="C309" s="258"/>
      <c r="D309" s="257"/>
      <c r="E309" s="257"/>
      <c r="F309" s="257"/>
      <c r="G309" s="258"/>
      <c r="H309" s="258"/>
      <c r="I309" s="258"/>
      <c r="J309" s="258"/>
      <c r="K309" s="258"/>
      <c r="L309" s="258"/>
      <c r="M309" s="258"/>
      <c r="N309" s="258"/>
    </row>
    <row r="310">
      <c r="A310" s="257"/>
      <c r="B310" s="257"/>
      <c r="C310" s="258"/>
      <c r="D310" s="257"/>
      <c r="E310" s="257"/>
      <c r="F310" s="257"/>
      <c r="G310" s="258"/>
      <c r="H310" s="258"/>
      <c r="I310" s="258"/>
      <c r="J310" s="258"/>
      <c r="K310" s="258"/>
      <c r="L310" s="258"/>
      <c r="M310" s="258"/>
      <c r="N310" s="258"/>
    </row>
    <row r="311">
      <c r="A311" s="257"/>
      <c r="B311" s="257"/>
      <c r="C311" s="258"/>
      <c r="D311" s="257"/>
      <c r="E311" s="257"/>
      <c r="F311" s="257"/>
      <c r="G311" s="258"/>
      <c r="H311" s="258"/>
      <c r="I311" s="258"/>
      <c r="J311" s="258"/>
      <c r="K311" s="258"/>
      <c r="L311" s="258"/>
      <c r="M311" s="258"/>
      <c r="N311" s="258"/>
    </row>
    <row r="312">
      <c r="A312" s="257"/>
      <c r="B312" s="257"/>
      <c r="C312" s="258"/>
      <c r="D312" s="257"/>
      <c r="E312" s="257"/>
      <c r="F312" s="257"/>
      <c r="G312" s="258"/>
      <c r="H312" s="258"/>
      <c r="I312" s="258"/>
      <c r="J312" s="258"/>
      <c r="K312" s="258"/>
      <c r="L312" s="258"/>
      <c r="M312" s="258"/>
      <c r="N312" s="258"/>
    </row>
    <row r="313">
      <c r="A313" s="257"/>
      <c r="B313" s="257"/>
      <c r="C313" s="258"/>
      <c r="D313" s="257"/>
      <c r="E313" s="257"/>
      <c r="F313" s="257"/>
      <c r="G313" s="258"/>
      <c r="H313" s="258"/>
      <c r="I313" s="258"/>
      <c r="J313" s="258"/>
      <c r="K313" s="258"/>
      <c r="L313" s="258"/>
      <c r="M313" s="258"/>
      <c r="N313" s="258"/>
    </row>
    <row r="314">
      <c r="A314" s="257"/>
      <c r="B314" s="257"/>
      <c r="C314" s="258"/>
      <c r="D314" s="257"/>
      <c r="E314" s="257"/>
      <c r="F314" s="257"/>
      <c r="G314" s="258"/>
      <c r="H314" s="258"/>
      <c r="I314" s="258"/>
      <c r="J314" s="258"/>
      <c r="K314" s="258"/>
      <c r="L314" s="258"/>
      <c r="M314" s="258"/>
      <c r="N314" s="258"/>
    </row>
    <row r="315">
      <c r="A315" s="257"/>
      <c r="B315" s="257"/>
      <c r="C315" s="258"/>
      <c r="D315" s="257"/>
      <c r="E315" s="257"/>
      <c r="F315" s="257"/>
      <c r="G315" s="258"/>
      <c r="H315" s="258"/>
      <c r="I315" s="258"/>
      <c r="J315" s="258"/>
      <c r="K315" s="258"/>
      <c r="L315" s="258"/>
      <c r="M315" s="258"/>
      <c r="N315" s="258"/>
    </row>
    <row r="316">
      <c r="A316" s="257"/>
      <c r="B316" s="257"/>
      <c r="C316" s="258"/>
      <c r="D316" s="257"/>
      <c r="E316" s="257"/>
      <c r="F316" s="257"/>
      <c r="G316" s="258"/>
      <c r="H316" s="258"/>
      <c r="I316" s="258"/>
      <c r="J316" s="258"/>
      <c r="K316" s="258"/>
      <c r="L316" s="258"/>
      <c r="M316" s="258"/>
      <c r="N316" s="258"/>
    </row>
    <row r="317">
      <c r="A317" s="257"/>
      <c r="B317" s="257"/>
      <c r="C317" s="258"/>
      <c r="D317" s="257"/>
      <c r="E317" s="257"/>
      <c r="F317" s="257"/>
      <c r="G317" s="258"/>
      <c r="H317" s="258"/>
      <c r="I317" s="258"/>
      <c r="J317" s="258"/>
      <c r="K317" s="258"/>
      <c r="L317" s="258"/>
      <c r="M317" s="258"/>
      <c r="N317" s="258"/>
    </row>
    <row r="318">
      <c r="A318" s="257"/>
      <c r="B318" s="257"/>
      <c r="C318" s="258"/>
      <c r="D318" s="257"/>
      <c r="E318" s="257"/>
      <c r="F318" s="257"/>
      <c r="G318" s="258"/>
      <c r="H318" s="258"/>
      <c r="I318" s="258"/>
      <c r="J318" s="258"/>
      <c r="K318" s="258"/>
      <c r="L318" s="258"/>
      <c r="M318" s="258"/>
      <c r="N318" s="258"/>
    </row>
    <row r="319">
      <c r="A319" s="257"/>
      <c r="B319" s="257"/>
      <c r="C319" s="258"/>
      <c r="D319" s="257"/>
      <c r="E319" s="257"/>
      <c r="F319" s="257"/>
      <c r="G319" s="258"/>
      <c r="H319" s="258"/>
      <c r="I319" s="258"/>
      <c r="J319" s="258"/>
      <c r="K319" s="258"/>
      <c r="L319" s="258"/>
      <c r="M319" s="258"/>
      <c r="N319" s="258"/>
    </row>
    <row r="320">
      <c r="A320" s="257"/>
      <c r="B320" s="257"/>
      <c r="C320" s="258"/>
      <c r="D320" s="257"/>
      <c r="E320" s="257"/>
      <c r="F320" s="257"/>
      <c r="G320" s="258"/>
      <c r="H320" s="258"/>
      <c r="I320" s="258"/>
      <c r="J320" s="258"/>
      <c r="K320" s="258"/>
      <c r="L320" s="258"/>
      <c r="M320" s="258"/>
      <c r="N320" s="258"/>
    </row>
    <row r="321">
      <c r="A321" s="257"/>
      <c r="B321" s="257"/>
      <c r="C321" s="258"/>
      <c r="D321" s="257"/>
      <c r="E321" s="257"/>
      <c r="F321" s="257"/>
      <c r="G321" s="258"/>
      <c r="H321" s="258"/>
      <c r="I321" s="258"/>
      <c r="J321" s="258"/>
      <c r="K321" s="258"/>
      <c r="L321" s="258"/>
      <c r="M321" s="258"/>
      <c r="N321" s="258"/>
    </row>
    <row r="322">
      <c r="A322" s="257"/>
      <c r="B322" s="257"/>
      <c r="C322" s="258"/>
      <c r="D322" s="257"/>
      <c r="E322" s="257"/>
      <c r="F322" s="257"/>
      <c r="G322" s="258"/>
      <c r="H322" s="258"/>
      <c r="I322" s="258"/>
      <c r="J322" s="258"/>
      <c r="K322" s="258"/>
      <c r="L322" s="258"/>
      <c r="M322" s="258"/>
      <c r="N322" s="258"/>
    </row>
    <row r="323">
      <c r="A323" s="257"/>
      <c r="B323" s="257"/>
      <c r="C323" s="258"/>
      <c r="D323" s="257"/>
      <c r="E323" s="257"/>
      <c r="F323" s="257"/>
      <c r="G323" s="258"/>
      <c r="H323" s="258"/>
      <c r="I323" s="258"/>
      <c r="J323" s="258"/>
      <c r="K323" s="258"/>
      <c r="L323" s="258"/>
      <c r="M323" s="258"/>
      <c r="N323" s="258"/>
    </row>
    <row r="324">
      <c r="A324" s="257"/>
      <c r="B324" s="257"/>
      <c r="C324" s="258"/>
      <c r="D324" s="257"/>
      <c r="E324" s="257"/>
      <c r="F324" s="257"/>
      <c r="G324" s="258"/>
      <c r="H324" s="258"/>
      <c r="I324" s="258"/>
      <c r="J324" s="258"/>
      <c r="K324" s="258"/>
      <c r="L324" s="258"/>
      <c r="M324" s="258"/>
      <c r="N324" s="258"/>
    </row>
    <row r="325">
      <c r="A325" s="257"/>
      <c r="B325" s="257"/>
      <c r="C325" s="258"/>
      <c r="D325" s="257"/>
      <c r="E325" s="257"/>
      <c r="F325" s="257"/>
      <c r="G325" s="258"/>
      <c r="H325" s="258"/>
      <c r="I325" s="258"/>
      <c r="J325" s="258"/>
      <c r="K325" s="258"/>
      <c r="L325" s="258"/>
      <c r="M325" s="258"/>
      <c r="N325" s="258"/>
    </row>
    <row r="326">
      <c r="A326" s="257"/>
      <c r="B326" s="257"/>
      <c r="C326" s="258"/>
      <c r="D326" s="257"/>
      <c r="E326" s="257"/>
      <c r="F326" s="257"/>
      <c r="G326" s="258"/>
      <c r="H326" s="258"/>
      <c r="I326" s="258"/>
      <c r="J326" s="258"/>
      <c r="K326" s="258"/>
      <c r="L326" s="258"/>
      <c r="M326" s="258"/>
      <c r="N326" s="258"/>
    </row>
    <row r="327">
      <c r="A327" s="257"/>
      <c r="B327" s="257"/>
      <c r="C327" s="258"/>
      <c r="D327" s="257"/>
      <c r="E327" s="257"/>
      <c r="F327" s="257"/>
      <c r="G327" s="258"/>
      <c r="H327" s="258"/>
      <c r="I327" s="258"/>
      <c r="J327" s="258"/>
      <c r="K327" s="258"/>
      <c r="L327" s="258"/>
      <c r="M327" s="258"/>
      <c r="N327" s="258"/>
    </row>
    <row r="328">
      <c r="A328" s="257"/>
      <c r="B328" s="257"/>
      <c r="C328" s="258"/>
      <c r="D328" s="257"/>
      <c r="E328" s="257"/>
      <c r="F328" s="257"/>
      <c r="G328" s="258"/>
      <c r="H328" s="258"/>
      <c r="I328" s="258"/>
      <c r="J328" s="258"/>
      <c r="K328" s="258"/>
      <c r="L328" s="258"/>
      <c r="M328" s="258"/>
      <c r="N328" s="258"/>
    </row>
    <row r="329">
      <c r="A329" s="257"/>
      <c r="B329" s="257"/>
      <c r="C329" s="258"/>
      <c r="D329" s="257"/>
      <c r="E329" s="257"/>
      <c r="F329" s="257"/>
      <c r="G329" s="258"/>
      <c r="H329" s="258"/>
      <c r="I329" s="258"/>
      <c r="J329" s="258"/>
      <c r="K329" s="258"/>
      <c r="L329" s="258"/>
      <c r="M329" s="258"/>
      <c r="N329" s="258"/>
    </row>
    <row r="330">
      <c r="A330" s="257"/>
      <c r="B330" s="257"/>
      <c r="C330" s="258"/>
      <c r="D330" s="257"/>
      <c r="E330" s="257"/>
      <c r="F330" s="257"/>
      <c r="G330" s="258"/>
      <c r="H330" s="258"/>
      <c r="I330" s="258"/>
      <c r="J330" s="258"/>
      <c r="K330" s="258"/>
      <c r="L330" s="258"/>
      <c r="M330" s="258"/>
      <c r="N330" s="258"/>
    </row>
    <row r="331">
      <c r="A331" s="257"/>
      <c r="B331" s="257"/>
      <c r="C331" s="258"/>
      <c r="D331" s="257"/>
      <c r="E331" s="257"/>
      <c r="F331" s="257"/>
      <c r="G331" s="258"/>
      <c r="H331" s="258"/>
      <c r="I331" s="258"/>
      <c r="J331" s="258"/>
      <c r="K331" s="258"/>
      <c r="L331" s="258"/>
      <c r="M331" s="258"/>
      <c r="N331" s="258"/>
    </row>
    <row r="332">
      <c r="A332" s="257"/>
      <c r="B332" s="257"/>
      <c r="C332" s="258"/>
      <c r="D332" s="257"/>
      <c r="E332" s="257"/>
      <c r="F332" s="257"/>
      <c r="G332" s="258"/>
      <c r="H332" s="258"/>
      <c r="I332" s="258"/>
      <c r="J332" s="258"/>
      <c r="K332" s="258"/>
      <c r="L332" s="258"/>
      <c r="M332" s="258"/>
      <c r="N332" s="258"/>
    </row>
    <row r="333">
      <c r="A333" s="257"/>
      <c r="B333" s="257"/>
      <c r="C333" s="258"/>
      <c r="D333" s="257"/>
      <c r="E333" s="257"/>
      <c r="F333" s="257"/>
      <c r="G333" s="258"/>
      <c r="H333" s="258"/>
      <c r="I333" s="258"/>
      <c r="J333" s="258"/>
      <c r="K333" s="258"/>
      <c r="L333" s="258"/>
      <c r="M333" s="258"/>
      <c r="N333" s="258"/>
    </row>
    <row r="334">
      <c r="A334" s="257"/>
      <c r="B334" s="257"/>
      <c r="C334" s="258"/>
      <c r="D334" s="257"/>
      <c r="E334" s="257"/>
      <c r="F334" s="257"/>
      <c r="G334" s="258"/>
      <c r="H334" s="258"/>
      <c r="I334" s="258"/>
      <c r="J334" s="258"/>
      <c r="K334" s="258"/>
      <c r="L334" s="258"/>
      <c r="M334" s="258"/>
      <c r="N334" s="258"/>
    </row>
    <row r="335">
      <c r="A335" s="257"/>
      <c r="B335" s="257"/>
      <c r="C335" s="258"/>
      <c r="D335" s="257"/>
      <c r="E335" s="257"/>
      <c r="F335" s="257"/>
      <c r="G335" s="258"/>
      <c r="H335" s="258"/>
      <c r="I335" s="258"/>
      <c r="J335" s="258"/>
      <c r="K335" s="258"/>
      <c r="L335" s="258"/>
      <c r="M335" s="258"/>
      <c r="N335" s="258"/>
    </row>
    <row r="336">
      <c r="A336" s="257"/>
      <c r="B336" s="257"/>
      <c r="C336" s="258"/>
      <c r="D336" s="257"/>
      <c r="E336" s="257"/>
      <c r="F336" s="257"/>
      <c r="G336" s="258"/>
      <c r="H336" s="258"/>
      <c r="I336" s="258"/>
      <c r="J336" s="258"/>
      <c r="K336" s="258"/>
      <c r="L336" s="258"/>
      <c r="M336" s="258"/>
      <c r="N336" s="258"/>
    </row>
    <row r="337">
      <c r="A337" s="257"/>
      <c r="B337" s="257"/>
      <c r="C337" s="258"/>
      <c r="D337" s="257"/>
      <c r="E337" s="257"/>
      <c r="F337" s="257"/>
      <c r="G337" s="258"/>
      <c r="H337" s="258"/>
      <c r="I337" s="258"/>
      <c r="J337" s="258"/>
      <c r="K337" s="258"/>
      <c r="L337" s="258"/>
      <c r="M337" s="258"/>
      <c r="N337" s="258"/>
    </row>
    <row r="338">
      <c r="A338" s="257"/>
      <c r="B338" s="257"/>
      <c r="C338" s="258"/>
      <c r="D338" s="257"/>
      <c r="E338" s="257"/>
      <c r="F338" s="257"/>
      <c r="G338" s="258"/>
      <c r="H338" s="258"/>
      <c r="I338" s="258"/>
      <c r="J338" s="258"/>
      <c r="K338" s="258"/>
      <c r="L338" s="258"/>
      <c r="M338" s="258"/>
      <c r="N338" s="258"/>
    </row>
    <row r="339">
      <c r="A339" s="257"/>
      <c r="B339" s="257"/>
      <c r="C339" s="258"/>
      <c r="D339" s="257"/>
      <c r="E339" s="257"/>
      <c r="F339" s="257"/>
      <c r="G339" s="258"/>
      <c r="H339" s="258"/>
      <c r="I339" s="258"/>
      <c r="J339" s="258"/>
      <c r="K339" s="258"/>
      <c r="L339" s="258"/>
      <c r="M339" s="258"/>
      <c r="N339" s="258"/>
    </row>
    <row r="340">
      <c r="A340" s="257"/>
      <c r="B340" s="257"/>
      <c r="C340" s="258"/>
      <c r="D340" s="257"/>
      <c r="E340" s="257"/>
      <c r="F340" s="257"/>
      <c r="G340" s="258"/>
      <c r="H340" s="258"/>
      <c r="I340" s="258"/>
      <c r="J340" s="258"/>
      <c r="K340" s="258"/>
      <c r="L340" s="258"/>
      <c r="M340" s="258"/>
      <c r="N340" s="258"/>
    </row>
    <row r="341">
      <c r="A341" s="257"/>
      <c r="B341" s="257"/>
      <c r="C341" s="258"/>
      <c r="D341" s="257"/>
      <c r="E341" s="257"/>
      <c r="F341" s="257"/>
      <c r="G341" s="258"/>
      <c r="H341" s="258"/>
      <c r="I341" s="258"/>
      <c r="J341" s="258"/>
      <c r="K341" s="258"/>
      <c r="L341" s="258"/>
      <c r="M341" s="258"/>
      <c r="N341" s="258"/>
    </row>
    <row r="342">
      <c r="A342" s="257"/>
      <c r="B342" s="257"/>
      <c r="C342" s="258"/>
      <c r="D342" s="257"/>
      <c r="E342" s="257"/>
      <c r="F342" s="257"/>
      <c r="G342" s="258"/>
      <c r="H342" s="258"/>
      <c r="I342" s="258"/>
      <c r="J342" s="258"/>
      <c r="K342" s="258"/>
      <c r="L342" s="258"/>
      <c r="M342" s="258"/>
      <c r="N342" s="258"/>
    </row>
    <row r="343">
      <c r="A343" s="257"/>
      <c r="B343" s="257"/>
      <c r="C343" s="258"/>
      <c r="D343" s="257"/>
      <c r="E343" s="257"/>
      <c r="F343" s="257"/>
      <c r="G343" s="258"/>
      <c r="H343" s="258"/>
      <c r="I343" s="258"/>
      <c r="J343" s="258"/>
      <c r="K343" s="258"/>
      <c r="L343" s="258"/>
      <c r="M343" s="258"/>
      <c r="N343" s="258"/>
    </row>
    <row r="344">
      <c r="A344" s="257"/>
      <c r="B344" s="257"/>
      <c r="C344" s="258"/>
      <c r="D344" s="257"/>
      <c r="E344" s="257"/>
      <c r="F344" s="257"/>
      <c r="G344" s="258"/>
      <c r="H344" s="258"/>
      <c r="I344" s="258"/>
      <c r="J344" s="258"/>
      <c r="K344" s="258"/>
      <c r="L344" s="258"/>
      <c r="M344" s="258"/>
      <c r="N344" s="258"/>
    </row>
    <row r="345">
      <c r="A345" s="257"/>
      <c r="B345" s="257"/>
      <c r="C345" s="258"/>
      <c r="D345" s="257"/>
      <c r="E345" s="257"/>
      <c r="F345" s="257"/>
      <c r="G345" s="258"/>
      <c r="H345" s="258"/>
      <c r="I345" s="258"/>
      <c r="J345" s="258"/>
      <c r="K345" s="258"/>
      <c r="L345" s="258"/>
      <c r="M345" s="258"/>
      <c r="N345" s="258"/>
    </row>
    <row r="346">
      <c r="A346" s="257"/>
      <c r="B346" s="257"/>
      <c r="C346" s="258"/>
      <c r="D346" s="257"/>
      <c r="E346" s="257"/>
      <c r="F346" s="257"/>
      <c r="G346" s="258"/>
      <c r="H346" s="258"/>
      <c r="I346" s="258"/>
      <c r="J346" s="258"/>
      <c r="K346" s="258"/>
      <c r="L346" s="258"/>
      <c r="M346" s="258"/>
      <c r="N346" s="258"/>
    </row>
    <row r="347">
      <c r="A347" s="257"/>
      <c r="B347" s="257"/>
      <c r="C347" s="258"/>
      <c r="D347" s="257"/>
      <c r="E347" s="257"/>
      <c r="F347" s="257"/>
      <c r="G347" s="258"/>
      <c r="H347" s="258"/>
      <c r="I347" s="258"/>
      <c r="J347" s="258"/>
      <c r="K347" s="258"/>
      <c r="L347" s="258"/>
      <c r="M347" s="258"/>
      <c r="N347" s="258"/>
    </row>
    <row r="348">
      <c r="A348" s="257"/>
      <c r="B348" s="257"/>
      <c r="C348" s="258"/>
      <c r="D348" s="257"/>
      <c r="E348" s="257"/>
      <c r="F348" s="257"/>
      <c r="G348" s="258"/>
      <c r="H348" s="258"/>
      <c r="I348" s="258"/>
      <c r="J348" s="258"/>
      <c r="K348" s="258"/>
      <c r="L348" s="258"/>
      <c r="M348" s="258"/>
      <c r="N348" s="258"/>
    </row>
    <row r="349">
      <c r="A349" s="257"/>
      <c r="B349" s="257"/>
      <c r="C349" s="258"/>
      <c r="D349" s="257"/>
      <c r="E349" s="257"/>
      <c r="F349" s="257"/>
      <c r="G349" s="258"/>
      <c r="H349" s="258"/>
      <c r="I349" s="258"/>
      <c r="J349" s="258"/>
      <c r="K349" s="258"/>
      <c r="L349" s="258"/>
      <c r="M349" s="258"/>
      <c r="N349" s="258"/>
    </row>
    <row r="350">
      <c r="A350" s="257"/>
      <c r="B350" s="257"/>
      <c r="C350" s="258"/>
      <c r="D350" s="257"/>
      <c r="E350" s="257"/>
      <c r="F350" s="257"/>
      <c r="G350" s="258"/>
      <c r="H350" s="258"/>
      <c r="I350" s="258"/>
      <c r="J350" s="258"/>
      <c r="K350" s="258"/>
      <c r="L350" s="258"/>
      <c r="M350" s="258"/>
      <c r="N350" s="258"/>
    </row>
    <row r="351">
      <c r="A351" s="257"/>
      <c r="B351" s="257"/>
      <c r="C351" s="258"/>
      <c r="D351" s="257"/>
      <c r="E351" s="257"/>
      <c r="F351" s="257"/>
      <c r="G351" s="258"/>
      <c r="H351" s="258"/>
      <c r="I351" s="258"/>
      <c r="J351" s="258"/>
      <c r="K351" s="258"/>
      <c r="L351" s="258"/>
      <c r="M351" s="258"/>
      <c r="N351" s="258"/>
    </row>
    <row r="352">
      <c r="A352" s="257"/>
      <c r="B352" s="257"/>
      <c r="C352" s="258"/>
      <c r="D352" s="257"/>
      <c r="E352" s="257"/>
      <c r="F352" s="257"/>
      <c r="G352" s="258"/>
      <c r="H352" s="258"/>
      <c r="I352" s="258"/>
      <c r="J352" s="258"/>
      <c r="K352" s="258"/>
      <c r="L352" s="258"/>
      <c r="M352" s="258"/>
      <c r="N352" s="258"/>
    </row>
    <row r="353">
      <c r="A353" s="257"/>
      <c r="B353" s="257"/>
      <c r="C353" s="258"/>
      <c r="D353" s="257"/>
      <c r="E353" s="257"/>
      <c r="F353" s="257"/>
      <c r="G353" s="258"/>
      <c r="H353" s="258"/>
      <c r="I353" s="258"/>
      <c r="J353" s="258"/>
      <c r="K353" s="258"/>
      <c r="L353" s="258"/>
      <c r="M353" s="258"/>
      <c r="N353" s="258"/>
    </row>
    <row r="354">
      <c r="A354" s="257"/>
      <c r="B354" s="257"/>
      <c r="C354" s="258"/>
      <c r="D354" s="257"/>
      <c r="E354" s="257"/>
      <c r="F354" s="257"/>
      <c r="G354" s="258"/>
      <c r="H354" s="258"/>
      <c r="I354" s="258"/>
      <c r="J354" s="258"/>
      <c r="K354" s="258"/>
      <c r="L354" s="258"/>
      <c r="M354" s="258"/>
      <c r="N354" s="258"/>
    </row>
    <row r="355">
      <c r="A355" s="257"/>
      <c r="B355" s="257"/>
      <c r="C355" s="258"/>
      <c r="D355" s="257"/>
      <c r="E355" s="257"/>
      <c r="F355" s="257"/>
      <c r="G355" s="258"/>
      <c r="H355" s="258"/>
      <c r="I355" s="258"/>
      <c r="J355" s="258"/>
      <c r="K355" s="258"/>
      <c r="L355" s="258"/>
      <c r="M355" s="258"/>
      <c r="N355" s="258"/>
    </row>
    <row r="356">
      <c r="A356" s="257"/>
      <c r="B356" s="257"/>
      <c r="C356" s="258"/>
      <c r="D356" s="257"/>
      <c r="E356" s="257"/>
      <c r="F356" s="257"/>
      <c r="G356" s="258"/>
      <c r="H356" s="258"/>
      <c r="I356" s="258"/>
      <c r="J356" s="258"/>
      <c r="K356" s="258"/>
      <c r="L356" s="258"/>
      <c r="M356" s="258"/>
      <c r="N356" s="258"/>
    </row>
    <row r="357">
      <c r="A357" s="257"/>
      <c r="B357" s="257"/>
      <c r="C357" s="258"/>
      <c r="D357" s="257"/>
      <c r="E357" s="257"/>
      <c r="F357" s="257"/>
      <c r="G357" s="258"/>
      <c r="H357" s="258"/>
      <c r="I357" s="258"/>
      <c r="J357" s="258"/>
      <c r="K357" s="258"/>
      <c r="L357" s="258"/>
      <c r="M357" s="258"/>
      <c r="N357" s="258"/>
    </row>
    <row r="358">
      <c r="A358" s="257"/>
      <c r="B358" s="257"/>
      <c r="C358" s="258"/>
      <c r="D358" s="257"/>
      <c r="E358" s="257"/>
      <c r="F358" s="257"/>
      <c r="G358" s="258"/>
      <c r="H358" s="258"/>
      <c r="I358" s="258"/>
      <c r="J358" s="258"/>
      <c r="K358" s="258"/>
      <c r="L358" s="258"/>
      <c r="M358" s="258"/>
      <c r="N358" s="258"/>
    </row>
    <row r="359">
      <c r="A359" s="257"/>
      <c r="B359" s="257"/>
      <c r="C359" s="258"/>
      <c r="D359" s="257"/>
      <c r="E359" s="257"/>
      <c r="F359" s="257"/>
      <c r="G359" s="258"/>
      <c r="H359" s="258"/>
      <c r="I359" s="258"/>
      <c r="J359" s="258"/>
      <c r="K359" s="258"/>
      <c r="L359" s="258"/>
      <c r="M359" s="258"/>
      <c r="N359" s="258"/>
    </row>
    <row r="360">
      <c r="A360" s="257"/>
      <c r="B360" s="257"/>
      <c r="C360" s="258"/>
      <c r="D360" s="257"/>
      <c r="E360" s="257"/>
      <c r="F360" s="257"/>
      <c r="G360" s="258"/>
      <c r="H360" s="258"/>
      <c r="I360" s="258"/>
      <c r="J360" s="258"/>
      <c r="K360" s="258"/>
      <c r="L360" s="258"/>
      <c r="M360" s="258"/>
      <c r="N360" s="258"/>
    </row>
    <row r="361">
      <c r="A361" s="257"/>
      <c r="B361" s="257"/>
      <c r="C361" s="258"/>
      <c r="D361" s="257"/>
      <c r="E361" s="257"/>
      <c r="F361" s="257"/>
      <c r="G361" s="258"/>
      <c r="H361" s="258"/>
      <c r="I361" s="258"/>
      <c r="J361" s="258"/>
      <c r="K361" s="258"/>
      <c r="L361" s="258"/>
      <c r="M361" s="258"/>
      <c r="N361" s="258"/>
    </row>
    <row r="362">
      <c r="A362" s="257"/>
      <c r="B362" s="257"/>
      <c r="C362" s="258"/>
      <c r="D362" s="257"/>
      <c r="E362" s="257"/>
      <c r="F362" s="257"/>
      <c r="G362" s="258"/>
      <c r="H362" s="258"/>
      <c r="I362" s="258"/>
      <c r="J362" s="258"/>
      <c r="K362" s="258"/>
      <c r="L362" s="258"/>
      <c r="M362" s="258"/>
      <c r="N362" s="258"/>
    </row>
    <row r="363">
      <c r="A363" s="257"/>
      <c r="B363" s="257"/>
      <c r="C363" s="258"/>
      <c r="D363" s="257"/>
      <c r="E363" s="257"/>
      <c r="F363" s="257"/>
      <c r="G363" s="258"/>
      <c r="H363" s="258"/>
      <c r="I363" s="258"/>
      <c r="J363" s="258"/>
      <c r="K363" s="258"/>
      <c r="L363" s="258"/>
      <c r="M363" s="258"/>
      <c r="N363" s="258"/>
    </row>
    <row r="364">
      <c r="A364" s="257"/>
      <c r="B364" s="257"/>
      <c r="C364" s="258"/>
      <c r="D364" s="257"/>
      <c r="E364" s="257"/>
      <c r="F364" s="257"/>
      <c r="G364" s="258"/>
      <c r="H364" s="258"/>
      <c r="I364" s="258"/>
      <c r="J364" s="258"/>
      <c r="K364" s="258"/>
      <c r="L364" s="258"/>
      <c r="M364" s="258"/>
      <c r="N364" s="258"/>
    </row>
    <row r="365">
      <c r="A365" s="257"/>
      <c r="B365" s="257"/>
      <c r="C365" s="258"/>
      <c r="D365" s="257"/>
      <c r="E365" s="257"/>
      <c r="F365" s="257"/>
      <c r="G365" s="258"/>
      <c r="H365" s="258"/>
      <c r="I365" s="258"/>
      <c r="J365" s="258"/>
      <c r="K365" s="258"/>
      <c r="L365" s="258"/>
      <c r="M365" s="258"/>
      <c r="N365" s="258"/>
    </row>
    <row r="366">
      <c r="A366" s="257"/>
      <c r="B366" s="257"/>
      <c r="C366" s="258"/>
      <c r="D366" s="257"/>
      <c r="E366" s="257"/>
      <c r="F366" s="257"/>
      <c r="G366" s="258"/>
      <c r="H366" s="258"/>
      <c r="I366" s="258"/>
      <c r="J366" s="258"/>
      <c r="K366" s="258"/>
      <c r="L366" s="258"/>
      <c r="M366" s="258"/>
      <c r="N366" s="258"/>
    </row>
    <row r="367">
      <c r="A367" s="257"/>
      <c r="B367" s="257"/>
      <c r="C367" s="258"/>
      <c r="D367" s="257"/>
      <c r="E367" s="257"/>
      <c r="F367" s="257"/>
      <c r="G367" s="258"/>
      <c r="H367" s="258"/>
      <c r="I367" s="258"/>
      <c r="J367" s="258"/>
      <c r="K367" s="258"/>
      <c r="L367" s="258"/>
      <c r="M367" s="258"/>
      <c r="N367" s="258"/>
    </row>
    <row r="368">
      <c r="A368" s="257"/>
      <c r="B368" s="257"/>
      <c r="C368" s="258"/>
      <c r="D368" s="257"/>
      <c r="E368" s="257"/>
      <c r="F368" s="257"/>
      <c r="G368" s="258"/>
      <c r="H368" s="258"/>
      <c r="I368" s="258"/>
      <c r="J368" s="258"/>
      <c r="K368" s="258"/>
      <c r="L368" s="258"/>
      <c r="M368" s="258"/>
      <c r="N368" s="258"/>
    </row>
    <row r="369">
      <c r="A369" s="257"/>
      <c r="B369" s="257"/>
      <c r="C369" s="258"/>
      <c r="D369" s="257"/>
      <c r="E369" s="257"/>
      <c r="F369" s="257"/>
      <c r="G369" s="258"/>
      <c r="H369" s="258"/>
      <c r="I369" s="258"/>
      <c r="J369" s="258"/>
      <c r="K369" s="258"/>
      <c r="L369" s="258"/>
      <c r="M369" s="258"/>
      <c r="N369" s="258"/>
    </row>
    <row r="370">
      <c r="A370" s="257"/>
      <c r="B370" s="257"/>
      <c r="C370" s="258"/>
      <c r="D370" s="257"/>
      <c r="E370" s="257"/>
      <c r="F370" s="257"/>
      <c r="G370" s="258"/>
      <c r="H370" s="258"/>
      <c r="I370" s="258"/>
      <c r="J370" s="258"/>
      <c r="K370" s="258"/>
      <c r="L370" s="258"/>
      <c r="M370" s="258"/>
      <c r="N370" s="258"/>
    </row>
    <row r="371">
      <c r="A371" s="257"/>
      <c r="B371" s="257"/>
      <c r="C371" s="258"/>
      <c r="D371" s="257"/>
      <c r="E371" s="257"/>
      <c r="F371" s="257"/>
      <c r="G371" s="258"/>
      <c r="H371" s="258"/>
      <c r="I371" s="258"/>
      <c r="J371" s="258"/>
      <c r="K371" s="258"/>
      <c r="L371" s="258"/>
      <c r="M371" s="258"/>
      <c r="N371" s="258"/>
    </row>
    <row r="372">
      <c r="A372" s="257"/>
      <c r="B372" s="257"/>
      <c r="C372" s="258"/>
      <c r="D372" s="257"/>
      <c r="E372" s="257"/>
      <c r="F372" s="257"/>
      <c r="G372" s="258"/>
      <c r="H372" s="258"/>
      <c r="I372" s="258"/>
      <c r="J372" s="258"/>
      <c r="K372" s="258"/>
      <c r="L372" s="258"/>
      <c r="M372" s="258"/>
      <c r="N372" s="258"/>
    </row>
    <row r="373">
      <c r="A373" s="257"/>
      <c r="B373" s="257"/>
      <c r="C373" s="258"/>
      <c r="D373" s="257"/>
      <c r="E373" s="257"/>
      <c r="F373" s="257"/>
      <c r="G373" s="258"/>
      <c r="H373" s="258"/>
      <c r="I373" s="258"/>
      <c r="J373" s="258"/>
      <c r="K373" s="258"/>
      <c r="L373" s="258"/>
      <c r="M373" s="258"/>
      <c r="N373" s="258"/>
    </row>
    <row r="374">
      <c r="A374" s="257"/>
      <c r="B374" s="257"/>
      <c r="C374" s="258"/>
      <c r="D374" s="257"/>
      <c r="E374" s="257"/>
      <c r="F374" s="257"/>
      <c r="G374" s="258"/>
      <c r="H374" s="258"/>
      <c r="I374" s="258"/>
      <c r="J374" s="258"/>
      <c r="K374" s="258"/>
      <c r="L374" s="258"/>
      <c r="M374" s="258"/>
      <c r="N374" s="258"/>
    </row>
    <row r="375">
      <c r="A375" s="257"/>
      <c r="B375" s="257"/>
      <c r="C375" s="258"/>
      <c r="D375" s="257"/>
      <c r="E375" s="257"/>
      <c r="F375" s="257"/>
      <c r="G375" s="258"/>
      <c r="H375" s="258"/>
      <c r="I375" s="258"/>
      <c r="J375" s="258"/>
      <c r="K375" s="258"/>
      <c r="L375" s="258"/>
      <c r="M375" s="258"/>
      <c r="N375" s="258"/>
    </row>
    <row r="376">
      <c r="A376" s="257"/>
      <c r="B376" s="257"/>
      <c r="C376" s="258"/>
      <c r="D376" s="257"/>
      <c r="E376" s="257"/>
      <c r="F376" s="257"/>
      <c r="G376" s="258"/>
      <c r="H376" s="258"/>
      <c r="I376" s="258"/>
      <c r="J376" s="258"/>
      <c r="K376" s="258"/>
      <c r="L376" s="258"/>
      <c r="M376" s="258"/>
      <c r="N376" s="258"/>
    </row>
    <row r="377">
      <c r="A377" s="257"/>
      <c r="B377" s="257"/>
      <c r="C377" s="258"/>
      <c r="D377" s="257"/>
      <c r="E377" s="257"/>
      <c r="F377" s="257"/>
      <c r="G377" s="258"/>
      <c r="H377" s="258"/>
      <c r="I377" s="258"/>
      <c r="J377" s="258"/>
      <c r="K377" s="258"/>
      <c r="L377" s="258"/>
      <c r="M377" s="258"/>
      <c r="N377" s="258"/>
    </row>
    <row r="378">
      <c r="A378" s="257"/>
      <c r="B378" s="257"/>
      <c r="C378" s="258"/>
      <c r="D378" s="257"/>
      <c r="E378" s="257"/>
      <c r="F378" s="257"/>
      <c r="G378" s="258"/>
      <c r="H378" s="258"/>
      <c r="I378" s="258"/>
      <c r="J378" s="258"/>
      <c r="K378" s="258"/>
      <c r="L378" s="258"/>
      <c r="M378" s="258"/>
      <c r="N378" s="258"/>
    </row>
    <row r="379">
      <c r="A379" s="257"/>
      <c r="B379" s="257"/>
      <c r="C379" s="258"/>
      <c r="D379" s="257"/>
      <c r="E379" s="257"/>
      <c r="F379" s="257"/>
      <c r="G379" s="258"/>
      <c r="H379" s="258"/>
      <c r="I379" s="258"/>
      <c r="J379" s="258"/>
      <c r="K379" s="258"/>
      <c r="L379" s="258"/>
      <c r="M379" s="258"/>
      <c r="N379" s="258"/>
    </row>
    <row r="380">
      <c r="A380" s="257"/>
      <c r="B380" s="257"/>
      <c r="C380" s="258"/>
      <c r="D380" s="257"/>
      <c r="E380" s="257"/>
      <c r="F380" s="257"/>
      <c r="G380" s="258"/>
      <c r="H380" s="258"/>
      <c r="I380" s="258"/>
      <c r="J380" s="258"/>
      <c r="K380" s="258"/>
      <c r="L380" s="258"/>
      <c r="M380" s="258"/>
      <c r="N380" s="258"/>
    </row>
    <row r="381">
      <c r="A381" s="257"/>
      <c r="B381" s="257"/>
      <c r="C381" s="258"/>
      <c r="D381" s="257"/>
      <c r="E381" s="257"/>
      <c r="F381" s="257"/>
      <c r="G381" s="258"/>
      <c r="H381" s="258"/>
      <c r="I381" s="258"/>
      <c r="J381" s="258"/>
      <c r="K381" s="258"/>
      <c r="L381" s="258"/>
      <c r="M381" s="258"/>
      <c r="N381" s="258"/>
    </row>
    <row r="382">
      <c r="A382" s="257"/>
      <c r="B382" s="257"/>
      <c r="C382" s="258"/>
      <c r="D382" s="257"/>
      <c r="E382" s="257"/>
      <c r="F382" s="257"/>
      <c r="G382" s="258"/>
      <c r="H382" s="258"/>
      <c r="I382" s="258"/>
      <c r="J382" s="258"/>
      <c r="K382" s="258"/>
      <c r="L382" s="258"/>
      <c r="M382" s="258"/>
      <c r="N382" s="258"/>
    </row>
    <row r="383">
      <c r="A383" s="257"/>
      <c r="B383" s="257"/>
      <c r="C383" s="258"/>
      <c r="D383" s="257"/>
      <c r="E383" s="257"/>
      <c r="F383" s="257"/>
      <c r="G383" s="258"/>
      <c r="H383" s="258"/>
      <c r="I383" s="258"/>
      <c r="J383" s="258"/>
      <c r="K383" s="258"/>
      <c r="L383" s="258"/>
      <c r="M383" s="258"/>
      <c r="N383" s="258"/>
    </row>
    <row r="384">
      <c r="A384" s="257"/>
      <c r="B384" s="257"/>
      <c r="C384" s="258"/>
      <c r="D384" s="257"/>
      <c r="E384" s="257"/>
      <c r="F384" s="257"/>
      <c r="G384" s="258"/>
      <c r="H384" s="258"/>
      <c r="I384" s="258"/>
      <c r="J384" s="258"/>
      <c r="K384" s="258"/>
      <c r="L384" s="258"/>
      <c r="M384" s="258"/>
      <c r="N384" s="258"/>
    </row>
    <row r="385">
      <c r="A385" s="257"/>
      <c r="B385" s="257"/>
      <c r="C385" s="258"/>
      <c r="D385" s="257"/>
      <c r="E385" s="257"/>
      <c r="F385" s="257"/>
      <c r="G385" s="258"/>
      <c r="H385" s="258"/>
      <c r="I385" s="258"/>
      <c r="J385" s="258"/>
      <c r="K385" s="258"/>
      <c r="L385" s="258"/>
      <c r="M385" s="258"/>
      <c r="N385" s="258"/>
    </row>
    <row r="386">
      <c r="A386" s="257"/>
      <c r="B386" s="257"/>
      <c r="C386" s="258"/>
      <c r="D386" s="257"/>
      <c r="E386" s="257"/>
      <c r="F386" s="257"/>
      <c r="G386" s="258"/>
      <c r="H386" s="258"/>
      <c r="I386" s="258"/>
      <c r="J386" s="258"/>
      <c r="K386" s="258"/>
      <c r="L386" s="258"/>
      <c r="M386" s="258"/>
      <c r="N386" s="258"/>
    </row>
    <row r="387">
      <c r="A387" s="257"/>
      <c r="B387" s="257"/>
      <c r="C387" s="258"/>
      <c r="D387" s="257"/>
      <c r="E387" s="257"/>
      <c r="F387" s="257"/>
      <c r="G387" s="258"/>
      <c r="H387" s="258"/>
      <c r="I387" s="258"/>
      <c r="J387" s="258"/>
      <c r="K387" s="258"/>
      <c r="L387" s="258"/>
      <c r="M387" s="258"/>
      <c r="N387" s="258"/>
    </row>
    <row r="388">
      <c r="A388" s="257"/>
      <c r="B388" s="257"/>
      <c r="C388" s="258"/>
      <c r="D388" s="257"/>
      <c r="E388" s="257"/>
      <c r="F388" s="257"/>
      <c r="G388" s="258"/>
      <c r="H388" s="258"/>
      <c r="I388" s="258"/>
      <c r="J388" s="258"/>
      <c r="K388" s="258"/>
      <c r="L388" s="258"/>
      <c r="M388" s="258"/>
      <c r="N388" s="258"/>
    </row>
    <row r="389">
      <c r="A389" s="257"/>
      <c r="B389" s="257"/>
      <c r="C389" s="258"/>
      <c r="D389" s="257"/>
      <c r="E389" s="257"/>
      <c r="F389" s="257"/>
      <c r="G389" s="258"/>
      <c r="H389" s="258"/>
      <c r="I389" s="258"/>
      <c r="J389" s="258"/>
      <c r="K389" s="258"/>
      <c r="L389" s="258"/>
      <c r="M389" s="258"/>
      <c r="N389" s="258"/>
    </row>
    <row r="390">
      <c r="A390" s="257"/>
      <c r="B390" s="257"/>
      <c r="C390" s="258"/>
      <c r="D390" s="257"/>
      <c r="E390" s="257"/>
      <c r="F390" s="257"/>
      <c r="G390" s="258"/>
      <c r="H390" s="258"/>
      <c r="I390" s="258"/>
      <c r="J390" s="258"/>
      <c r="K390" s="258"/>
      <c r="L390" s="258"/>
      <c r="M390" s="258"/>
      <c r="N390" s="258"/>
    </row>
    <row r="391">
      <c r="A391" s="257"/>
      <c r="B391" s="257"/>
      <c r="C391" s="258"/>
      <c r="D391" s="257"/>
      <c r="E391" s="257"/>
      <c r="F391" s="257"/>
      <c r="G391" s="258"/>
      <c r="H391" s="258"/>
      <c r="I391" s="258"/>
      <c r="J391" s="258"/>
      <c r="K391" s="258"/>
      <c r="L391" s="258"/>
      <c r="M391" s="258"/>
      <c r="N391" s="258"/>
    </row>
    <row r="392">
      <c r="A392" s="257"/>
      <c r="B392" s="257"/>
      <c r="C392" s="258"/>
      <c r="D392" s="257"/>
      <c r="E392" s="257"/>
      <c r="F392" s="257"/>
      <c r="G392" s="258"/>
      <c r="H392" s="258"/>
      <c r="I392" s="258"/>
      <c r="J392" s="258"/>
      <c r="K392" s="258"/>
      <c r="L392" s="258"/>
      <c r="M392" s="258"/>
      <c r="N392" s="258"/>
    </row>
    <row r="393">
      <c r="A393" s="257"/>
      <c r="B393" s="257"/>
      <c r="C393" s="258"/>
      <c r="D393" s="257"/>
      <c r="E393" s="257"/>
      <c r="F393" s="257"/>
      <c r="G393" s="258"/>
      <c r="H393" s="258"/>
      <c r="I393" s="258"/>
      <c r="J393" s="258"/>
      <c r="K393" s="258"/>
      <c r="L393" s="258"/>
      <c r="M393" s="258"/>
      <c r="N393" s="258"/>
    </row>
    <row r="394">
      <c r="A394" s="257"/>
      <c r="B394" s="257"/>
      <c r="C394" s="258"/>
      <c r="D394" s="257"/>
      <c r="E394" s="257"/>
      <c r="F394" s="257"/>
      <c r="G394" s="258"/>
      <c r="H394" s="258"/>
      <c r="I394" s="258"/>
      <c r="J394" s="258"/>
      <c r="K394" s="258"/>
      <c r="L394" s="258"/>
      <c r="M394" s="258"/>
      <c r="N394" s="258"/>
    </row>
    <row r="395">
      <c r="A395" s="257"/>
      <c r="B395" s="257"/>
      <c r="C395" s="258"/>
      <c r="D395" s="257"/>
      <c r="E395" s="257"/>
      <c r="F395" s="257"/>
      <c r="G395" s="258"/>
      <c r="H395" s="258"/>
      <c r="I395" s="258"/>
      <c r="J395" s="258"/>
      <c r="K395" s="258"/>
      <c r="L395" s="258"/>
      <c r="M395" s="258"/>
      <c r="N395" s="258"/>
    </row>
    <row r="396">
      <c r="A396" s="257"/>
      <c r="B396" s="257"/>
      <c r="C396" s="258"/>
      <c r="D396" s="257"/>
      <c r="E396" s="257"/>
      <c r="F396" s="257"/>
      <c r="G396" s="258"/>
      <c r="H396" s="258"/>
      <c r="I396" s="258"/>
      <c r="J396" s="258"/>
      <c r="K396" s="258"/>
      <c r="L396" s="258"/>
      <c r="M396" s="258"/>
      <c r="N396" s="258"/>
    </row>
    <row r="397">
      <c r="A397" s="257"/>
      <c r="B397" s="257"/>
      <c r="C397" s="258"/>
      <c r="D397" s="257"/>
      <c r="E397" s="257"/>
      <c r="F397" s="257"/>
      <c r="G397" s="258"/>
      <c r="H397" s="258"/>
      <c r="I397" s="258"/>
      <c r="J397" s="258"/>
      <c r="K397" s="258"/>
      <c r="L397" s="258"/>
      <c r="M397" s="258"/>
      <c r="N397" s="258"/>
    </row>
    <row r="398">
      <c r="A398" s="257"/>
      <c r="B398" s="257"/>
      <c r="C398" s="258"/>
      <c r="D398" s="257"/>
      <c r="E398" s="257"/>
      <c r="F398" s="257"/>
      <c r="G398" s="258"/>
      <c r="H398" s="258"/>
      <c r="I398" s="258"/>
      <c r="J398" s="258"/>
      <c r="K398" s="258"/>
      <c r="L398" s="258"/>
      <c r="M398" s="258"/>
      <c r="N398" s="258"/>
    </row>
    <row r="399">
      <c r="A399" s="257"/>
      <c r="B399" s="257"/>
      <c r="C399" s="258"/>
      <c r="D399" s="257"/>
      <c r="E399" s="257"/>
      <c r="F399" s="257"/>
      <c r="G399" s="258"/>
      <c r="H399" s="258"/>
      <c r="I399" s="258"/>
      <c r="J399" s="258"/>
      <c r="K399" s="258"/>
      <c r="L399" s="258"/>
      <c r="M399" s="258"/>
      <c r="N399" s="258"/>
    </row>
    <row r="400">
      <c r="A400" s="257"/>
      <c r="B400" s="257"/>
      <c r="C400" s="258"/>
      <c r="D400" s="257"/>
      <c r="E400" s="257"/>
      <c r="F400" s="257"/>
      <c r="G400" s="258"/>
      <c r="H400" s="258"/>
      <c r="I400" s="258"/>
      <c r="J400" s="258"/>
      <c r="K400" s="258"/>
      <c r="L400" s="258"/>
      <c r="M400" s="258"/>
      <c r="N400" s="258"/>
    </row>
    <row r="401">
      <c r="A401" s="257"/>
      <c r="B401" s="257"/>
      <c r="C401" s="258"/>
      <c r="D401" s="257"/>
      <c r="E401" s="257"/>
      <c r="F401" s="257"/>
      <c r="G401" s="258"/>
      <c r="H401" s="258"/>
      <c r="I401" s="258"/>
      <c r="J401" s="258"/>
      <c r="K401" s="258"/>
      <c r="L401" s="258"/>
      <c r="M401" s="258"/>
      <c r="N401" s="258"/>
    </row>
    <row r="402">
      <c r="A402" s="257"/>
      <c r="B402" s="257"/>
      <c r="C402" s="258"/>
      <c r="D402" s="257"/>
      <c r="E402" s="257"/>
      <c r="F402" s="257"/>
      <c r="G402" s="258"/>
      <c r="H402" s="258"/>
      <c r="I402" s="258"/>
      <c r="J402" s="258"/>
      <c r="K402" s="258"/>
      <c r="L402" s="258"/>
      <c r="M402" s="258"/>
      <c r="N402" s="258"/>
    </row>
    <row r="403">
      <c r="A403" s="257"/>
      <c r="B403" s="257"/>
      <c r="C403" s="258"/>
      <c r="D403" s="257"/>
      <c r="E403" s="257"/>
      <c r="F403" s="257"/>
      <c r="G403" s="258"/>
      <c r="H403" s="258"/>
      <c r="I403" s="258"/>
      <c r="J403" s="258"/>
      <c r="K403" s="258"/>
      <c r="L403" s="258"/>
      <c r="M403" s="258"/>
      <c r="N403" s="258"/>
    </row>
    <row r="404">
      <c r="A404" s="257"/>
      <c r="B404" s="257"/>
      <c r="C404" s="258"/>
      <c r="D404" s="257"/>
      <c r="E404" s="257"/>
      <c r="F404" s="257"/>
      <c r="G404" s="258"/>
      <c r="H404" s="258"/>
      <c r="I404" s="258"/>
      <c r="J404" s="258"/>
      <c r="K404" s="258"/>
      <c r="L404" s="258"/>
      <c r="M404" s="258"/>
      <c r="N404" s="258"/>
    </row>
    <row r="405">
      <c r="A405" s="257"/>
      <c r="B405" s="257"/>
      <c r="C405" s="258"/>
      <c r="D405" s="257"/>
      <c r="E405" s="257"/>
      <c r="F405" s="257"/>
      <c r="G405" s="258"/>
      <c r="H405" s="258"/>
      <c r="I405" s="258"/>
      <c r="J405" s="258"/>
      <c r="K405" s="258"/>
      <c r="L405" s="258"/>
      <c r="M405" s="258"/>
      <c r="N405" s="258"/>
    </row>
    <row r="406">
      <c r="A406" s="257"/>
      <c r="B406" s="257"/>
      <c r="C406" s="258"/>
      <c r="D406" s="257"/>
      <c r="E406" s="257"/>
      <c r="F406" s="257"/>
      <c r="G406" s="258"/>
      <c r="H406" s="258"/>
      <c r="I406" s="258"/>
      <c r="J406" s="258"/>
      <c r="K406" s="258"/>
      <c r="L406" s="258"/>
      <c r="M406" s="258"/>
      <c r="N406" s="258"/>
    </row>
    <row r="407">
      <c r="A407" s="257"/>
      <c r="B407" s="257"/>
      <c r="C407" s="258"/>
      <c r="D407" s="257"/>
      <c r="E407" s="257"/>
      <c r="F407" s="257"/>
      <c r="G407" s="258"/>
      <c r="H407" s="258"/>
      <c r="I407" s="258"/>
      <c r="J407" s="258"/>
      <c r="K407" s="258"/>
      <c r="L407" s="258"/>
      <c r="M407" s="258"/>
      <c r="N407" s="258"/>
    </row>
    <row r="408">
      <c r="A408" s="257"/>
      <c r="B408" s="257"/>
      <c r="C408" s="258"/>
      <c r="D408" s="257"/>
      <c r="E408" s="257"/>
      <c r="F408" s="257"/>
      <c r="G408" s="258"/>
      <c r="H408" s="258"/>
      <c r="I408" s="258"/>
      <c r="J408" s="258"/>
      <c r="K408" s="258"/>
      <c r="L408" s="258"/>
      <c r="M408" s="258"/>
      <c r="N408" s="258"/>
    </row>
    <row r="409">
      <c r="A409" s="257"/>
      <c r="B409" s="257"/>
      <c r="C409" s="258"/>
      <c r="D409" s="257"/>
      <c r="E409" s="257"/>
      <c r="F409" s="257"/>
      <c r="G409" s="258"/>
      <c r="H409" s="258"/>
      <c r="I409" s="258"/>
      <c r="J409" s="258"/>
      <c r="K409" s="258"/>
      <c r="L409" s="258"/>
      <c r="M409" s="258"/>
      <c r="N409" s="258"/>
    </row>
    <row r="410">
      <c r="A410" s="257"/>
      <c r="B410" s="257"/>
      <c r="C410" s="258"/>
      <c r="D410" s="257"/>
      <c r="E410" s="257"/>
      <c r="F410" s="257"/>
      <c r="G410" s="258"/>
      <c r="H410" s="258"/>
      <c r="I410" s="258"/>
      <c r="J410" s="258"/>
      <c r="K410" s="258"/>
      <c r="L410" s="258"/>
      <c r="M410" s="258"/>
      <c r="N410" s="258"/>
    </row>
    <row r="411">
      <c r="A411" s="257"/>
      <c r="B411" s="257"/>
      <c r="C411" s="258"/>
      <c r="D411" s="257"/>
      <c r="E411" s="257"/>
      <c r="F411" s="257"/>
      <c r="G411" s="258"/>
      <c r="H411" s="258"/>
      <c r="I411" s="258"/>
      <c r="J411" s="258"/>
      <c r="K411" s="258"/>
      <c r="L411" s="258"/>
      <c r="M411" s="258"/>
      <c r="N411" s="258"/>
    </row>
    <row r="412">
      <c r="A412" s="257"/>
      <c r="B412" s="257"/>
      <c r="C412" s="258"/>
      <c r="D412" s="257"/>
      <c r="E412" s="257"/>
      <c r="F412" s="257"/>
      <c r="G412" s="258"/>
      <c r="H412" s="258"/>
      <c r="I412" s="258"/>
      <c r="J412" s="258"/>
      <c r="K412" s="258"/>
      <c r="L412" s="258"/>
      <c r="M412" s="258"/>
      <c r="N412" s="258"/>
    </row>
    <row r="413">
      <c r="A413" s="257"/>
      <c r="B413" s="257"/>
      <c r="C413" s="258"/>
      <c r="D413" s="257"/>
      <c r="E413" s="257"/>
      <c r="F413" s="257"/>
      <c r="G413" s="258"/>
      <c r="H413" s="258"/>
      <c r="I413" s="258"/>
      <c r="J413" s="258"/>
      <c r="K413" s="258"/>
      <c r="L413" s="258"/>
      <c r="M413" s="258"/>
      <c r="N413" s="258"/>
    </row>
    <row r="414">
      <c r="A414" s="257"/>
      <c r="B414" s="257"/>
      <c r="C414" s="258"/>
      <c r="D414" s="257"/>
      <c r="E414" s="257"/>
      <c r="F414" s="257"/>
      <c r="G414" s="258"/>
      <c r="H414" s="258"/>
      <c r="I414" s="258"/>
      <c r="J414" s="258"/>
      <c r="K414" s="258"/>
      <c r="L414" s="258"/>
      <c r="M414" s="258"/>
      <c r="N414" s="258"/>
    </row>
    <row r="415">
      <c r="A415" s="257"/>
      <c r="B415" s="257"/>
      <c r="C415" s="258"/>
      <c r="D415" s="257"/>
      <c r="E415" s="257"/>
      <c r="F415" s="257"/>
      <c r="G415" s="258"/>
      <c r="H415" s="258"/>
      <c r="I415" s="258"/>
      <c r="J415" s="258"/>
      <c r="K415" s="258"/>
      <c r="L415" s="258"/>
      <c r="M415" s="258"/>
      <c r="N415" s="258"/>
    </row>
    <row r="416">
      <c r="A416" s="257"/>
      <c r="B416" s="257"/>
      <c r="C416" s="258"/>
      <c r="D416" s="257"/>
      <c r="E416" s="257"/>
      <c r="F416" s="257"/>
      <c r="G416" s="258"/>
      <c r="H416" s="258"/>
      <c r="I416" s="258"/>
      <c r="J416" s="258"/>
      <c r="K416" s="258"/>
      <c r="L416" s="258"/>
      <c r="M416" s="258"/>
      <c r="N416" s="258"/>
    </row>
    <row r="417">
      <c r="A417" s="257"/>
      <c r="B417" s="257"/>
      <c r="C417" s="258"/>
      <c r="D417" s="257"/>
      <c r="E417" s="257"/>
      <c r="F417" s="257"/>
      <c r="G417" s="258"/>
      <c r="H417" s="258"/>
      <c r="I417" s="258"/>
      <c r="J417" s="258"/>
      <c r="K417" s="258"/>
      <c r="L417" s="258"/>
      <c r="M417" s="258"/>
      <c r="N417" s="258"/>
    </row>
    <row r="418">
      <c r="A418" s="257"/>
      <c r="B418" s="257"/>
      <c r="C418" s="258"/>
      <c r="D418" s="257"/>
      <c r="E418" s="257"/>
      <c r="F418" s="257"/>
      <c r="G418" s="258"/>
      <c r="H418" s="258"/>
      <c r="I418" s="258"/>
      <c r="J418" s="258"/>
      <c r="K418" s="258"/>
      <c r="L418" s="258"/>
      <c r="M418" s="258"/>
      <c r="N418" s="258"/>
    </row>
    <row r="419">
      <c r="A419" s="257"/>
      <c r="B419" s="257"/>
      <c r="C419" s="258"/>
      <c r="D419" s="257"/>
      <c r="E419" s="257"/>
      <c r="F419" s="257"/>
      <c r="G419" s="258"/>
      <c r="H419" s="258"/>
      <c r="I419" s="258"/>
      <c r="J419" s="258"/>
      <c r="K419" s="258"/>
      <c r="L419" s="258"/>
      <c r="M419" s="258"/>
      <c r="N419" s="258"/>
    </row>
    <row r="420">
      <c r="A420" s="257"/>
      <c r="B420" s="257"/>
      <c r="C420" s="258"/>
      <c r="D420" s="257"/>
      <c r="E420" s="257"/>
      <c r="F420" s="257"/>
      <c r="G420" s="258"/>
      <c r="H420" s="258"/>
      <c r="I420" s="258"/>
      <c r="J420" s="258"/>
      <c r="K420" s="258"/>
      <c r="L420" s="258"/>
      <c r="M420" s="258"/>
      <c r="N420" s="258"/>
    </row>
    <row r="421">
      <c r="A421" s="257"/>
      <c r="B421" s="257"/>
      <c r="C421" s="258"/>
      <c r="D421" s="257"/>
      <c r="E421" s="257"/>
      <c r="F421" s="257"/>
      <c r="G421" s="258"/>
      <c r="H421" s="258"/>
      <c r="I421" s="258"/>
      <c r="J421" s="258"/>
      <c r="K421" s="258"/>
      <c r="L421" s="258"/>
      <c r="M421" s="258"/>
      <c r="N421" s="258"/>
    </row>
    <row r="422">
      <c r="A422" s="257"/>
      <c r="B422" s="257"/>
      <c r="C422" s="258"/>
      <c r="D422" s="257"/>
      <c r="E422" s="257"/>
      <c r="F422" s="257"/>
      <c r="G422" s="258"/>
      <c r="H422" s="258"/>
      <c r="I422" s="258"/>
      <c r="J422" s="258"/>
      <c r="K422" s="258"/>
      <c r="L422" s="258"/>
      <c r="M422" s="258"/>
      <c r="N422" s="258"/>
    </row>
    <row r="423">
      <c r="A423" s="257"/>
      <c r="B423" s="257"/>
      <c r="C423" s="258"/>
      <c r="D423" s="257"/>
      <c r="E423" s="257"/>
      <c r="F423" s="257"/>
      <c r="G423" s="258"/>
      <c r="H423" s="258"/>
      <c r="I423" s="258"/>
      <c r="J423" s="258"/>
      <c r="K423" s="258"/>
      <c r="L423" s="258"/>
      <c r="M423" s="258"/>
      <c r="N423" s="258"/>
    </row>
    <row r="424">
      <c r="A424" s="257"/>
      <c r="B424" s="257"/>
      <c r="C424" s="258"/>
      <c r="D424" s="257"/>
      <c r="E424" s="257"/>
      <c r="F424" s="257"/>
      <c r="G424" s="258"/>
      <c r="H424" s="258"/>
      <c r="I424" s="258"/>
      <c r="J424" s="258"/>
      <c r="K424" s="258"/>
      <c r="L424" s="258"/>
      <c r="M424" s="258"/>
      <c r="N424" s="258"/>
    </row>
    <row r="425">
      <c r="A425" s="257"/>
      <c r="B425" s="257"/>
      <c r="C425" s="258"/>
      <c r="D425" s="257"/>
      <c r="E425" s="257"/>
      <c r="F425" s="257"/>
      <c r="G425" s="258"/>
      <c r="H425" s="258"/>
      <c r="I425" s="258"/>
      <c r="J425" s="258"/>
      <c r="K425" s="258"/>
      <c r="L425" s="258"/>
      <c r="M425" s="258"/>
      <c r="N425" s="258"/>
    </row>
    <row r="426">
      <c r="A426" s="257"/>
      <c r="B426" s="257"/>
      <c r="C426" s="258"/>
      <c r="D426" s="257"/>
      <c r="E426" s="257"/>
      <c r="F426" s="257"/>
      <c r="G426" s="258"/>
      <c r="H426" s="258"/>
      <c r="I426" s="258"/>
      <c r="J426" s="258"/>
      <c r="K426" s="258"/>
      <c r="L426" s="258"/>
      <c r="M426" s="258"/>
      <c r="N426" s="258"/>
    </row>
    <row r="427">
      <c r="A427" s="257"/>
      <c r="B427" s="257"/>
      <c r="C427" s="258"/>
      <c r="D427" s="257"/>
      <c r="E427" s="257"/>
      <c r="F427" s="257"/>
      <c r="G427" s="258"/>
      <c r="H427" s="258"/>
      <c r="I427" s="258"/>
      <c r="J427" s="258"/>
      <c r="K427" s="258"/>
      <c r="L427" s="258"/>
      <c r="M427" s="258"/>
      <c r="N427" s="258"/>
    </row>
    <row r="428">
      <c r="A428" s="257"/>
      <c r="B428" s="257"/>
      <c r="C428" s="258"/>
      <c r="D428" s="257"/>
      <c r="E428" s="257"/>
      <c r="F428" s="257"/>
      <c r="G428" s="258"/>
      <c r="H428" s="258"/>
      <c r="I428" s="258"/>
      <c r="J428" s="258"/>
      <c r="K428" s="258"/>
      <c r="L428" s="258"/>
      <c r="M428" s="258"/>
      <c r="N428" s="258"/>
    </row>
    <row r="429">
      <c r="A429" s="257"/>
      <c r="B429" s="257"/>
      <c r="C429" s="258"/>
      <c r="D429" s="257"/>
      <c r="E429" s="257"/>
      <c r="F429" s="257"/>
      <c r="G429" s="258"/>
      <c r="H429" s="258"/>
      <c r="I429" s="258"/>
      <c r="J429" s="258"/>
      <c r="K429" s="258"/>
      <c r="L429" s="258"/>
      <c r="M429" s="258"/>
      <c r="N429" s="258"/>
    </row>
    <row r="430">
      <c r="A430" s="257"/>
      <c r="B430" s="257"/>
      <c r="C430" s="258"/>
      <c r="D430" s="257"/>
      <c r="E430" s="257"/>
      <c r="F430" s="257"/>
      <c r="G430" s="258"/>
      <c r="H430" s="258"/>
      <c r="I430" s="258"/>
      <c r="J430" s="258"/>
      <c r="K430" s="258"/>
      <c r="L430" s="258"/>
      <c r="M430" s="258"/>
      <c r="N430" s="258"/>
    </row>
    <row r="431">
      <c r="A431" s="257"/>
      <c r="B431" s="257"/>
      <c r="C431" s="258"/>
      <c r="D431" s="257"/>
      <c r="E431" s="257"/>
      <c r="F431" s="257"/>
      <c r="G431" s="258"/>
      <c r="H431" s="258"/>
      <c r="I431" s="258"/>
      <c r="J431" s="258"/>
      <c r="K431" s="258"/>
      <c r="L431" s="258"/>
      <c r="M431" s="258"/>
      <c r="N431" s="258"/>
    </row>
    <row r="432">
      <c r="A432" s="257"/>
      <c r="B432" s="257"/>
      <c r="C432" s="258"/>
      <c r="D432" s="257"/>
      <c r="E432" s="257"/>
      <c r="F432" s="257"/>
      <c r="G432" s="258"/>
      <c r="H432" s="258"/>
      <c r="I432" s="258"/>
      <c r="J432" s="258"/>
      <c r="K432" s="258"/>
      <c r="L432" s="258"/>
      <c r="M432" s="258"/>
      <c r="N432" s="258"/>
    </row>
    <row r="433">
      <c r="A433" s="257"/>
      <c r="B433" s="257"/>
      <c r="C433" s="258"/>
      <c r="D433" s="257"/>
      <c r="E433" s="257"/>
      <c r="F433" s="257"/>
      <c r="G433" s="258"/>
      <c r="H433" s="258"/>
      <c r="I433" s="258"/>
      <c r="J433" s="258"/>
      <c r="K433" s="258"/>
      <c r="L433" s="258"/>
      <c r="M433" s="258"/>
      <c r="N433" s="258"/>
    </row>
    <row r="434">
      <c r="A434" s="257"/>
      <c r="B434" s="257"/>
      <c r="C434" s="258"/>
      <c r="D434" s="257"/>
      <c r="E434" s="257"/>
      <c r="F434" s="257"/>
      <c r="G434" s="258"/>
      <c r="H434" s="258"/>
      <c r="I434" s="258"/>
      <c r="J434" s="258"/>
      <c r="K434" s="258"/>
      <c r="L434" s="258"/>
      <c r="M434" s="258"/>
      <c r="N434" s="258"/>
    </row>
    <row r="435">
      <c r="A435" s="257"/>
      <c r="B435" s="257"/>
      <c r="C435" s="258"/>
      <c r="D435" s="257"/>
      <c r="E435" s="257"/>
      <c r="F435" s="257"/>
      <c r="G435" s="258"/>
      <c r="H435" s="258"/>
      <c r="I435" s="258"/>
      <c r="J435" s="258"/>
      <c r="K435" s="258"/>
      <c r="L435" s="258"/>
      <c r="M435" s="258"/>
      <c r="N435" s="258"/>
    </row>
    <row r="436">
      <c r="A436" s="257"/>
      <c r="B436" s="257"/>
      <c r="C436" s="258"/>
      <c r="D436" s="257"/>
      <c r="E436" s="257"/>
      <c r="F436" s="257"/>
      <c r="G436" s="258"/>
      <c r="H436" s="258"/>
      <c r="I436" s="258"/>
      <c r="J436" s="258"/>
      <c r="K436" s="258"/>
      <c r="L436" s="258"/>
      <c r="M436" s="258"/>
      <c r="N436" s="258"/>
    </row>
    <row r="437">
      <c r="A437" s="257"/>
      <c r="B437" s="257"/>
      <c r="C437" s="258"/>
      <c r="D437" s="257"/>
      <c r="E437" s="257"/>
      <c r="F437" s="257"/>
      <c r="G437" s="258"/>
      <c r="H437" s="258"/>
      <c r="I437" s="258"/>
      <c r="J437" s="258"/>
      <c r="K437" s="258"/>
      <c r="L437" s="258"/>
      <c r="M437" s="258"/>
      <c r="N437" s="258"/>
    </row>
    <row r="438">
      <c r="A438" s="257"/>
      <c r="B438" s="257"/>
      <c r="C438" s="258"/>
      <c r="D438" s="257"/>
      <c r="E438" s="257"/>
      <c r="F438" s="257"/>
      <c r="G438" s="258"/>
      <c r="H438" s="258"/>
      <c r="I438" s="258"/>
      <c r="J438" s="258"/>
      <c r="K438" s="258"/>
      <c r="L438" s="258"/>
      <c r="M438" s="258"/>
      <c r="N438" s="258"/>
    </row>
    <row r="439">
      <c r="A439" s="257"/>
      <c r="B439" s="257"/>
      <c r="C439" s="258"/>
      <c r="D439" s="257"/>
      <c r="E439" s="257"/>
      <c r="F439" s="257"/>
      <c r="G439" s="258"/>
      <c r="H439" s="258"/>
      <c r="I439" s="258"/>
      <c r="J439" s="258"/>
      <c r="K439" s="258"/>
      <c r="L439" s="258"/>
      <c r="M439" s="258"/>
      <c r="N439" s="258"/>
    </row>
    <row r="440">
      <c r="A440" s="257"/>
      <c r="B440" s="257"/>
      <c r="C440" s="258"/>
      <c r="D440" s="257"/>
      <c r="E440" s="257"/>
      <c r="F440" s="257"/>
      <c r="G440" s="258"/>
      <c r="H440" s="258"/>
      <c r="I440" s="258"/>
      <c r="J440" s="258"/>
      <c r="K440" s="258"/>
      <c r="L440" s="258"/>
      <c r="M440" s="258"/>
      <c r="N440" s="258"/>
    </row>
    <row r="441">
      <c r="A441" s="257"/>
      <c r="B441" s="257"/>
      <c r="C441" s="258"/>
      <c r="D441" s="257"/>
      <c r="E441" s="257"/>
      <c r="F441" s="257"/>
      <c r="G441" s="258"/>
      <c r="H441" s="258"/>
      <c r="I441" s="258"/>
      <c r="J441" s="258"/>
      <c r="K441" s="258"/>
      <c r="L441" s="258"/>
      <c r="M441" s="258"/>
      <c r="N441" s="258"/>
    </row>
    <row r="442">
      <c r="A442" s="257"/>
      <c r="B442" s="257"/>
      <c r="C442" s="258"/>
      <c r="D442" s="257"/>
      <c r="E442" s="257"/>
      <c r="F442" s="257"/>
      <c r="G442" s="258"/>
      <c r="H442" s="258"/>
      <c r="I442" s="258"/>
      <c r="J442" s="258"/>
      <c r="K442" s="258"/>
      <c r="L442" s="258"/>
      <c r="M442" s="258"/>
      <c r="N442" s="258"/>
    </row>
    <row r="443">
      <c r="A443" s="257"/>
      <c r="B443" s="257"/>
      <c r="C443" s="258"/>
      <c r="D443" s="257"/>
      <c r="E443" s="257"/>
      <c r="F443" s="257"/>
      <c r="G443" s="258"/>
      <c r="H443" s="258"/>
      <c r="I443" s="258"/>
      <c r="J443" s="258"/>
      <c r="K443" s="258"/>
      <c r="L443" s="258"/>
      <c r="M443" s="258"/>
      <c r="N443" s="258"/>
    </row>
    <row r="444">
      <c r="A444" s="257"/>
      <c r="B444" s="257"/>
      <c r="C444" s="258"/>
      <c r="D444" s="257"/>
      <c r="E444" s="257"/>
      <c r="F444" s="257"/>
      <c r="G444" s="258"/>
      <c r="H444" s="258"/>
      <c r="I444" s="258"/>
      <c r="J444" s="258"/>
      <c r="K444" s="258"/>
      <c r="L444" s="258"/>
      <c r="M444" s="258"/>
      <c r="N444" s="258"/>
    </row>
    <row r="445">
      <c r="A445" s="257"/>
      <c r="B445" s="257"/>
      <c r="C445" s="258"/>
      <c r="D445" s="257"/>
      <c r="E445" s="257"/>
      <c r="F445" s="257"/>
      <c r="G445" s="258"/>
      <c r="H445" s="258"/>
      <c r="I445" s="258"/>
      <c r="J445" s="258"/>
      <c r="K445" s="258"/>
      <c r="L445" s="258"/>
      <c r="M445" s="258"/>
      <c r="N445" s="258"/>
    </row>
    <row r="446">
      <c r="A446" s="257"/>
      <c r="B446" s="257"/>
      <c r="C446" s="258"/>
      <c r="D446" s="257"/>
      <c r="E446" s="257"/>
      <c r="F446" s="257"/>
      <c r="G446" s="258"/>
      <c r="H446" s="258"/>
      <c r="I446" s="258"/>
      <c r="J446" s="258"/>
      <c r="K446" s="258"/>
      <c r="L446" s="258"/>
      <c r="M446" s="258"/>
      <c r="N446" s="258"/>
    </row>
    <row r="447">
      <c r="A447" s="257"/>
      <c r="B447" s="257"/>
      <c r="C447" s="258"/>
      <c r="D447" s="257"/>
      <c r="E447" s="257"/>
      <c r="F447" s="257"/>
      <c r="G447" s="258"/>
      <c r="H447" s="258"/>
      <c r="I447" s="258"/>
      <c r="J447" s="258"/>
      <c r="K447" s="258"/>
      <c r="L447" s="258"/>
      <c r="M447" s="258"/>
      <c r="N447" s="258"/>
    </row>
    <row r="448">
      <c r="A448" s="257"/>
      <c r="B448" s="257"/>
      <c r="C448" s="258"/>
      <c r="D448" s="257"/>
      <c r="E448" s="257"/>
      <c r="F448" s="257"/>
      <c r="G448" s="258"/>
      <c r="H448" s="258"/>
      <c r="I448" s="258"/>
      <c r="J448" s="258"/>
      <c r="K448" s="258"/>
      <c r="L448" s="258"/>
      <c r="M448" s="258"/>
      <c r="N448" s="258"/>
    </row>
    <row r="449">
      <c r="A449" s="257"/>
      <c r="B449" s="257"/>
      <c r="C449" s="258"/>
      <c r="D449" s="257"/>
      <c r="E449" s="257"/>
      <c r="F449" s="257"/>
      <c r="G449" s="258"/>
      <c r="H449" s="258"/>
      <c r="I449" s="258"/>
      <c r="J449" s="258"/>
      <c r="K449" s="258"/>
      <c r="L449" s="258"/>
      <c r="M449" s="258"/>
      <c r="N449" s="258"/>
    </row>
    <row r="450">
      <c r="A450" s="257"/>
      <c r="B450" s="257"/>
      <c r="C450" s="258"/>
      <c r="D450" s="257"/>
      <c r="E450" s="257"/>
      <c r="F450" s="257"/>
      <c r="G450" s="258"/>
      <c r="H450" s="258"/>
      <c r="I450" s="258"/>
      <c r="J450" s="258"/>
      <c r="K450" s="258"/>
      <c r="L450" s="258"/>
      <c r="M450" s="258"/>
      <c r="N450" s="258"/>
    </row>
    <row r="451">
      <c r="A451" s="257"/>
      <c r="B451" s="257"/>
      <c r="C451" s="258"/>
      <c r="D451" s="257"/>
      <c r="E451" s="257"/>
      <c r="F451" s="257"/>
      <c r="G451" s="258"/>
      <c r="H451" s="258"/>
      <c r="I451" s="258"/>
      <c r="J451" s="258"/>
      <c r="K451" s="258"/>
      <c r="L451" s="258"/>
      <c r="M451" s="258"/>
      <c r="N451" s="258"/>
    </row>
    <row r="452">
      <c r="A452" s="257"/>
      <c r="B452" s="257"/>
      <c r="C452" s="258"/>
      <c r="D452" s="257"/>
      <c r="E452" s="257"/>
      <c r="F452" s="257"/>
      <c r="G452" s="258"/>
      <c r="H452" s="258"/>
      <c r="I452" s="258"/>
      <c r="J452" s="258"/>
      <c r="K452" s="258"/>
      <c r="L452" s="258"/>
      <c r="M452" s="258"/>
      <c r="N452" s="258"/>
    </row>
    <row r="453">
      <c r="A453" s="257"/>
      <c r="B453" s="257"/>
      <c r="C453" s="258"/>
      <c r="D453" s="257"/>
      <c r="E453" s="257"/>
      <c r="F453" s="257"/>
      <c r="G453" s="258"/>
      <c r="H453" s="258"/>
      <c r="I453" s="258"/>
      <c r="J453" s="258"/>
      <c r="K453" s="258"/>
      <c r="L453" s="258"/>
      <c r="M453" s="258"/>
      <c r="N453" s="258"/>
    </row>
    <row r="454">
      <c r="A454" s="257"/>
      <c r="B454" s="257"/>
      <c r="C454" s="258"/>
      <c r="D454" s="257"/>
      <c r="E454" s="257"/>
      <c r="F454" s="257"/>
      <c r="G454" s="258"/>
      <c r="H454" s="258"/>
      <c r="I454" s="258"/>
      <c r="J454" s="258"/>
      <c r="K454" s="258"/>
      <c r="L454" s="258"/>
      <c r="M454" s="258"/>
      <c r="N454" s="258"/>
    </row>
    <row r="455">
      <c r="A455" s="257"/>
      <c r="B455" s="257"/>
      <c r="C455" s="258"/>
      <c r="D455" s="257"/>
      <c r="E455" s="257"/>
      <c r="F455" s="257"/>
      <c r="G455" s="258"/>
      <c r="H455" s="258"/>
      <c r="I455" s="258"/>
      <c r="J455" s="258"/>
      <c r="K455" s="258"/>
      <c r="L455" s="258"/>
      <c r="M455" s="258"/>
      <c r="N455" s="258"/>
    </row>
    <row r="456">
      <c r="A456" s="257"/>
      <c r="B456" s="257"/>
      <c r="C456" s="258"/>
      <c r="D456" s="257"/>
      <c r="E456" s="257"/>
      <c r="F456" s="257"/>
      <c r="G456" s="258"/>
      <c r="H456" s="258"/>
      <c r="I456" s="258"/>
      <c r="J456" s="258"/>
      <c r="K456" s="258"/>
      <c r="L456" s="258"/>
      <c r="M456" s="258"/>
      <c r="N456" s="258"/>
    </row>
    <row r="457">
      <c r="A457" s="257"/>
      <c r="B457" s="257"/>
      <c r="C457" s="258"/>
      <c r="D457" s="257"/>
      <c r="E457" s="257"/>
      <c r="F457" s="257"/>
      <c r="G457" s="258"/>
      <c r="H457" s="258"/>
      <c r="I457" s="258"/>
      <c r="J457" s="258"/>
      <c r="K457" s="258"/>
      <c r="L457" s="258"/>
      <c r="M457" s="258"/>
      <c r="N457" s="258"/>
    </row>
    <row r="458">
      <c r="A458" s="257"/>
      <c r="B458" s="257"/>
      <c r="C458" s="258"/>
      <c r="D458" s="257"/>
      <c r="E458" s="257"/>
      <c r="F458" s="257"/>
      <c r="G458" s="258"/>
      <c r="H458" s="258"/>
      <c r="I458" s="258"/>
      <c r="J458" s="258"/>
      <c r="K458" s="258"/>
      <c r="L458" s="258"/>
      <c r="M458" s="258"/>
      <c r="N458" s="258"/>
    </row>
    <row r="459">
      <c r="A459" s="257"/>
      <c r="B459" s="257"/>
      <c r="C459" s="258"/>
      <c r="D459" s="257"/>
      <c r="E459" s="257"/>
      <c r="F459" s="257"/>
      <c r="G459" s="258"/>
      <c r="H459" s="258"/>
      <c r="I459" s="258"/>
      <c r="J459" s="258"/>
      <c r="K459" s="258"/>
      <c r="L459" s="258"/>
      <c r="M459" s="258"/>
      <c r="N459" s="258"/>
    </row>
    <row r="460">
      <c r="A460" s="257"/>
      <c r="B460" s="257"/>
      <c r="C460" s="258"/>
      <c r="D460" s="257"/>
      <c r="E460" s="257"/>
      <c r="F460" s="257"/>
      <c r="G460" s="258"/>
      <c r="H460" s="258"/>
      <c r="I460" s="258"/>
      <c r="J460" s="258"/>
      <c r="K460" s="258"/>
      <c r="L460" s="258"/>
      <c r="M460" s="258"/>
      <c r="N460" s="258"/>
    </row>
    <row r="461">
      <c r="A461" s="257"/>
      <c r="B461" s="257"/>
      <c r="C461" s="258"/>
      <c r="D461" s="257"/>
      <c r="E461" s="257"/>
      <c r="F461" s="257"/>
      <c r="G461" s="258"/>
      <c r="H461" s="258"/>
      <c r="I461" s="258"/>
      <c r="J461" s="258"/>
      <c r="K461" s="258"/>
      <c r="L461" s="258"/>
      <c r="M461" s="258"/>
      <c r="N461" s="258"/>
    </row>
    <row r="462">
      <c r="A462" s="257"/>
      <c r="B462" s="257"/>
      <c r="C462" s="258"/>
      <c r="D462" s="257"/>
      <c r="E462" s="257"/>
      <c r="F462" s="257"/>
      <c r="G462" s="258"/>
      <c r="H462" s="258"/>
      <c r="I462" s="258"/>
      <c r="J462" s="258"/>
      <c r="K462" s="258"/>
      <c r="L462" s="258"/>
      <c r="M462" s="258"/>
      <c r="N462" s="258"/>
    </row>
    <row r="463">
      <c r="A463" s="257"/>
      <c r="B463" s="257"/>
      <c r="C463" s="258"/>
      <c r="D463" s="257"/>
      <c r="E463" s="257"/>
      <c r="F463" s="257"/>
      <c r="G463" s="258"/>
      <c r="H463" s="258"/>
      <c r="I463" s="258"/>
      <c r="J463" s="258"/>
      <c r="K463" s="258"/>
      <c r="L463" s="258"/>
      <c r="M463" s="258"/>
      <c r="N463" s="258"/>
    </row>
    <row r="464">
      <c r="A464" s="257"/>
      <c r="B464" s="257"/>
      <c r="C464" s="258"/>
      <c r="D464" s="257"/>
      <c r="E464" s="257"/>
      <c r="F464" s="257"/>
      <c r="G464" s="258"/>
      <c r="H464" s="258"/>
      <c r="I464" s="258"/>
      <c r="J464" s="258"/>
      <c r="K464" s="258"/>
      <c r="L464" s="258"/>
      <c r="M464" s="258"/>
      <c r="N464" s="258"/>
    </row>
    <row r="465">
      <c r="A465" s="257"/>
      <c r="B465" s="257"/>
      <c r="C465" s="258"/>
      <c r="D465" s="257"/>
      <c r="E465" s="257"/>
      <c r="F465" s="257"/>
      <c r="G465" s="258"/>
      <c r="H465" s="258"/>
      <c r="I465" s="258"/>
      <c r="J465" s="258"/>
      <c r="K465" s="258"/>
      <c r="L465" s="258"/>
      <c r="M465" s="258"/>
      <c r="N465" s="258"/>
    </row>
    <row r="466">
      <c r="A466" s="257"/>
      <c r="B466" s="257"/>
      <c r="C466" s="258"/>
      <c r="D466" s="257"/>
      <c r="E466" s="257"/>
      <c r="F466" s="257"/>
      <c r="G466" s="258"/>
      <c r="H466" s="258"/>
      <c r="I466" s="258"/>
      <c r="J466" s="258"/>
      <c r="K466" s="258"/>
      <c r="L466" s="258"/>
      <c r="M466" s="258"/>
      <c r="N466" s="258"/>
    </row>
    <row r="467">
      <c r="A467" s="257"/>
      <c r="B467" s="257"/>
      <c r="C467" s="258"/>
      <c r="D467" s="257"/>
      <c r="E467" s="257"/>
      <c r="F467" s="257"/>
      <c r="G467" s="258"/>
      <c r="H467" s="258"/>
      <c r="I467" s="258"/>
      <c r="J467" s="258"/>
      <c r="K467" s="258"/>
      <c r="L467" s="258"/>
      <c r="M467" s="258"/>
      <c r="N467" s="258"/>
    </row>
    <row r="468">
      <c r="A468" s="257"/>
      <c r="B468" s="257"/>
      <c r="C468" s="258"/>
      <c r="D468" s="257"/>
      <c r="E468" s="257"/>
      <c r="F468" s="257"/>
      <c r="G468" s="258"/>
      <c r="H468" s="258"/>
      <c r="I468" s="258"/>
      <c r="J468" s="258"/>
      <c r="K468" s="258"/>
      <c r="L468" s="258"/>
      <c r="M468" s="258"/>
      <c r="N468" s="258"/>
    </row>
    <row r="469">
      <c r="A469" s="257"/>
      <c r="B469" s="257"/>
      <c r="C469" s="258"/>
      <c r="D469" s="257"/>
      <c r="E469" s="257"/>
      <c r="F469" s="257"/>
      <c r="G469" s="258"/>
      <c r="H469" s="258"/>
      <c r="I469" s="258"/>
      <c r="J469" s="258"/>
      <c r="K469" s="258"/>
      <c r="L469" s="258"/>
      <c r="M469" s="258"/>
      <c r="N469" s="258"/>
    </row>
    <row r="470">
      <c r="A470" s="257"/>
      <c r="B470" s="257"/>
      <c r="C470" s="258"/>
      <c r="D470" s="257"/>
      <c r="E470" s="257"/>
      <c r="F470" s="257"/>
      <c r="G470" s="258"/>
      <c r="H470" s="258"/>
      <c r="I470" s="258"/>
      <c r="J470" s="258"/>
      <c r="K470" s="258"/>
      <c r="L470" s="258"/>
      <c r="M470" s="258"/>
      <c r="N470" s="258"/>
    </row>
    <row r="471">
      <c r="A471" s="257"/>
      <c r="B471" s="257"/>
      <c r="C471" s="258"/>
      <c r="D471" s="257"/>
      <c r="E471" s="257"/>
      <c r="F471" s="257"/>
      <c r="G471" s="258"/>
      <c r="H471" s="258"/>
      <c r="I471" s="258"/>
      <c r="J471" s="258"/>
      <c r="K471" s="258"/>
      <c r="L471" s="258"/>
      <c r="M471" s="258"/>
      <c r="N471" s="258"/>
    </row>
    <row r="472">
      <c r="A472" s="257"/>
      <c r="B472" s="257"/>
      <c r="C472" s="258"/>
      <c r="D472" s="257"/>
      <c r="E472" s="257"/>
      <c r="F472" s="257"/>
      <c r="G472" s="258"/>
      <c r="H472" s="258"/>
      <c r="I472" s="258"/>
      <c r="J472" s="258"/>
      <c r="K472" s="258"/>
      <c r="L472" s="258"/>
      <c r="M472" s="258"/>
      <c r="N472" s="258"/>
    </row>
    <row r="473">
      <c r="A473" s="257"/>
      <c r="B473" s="257"/>
      <c r="C473" s="258"/>
      <c r="D473" s="257"/>
      <c r="E473" s="257"/>
      <c r="F473" s="257"/>
      <c r="G473" s="258"/>
      <c r="H473" s="258"/>
      <c r="I473" s="258"/>
      <c r="J473" s="258"/>
      <c r="K473" s="258"/>
      <c r="L473" s="258"/>
      <c r="M473" s="258"/>
      <c r="N473" s="258"/>
    </row>
    <row r="474">
      <c r="A474" s="257"/>
      <c r="B474" s="257"/>
      <c r="C474" s="258"/>
      <c r="D474" s="257"/>
      <c r="E474" s="257"/>
      <c r="F474" s="257"/>
      <c r="G474" s="258"/>
      <c r="H474" s="258"/>
      <c r="I474" s="258"/>
      <c r="J474" s="258"/>
      <c r="K474" s="258"/>
      <c r="L474" s="258"/>
      <c r="M474" s="258"/>
      <c r="N474" s="258"/>
    </row>
    <row r="475">
      <c r="A475" s="257"/>
      <c r="B475" s="257"/>
      <c r="C475" s="258"/>
      <c r="D475" s="257"/>
      <c r="E475" s="257"/>
      <c r="F475" s="257"/>
      <c r="G475" s="258"/>
      <c r="H475" s="258"/>
      <c r="I475" s="258"/>
      <c r="J475" s="258"/>
      <c r="K475" s="258"/>
      <c r="L475" s="258"/>
      <c r="M475" s="258"/>
      <c r="N475" s="258"/>
    </row>
    <row r="476">
      <c r="A476" s="257"/>
      <c r="B476" s="257"/>
      <c r="C476" s="258"/>
      <c r="D476" s="257"/>
      <c r="E476" s="257"/>
      <c r="F476" s="257"/>
      <c r="G476" s="258"/>
      <c r="H476" s="258"/>
      <c r="I476" s="258"/>
      <c r="J476" s="258"/>
      <c r="K476" s="258"/>
      <c r="L476" s="258"/>
      <c r="M476" s="258"/>
      <c r="N476" s="258"/>
    </row>
    <row r="477">
      <c r="A477" s="257"/>
      <c r="B477" s="257"/>
      <c r="C477" s="258"/>
      <c r="D477" s="257"/>
      <c r="E477" s="257"/>
      <c r="F477" s="257"/>
      <c r="G477" s="258"/>
      <c r="H477" s="258"/>
      <c r="I477" s="258"/>
      <c r="J477" s="258"/>
      <c r="K477" s="258"/>
      <c r="L477" s="258"/>
      <c r="M477" s="258"/>
      <c r="N477" s="258"/>
    </row>
    <row r="478">
      <c r="A478" s="257"/>
      <c r="B478" s="257"/>
      <c r="C478" s="258"/>
      <c r="D478" s="257"/>
      <c r="E478" s="257"/>
      <c r="F478" s="257"/>
      <c r="G478" s="258"/>
      <c r="H478" s="258"/>
      <c r="I478" s="258"/>
      <c r="J478" s="258"/>
      <c r="K478" s="258"/>
      <c r="L478" s="258"/>
      <c r="M478" s="258"/>
      <c r="N478" s="258"/>
    </row>
    <row r="479">
      <c r="A479" s="257"/>
      <c r="B479" s="257"/>
      <c r="C479" s="258"/>
      <c r="D479" s="257"/>
      <c r="E479" s="257"/>
      <c r="F479" s="257"/>
      <c r="G479" s="258"/>
      <c r="H479" s="258"/>
      <c r="I479" s="258"/>
      <c r="J479" s="258"/>
      <c r="K479" s="258"/>
      <c r="L479" s="258"/>
      <c r="M479" s="258"/>
      <c r="N479" s="258"/>
    </row>
    <row r="480">
      <c r="A480" s="257"/>
      <c r="B480" s="257"/>
      <c r="C480" s="258"/>
      <c r="D480" s="257"/>
      <c r="E480" s="257"/>
      <c r="F480" s="257"/>
      <c r="G480" s="258"/>
      <c r="H480" s="258"/>
      <c r="I480" s="258"/>
      <c r="J480" s="258"/>
      <c r="K480" s="258"/>
      <c r="L480" s="258"/>
      <c r="M480" s="258"/>
      <c r="N480" s="258"/>
    </row>
    <row r="481">
      <c r="A481" s="257"/>
      <c r="B481" s="257"/>
      <c r="C481" s="258"/>
      <c r="D481" s="257"/>
      <c r="E481" s="257"/>
      <c r="F481" s="257"/>
      <c r="G481" s="258"/>
      <c r="H481" s="258"/>
      <c r="I481" s="258"/>
      <c r="J481" s="258"/>
      <c r="K481" s="258"/>
      <c r="L481" s="258"/>
      <c r="M481" s="258"/>
      <c r="N481" s="258"/>
    </row>
    <row r="482">
      <c r="A482" s="257"/>
      <c r="B482" s="257"/>
      <c r="C482" s="258"/>
      <c r="D482" s="257"/>
      <c r="E482" s="257"/>
      <c r="F482" s="257"/>
      <c r="G482" s="258"/>
      <c r="H482" s="258"/>
      <c r="I482" s="258"/>
      <c r="J482" s="258"/>
      <c r="K482" s="258"/>
      <c r="L482" s="258"/>
      <c r="M482" s="258"/>
      <c r="N482" s="258"/>
    </row>
    <row r="483">
      <c r="A483" s="257"/>
      <c r="B483" s="257"/>
      <c r="C483" s="258"/>
      <c r="D483" s="257"/>
      <c r="E483" s="257"/>
      <c r="F483" s="257"/>
      <c r="G483" s="258"/>
      <c r="H483" s="258"/>
      <c r="I483" s="258"/>
      <c r="J483" s="258"/>
      <c r="K483" s="258"/>
      <c r="L483" s="258"/>
      <c r="M483" s="258"/>
      <c r="N483" s="258"/>
    </row>
    <row r="484">
      <c r="A484" s="257"/>
      <c r="B484" s="257"/>
      <c r="C484" s="258"/>
      <c r="D484" s="257"/>
      <c r="E484" s="257"/>
      <c r="F484" s="257"/>
      <c r="G484" s="258"/>
      <c r="H484" s="258"/>
      <c r="I484" s="258"/>
      <c r="J484" s="258"/>
      <c r="K484" s="258"/>
      <c r="L484" s="258"/>
      <c r="M484" s="258"/>
      <c r="N484" s="258"/>
    </row>
    <row r="485">
      <c r="A485" s="257"/>
      <c r="B485" s="257"/>
      <c r="C485" s="258"/>
      <c r="D485" s="257"/>
      <c r="E485" s="257"/>
      <c r="F485" s="257"/>
      <c r="G485" s="258"/>
      <c r="H485" s="258"/>
      <c r="I485" s="258"/>
      <c r="J485" s="258"/>
      <c r="K485" s="258"/>
      <c r="L485" s="258"/>
      <c r="M485" s="258"/>
      <c r="N485" s="258"/>
    </row>
    <row r="486">
      <c r="A486" s="257"/>
      <c r="B486" s="257"/>
      <c r="C486" s="258"/>
      <c r="D486" s="257"/>
      <c r="E486" s="257"/>
      <c r="F486" s="257"/>
      <c r="G486" s="258"/>
      <c r="H486" s="258"/>
      <c r="I486" s="258"/>
      <c r="J486" s="258"/>
      <c r="K486" s="258"/>
      <c r="L486" s="258"/>
      <c r="M486" s="258"/>
      <c r="N486" s="258"/>
    </row>
    <row r="487">
      <c r="A487" s="257"/>
      <c r="B487" s="257"/>
      <c r="C487" s="258"/>
      <c r="D487" s="257"/>
      <c r="E487" s="257"/>
      <c r="F487" s="257"/>
      <c r="G487" s="258"/>
      <c r="H487" s="258"/>
      <c r="I487" s="258"/>
      <c r="J487" s="258"/>
      <c r="K487" s="258"/>
      <c r="L487" s="258"/>
      <c r="M487" s="258"/>
      <c r="N487" s="258"/>
    </row>
    <row r="488">
      <c r="A488" s="257"/>
      <c r="B488" s="257"/>
      <c r="C488" s="258"/>
      <c r="D488" s="257"/>
      <c r="E488" s="257"/>
      <c r="F488" s="257"/>
      <c r="G488" s="258"/>
      <c r="H488" s="258"/>
      <c r="I488" s="258"/>
      <c r="J488" s="258"/>
      <c r="K488" s="258"/>
      <c r="L488" s="258"/>
      <c r="M488" s="258"/>
      <c r="N488" s="258"/>
    </row>
    <row r="489">
      <c r="A489" s="257"/>
      <c r="B489" s="257"/>
      <c r="C489" s="258"/>
      <c r="D489" s="257"/>
      <c r="E489" s="257"/>
      <c r="F489" s="257"/>
      <c r="G489" s="258"/>
      <c r="H489" s="258"/>
      <c r="I489" s="258"/>
      <c r="J489" s="258"/>
      <c r="K489" s="258"/>
      <c r="L489" s="258"/>
      <c r="M489" s="258"/>
      <c r="N489" s="258"/>
    </row>
    <row r="490">
      <c r="A490" s="257"/>
      <c r="B490" s="257"/>
      <c r="C490" s="258"/>
      <c r="D490" s="257"/>
      <c r="E490" s="257"/>
      <c r="F490" s="257"/>
      <c r="G490" s="258"/>
      <c r="H490" s="258"/>
      <c r="I490" s="258"/>
      <c r="J490" s="258"/>
      <c r="K490" s="258"/>
      <c r="L490" s="258"/>
      <c r="M490" s="258"/>
      <c r="N490" s="258"/>
    </row>
    <row r="491">
      <c r="A491" s="257"/>
      <c r="B491" s="257"/>
      <c r="C491" s="258"/>
      <c r="D491" s="257"/>
      <c r="E491" s="257"/>
      <c r="F491" s="257"/>
      <c r="G491" s="258"/>
      <c r="H491" s="258"/>
      <c r="I491" s="258"/>
      <c r="J491" s="258"/>
      <c r="K491" s="258"/>
      <c r="L491" s="258"/>
      <c r="M491" s="258"/>
      <c r="N491" s="258"/>
    </row>
    <row r="492">
      <c r="A492" s="257"/>
      <c r="B492" s="257"/>
      <c r="C492" s="258"/>
      <c r="D492" s="257"/>
      <c r="E492" s="257"/>
      <c r="F492" s="257"/>
      <c r="G492" s="258"/>
      <c r="H492" s="258"/>
      <c r="I492" s="258"/>
      <c r="J492" s="258"/>
      <c r="K492" s="258"/>
      <c r="L492" s="258"/>
      <c r="M492" s="258"/>
      <c r="N492" s="258"/>
    </row>
    <row r="493">
      <c r="A493" s="257"/>
      <c r="B493" s="257"/>
      <c r="C493" s="258"/>
      <c r="D493" s="257"/>
      <c r="E493" s="257"/>
      <c r="F493" s="257"/>
      <c r="G493" s="258"/>
      <c r="H493" s="258"/>
      <c r="I493" s="258"/>
      <c r="J493" s="258"/>
      <c r="K493" s="258"/>
      <c r="L493" s="258"/>
      <c r="M493" s="258"/>
      <c r="N493" s="258"/>
    </row>
    <row r="494">
      <c r="A494" s="257"/>
      <c r="B494" s="257"/>
      <c r="C494" s="258"/>
      <c r="D494" s="257"/>
      <c r="E494" s="257"/>
      <c r="F494" s="257"/>
      <c r="G494" s="258"/>
      <c r="H494" s="258"/>
      <c r="I494" s="258"/>
      <c r="J494" s="258"/>
      <c r="K494" s="258"/>
      <c r="L494" s="258"/>
      <c r="M494" s="258"/>
      <c r="N494" s="258"/>
    </row>
    <row r="495">
      <c r="A495" s="257"/>
      <c r="B495" s="257"/>
      <c r="C495" s="258"/>
      <c r="D495" s="257"/>
      <c r="E495" s="257"/>
      <c r="F495" s="257"/>
      <c r="G495" s="258"/>
      <c r="H495" s="258"/>
      <c r="I495" s="258"/>
      <c r="J495" s="258"/>
      <c r="K495" s="258"/>
      <c r="L495" s="258"/>
      <c r="M495" s="258"/>
      <c r="N495" s="258"/>
    </row>
    <row r="496">
      <c r="A496" s="257"/>
      <c r="B496" s="257"/>
      <c r="C496" s="258"/>
      <c r="D496" s="257"/>
      <c r="E496" s="257"/>
      <c r="F496" s="257"/>
      <c r="G496" s="258"/>
      <c r="H496" s="258"/>
      <c r="I496" s="258"/>
      <c r="J496" s="258"/>
      <c r="K496" s="258"/>
      <c r="L496" s="258"/>
      <c r="M496" s="258"/>
      <c r="N496" s="258"/>
    </row>
    <row r="497">
      <c r="A497" s="257"/>
      <c r="B497" s="257"/>
      <c r="C497" s="258"/>
      <c r="D497" s="257"/>
      <c r="E497" s="257"/>
      <c r="F497" s="257"/>
      <c r="G497" s="258"/>
      <c r="H497" s="258"/>
      <c r="I497" s="258"/>
      <c r="J497" s="258"/>
      <c r="K497" s="258"/>
      <c r="L497" s="258"/>
      <c r="M497" s="258"/>
      <c r="N497" s="258"/>
    </row>
    <row r="498">
      <c r="A498" s="257"/>
      <c r="B498" s="257"/>
      <c r="C498" s="258"/>
      <c r="D498" s="257"/>
      <c r="E498" s="257"/>
      <c r="F498" s="257"/>
      <c r="G498" s="258"/>
      <c r="H498" s="258"/>
      <c r="I498" s="258"/>
      <c r="J498" s="258"/>
      <c r="K498" s="258"/>
      <c r="L498" s="258"/>
      <c r="M498" s="258"/>
      <c r="N498" s="258"/>
    </row>
    <row r="499">
      <c r="A499" s="257"/>
      <c r="B499" s="257"/>
      <c r="C499" s="258"/>
      <c r="D499" s="257"/>
      <c r="E499" s="257"/>
      <c r="F499" s="257"/>
      <c r="G499" s="258"/>
      <c r="H499" s="258"/>
      <c r="I499" s="258"/>
      <c r="J499" s="258"/>
      <c r="K499" s="258"/>
      <c r="L499" s="258"/>
      <c r="M499" s="258"/>
      <c r="N499" s="258"/>
    </row>
    <row r="500">
      <c r="A500" s="257"/>
      <c r="B500" s="257"/>
      <c r="C500" s="258"/>
      <c r="D500" s="257"/>
      <c r="E500" s="257"/>
      <c r="F500" s="257"/>
      <c r="G500" s="258"/>
      <c r="H500" s="258"/>
      <c r="I500" s="258"/>
      <c r="J500" s="258"/>
      <c r="K500" s="258"/>
      <c r="L500" s="258"/>
      <c r="M500" s="258"/>
      <c r="N500" s="258"/>
    </row>
    <row r="501">
      <c r="A501" s="257"/>
      <c r="B501" s="257"/>
      <c r="C501" s="258"/>
      <c r="D501" s="257"/>
      <c r="E501" s="257"/>
      <c r="F501" s="257"/>
      <c r="G501" s="258"/>
      <c r="H501" s="258"/>
      <c r="I501" s="258"/>
      <c r="J501" s="258"/>
      <c r="K501" s="258"/>
      <c r="L501" s="258"/>
      <c r="M501" s="258"/>
      <c r="N501" s="258"/>
    </row>
    <row r="502">
      <c r="A502" s="257"/>
      <c r="B502" s="257"/>
      <c r="C502" s="258"/>
      <c r="D502" s="257"/>
      <c r="E502" s="257"/>
      <c r="F502" s="257"/>
      <c r="G502" s="258"/>
      <c r="H502" s="258"/>
      <c r="I502" s="258"/>
      <c r="J502" s="258"/>
      <c r="K502" s="258"/>
      <c r="L502" s="258"/>
      <c r="M502" s="258"/>
      <c r="N502" s="258"/>
    </row>
    <row r="503">
      <c r="A503" s="257"/>
      <c r="B503" s="257"/>
      <c r="C503" s="258"/>
      <c r="D503" s="257"/>
      <c r="E503" s="257"/>
      <c r="F503" s="257"/>
      <c r="G503" s="258"/>
      <c r="H503" s="258"/>
      <c r="I503" s="258"/>
      <c r="J503" s="258"/>
      <c r="K503" s="258"/>
      <c r="L503" s="258"/>
      <c r="M503" s="258"/>
      <c r="N503" s="258"/>
    </row>
    <row r="504">
      <c r="A504" s="257"/>
      <c r="B504" s="257"/>
      <c r="C504" s="258"/>
      <c r="D504" s="257"/>
      <c r="E504" s="257"/>
      <c r="F504" s="257"/>
      <c r="G504" s="258"/>
      <c r="H504" s="258"/>
      <c r="I504" s="258"/>
      <c r="J504" s="258"/>
      <c r="K504" s="258"/>
      <c r="L504" s="258"/>
      <c r="M504" s="258"/>
      <c r="N504" s="258"/>
    </row>
    <row r="505">
      <c r="A505" s="257"/>
      <c r="B505" s="257"/>
      <c r="C505" s="258"/>
      <c r="D505" s="257"/>
      <c r="E505" s="257"/>
      <c r="F505" s="257"/>
      <c r="G505" s="258"/>
      <c r="H505" s="258"/>
      <c r="I505" s="258"/>
      <c r="J505" s="258"/>
      <c r="K505" s="258"/>
      <c r="L505" s="258"/>
      <c r="M505" s="258"/>
      <c r="N505" s="258"/>
    </row>
    <row r="506">
      <c r="A506" s="257"/>
      <c r="B506" s="257"/>
      <c r="C506" s="258"/>
      <c r="D506" s="257"/>
      <c r="E506" s="257"/>
      <c r="F506" s="257"/>
      <c r="G506" s="258"/>
      <c r="H506" s="258"/>
      <c r="I506" s="258"/>
      <c r="J506" s="258"/>
      <c r="K506" s="258"/>
      <c r="L506" s="258"/>
      <c r="M506" s="258"/>
      <c r="N506" s="258"/>
    </row>
    <row r="507">
      <c r="A507" s="257"/>
      <c r="B507" s="257"/>
      <c r="C507" s="258"/>
      <c r="D507" s="257"/>
      <c r="E507" s="257"/>
      <c r="F507" s="257"/>
      <c r="G507" s="258"/>
      <c r="H507" s="258"/>
      <c r="I507" s="258"/>
      <c r="J507" s="258"/>
      <c r="K507" s="258"/>
      <c r="L507" s="258"/>
      <c r="M507" s="258"/>
      <c r="N507" s="258"/>
    </row>
    <row r="508">
      <c r="A508" s="257"/>
      <c r="B508" s="257"/>
      <c r="C508" s="258"/>
      <c r="D508" s="257"/>
      <c r="E508" s="257"/>
      <c r="F508" s="257"/>
      <c r="G508" s="258"/>
      <c r="H508" s="258"/>
      <c r="I508" s="258"/>
      <c r="J508" s="258"/>
      <c r="K508" s="258"/>
      <c r="L508" s="258"/>
      <c r="M508" s="258"/>
      <c r="N508" s="258"/>
    </row>
    <row r="509">
      <c r="A509" s="257"/>
      <c r="B509" s="257"/>
      <c r="C509" s="258"/>
      <c r="D509" s="257"/>
      <c r="E509" s="257"/>
      <c r="F509" s="257"/>
      <c r="G509" s="258"/>
      <c r="H509" s="258"/>
      <c r="I509" s="258"/>
      <c r="J509" s="258"/>
      <c r="K509" s="258"/>
      <c r="L509" s="258"/>
      <c r="M509" s="258"/>
      <c r="N509" s="258"/>
    </row>
    <row r="510">
      <c r="A510" s="257"/>
      <c r="B510" s="257"/>
      <c r="C510" s="258"/>
      <c r="D510" s="257"/>
      <c r="E510" s="257"/>
      <c r="F510" s="257"/>
      <c r="G510" s="258"/>
      <c r="H510" s="258"/>
      <c r="I510" s="258"/>
      <c r="J510" s="258"/>
      <c r="K510" s="258"/>
      <c r="L510" s="258"/>
      <c r="M510" s="258"/>
      <c r="N510" s="258"/>
    </row>
    <row r="511">
      <c r="A511" s="257"/>
      <c r="B511" s="257"/>
      <c r="C511" s="258"/>
      <c r="D511" s="257"/>
      <c r="E511" s="257"/>
      <c r="F511" s="257"/>
      <c r="G511" s="258"/>
      <c r="H511" s="258"/>
      <c r="I511" s="258"/>
      <c r="J511" s="258"/>
      <c r="K511" s="258"/>
      <c r="L511" s="258"/>
      <c r="M511" s="258"/>
      <c r="N511" s="258"/>
    </row>
    <row r="512">
      <c r="A512" s="257"/>
      <c r="B512" s="257"/>
      <c r="C512" s="258"/>
      <c r="D512" s="257"/>
      <c r="E512" s="257"/>
      <c r="F512" s="257"/>
      <c r="G512" s="258"/>
      <c r="H512" s="258"/>
      <c r="I512" s="258"/>
      <c r="J512" s="258"/>
      <c r="K512" s="258"/>
      <c r="L512" s="258"/>
      <c r="M512" s="258"/>
      <c r="N512" s="258"/>
    </row>
    <row r="513">
      <c r="A513" s="257"/>
      <c r="B513" s="257"/>
      <c r="C513" s="258"/>
      <c r="D513" s="257"/>
      <c r="E513" s="257"/>
      <c r="F513" s="257"/>
      <c r="G513" s="258"/>
      <c r="H513" s="258"/>
      <c r="I513" s="258"/>
      <c r="J513" s="258"/>
      <c r="K513" s="258"/>
      <c r="L513" s="258"/>
      <c r="M513" s="258"/>
      <c r="N513" s="258"/>
    </row>
    <row r="514">
      <c r="A514" s="257"/>
      <c r="B514" s="257"/>
      <c r="C514" s="258"/>
      <c r="D514" s="257"/>
      <c r="E514" s="257"/>
      <c r="F514" s="257"/>
      <c r="G514" s="258"/>
      <c r="H514" s="258"/>
      <c r="I514" s="258"/>
      <c r="J514" s="258"/>
      <c r="K514" s="258"/>
      <c r="L514" s="258"/>
      <c r="M514" s="258"/>
      <c r="N514" s="258"/>
    </row>
    <row r="515">
      <c r="A515" s="257"/>
      <c r="B515" s="257"/>
      <c r="C515" s="258"/>
      <c r="D515" s="257"/>
      <c r="E515" s="257"/>
      <c r="F515" s="257"/>
      <c r="G515" s="258"/>
      <c r="H515" s="258"/>
      <c r="I515" s="258"/>
      <c r="J515" s="258"/>
      <c r="K515" s="258"/>
      <c r="L515" s="258"/>
      <c r="M515" s="258"/>
      <c r="N515" s="258"/>
    </row>
    <row r="516">
      <c r="A516" s="257"/>
      <c r="B516" s="257"/>
      <c r="C516" s="258"/>
      <c r="D516" s="257"/>
      <c r="E516" s="257"/>
      <c r="F516" s="257"/>
      <c r="G516" s="258"/>
      <c r="H516" s="258"/>
      <c r="I516" s="258"/>
      <c r="J516" s="258"/>
      <c r="K516" s="258"/>
      <c r="L516" s="258"/>
      <c r="M516" s="258"/>
      <c r="N516" s="258"/>
    </row>
    <row r="517">
      <c r="A517" s="257"/>
      <c r="B517" s="257"/>
      <c r="C517" s="258"/>
      <c r="D517" s="257"/>
      <c r="E517" s="257"/>
      <c r="F517" s="257"/>
      <c r="G517" s="258"/>
      <c r="H517" s="258"/>
      <c r="I517" s="258"/>
      <c r="J517" s="258"/>
      <c r="K517" s="258"/>
      <c r="L517" s="258"/>
      <c r="M517" s="258"/>
      <c r="N517" s="258"/>
    </row>
    <row r="518">
      <c r="A518" s="257"/>
      <c r="B518" s="257"/>
      <c r="C518" s="258"/>
      <c r="D518" s="257"/>
      <c r="E518" s="257"/>
      <c r="F518" s="257"/>
      <c r="G518" s="258"/>
      <c r="H518" s="258"/>
      <c r="I518" s="258"/>
      <c r="J518" s="258"/>
      <c r="K518" s="258"/>
      <c r="L518" s="258"/>
      <c r="M518" s="258"/>
      <c r="N518" s="258"/>
    </row>
    <row r="519">
      <c r="A519" s="257"/>
      <c r="B519" s="257"/>
      <c r="C519" s="258"/>
      <c r="D519" s="257"/>
      <c r="E519" s="257"/>
      <c r="F519" s="257"/>
      <c r="G519" s="258"/>
      <c r="H519" s="258"/>
      <c r="I519" s="258"/>
      <c r="J519" s="258"/>
      <c r="K519" s="258"/>
      <c r="L519" s="258"/>
      <c r="M519" s="258"/>
      <c r="N519" s="258"/>
    </row>
    <row r="520">
      <c r="A520" s="257"/>
      <c r="B520" s="257"/>
      <c r="C520" s="258"/>
      <c r="D520" s="257"/>
      <c r="E520" s="257"/>
      <c r="F520" s="257"/>
      <c r="G520" s="258"/>
      <c r="H520" s="258"/>
      <c r="I520" s="258"/>
      <c r="J520" s="258"/>
      <c r="K520" s="258"/>
      <c r="L520" s="258"/>
      <c r="M520" s="258"/>
      <c r="N520" s="258"/>
    </row>
    <row r="521">
      <c r="A521" s="257"/>
      <c r="B521" s="257"/>
      <c r="C521" s="258"/>
      <c r="D521" s="257"/>
      <c r="E521" s="257"/>
      <c r="F521" s="257"/>
      <c r="G521" s="258"/>
      <c r="H521" s="258"/>
      <c r="I521" s="258"/>
      <c r="J521" s="258"/>
      <c r="K521" s="258"/>
      <c r="L521" s="258"/>
      <c r="M521" s="258"/>
      <c r="N521" s="258"/>
    </row>
    <row r="522">
      <c r="A522" s="257"/>
      <c r="B522" s="257"/>
      <c r="C522" s="258"/>
      <c r="D522" s="257"/>
      <c r="E522" s="257"/>
      <c r="F522" s="257"/>
      <c r="G522" s="258"/>
      <c r="H522" s="258"/>
      <c r="I522" s="258"/>
      <c r="J522" s="258"/>
      <c r="K522" s="258"/>
      <c r="L522" s="258"/>
      <c r="M522" s="258"/>
      <c r="N522" s="258"/>
    </row>
    <row r="523">
      <c r="A523" s="257"/>
      <c r="B523" s="257"/>
      <c r="C523" s="258"/>
      <c r="D523" s="257"/>
      <c r="E523" s="257"/>
      <c r="F523" s="257"/>
      <c r="G523" s="258"/>
      <c r="H523" s="258"/>
      <c r="I523" s="258"/>
      <c r="J523" s="258"/>
      <c r="K523" s="258"/>
      <c r="L523" s="258"/>
      <c r="M523" s="258"/>
      <c r="N523" s="258"/>
    </row>
    <row r="524">
      <c r="A524" s="257"/>
      <c r="B524" s="257"/>
      <c r="C524" s="258"/>
      <c r="D524" s="257"/>
      <c r="E524" s="257"/>
      <c r="F524" s="257"/>
      <c r="G524" s="258"/>
      <c r="H524" s="258"/>
      <c r="I524" s="258"/>
      <c r="J524" s="258"/>
      <c r="K524" s="258"/>
      <c r="L524" s="258"/>
      <c r="M524" s="258"/>
      <c r="N524" s="258"/>
    </row>
    <row r="525">
      <c r="A525" s="257"/>
      <c r="B525" s="257"/>
      <c r="C525" s="258"/>
      <c r="D525" s="257"/>
      <c r="E525" s="257"/>
      <c r="F525" s="257"/>
      <c r="G525" s="258"/>
      <c r="H525" s="258"/>
      <c r="I525" s="258"/>
      <c r="J525" s="258"/>
      <c r="K525" s="258"/>
      <c r="L525" s="258"/>
      <c r="M525" s="258"/>
      <c r="N525" s="258"/>
    </row>
    <row r="526">
      <c r="A526" s="257"/>
      <c r="B526" s="257"/>
      <c r="C526" s="258"/>
      <c r="D526" s="257"/>
      <c r="E526" s="257"/>
      <c r="F526" s="257"/>
      <c r="G526" s="258"/>
      <c r="H526" s="258"/>
      <c r="I526" s="258"/>
      <c r="J526" s="258"/>
      <c r="K526" s="258"/>
      <c r="L526" s="258"/>
      <c r="M526" s="258"/>
      <c r="N526" s="258"/>
    </row>
    <row r="527">
      <c r="A527" s="257"/>
      <c r="B527" s="257"/>
      <c r="C527" s="258"/>
      <c r="D527" s="257"/>
      <c r="E527" s="257"/>
      <c r="F527" s="257"/>
      <c r="G527" s="258"/>
      <c r="H527" s="258"/>
      <c r="I527" s="258"/>
      <c r="J527" s="258"/>
      <c r="K527" s="258"/>
      <c r="L527" s="258"/>
      <c r="M527" s="258"/>
      <c r="N527" s="258"/>
    </row>
    <row r="528">
      <c r="A528" s="257"/>
      <c r="B528" s="257"/>
      <c r="C528" s="258"/>
      <c r="D528" s="257"/>
      <c r="E528" s="257"/>
      <c r="F528" s="257"/>
      <c r="G528" s="258"/>
      <c r="H528" s="258"/>
      <c r="I528" s="258"/>
      <c r="J528" s="258"/>
      <c r="K528" s="258"/>
      <c r="L528" s="258"/>
      <c r="M528" s="258"/>
      <c r="N528" s="258"/>
    </row>
    <row r="529">
      <c r="A529" s="257"/>
      <c r="B529" s="257"/>
      <c r="C529" s="258"/>
      <c r="D529" s="257"/>
      <c r="E529" s="257"/>
      <c r="F529" s="257"/>
      <c r="G529" s="258"/>
      <c r="H529" s="258"/>
      <c r="I529" s="258"/>
      <c r="J529" s="258"/>
      <c r="K529" s="258"/>
      <c r="L529" s="258"/>
      <c r="M529" s="258"/>
      <c r="N529" s="258"/>
    </row>
    <row r="530">
      <c r="A530" s="257"/>
      <c r="B530" s="257"/>
      <c r="C530" s="258"/>
      <c r="D530" s="257"/>
      <c r="E530" s="257"/>
      <c r="F530" s="257"/>
      <c r="G530" s="258"/>
      <c r="H530" s="258"/>
      <c r="I530" s="258"/>
      <c r="J530" s="258"/>
      <c r="K530" s="258"/>
      <c r="L530" s="258"/>
      <c r="M530" s="258"/>
      <c r="N530" s="258"/>
    </row>
    <row r="531">
      <c r="A531" s="257"/>
      <c r="B531" s="257"/>
      <c r="C531" s="258"/>
      <c r="D531" s="257"/>
      <c r="E531" s="257"/>
      <c r="F531" s="257"/>
      <c r="G531" s="258"/>
      <c r="H531" s="258"/>
      <c r="I531" s="258"/>
      <c r="J531" s="258"/>
      <c r="K531" s="258"/>
      <c r="L531" s="258"/>
      <c r="M531" s="258"/>
      <c r="N531" s="258"/>
    </row>
    <row r="532">
      <c r="A532" s="257"/>
      <c r="B532" s="257"/>
      <c r="C532" s="258"/>
      <c r="D532" s="257"/>
      <c r="E532" s="257"/>
      <c r="F532" s="257"/>
      <c r="G532" s="258"/>
      <c r="H532" s="258"/>
      <c r="I532" s="258"/>
      <c r="J532" s="258"/>
      <c r="K532" s="258"/>
      <c r="L532" s="258"/>
      <c r="M532" s="258"/>
      <c r="N532" s="258"/>
    </row>
    <row r="533">
      <c r="A533" s="257"/>
      <c r="B533" s="257"/>
      <c r="C533" s="258"/>
      <c r="D533" s="257"/>
      <c r="E533" s="257"/>
      <c r="F533" s="257"/>
      <c r="G533" s="258"/>
      <c r="H533" s="258"/>
      <c r="I533" s="258"/>
      <c r="J533" s="258"/>
      <c r="K533" s="258"/>
      <c r="L533" s="258"/>
      <c r="M533" s="258"/>
      <c r="N533" s="258"/>
    </row>
    <row r="534">
      <c r="A534" s="257"/>
      <c r="B534" s="257"/>
      <c r="C534" s="258"/>
      <c r="D534" s="257"/>
      <c r="E534" s="257"/>
      <c r="F534" s="257"/>
      <c r="G534" s="258"/>
      <c r="H534" s="258"/>
      <c r="I534" s="258"/>
      <c r="J534" s="258"/>
      <c r="K534" s="258"/>
      <c r="L534" s="258"/>
      <c r="M534" s="258"/>
      <c r="N534" s="258"/>
    </row>
    <row r="535">
      <c r="A535" s="257"/>
      <c r="B535" s="257"/>
      <c r="C535" s="258"/>
      <c r="D535" s="257"/>
      <c r="E535" s="257"/>
      <c r="F535" s="257"/>
      <c r="G535" s="258"/>
      <c r="H535" s="258"/>
      <c r="I535" s="258"/>
      <c r="J535" s="258"/>
      <c r="K535" s="258"/>
      <c r="L535" s="258"/>
      <c r="M535" s="258"/>
      <c r="N535" s="258"/>
    </row>
    <row r="536">
      <c r="A536" s="257"/>
      <c r="B536" s="257"/>
      <c r="C536" s="258"/>
      <c r="D536" s="257"/>
      <c r="E536" s="257"/>
      <c r="F536" s="257"/>
      <c r="G536" s="258"/>
      <c r="H536" s="258"/>
      <c r="I536" s="258"/>
      <c r="J536" s="258"/>
      <c r="K536" s="258"/>
      <c r="L536" s="258"/>
      <c r="M536" s="258"/>
      <c r="N536" s="258"/>
    </row>
    <row r="537">
      <c r="A537" s="257"/>
      <c r="B537" s="257"/>
      <c r="C537" s="258"/>
      <c r="D537" s="257"/>
      <c r="E537" s="257"/>
      <c r="F537" s="257"/>
      <c r="G537" s="258"/>
      <c r="H537" s="258"/>
      <c r="I537" s="258"/>
      <c r="J537" s="258"/>
      <c r="K537" s="258"/>
      <c r="L537" s="258"/>
      <c r="M537" s="258"/>
      <c r="N537" s="258"/>
    </row>
    <row r="538">
      <c r="A538" s="257"/>
      <c r="B538" s="257"/>
      <c r="C538" s="258"/>
      <c r="D538" s="257"/>
      <c r="E538" s="257"/>
      <c r="F538" s="257"/>
      <c r="G538" s="258"/>
      <c r="H538" s="258"/>
      <c r="I538" s="258"/>
      <c r="J538" s="258"/>
      <c r="K538" s="258"/>
      <c r="L538" s="258"/>
      <c r="M538" s="258"/>
      <c r="N538" s="258"/>
    </row>
    <row r="539">
      <c r="A539" s="257"/>
      <c r="B539" s="257"/>
      <c r="C539" s="258"/>
      <c r="D539" s="257"/>
      <c r="E539" s="257"/>
      <c r="F539" s="257"/>
      <c r="G539" s="258"/>
      <c r="H539" s="258"/>
      <c r="I539" s="258"/>
      <c r="J539" s="258"/>
      <c r="K539" s="258"/>
      <c r="L539" s="258"/>
      <c r="M539" s="258"/>
      <c r="N539" s="258"/>
    </row>
    <row r="540">
      <c r="A540" s="257"/>
      <c r="B540" s="257"/>
      <c r="C540" s="258"/>
      <c r="D540" s="257"/>
      <c r="E540" s="257"/>
      <c r="F540" s="257"/>
      <c r="G540" s="258"/>
      <c r="H540" s="258"/>
      <c r="I540" s="258"/>
      <c r="J540" s="258"/>
      <c r="K540" s="258"/>
      <c r="L540" s="258"/>
      <c r="M540" s="258"/>
      <c r="N540" s="258"/>
    </row>
    <row r="541">
      <c r="A541" s="257"/>
      <c r="B541" s="257"/>
      <c r="C541" s="258"/>
      <c r="D541" s="257"/>
      <c r="E541" s="257"/>
      <c r="F541" s="257"/>
      <c r="G541" s="258"/>
      <c r="H541" s="258"/>
      <c r="I541" s="258"/>
      <c r="J541" s="258"/>
      <c r="K541" s="258"/>
      <c r="L541" s="258"/>
      <c r="M541" s="258"/>
      <c r="N541" s="258"/>
    </row>
    <row r="542">
      <c r="A542" s="257"/>
      <c r="B542" s="257"/>
      <c r="C542" s="258"/>
      <c r="D542" s="257"/>
      <c r="E542" s="257"/>
      <c r="F542" s="257"/>
      <c r="G542" s="258"/>
      <c r="H542" s="258"/>
      <c r="I542" s="258"/>
      <c r="J542" s="258"/>
      <c r="K542" s="258"/>
      <c r="L542" s="258"/>
      <c r="M542" s="258"/>
      <c r="N542" s="258"/>
    </row>
    <row r="543">
      <c r="A543" s="257"/>
      <c r="B543" s="257"/>
      <c r="C543" s="258"/>
      <c r="D543" s="257"/>
      <c r="E543" s="257"/>
      <c r="F543" s="257"/>
      <c r="G543" s="258"/>
      <c r="H543" s="258"/>
      <c r="I543" s="258"/>
      <c r="J543" s="258"/>
      <c r="K543" s="258"/>
      <c r="L543" s="258"/>
      <c r="M543" s="258"/>
      <c r="N543" s="258"/>
    </row>
    <row r="544">
      <c r="A544" s="257"/>
      <c r="B544" s="257"/>
      <c r="C544" s="258"/>
      <c r="D544" s="257"/>
      <c r="E544" s="257"/>
      <c r="F544" s="257"/>
      <c r="G544" s="258"/>
      <c r="H544" s="258"/>
      <c r="I544" s="258"/>
      <c r="J544" s="258"/>
      <c r="K544" s="258"/>
      <c r="L544" s="258"/>
      <c r="M544" s="258"/>
      <c r="N544" s="258"/>
    </row>
    <row r="545">
      <c r="A545" s="257"/>
      <c r="B545" s="257"/>
      <c r="C545" s="258"/>
      <c r="D545" s="257"/>
      <c r="E545" s="257"/>
      <c r="F545" s="257"/>
      <c r="G545" s="258"/>
      <c r="H545" s="258"/>
      <c r="I545" s="258"/>
      <c r="J545" s="258"/>
      <c r="K545" s="258"/>
      <c r="L545" s="258"/>
      <c r="M545" s="258"/>
      <c r="N545" s="258"/>
    </row>
    <row r="546">
      <c r="A546" s="257"/>
      <c r="B546" s="257"/>
      <c r="C546" s="258"/>
      <c r="D546" s="257"/>
      <c r="E546" s="257"/>
      <c r="F546" s="257"/>
      <c r="G546" s="258"/>
      <c r="H546" s="258"/>
      <c r="I546" s="258"/>
      <c r="J546" s="258"/>
      <c r="K546" s="258"/>
      <c r="L546" s="258"/>
      <c r="M546" s="258"/>
      <c r="N546" s="258"/>
    </row>
    <row r="547">
      <c r="A547" s="257"/>
      <c r="B547" s="257"/>
      <c r="C547" s="258"/>
      <c r="D547" s="257"/>
      <c r="E547" s="257"/>
      <c r="F547" s="257"/>
      <c r="G547" s="258"/>
      <c r="H547" s="258"/>
      <c r="I547" s="258"/>
      <c r="J547" s="258"/>
      <c r="K547" s="258"/>
      <c r="L547" s="258"/>
      <c r="M547" s="258"/>
      <c r="N547" s="258"/>
    </row>
    <row r="548">
      <c r="A548" s="257"/>
      <c r="B548" s="257"/>
      <c r="C548" s="258"/>
      <c r="D548" s="257"/>
      <c r="E548" s="257"/>
      <c r="F548" s="257"/>
      <c r="G548" s="258"/>
      <c r="H548" s="258"/>
      <c r="I548" s="258"/>
      <c r="J548" s="258"/>
      <c r="K548" s="258"/>
      <c r="L548" s="258"/>
      <c r="M548" s="258"/>
      <c r="N548" s="258"/>
    </row>
    <row r="549">
      <c r="A549" s="257"/>
      <c r="B549" s="257"/>
      <c r="C549" s="258"/>
      <c r="D549" s="257"/>
      <c r="E549" s="257"/>
      <c r="F549" s="257"/>
      <c r="G549" s="258"/>
      <c r="H549" s="258"/>
      <c r="I549" s="258"/>
      <c r="J549" s="258"/>
      <c r="K549" s="258"/>
      <c r="L549" s="258"/>
      <c r="M549" s="258"/>
      <c r="N549" s="258"/>
    </row>
    <row r="550">
      <c r="A550" s="257"/>
      <c r="B550" s="257"/>
      <c r="C550" s="258"/>
      <c r="D550" s="257"/>
      <c r="E550" s="257"/>
      <c r="F550" s="257"/>
      <c r="G550" s="258"/>
      <c r="H550" s="258"/>
      <c r="I550" s="258"/>
      <c r="J550" s="258"/>
      <c r="K550" s="258"/>
      <c r="L550" s="258"/>
      <c r="M550" s="258"/>
      <c r="N550" s="258"/>
    </row>
    <row r="551">
      <c r="A551" s="257"/>
      <c r="B551" s="257"/>
      <c r="C551" s="258"/>
      <c r="D551" s="257"/>
      <c r="E551" s="257"/>
      <c r="F551" s="257"/>
      <c r="G551" s="258"/>
      <c r="H551" s="258"/>
      <c r="I551" s="258"/>
      <c r="J551" s="258"/>
      <c r="K551" s="258"/>
      <c r="L551" s="258"/>
      <c r="M551" s="258"/>
      <c r="N551" s="258"/>
    </row>
    <row r="552">
      <c r="A552" s="257"/>
      <c r="B552" s="257"/>
      <c r="C552" s="258"/>
      <c r="D552" s="257"/>
      <c r="E552" s="257"/>
      <c r="F552" s="257"/>
      <c r="G552" s="258"/>
      <c r="H552" s="258"/>
      <c r="I552" s="258"/>
      <c r="J552" s="258"/>
      <c r="K552" s="258"/>
      <c r="L552" s="258"/>
      <c r="M552" s="258"/>
      <c r="N552" s="258"/>
    </row>
    <row r="553">
      <c r="A553" s="257"/>
      <c r="B553" s="257"/>
      <c r="C553" s="258"/>
      <c r="D553" s="257"/>
      <c r="E553" s="257"/>
      <c r="F553" s="257"/>
      <c r="G553" s="258"/>
      <c r="H553" s="258"/>
      <c r="I553" s="258"/>
      <c r="J553" s="258"/>
      <c r="K553" s="258"/>
      <c r="L553" s="258"/>
      <c r="M553" s="258"/>
      <c r="N553" s="258"/>
    </row>
    <row r="554">
      <c r="A554" s="257"/>
      <c r="B554" s="257"/>
      <c r="C554" s="258"/>
      <c r="D554" s="257"/>
      <c r="E554" s="257"/>
      <c r="F554" s="257"/>
      <c r="G554" s="258"/>
      <c r="H554" s="258"/>
      <c r="I554" s="258"/>
      <c r="J554" s="258"/>
      <c r="K554" s="258"/>
      <c r="L554" s="258"/>
      <c r="M554" s="258"/>
      <c r="N554" s="258"/>
    </row>
    <row r="555">
      <c r="A555" s="257"/>
      <c r="B555" s="257"/>
      <c r="C555" s="258"/>
      <c r="D555" s="257"/>
      <c r="E555" s="257"/>
      <c r="F555" s="257"/>
      <c r="G555" s="258"/>
      <c r="H555" s="258"/>
      <c r="I555" s="258"/>
      <c r="J555" s="258"/>
      <c r="K555" s="258"/>
      <c r="L555" s="258"/>
      <c r="M555" s="258"/>
      <c r="N555" s="258"/>
    </row>
    <row r="556">
      <c r="A556" s="257"/>
      <c r="B556" s="257"/>
      <c r="C556" s="258"/>
      <c r="D556" s="257"/>
      <c r="E556" s="257"/>
      <c r="F556" s="257"/>
      <c r="G556" s="258"/>
      <c r="H556" s="258"/>
      <c r="I556" s="258"/>
      <c r="J556" s="258"/>
      <c r="K556" s="258"/>
      <c r="L556" s="258"/>
      <c r="M556" s="258"/>
      <c r="N556" s="258"/>
    </row>
    <row r="557">
      <c r="A557" s="257"/>
      <c r="B557" s="257"/>
      <c r="C557" s="258"/>
      <c r="D557" s="257"/>
      <c r="E557" s="257"/>
      <c r="F557" s="257"/>
      <c r="G557" s="258"/>
      <c r="H557" s="258"/>
      <c r="I557" s="258"/>
      <c r="J557" s="258"/>
      <c r="K557" s="258"/>
      <c r="L557" s="258"/>
      <c r="M557" s="258"/>
      <c r="N557" s="258"/>
    </row>
    <row r="558">
      <c r="A558" s="257"/>
      <c r="B558" s="257"/>
      <c r="C558" s="258"/>
      <c r="D558" s="257"/>
      <c r="E558" s="257"/>
      <c r="F558" s="257"/>
      <c r="G558" s="258"/>
      <c r="H558" s="258"/>
      <c r="I558" s="258"/>
      <c r="J558" s="258"/>
      <c r="K558" s="258"/>
      <c r="L558" s="258"/>
      <c r="M558" s="258"/>
      <c r="N558" s="258"/>
    </row>
    <row r="559">
      <c r="A559" s="257"/>
      <c r="B559" s="257"/>
      <c r="C559" s="258"/>
      <c r="D559" s="257"/>
      <c r="E559" s="257"/>
      <c r="F559" s="257"/>
      <c r="G559" s="258"/>
      <c r="H559" s="258"/>
      <c r="I559" s="258"/>
      <c r="J559" s="258"/>
      <c r="K559" s="258"/>
      <c r="L559" s="258"/>
      <c r="M559" s="258"/>
      <c r="N559" s="258"/>
    </row>
    <row r="560">
      <c r="A560" s="257"/>
      <c r="B560" s="257"/>
      <c r="C560" s="258"/>
      <c r="D560" s="257"/>
      <c r="E560" s="257"/>
      <c r="F560" s="257"/>
      <c r="G560" s="258"/>
      <c r="H560" s="258"/>
      <c r="I560" s="258"/>
      <c r="J560" s="258"/>
      <c r="K560" s="258"/>
      <c r="L560" s="258"/>
      <c r="M560" s="258"/>
      <c r="N560" s="258"/>
    </row>
    <row r="561">
      <c r="A561" s="257"/>
      <c r="B561" s="257"/>
      <c r="C561" s="258"/>
      <c r="D561" s="257"/>
      <c r="E561" s="257"/>
      <c r="F561" s="257"/>
      <c r="G561" s="258"/>
      <c r="H561" s="258"/>
      <c r="I561" s="258"/>
      <c r="J561" s="258"/>
      <c r="K561" s="258"/>
      <c r="L561" s="258"/>
      <c r="M561" s="258"/>
      <c r="N561" s="258"/>
    </row>
    <row r="562">
      <c r="A562" s="257"/>
      <c r="B562" s="257"/>
      <c r="C562" s="258"/>
      <c r="D562" s="257"/>
      <c r="E562" s="257"/>
      <c r="F562" s="257"/>
      <c r="G562" s="258"/>
      <c r="H562" s="258"/>
      <c r="I562" s="258"/>
      <c r="J562" s="258"/>
      <c r="K562" s="258"/>
      <c r="L562" s="258"/>
      <c r="M562" s="258"/>
      <c r="N562" s="258"/>
    </row>
    <row r="563">
      <c r="A563" s="257"/>
      <c r="B563" s="257"/>
      <c r="C563" s="258"/>
      <c r="D563" s="257"/>
      <c r="E563" s="257"/>
      <c r="F563" s="257"/>
      <c r="G563" s="258"/>
      <c r="H563" s="258"/>
      <c r="I563" s="258"/>
      <c r="J563" s="258"/>
      <c r="K563" s="258"/>
      <c r="L563" s="258"/>
      <c r="M563" s="258"/>
      <c r="N563" s="258"/>
    </row>
    <row r="564">
      <c r="A564" s="257"/>
      <c r="B564" s="257"/>
      <c r="C564" s="258"/>
      <c r="D564" s="257"/>
      <c r="E564" s="257"/>
      <c r="F564" s="257"/>
      <c r="G564" s="258"/>
      <c r="H564" s="258"/>
      <c r="I564" s="258"/>
      <c r="J564" s="258"/>
      <c r="K564" s="258"/>
      <c r="L564" s="258"/>
      <c r="M564" s="258"/>
      <c r="N564" s="258"/>
    </row>
    <row r="565">
      <c r="A565" s="257"/>
      <c r="B565" s="257"/>
      <c r="C565" s="258"/>
      <c r="D565" s="257"/>
      <c r="E565" s="257"/>
      <c r="F565" s="257"/>
      <c r="G565" s="258"/>
      <c r="H565" s="258"/>
      <c r="I565" s="258"/>
      <c r="J565" s="258"/>
      <c r="K565" s="258"/>
      <c r="L565" s="258"/>
      <c r="M565" s="258"/>
      <c r="N565" s="258"/>
    </row>
    <row r="566">
      <c r="A566" s="257"/>
      <c r="B566" s="257"/>
      <c r="C566" s="258"/>
      <c r="D566" s="257"/>
      <c r="E566" s="257"/>
      <c r="F566" s="257"/>
      <c r="G566" s="258"/>
      <c r="H566" s="258"/>
      <c r="I566" s="258"/>
      <c r="J566" s="258"/>
      <c r="K566" s="258"/>
      <c r="L566" s="258"/>
      <c r="M566" s="258"/>
      <c r="N566" s="258"/>
    </row>
    <row r="567">
      <c r="A567" s="257"/>
      <c r="B567" s="257"/>
      <c r="C567" s="258"/>
      <c r="D567" s="257"/>
      <c r="E567" s="257"/>
      <c r="F567" s="257"/>
      <c r="G567" s="258"/>
      <c r="H567" s="258"/>
      <c r="I567" s="258"/>
      <c r="J567" s="258"/>
      <c r="K567" s="258"/>
      <c r="L567" s="258"/>
      <c r="M567" s="258"/>
      <c r="N567" s="258"/>
    </row>
    <row r="568">
      <c r="A568" s="257"/>
      <c r="B568" s="257"/>
      <c r="C568" s="258"/>
      <c r="D568" s="257"/>
      <c r="E568" s="257"/>
      <c r="F568" s="257"/>
      <c r="G568" s="258"/>
      <c r="H568" s="258"/>
      <c r="I568" s="258"/>
      <c r="J568" s="258"/>
      <c r="K568" s="258"/>
      <c r="L568" s="258"/>
      <c r="M568" s="258"/>
      <c r="N568" s="258"/>
    </row>
    <row r="569">
      <c r="A569" s="257"/>
      <c r="B569" s="257"/>
      <c r="C569" s="258"/>
      <c r="D569" s="257"/>
      <c r="E569" s="257"/>
      <c r="F569" s="257"/>
      <c r="G569" s="258"/>
      <c r="H569" s="258"/>
      <c r="I569" s="258"/>
      <c r="J569" s="258"/>
      <c r="K569" s="258"/>
      <c r="L569" s="258"/>
      <c r="M569" s="258"/>
      <c r="N569" s="258"/>
    </row>
    <row r="570">
      <c r="A570" s="257"/>
      <c r="B570" s="257"/>
      <c r="C570" s="258"/>
      <c r="D570" s="257"/>
      <c r="E570" s="257"/>
      <c r="F570" s="257"/>
      <c r="G570" s="258"/>
      <c r="H570" s="258"/>
      <c r="I570" s="258"/>
      <c r="J570" s="258"/>
      <c r="K570" s="258"/>
      <c r="L570" s="258"/>
      <c r="M570" s="258"/>
      <c r="N570" s="258"/>
    </row>
    <row r="571">
      <c r="A571" s="257"/>
      <c r="B571" s="257"/>
      <c r="C571" s="258"/>
      <c r="D571" s="257"/>
      <c r="E571" s="257"/>
      <c r="F571" s="257"/>
      <c r="G571" s="258"/>
      <c r="H571" s="258"/>
      <c r="I571" s="258"/>
      <c r="J571" s="258"/>
      <c r="K571" s="258"/>
      <c r="L571" s="258"/>
      <c r="M571" s="258"/>
      <c r="N571" s="258"/>
    </row>
    <row r="572">
      <c r="A572" s="257"/>
      <c r="B572" s="257"/>
      <c r="C572" s="258"/>
      <c r="D572" s="257"/>
      <c r="E572" s="257"/>
      <c r="F572" s="257"/>
      <c r="G572" s="258"/>
      <c r="H572" s="258"/>
      <c r="I572" s="258"/>
      <c r="J572" s="258"/>
      <c r="K572" s="258"/>
      <c r="L572" s="258"/>
      <c r="M572" s="258"/>
      <c r="N572" s="258"/>
    </row>
    <row r="573">
      <c r="A573" s="257"/>
      <c r="B573" s="257"/>
      <c r="C573" s="258"/>
      <c r="D573" s="257"/>
      <c r="E573" s="257"/>
      <c r="F573" s="257"/>
      <c r="G573" s="258"/>
      <c r="H573" s="258"/>
      <c r="I573" s="258"/>
      <c r="J573" s="258"/>
      <c r="K573" s="258"/>
      <c r="L573" s="258"/>
      <c r="M573" s="258"/>
      <c r="N573" s="258"/>
    </row>
    <row r="574">
      <c r="A574" s="257"/>
      <c r="B574" s="257"/>
      <c r="C574" s="258"/>
      <c r="D574" s="257"/>
      <c r="E574" s="257"/>
      <c r="F574" s="257"/>
      <c r="G574" s="258"/>
      <c r="H574" s="258"/>
      <c r="I574" s="258"/>
      <c r="J574" s="258"/>
      <c r="K574" s="258"/>
      <c r="L574" s="258"/>
      <c r="M574" s="258"/>
      <c r="N574" s="258"/>
    </row>
    <row r="575">
      <c r="A575" s="257"/>
      <c r="B575" s="257"/>
      <c r="C575" s="258"/>
      <c r="D575" s="257"/>
      <c r="E575" s="257"/>
      <c r="F575" s="257"/>
      <c r="G575" s="258"/>
      <c r="H575" s="258"/>
      <c r="I575" s="258"/>
      <c r="J575" s="258"/>
      <c r="K575" s="258"/>
      <c r="L575" s="258"/>
      <c r="M575" s="258"/>
      <c r="N575" s="258"/>
    </row>
    <row r="576">
      <c r="A576" s="257"/>
      <c r="B576" s="257"/>
      <c r="C576" s="258"/>
      <c r="D576" s="257"/>
      <c r="E576" s="257"/>
      <c r="F576" s="257"/>
      <c r="G576" s="258"/>
      <c r="H576" s="258"/>
      <c r="I576" s="258"/>
      <c r="J576" s="258"/>
      <c r="K576" s="258"/>
      <c r="L576" s="258"/>
      <c r="M576" s="258"/>
      <c r="N576" s="258"/>
    </row>
    <row r="577">
      <c r="A577" s="257"/>
      <c r="B577" s="257"/>
      <c r="C577" s="258"/>
      <c r="D577" s="257"/>
      <c r="E577" s="257"/>
      <c r="F577" s="257"/>
      <c r="G577" s="258"/>
      <c r="H577" s="258"/>
      <c r="I577" s="258"/>
      <c r="J577" s="258"/>
      <c r="K577" s="258"/>
      <c r="L577" s="258"/>
      <c r="M577" s="258"/>
      <c r="N577" s="258"/>
    </row>
    <row r="578">
      <c r="A578" s="257"/>
      <c r="B578" s="257"/>
      <c r="C578" s="258"/>
      <c r="D578" s="257"/>
      <c r="E578" s="257"/>
      <c r="F578" s="257"/>
      <c r="G578" s="258"/>
      <c r="H578" s="258"/>
      <c r="I578" s="258"/>
      <c r="J578" s="258"/>
      <c r="K578" s="258"/>
      <c r="L578" s="258"/>
      <c r="M578" s="258"/>
      <c r="N578" s="258"/>
    </row>
    <row r="579">
      <c r="A579" s="257"/>
      <c r="B579" s="257"/>
      <c r="C579" s="258"/>
      <c r="D579" s="257"/>
      <c r="E579" s="257"/>
      <c r="F579" s="257"/>
      <c r="G579" s="258"/>
      <c r="H579" s="258"/>
      <c r="I579" s="258"/>
      <c r="J579" s="258"/>
      <c r="K579" s="258"/>
      <c r="L579" s="258"/>
      <c r="M579" s="258"/>
      <c r="N579" s="258"/>
    </row>
    <row r="580">
      <c r="A580" s="257"/>
      <c r="B580" s="257"/>
      <c r="C580" s="258"/>
      <c r="D580" s="257"/>
      <c r="E580" s="257"/>
      <c r="F580" s="257"/>
      <c r="G580" s="258"/>
      <c r="H580" s="258"/>
      <c r="I580" s="258"/>
      <c r="J580" s="258"/>
      <c r="K580" s="258"/>
      <c r="L580" s="258"/>
      <c r="M580" s="258"/>
      <c r="N580" s="258"/>
    </row>
    <row r="581">
      <c r="A581" s="257"/>
      <c r="B581" s="257"/>
      <c r="C581" s="258"/>
      <c r="D581" s="257"/>
      <c r="E581" s="257"/>
      <c r="F581" s="257"/>
      <c r="G581" s="258"/>
      <c r="H581" s="258"/>
      <c r="I581" s="258"/>
      <c r="J581" s="258"/>
      <c r="K581" s="258"/>
      <c r="L581" s="258"/>
      <c r="M581" s="258"/>
      <c r="N581" s="258"/>
    </row>
    <row r="582">
      <c r="A582" s="257"/>
      <c r="B582" s="257"/>
      <c r="C582" s="258"/>
      <c r="D582" s="257"/>
      <c r="E582" s="257"/>
      <c r="F582" s="257"/>
      <c r="G582" s="258"/>
      <c r="H582" s="258"/>
      <c r="I582" s="258"/>
      <c r="J582" s="258"/>
      <c r="K582" s="258"/>
      <c r="L582" s="258"/>
      <c r="M582" s="258"/>
      <c r="N582" s="258"/>
    </row>
    <row r="583">
      <c r="A583" s="257"/>
      <c r="B583" s="257"/>
      <c r="C583" s="258"/>
      <c r="D583" s="257"/>
      <c r="E583" s="257"/>
      <c r="F583" s="257"/>
      <c r="G583" s="258"/>
      <c r="H583" s="258"/>
      <c r="I583" s="258"/>
      <c r="J583" s="258"/>
      <c r="K583" s="258"/>
      <c r="L583" s="258"/>
      <c r="M583" s="258"/>
      <c r="N583" s="258"/>
    </row>
    <row r="584">
      <c r="A584" s="257"/>
      <c r="B584" s="257"/>
      <c r="C584" s="258"/>
      <c r="D584" s="257"/>
      <c r="E584" s="257"/>
      <c r="F584" s="257"/>
      <c r="G584" s="258"/>
      <c r="H584" s="258"/>
      <c r="I584" s="258"/>
      <c r="J584" s="258"/>
      <c r="K584" s="258"/>
      <c r="L584" s="258"/>
      <c r="M584" s="258"/>
      <c r="N584" s="258"/>
    </row>
    <row r="585">
      <c r="A585" s="257"/>
      <c r="B585" s="257"/>
      <c r="C585" s="258"/>
      <c r="D585" s="257"/>
      <c r="E585" s="257"/>
      <c r="F585" s="257"/>
      <c r="G585" s="258"/>
      <c r="H585" s="258"/>
      <c r="I585" s="258"/>
      <c r="J585" s="258"/>
      <c r="K585" s="258"/>
      <c r="L585" s="258"/>
      <c r="M585" s="258"/>
      <c r="N585" s="258"/>
    </row>
    <row r="586">
      <c r="A586" s="257"/>
      <c r="B586" s="257"/>
      <c r="C586" s="258"/>
      <c r="D586" s="257"/>
      <c r="E586" s="257"/>
      <c r="F586" s="257"/>
      <c r="G586" s="258"/>
      <c r="H586" s="258"/>
      <c r="I586" s="258"/>
      <c r="J586" s="258"/>
      <c r="K586" s="258"/>
      <c r="L586" s="258"/>
      <c r="M586" s="258"/>
      <c r="N586" s="258"/>
    </row>
    <row r="587">
      <c r="A587" s="257"/>
      <c r="B587" s="257"/>
      <c r="C587" s="258"/>
      <c r="D587" s="257"/>
      <c r="E587" s="257"/>
      <c r="F587" s="257"/>
      <c r="G587" s="258"/>
      <c r="H587" s="258"/>
      <c r="I587" s="258"/>
      <c r="J587" s="258"/>
      <c r="K587" s="258"/>
      <c r="L587" s="258"/>
      <c r="M587" s="258"/>
      <c r="N587" s="258"/>
    </row>
    <row r="588">
      <c r="A588" s="257"/>
      <c r="B588" s="257"/>
      <c r="C588" s="258"/>
      <c r="D588" s="257"/>
      <c r="E588" s="257"/>
      <c r="F588" s="257"/>
      <c r="G588" s="258"/>
      <c r="H588" s="258"/>
      <c r="I588" s="258"/>
      <c r="J588" s="258"/>
      <c r="K588" s="258"/>
      <c r="L588" s="258"/>
      <c r="M588" s="258"/>
      <c r="N588" s="258"/>
    </row>
    <row r="589">
      <c r="A589" s="257"/>
      <c r="B589" s="257"/>
      <c r="C589" s="258"/>
      <c r="D589" s="257"/>
      <c r="E589" s="257"/>
      <c r="F589" s="257"/>
      <c r="G589" s="258"/>
      <c r="H589" s="258"/>
      <c r="I589" s="258"/>
      <c r="J589" s="258"/>
      <c r="K589" s="258"/>
      <c r="L589" s="258"/>
      <c r="M589" s="258"/>
      <c r="N589" s="258"/>
    </row>
    <row r="590">
      <c r="A590" s="257"/>
      <c r="B590" s="257"/>
      <c r="C590" s="258"/>
      <c r="D590" s="257"/>
      <c r="E590" s="257"/>
      <c r="F590" s="257"/>
      <c r="G590" s="258"/>
      <c r="H590" s="258"/>
      <c r="I590" s="258"/>
      <c r="J590" s="258"/>
      <c r="K590" s="258"/>
      <c r="L590" s="258"/>
      <c r="M590" s="258"/>
      <c r="N590" s="258"/>
    </row>
    <row r="591">
      <c r="A591" s="257"/>
      <c r="B591" s="257"/>
      <c r="C591" s="258"/>
      <c r="D591" s="257"/>
      <c r="E591" s="257"/>
      <c r="F591" s="257"/>
      <c r="G591" s="258"/>
      <c r="H591" s="258"/>
      <c r="I591" s="258"/>
      <c r="J591" s="258"/>
      <c r="K591" s="258"/>
      <c r="L591" s="258"/>
      <c r="M591" s="258"/>
      <c r="N591" s="258"/>
    </row>
    <row r="592">
      <c r="A592" s="257"/>
      <c r="B592" s="257"/>
      <c r="C592" s="258"/>
      <c r="D592" s="257"/>
      <c r="E592" s="257"/>
      <c r="F592" s="257"/>
      <c r="G592" s="258"/>
      <c r="H592" s="258"/>
      <c r="I592" s="258"/>
      <c r="J592" s="258"/>
      <c r="K592" s="258"/>
      <c r="L592" s="258"/>
      <c r="M592" s="258"/>
      <c r="N592" s="258"/>
    </row>
    <row r="593">
      <c r="A593" s="257"/>
      <c r="B593" s="257"/>
      <c r="C593" s="258"/>
      <c r="D593" s="257"/>
      <c r="E593" s="257"/>
      <c r="F593" s="257"/>
      <c r="G593" s="258"/>
      <c r="H593" s="258"/>
      <c r="I593" s="258"/>
      <c r="J593" s="258"/>
      <c r="K593" s="258"/>
      <c r="L593" s="258"/>
      <c r="M593" s="258"/>
      <c r="N593" s="258"/>
    </row>
    <row r="594">
      <c r="A594" s="257"/>
      <c r="B594" s="257"/>
      <c r="C594" s="258"/>
      <c r="D594" s="257"/>
      <c r="E594" s="257"/>
      <c r="F594" s="257"/>
      <c r="G594" s="258"/>
      <c r="H594" s="258"/>
      <c r="I594" s="258"/>
      <c r="J594" s="258"/>
      <c r="K594" s="258"/>
      <c r="L594" s="258"/>
      <c r="M594" s="258"/>
      <c r="N594" s="258"/>
    </row>
    <row r="595">
      <c r="A595" s="257"/>
      <c r="B595" s="257"/>
      <c r="C595" s="258"/>
      <c r="D595" s="257"/>
      <c r="E595" s="257"/>
      <c r="F595" s="257"/>
      <c r="G595" s="258"/>
      <c r="H595" s="258"/>
      <c r="I595" s="258"/>
      <c r="J595" s="258"/>
      <c r="K595" s="258"/>
      <c r="L595" s="258"/>
      <c r="M595" s="258"/>
      <c r="N595" s="258"/>
    </row>
    <row r="596">
      <c r="A596" s="257"/>
      <c r="B596" s="257"/>
      <c r="C596" s="258"/>
      <c r="D596" s="257"/>
      <c r="E596" s="257"/>
      <c r="F596" s="257"/>
      <c r="G596" s="258"/>
      <c r="H596" s="258"/>
      <c r="I596" s="258"/>
      <c r="J596" s="258"/>
      <c r="K596" s="258"/>
      <c r="L596" s="258"/>
      <c r="M596" s="258"/>
      <c r="N596" s="258"/>
    </row>
    <row r="597">
      <c r="A597" s="257"/>
      <c r="B597" s="257"/>
      <c r="C597" s="258"/>
      <c r="D597" s="257"/>
      <c r="E597" s="257"/>
      <c r="F597" s="257"/>
      <c r="G597" s="258"/>
      <c r="H597" s="258"/>
      <c r="I597" s="258"/>
      <c r="J597" s="258"/>
      <c r="K597" s="258"/>
      <c r="L597" s="258"/>
      <c r="M597" s="258"/>
      <c r="N597" s="258"/>
    </row>
    <row r="598">
      <c r="A598" s="257"/>
      <c r="B598" s="257"/>
      <c r="C598" s="258"/>
      <c r="D598" s="257"/>
      <c r="E598" s="257"/>
      <c r="F598" s="257"/>
      <c r="G598" s="258"/>
      <c r="H598" s="258"/>
      <c r="I598" s="258"/>
      <c r="J598" s="258"/>
      <c r="K598" s="258"/>
      <c r="L598" s="258"/>
      <c r="M598" s="258"/>
      <c r="N598" s="258"/>
    </row>
    <row r="599">
      <c r="A599" s="257"/>
      <c r="B599" s="257"/>
      <c r="C599" s="258"/>
      <c r="D599" s="257"/>
      <c r="E599" s="257"/>
      <c r="F599" s="257"/>
      <c r="G599" s="258"/>
      <c r="H599" s="258"/>
      <c r="I599" s="258"/>
      <c r="J599" s="258"/>
      <c r="K599" s="258"/>
      <c r="L599" s="258"/>
      <c r="M599" s="258"/>
      <c r="N599" s="258"/>
    </row>
    <row r="600">
      <c r="A600" s="257"/>
      <c r="B600" s="257"/>
      <c r="C600" s="258"/>
      <c r="D600" s="257"/>
      <c r="E600" s="257"/>
      <c r="F600" s="257"/>
      <c r="G600" s="258"/>
      <c r="H600" s="258"/>
      <c r="I600" s="258"/>
      <c r="J600" s="258"/>
      <c r="K600" s="258"/>
      <c r="L600" s="258"/>
      <c r="M600" s="258"/>
      <c r="N600" s="258"/>
    </row>
    <row r="601">
      <c r="A601" s="257"/>
      <c r="B601" s="257"/>
      <c r="C601" s="258"/>
      <c r="D601" s="257"/>
      <c r="E601" s="257"/>
      <c r="F601" s="257"/>
      <c r="G601" s="258"/>
      <c r="H601" s="258"/>
      <c r="I601" s="258"/>
      <c r="J601" s="258"/>
      <c r="K601" s="258"/>
      <c r="L601" s="258"/>
      <c r="M601" s="258"/>
      <c r="N601" s="258"/>
    </row>
    <row r="602">
      <c r="A602" s="257"/>
      <c r="B602" s="257"/>
      <c r="C602" s="258"/>
      <c r="D602" s="257"/>
      <c r="E602" s="257"/>
      <c r="F602" s="257"/>
      <c r="G602" s="258"/>
      <c r="H602" s="258"/>
      <c r="I602" s="258"/>
      <c r="J602" s="258"/>
      <c r="K602" s="258"/>
      <c r="L602" s="258"/>
      <c r="M602" s="258"/>
      <c r="N602" s="258"/>
    </row>
    <row r="603">
      <c r="A603" s="257"/>
      <c r="B603" s="257"/>
      <c r="C603" s="258"/>
      <c r="D603" s="257"/>
      <c r="E603" s="257"/>
      <c r="F603" s="257"/>
      <c r="G603" s="258"/>
      <c r="H603" s="258"/>
      <c r="I603" s="258"/>
      <c r="J603" s="258"/>
      <c r="K603" s="258"/>
      <c r="L603" s="258"/>
      <c r="M603" s="258"/>
      <c r="N603" s="258"/>
    </row>
    <row r="604">
      <c r="A604" s="257"/>
      <c r="B604" s="257"/>
      <c r="C604" s="258"/>
      <c r="D604" s="257"/>
      <c r="E604" s="257"/>
      <c r="F604" s="257"/>
      <c r="G604" s="258"/>
      <c r="H604" s="258"/>
      <c r="I604" s="258"/>
      <c r="J604" s="258"/>
      <c r="K604" s="258"/>
      <c r="L604" s="258"/>
      <c r="M604" s="258"/>
      <c r="N604" s="258"/>
    </row>
    <row r="605">
      <c r="A605" s="257"/>
      <c r="B605" s="257"/>
      <c r="C605" s="258"/>
      <c r="D605" s="257"/>
      <c r="E605" s="257"/>
      <c r="F605" s="257"/>
      <c r="G605" s="258"/>
      <c r="H605" s="258"/>
      <c r="I605" s="258"/>
      <c r="J605" s="258"/>
      <c r="K605" s="258"/>
      <c r="L605" s="258"/>
      <c r="M605" s="258"/>
      <c r="N605" s="258"/>
    </row>
    <row r="606">
      <c r="A606" s="257"/>
      <c r="B606" s="257"/>
      <c r="C606" s="258"/>
      <c r="D606" s="257"/>
      <c r="E606" s="257"/>
      <c r="F606" s="257"/>
      <c r="G606" s="258"/>
      <c r="H606" s="258"/>
      <c r="I606" s="258"/>
      <c r="J606" s="258"/>
      <c r="K606" s="258"/>
      <c r="L606" s="258"/>
      <c r="M606" s="258"/>
      <c r="N606" s="258"/>
    </row>
    <row r="607">
      <c r="A607" s="257"/>
      <c r="B607" s="257"/>
      <c r="C607" s="258"/>
      <c r="D607" s="257"/>
      <c r="E607" s="257"/>
      <c r="F607" s="257"/>
      <c r="G607" s="258"/>
      <c r="H607" s="258"/>
      <c r="I607" s="258"/>
      <c r="J607" s="258"/>
      <c r="K607" s="258"/>
      <c r="L607" s="258"/>
      <c r="M607" s="258"/>
      <c r="N607" s="258"/>
    </row>
    <row r="608">
      <c r="A608" s="257"/>
      <c r="B608" s="257"/>
      <c r="C608" s="258"/>
      <c r="D608" s="257"/>
      <c r="E608" s="257"/>
      <c r="F608" s="257"/>
      <c r="G608" s="258"/>
      <c r="H608" s="258"/>
      <c r="I608" s="258"/>
      <c r="J608" s="258"/>
      <c r="K608" s="258"/>
      <c r="L608" s="258"/>
      <c r="M608" s="258"/>
      <c r="N608" s="258"/>
    </row>
    <row r="609">
      <c r="A609" s="257"/>
      <c r="B609" s="257"/>
      <c r="C609" s="258"/>
      <c r="D609" s="257"/>
      <c r="E609" s="257"/>
      <c r="F609" s="257"/>
      <c r="G609" s="258"/>
      <c r="H609" s="258"/>
      <c r="I609" s="258"/>
      <c r="J609" s="258"/>
      <c r="K609" s="258"/>
      <c r="L609" s="258"/>
      <c r="M609" s="258"/>
      <c r="N609" s="258"/>
    </row>
    <row r="610">
      <c r="A610" s="257"/>
      <c r="B610" s="257"/>
      <c r="C610" s="258"/>
      <c r="D610" s="257"/>
      <c r="E610" s="257"/>
      <c r="F610" s="257"/>
      <c r="G610" s="258"/>
      <c r="H610" s="258"/>
      <c r="I610" s="258"/>
      <c r="J610" s="258"/>
      <c r="K610" s="258"/>
      <c r="L610" s="258"/>
      <c r="M610" s="258"/>
      <c r="N610" s="258"/>
    </row>
    <row r="611">
      <c r="A611" s="257"/>
      <c r="B611" s="257"/>
      <c r="C611" s="258"/>
      <c r="D611" s="257"/>
      <c r="E611" s="257"/>
      <c r="F611" s="257"/>
      <c r="G611" s="258"/>
      <c r="H611" s="258"/>
      <c r="I611" s="258"/>
      <c r="J611" s="258"/>
      <c r="K611" s="258"/>
      <c r="L611" s="258"/>
      <c r="M611" s="258"/>
      <c r="N611" s="258"/>
    </row>
    <row r="612">
      <c r="A612" s="257"/>
      <c r="B612" s="257"/>
      <c r="C612" s="258"/>
      <c r="D612" s="257"/>
      <c r="E612" s="257"/>
      <c r="F612" s="257"/>
      <c r="G612" s="258"/>
      <c r="H612" s="258"/>
      <c r="I612" s="258"/>
      <c r="J612" s="258"/>
      <c r="K612" s="258"/>
      <c r="L612" s="258"/>
      <c r="M612" s="258"/>
      <c r="N612" s="258"/>
    </row>
    <row r="613">
      <c r="A613" s="257"/>
      <c r="B613" s="257"/>
      <c r="C613" s="258"/>
      <c r="D613" s="257"/>
      <c r="E613" s="257"/>
      <c r="F613" s="257"/>
      <c r="G613" s="258"/>
      <c r="H613" s="258"/>
      <c r="I613" s="258"/>
      <c r="J613" s="258"/>
      <c r="K613" s="258"/>
      <c r="L613" s="258"/>
      <c r="M613" s="258"/>
      <c r="N613" s="258"/>
    </row>
    <row r="614">
      <c r="A614" s="257"/>
      <c r="B614" s="257"/>
      <c r="C614" s="258"/>
      <c r="D614" s="257"/>
      <c r="E614" s="257"/>
      <c r="F614" s="257"/>
      <c r="G614" s="258"/>
      <c r="H614" s="258"/>
      <c r="I614" s="258"/>
      <c r="J614" s="258"/>
      <c r="K614" s="258"/>
      <c r="L614" s="258"/>
      <c r="M614" s="258"/>
      <c r="N614" s="258"/>
    </row>
    <row r="615">
      <c r="A615" s="257"/>
      <c r="B615" s="257"/>
      <c r="C615" s="258"/>
      <c r="D615" s="257"/>
      <c r="E615" s="257"/>
      <c r="F615" s="257"/>
      <c r="G615" s="258"/>
      <c r="H615" s="258"/>
      <c r="I615" s="258"/>
      <c r="J615" s="258"/>
      <c r="K615" s="258"/>
      <c r="L615" s="258"/>
      <c r="M615" s="258"/>
      <c r="N615" s="258"/>
    </row>
    <row r="616">
      <c r="A616" s="257"/>
      <c r="B616" s="257"/>
      <c r="C616" s="258"/>
      <c r="D616" s="257"/>
      <c r="E616" s="257"/>
      <c r="F616" s="257"/>
      <c r="G616" s="258"/>
      <c r="H616" s="258"/>
      <c r="I616" s="258"/>
      <c r="J616" s="258"/>
      <c r="K616" s="258"/>
      <c r="L616" s="258"/>
      <c r="M616" s="258"/>
      <c r="N616" s="258"/>
    </row>
    <row r="617">
      <c r="A617" s="257"/>
      <c r="B617" s="257"/>
      <c r="C617" s="258"/>
      <c r="D617" s="257"/>
      <c r="E617" s="257"/>
      <c r="F617" s="257"/>
      <c r="G617" s="258"/>
      <c r="H617" s="258"/>
      <c r="I617" s="258"/>
      <c r="J617" s="258"/>
      <c r="K617" s="258"/>
      <c r="L617" s="258"/>
      <c r="M617" s="258"/>
      <c r="N617" s="258"/>
    </row>
    <row r="618">
      <c r="A618" s="257"/>
      <c r="B618" s="257"/>
      <c r="C618" s="258"/>
      <c r="D618" s="257"/>
      <c r="E618" s="257"/>
      <c r="F618" s="257"/>
      <c r="G618" s="258"/>
      <c r="H618" s="258"/>
      <c r="I618" s="258"/>
      <c r="J618" s="258"/>
      <c r="K618" s="258"/>
      <c r="L618" s="258"/>
      <c r="M618" s="258"/>
      <c r="N618" s="258"/>
    </row>
    <row r="619">
      <c r="A619" s="257"/>
      <c r="B619" s="257"/>
      <c r="C619" s="258"/>
      <c r="D619" s="257"/>
      <c r="E619" s="257"/>
      <c r="F619" s="257"/>
      <c r="G619" s="258"/>
      <c r="H619" s="258"/>
      <c r="I619" s="258"/>
      <c r="J619" s="258"/>
      <c r="K619" s="258"/>
      <c r="L619" s="258"/>
      <c r="M619" s="258"/>
      <c r="N619" s="258"/>
    </row>
    <row r="620">
      <c r="A620" s="257"/>
      <c r="B620" s="257"/>
      <c r="C620" s="258"/>
      <c r="D620" s="257"/>
      <c r="E620" s="257"/>
      <c r="F620" s="257"/>
      <c r="G620" s="258"/>
      <c r="H620" s="258"/>
      <c r="I620" s="258"/>
      <c r="J620" s="258"/>
      <c r="K620" s="258"/>
      <c r="L620" s="258"/>
      <c r="M620" s="258"/>
      <c r="N620" s="258"/>
    </row>
    <row r="621">
      <c r="A621" s="257"/>
      <c r="B621" s="257"/>
      <c r="C621" s="258"/>
      <c r="D621" s="257"/>
      <c r="E621" s="257"/>
      <c r="F621" s="257"/>
      <c r="G621" s="258"/>
      <c r="H621" s="258"/>
      <c r="I621" s="258"/>
      <c r="J621" s="258"/>
      <c r="K621" s="258"/>
      <c r="L621" s="258"/>
      <c r="M621" s="258"/>
      <c r="N621" s="258"/>
    </row>
    <row r="622">
      <c r="A622" s="257"/>
      <c r="B622" s="257"/>
      <c r="C622" s="258"/>
      <c r="D622" s="257"/>
      <c r="E622" s="257"/>
      <c r="F622" s="257"/>
      <c r="G622" s="258"/>
      <c r="H622" s="258"/>
      <c r="I622" s="258"/>
      <c r="J622" s="258"/>
      <c r="K622" s="258"/>
      <c r="L622" s="258"/>
      <c r="M622" s="258"/>
      <c r="N622" s="258"/>
    </row>
    <row r="623">
      <c r="A623" s="257"/>
      <c r="B623" s="257"/>
      <c r="C623" s="258"/>
      <c r="D623" s="257"/>
      <c r="E623" s="257"/>
      <c r="F623" s="257"/>
      <c r="G623" s="258"/>
      <c r="H623" s="258"/>
      <c r="I623" s="258"/>
      <c r="J623" s="258"/>
      <c r="K623" s="258"/>
      <c r="L623" s="258"/>
      <c r="M623" s="258"/>
      <c r="N623" s="258"/>
    </row>
    <row r="624">
      <c r="A624" s="257"/>
      <c r="B624" s="257"/>
      <c r="C624" s="258"/>
      <c r="D624" s="257"/>
      <c r="E624" s="257"/>
      <c r="F624" s="257"/>
      <c r="G624" s="258"/>
      <c r="H624" s="258"/>
      <c r="I624" s="258"/>
      <c r="J624" s="258"/>
      <c r="K624" s="258"/>
      <c r="L624" s="258"/>
      <c r="M624" s="258"/>
      <c r="N624" s="258"/>
    </row>
    <row r="625">
      <c r="A625" s="257"/>
      <c r="B625" s="257"/>
      <c r="C625" s="258"/>
      <c r="D625" s="257"/>
      <c r="E625" s="257"/>
      <c r="F625" s="257"/>
      <c r="G625" s="258"/>
      <c r="H625" s="258"/>
      <c r="I625" s="258"/>
      <c r="J625" s="258"/>
      <c r="K625" s="258"/>
      <c r="L625" s="258"/>
      <c r="M625" s="258"/>
      <c r="N625" s="258"/>
    </row>
    <row r="626">
      <c r="A626" s="257"/>
      <c r="B626" s="257"/>
      <c r="C626" s="258"/>
      <c r="D626" s="257"/>
      <c r="E626" s="257"/>
      <c r="F626" s="257"/>
      <c r="G626" s="258"/>
      <c r="H626" s="258"/>
      <c r="I626" s="258"/>
      <c r="J626" s="258"/>
      <c r="K626" s="258"/>
      <c r="L626" s="258"/>
      <c r="M626" s="258"/>
      <c r="N626" s="258"/>
    </row>
    <row r="627">
      <c r="A627" s="257"/>
      <c r="B627" s="257"/>
      <c r="C627" s="258"/>
      <c r="D627" s="257"/>
      <c r="E627" s="257"/>
      <c r="F627" s="257"/>
      <c r="G627" s="258"/>
      <c r="H627" s="258"/>
      <c r="I627" s="258"/>
      <c r="J627" s="258"/>
      <c r="K627" s="258"/>
      <c r="L627" s="258"/>
      <c r="M627" s="258"/>
      <c r="N627" s="258"/>
    </row>
    <row r="628">
      <c r="A628" s="257"/>
      <c r="B628" s="257"/>
      <c r="C628" s="258"/>
      <c r="D628" s="257"/>
      <c r="E628" s="257"/>
      <c r="F628" s="257"/>
      <c r="G628" s="258"/>
      <c r="H628" s="258"/>
      <c r="I628" s="258"/>
      <c r="J628" s="258"/>
      <c r="K628" s="258"/>
      <c r="L628" s="258"/>
      <c r="M628" s="258"/>
      <c r="N628" s="258"/>
    </row>
    <row r="629">
      <c r="A629" s="257"/>
      <c r="B629" s="257"/>
      <c r="C629" s="258"/>
      <c r="D629" s="257"/>
      <c r="E629" s="257"/>
      <c r="F629" s="257"/>
      <c r="G629" s="258"/>
      <c r="H629" s="258"/>
      <c r="I629" s="258"/>
      <c r="J629" s="258"/>
      <c r="K629" s="258"/>
      <c r="L629" s="258"/>
      <c r="M629" s="258"/>
      <c r="N629" s="258"/>
    </row>
    <row r="630">
      <c r="A630" s="257"/>
      <c r="B630" s="257"/>
      <c r="C630" s="258"/>
      <c r="D630" s="257"/>
      <c r="E630" s="257"/>
      <c r="F630" s="257"/>
      <c r="G630" s="258"/>
      <c r="H630" s="258"/>
      <c r="I630" s="258"/>
      <c r="J630" s="258"/>
      <c r="K630" s="258"/>
      <c r="L630" s="258"/>
      <c r="M630" s="258"/>
      <c r="N630" s="258"/>
    </row>
    <row r="631">
      <c r="A631" s="257"/>
      <c r="B631" s="257"/>
      <c r="C631" s="258"/>
      <c r="D631" s="257"/>
      <c r="E631" s="257"/>
      <c r="F631" s="257"/>
      <c r="G631" s="258"/>
      <c r="H631" s="258"/>
      <c r="I631" s="258"/>
      <c r="J631" s="258"/>
      <c r="K631" s="258"/>
      <c r="L631" s="258"/>
      <c r="M631" s="258"/>
      <c r="N631" s="258"/>
    </row>
    <row r="632">
      <c r="A632" s="257"/>
      <c r="B632" s="257"/>
      <c r="C632" s="258"/>
      <c r="D632" s="257"/>
      <c r="E632" s="257"/>
      <c r="F632" s="257"/>
      <c r="G632" s="258"/>
      <c r="H632" s="258"/>
      <c r="I632" s="258"/>
      <c r="J632" s="258"/>
      <c r="K632" s="258"/>
      <c r="L632" s="258"/>
      <c r="M632" s="258"/>
      <c r="N632" s="258"/>
    </row>
    <row r="633">
      <c r="A633" s="257"/>
      <c r="B633" s="257"/>
      <c r="C633" s="258"/>
      <c r="D633" s="257"/>
      <c r="E633" s="257"/>
      <c r="F633" s="257"/>
      <c r="G633" s="258"/>
      <c r="H633" s="258"/>
      <c r="I633" s="258"/>
      <c r="J633" s="258"/>
      <c r="K633" s="258"/>
      <c r="L633" s="258"/>
      <c r="M633" s="258"/>
      <c r="N633" s="258"/>
    </row>
    <row r="634">
      <c r="A634" s="257"/>
      <c r="B634" s="257"/>
      <c r="C634" s="258"/>
      <c r="D634" s="257"/>
      <c r="E634" s="257"/>
      <c r="F634" s="257"/>
      <c r="G634" s="258"/>
      <c r="H634" s="258"/>
      <c r="I634" s="258"/>
      <c r="J634" s="258"/>
      <c r="K634" s="258"/>
      <c r="L634" s="258"/>
      <c r="M634" s="258"/>
      <c r="N634" s="258"/>
    </row>
    <row r="635">
      <c r="A635" s="257"/>
      <c r="B635" s="257"/>
      <c r="C635" s="258"/>
      <c r="D635" s="257"/>
      <c r="E635" s="257"/>
      <c r="F635" s="257"/>
      <c r="G635" s="258"/>
      <c r="H635" s="258"/>
      <c r="I635" s="258"/>
      <c r="J635" s="258"/>
      <c r="K635" s="258"/>
      <c r="L635" s="258"/>
      <c r="M635" s="258"/>
      <c r="N635" s="258"/>
    </row>
    <row r="636">
      <c r="A636" s="257"/>
      <c r="B636" s="257"/>
      <c r="C636" s="258"/>
      <c r="D636" s="257"/>
      <c r="E636" s="257"/>
      <c r="F636" s="257"/>
      <c r="G636" s="258"/>
      <c r="H636" s="258"/>
      <c r="I636" s="258"/>
      <c r="J636" s="258"/>
      <c r="K636" s="258"/>
      <c r="L636" s="258"/>
      <c r="M636" s="258"/>
      <c r="N636" s="258"/>
    </row>
    <row r="637">
      <c r="A637" s="257"/>
      <c r="B637" s="257"/>
      <c r="C637" s="258"/>
      <c r="D637" s="257"/>
      <c r="E637" s="257"/>
      <c r="F637" s="257"/>
      <c r="G637" s="258"/>
      <c r="H637" s="258"/>
      <c r="I637" s="258"/>
      <c r="J637" s="258"/>
      <c r="K637" s="258"/>
      <c r="L637" s="258"/>
      <c r="M637" s="258"/>
      <c r="N637" s="258"/>
    </row>
    <row r="638">
      <c r="A638" s="257"/>
      <c r="B638" s="257"/>
      <c r="C638" s="258"/>
      <c r="D638" s="257"/>
      <c r="E638" s="257"/>
      <c r="F638" s="257"/>
      <c r="G638" s="258"/>
      <c r="H638" s="258"/>
      <c r="I638" s="258"/>
      <c r="J638" s="258"/>
      <c r="K638" s="258"/>
      <c r="L638" s="258"/>
      <c r="M638" s="258"/>
      <c r="N638" s="258"/>
    </row>
    <row r="639">
      <c r="A639" s="257"/>
      <c r="B639" s="257"/>
      <c r="C639" s="258"/>
      <c r="D639" s="257"/>
      <c r="E639" s="257"/>
      <c r="F639" s="257"/>
      <c r="G639" s="258"/>
      <c r="H639" s="258"/>
      <c r="I639" s="258"/>
      <c r="J639" s="258"/>
      <c r="K639" s="258"/>
      <c r="L639" s="258"/>
      <c r="M639" s="258"/>
      <c r="N639" s="258"/>
    </row>
    <row r="640">
      <c r="A640" s="257"/>
      <c r="B640" s="257"/>
      <c r="C640" s="258"/>
      <c r="D640" s="257"/>
      <c r="E640" s="257"/>
      <c r="F640" s="257"/>
      <c r="G640" s="258"/>
      <c r="H640" s="258"/>
      <c r="I640" s="258"/>
      <c r="J640" s="258"/>
      <c r="K640" s="258"/>
      <c r="L640" s="258"/>
      <c r="M640" s="258"/>
      <c r="N640" s="258"/>
    </row>
    <row r="641">
      <c r="A641" s="257"/>
      <c r="B641" s="257"/>
      <c r="C641" s="258"/>
      <c r="D641" s="257"/>
      <c r="E641" s="257"/>
      <c r="F641" s="257"/>
      <c r="G641" s="258"/>
      <c r="H641" s="258"/>
      <c r="I641" s="258"/>
      <c r="J641" s="258"/>
      <c r="K641" s="258"/>
      <c r="L641" s="258"/>
      <c r="M641" s="258"/>
      <c r="N641" s="258"/>
    </row>
    <row r="642">
      <c r="A642" s="257"/>
      <c r="B642" s="257"/>
      <c r="C642" s="258"/>
      <c r="D642" s="257"/>
      <c r="E642" s="257"/>
      <c r="F642" s="257"/>
      <c r="G642" s="258"/>
      <c r="H642" s="258"/>
      <c r="I642" s="258"/>
      <c r="J642" s="258"/>
      <c r="K642" s="258"/>
      <c r="L642" s="258"/>
      <c r="M642" s="258"/>
      <c r="N642" s="258"/>
    </row>
    <row r="643">
      <c r="A643" s="257"/>
      <c r="B643" s="257"/>
      <c r="C643" s="258"/>
      <c r="D643" s="257"/>
      <c r="E643" s="257"/>
      <c r="F643" s="257"/>
      <c r="G643" s="258"/>
      <c r="H643" s="258"/>
      <c r="I643" s="258"/>
      <c r="J643" s="258"/>
      <c r="K643" s="258"/>
      <c r="L643" s="258"/>
      <c r="M643" s="258"/>
      <c r="N643" s="258"/>
    </row>
    <row r="644">
      <c r="A644" s="257"/>
      <c r="B644" s="257"/>
      <c r="C644" s="258"/>
      <c r="D644" s="257"/>
      <c r="E644" s="257"/>
      <c r="F644" s="257"/>
      <c r="G644" s="258"/>
      <c r="H644" s="258"/>
      <c r="I644" s="258"/>
      <c r="J644" s="258"/>
      <c r="K644" s="258"/>
      <c r="L644" s="258"/>
      <c r="M644" s="258"/>
      <c r="N644" s="258"/>
    </row>
    <row r="645">
      <c r="A645" s="257"/>
      <c r="B645" s="257"/>
      <c r="C645" s="258"/>
      <c r="D645" s="257"/>
      <c r="E645" s="257"/>
      <c r="F645" s="257"/>
      <c r="G645" s="258"/>
      <c r="H645" s="258"/>
      <c r="I645" s="258"/>
      <c r="J645" s="258"/>
      <c r="K645" s="258"/>
      <c r="L645" s="258"/>
      <c r="M645" s="258"/>
      <c r="N645" s="258"/>
    </row>
    <row r="646">
      <c r="A646" s="257"/>
      <c r="B646" s="257"/>
      <c r="C646" s="258"/>
      <c r="D646" s="257"/>
      <c r="E646" s="257"/>
      <c r="F646" s="257"/>
      <c r="G646" s="258"/>
      <c r="H646" s="258"/>
      <c r="I646" s="258"/>
      <c r="J646" s="258"/>
      <c r="K646" s="258"/>
      <c r="L646" s="258"/>
      <c r="M646" s="258"/>
      <c r="N646" s="258"/>
    </row>
    <row r="647">
      <c r="A647" s="257"/>
      <c r="B647" s="257"/>
      <c r="C647" s="258"/>
      <c r="D647" s="257"/>
      <c r="E647" s="257"/>
      <c r="F647" s="257"/>
      <c r="G647" s="258"/>
      <c r="H647" s="258"/>
      <c r="I647" s="258"/>
      <c r="J647" s="258"/>
      <c r="K647" s="258"/>
      <c r="L647" s="258"/>
      <c r="M647" s="258"/>
      <c r="N647" s="258"/>
    </row>
    <row r="648">
      <c r="A648" s="257"/>
      <c r="B648" s="257"/>
      <c r="C648" s="258"/>
      <c r="D648" s="257"/>
      <c r="E648" s="257"/>
      <c r="F648" s="257"/>
      <c r="G648" s="258"/>
      <c r="H648" s="258"/>
      <c r="I648" s="258"/>
      <c r="J648" s="258"/>
      <c r="K648" s="258"/>
      <c r="L648" s="258"/>
      <c r="M648" s="258"/>
      <c r="N648" s="258"/>
    </row>
    <row r="649">
      <c r="A649" s="257"/>
      <c r="B649" s="257"/>
      <c r="C649" s="258"/>
      <c r="D649" s="257"/>
      <c r="E649" s="257"/>
      <c r="F649" s="257"/>
      <c r="G649" s="258"/>
      <c r="H649" s="258"/>
      <c r="I649" s="258"/>
      <c r="J649" s="258"/>
      <c r="K649" s="258"/>
      <c r="L649" s="258"/>
      <c r="M649" s="258"/>
      <c r="N649" s="258"/>
    </row>
    <row r="650">
      <c r="A650" s="257"/>
      <c r="B650" s="257"/>
      <c r="C650" s="258"/>
      <c r="D650" s="257"/>
      <c r="E650" s="257"/>
      <c r="F650" s="257"/>
      <c r="G650" s="258"/>
      <c r="H650" s="258"/>
      <c r="I650" s="258"/>
      <c r="J650" s="258"/>
      <c r="K650" s="258"/>
      <c r="L650" s="258"/>
      <c r="M650" s="258"/>
      <c r="N650" s="258"/>
    </row>
    <row r="651">
      <c r="A651" s="257"/>
      <c r="B651" s="257"/>
      <c r="C651" s="258"/>
      <c r="D651" s="257"/>
      <c r="E651" s="257"/>
      <c r="F651" s="257"/>
      <c r="G651" s="258"/>
      <c r="H651" s="258"/>
      <c r="I651" s="258"/>
      <c r="J651" s="258"/>
      <c r="K651" s="258"/>
      <c r="L651" s="258"/>
      <c r="M651" s="258"/>
      <c r="N651" s="258"/>
    </row>
    <row r="652">
      <c r="A652" s="257"/>
      <c r="B652" s="257"/>
      <c r="C652" s="258"/>
      <c r="D652" s="257"/>
      <c r="E652" s="257"/>
      <c r="F652" s="257"/>
      <c r="G652" s="258"/>
      <c r="H652" s="258"/>
      <c r="I652" s="258"/>
      <c r="J652" s="258"/>
      <c r="K652" s="258"/>
      <c r="L652" s="258"/>
      <c r="M652" s="258"/>
      <c r="N652" s="258"/>
    </row>
    <row r="653">
      <c r="A653" s="257"/>
      <c r="B653" s="257"/>
      <c r="C653" s="258"/>
      <c r="D653" s="257"/>
      <c r="E653" s="257"/>
      <c r="F653" s="257"/>
      <c r="G653" s="258"/>
      <c r="H653" s="258"/>
      <c r="I653" s="258"/>
      <c r="J653" s="258"/>
      <c r="K653" s="258"/>
      <c r="L653" s="258"/>
      <c r="M653" s="258"/>
      <c r="N653" s="258"/>
    </row>
    <row r="654">
      <c r="A654" s="257"/>
      <c r="B654" s="257"/>
      <c r="C654" s="258"/>
      <c r="D654" s="257"/>
      <c r="E654" s="257"/>
      <c r="F654" s="257"/>
      <c r="G654" s="258"/>
      <c r="H654" s="258"/>
      <c r="I654" s="258"/>
      <c r="J654" s="258"/>
      <c r="K654" s="258"/>
      <c r="L654" s="258"/>
      <c r="M654" s="258"/>
      <c r="N654" s="258"/>
    </row>
    <row r="655">
      <c r="A655" s="257"/>
      <c r="B655" s="257"/>
      <c r="C655" s="258"/>
      <c r="D655" s="257"/>
      <c r="E655" s="257"/>
      <c r="F655" s="257"/>
      <c r="G655" s="258"/>
      <c r="H655" s="258"/>
      <c r="I655" s="258"/>
      <c r="J655" s="258"/>
      <c r="K655" s="258"/>
      <c r="L655" s="258"/>
      <c r="M655" s="258"/>
      <c r="N655" s="258"/>
    </row>
    <row r="656">
      <c r="A656" s="257"/>
      <c r="B656" s="257"/>
      <c r="C656" s="258"/>
      <c r="D656" s="257"/>
      <c r="E656" s="257"/>
      <c r="F656" s="257"/>
      <c r="G656" s="258"/>
      <c r="H656" s="258"/>
      <c r="I656" s="258"/>
      <c r="J656" s="258"/>
      <c r="K656" s="258"/>
      <c r="L656" s="258"/>
      <c r="M656" s="258"/>
      <c r="N656" s="258"/>
    </row>
    <row r="657">
      <c r="A657" s="257"/>
      <c r="B657" s="257"/>
      <c r="C657" s="258"/>
      <c r="D657" s="257"/>
      <c r="E657" s="257"/>
      <c r="F657" s="257"/>
      <c r="G657" s="258"/>
      <c r="H657" s="258"/>
      <c r="I657" s="258"/>
      <c r="J657" s="258"/>
      <c r="K657" s="258"/>
      <c r="L657" s="258"/>
      <c r="M657" s="258"/>
      <c r="N657" s="258"/>
    </row>
    <row r="658">
      <c r="A658" s="257"/>
      <c r="B658" s="257"/>
      <c r="C658" s="258"/>
      <c r="D658" s="257"/>
      <c r="E658" s="257"/>
      <c r="F658" s="257"/>
      <c r="G658" s="258"/>
      <c r="H658" s="258"/>
      <c r="I658" s="258"/>
      <c r="J658" s="258"/>
      <c r="K658" s="258"/>
      <c r="L658" s="258"/>
      <c r="M658" s="258"/>
      <c r="N658" s="258"/>
    </row>
    <row r="659">
      <c r="A659" s="257"/>
      <c r="B659" s="257"/>
      <c r="C659" s="258"/>
      <c r="D659" s="257"/>
      <c r="E659" s="257"/>
      <c r="F659" s="257"/>
      <c r="G659" s="258"/>
      <c r="H659" s="258"/>
      <c r="I659" s="258"/>
      <c r="J659" s="258"/>
      <c r="K659" s="258"/>
      <c r="L659" s="258"/>
      <c r="M659" s="258"/>
      <c r="N659" s="258"/>
    </row>
    <row r="660">
      <c r="A660" s="257"/>
      <c r="B660" s="257"/>
      <c r="C660" s="258"/>
      <c r="D660" s="257"/>
      <c r="E660" s="257"/>
      <c r="F660" s="257"/>
      <c r="G660" s="258"/>
      <c r="H660" s="258"/>
      <c r="I660" s="258"/>
      <c r="J660" s="258"/>
      <c r="K660" s="258"/>
      <c r="L660" s="258"/>
      <c r="M660" s="258"/>
      <c r="N660" s="258"/>
    </row>
    <row r="661">
      <c r="A661" s="257"/>
      <c r="B661" s="257"/>
      <c r="C661" s="258"/>
      <c r="D661" s="257"/>
      <c r="E661" s="257"/>
      <c r="F661" s="257"/>
      <c r="G661" s="258"/>
      <c r="H661" s="258"/>
      <c r="I661" s="258"/>
      <c r="J661" s="258"/>
      <c r="K661" s="258"/>
      <c r="L661" s="258"/>
      <c r="M661" s="258"/>
      <c r="N661" s="258"/>
    </row>
    <row r="662">
      <c r="A662" s="257"/>
      <c r="B662" s="257"/>
      <c r="C662" s="258"/>
      <c r="D662" s="257"/>
      <c r="E662" s="257"/>
      <c r="F662" s="257"/>
      <c r="G662" s="258"/>
      <c r="H662" s="258"/>
      <c r="I662" s="258"/>
      <c r="J662" s="258"/>
      <c r="K662" s="258"/>
      <c r="L662" s="258"/>
      <c r="M662" s="258"/>
      <c r="N662" s="258"/>
    </row>
    <row r="663">
      <c r="A663" s="257"/>
      <c r="B663" s="257"/>
      <c r="C663" s="258"/>
      <c r="D663" s="257"/>
      <c r="E663" s="257"/>
      <c r="F663" s="257"/>
      <c r="G663" s="258"/>
      <c r="H663" s="258"/>
      <c r="I663" s="258"/>
      <c r="J663" s="258"/>
      <c r="K663" s="258"/>
      <c r="L663" s="258"/>
      <c r="M663" s="258"/>
      <c r="N663" s="258"/>
    </row>
    <row r="664">
      <c r="A664" s="257"/>
      <c r="B664" s="257"/>
      <c r="C664" s="258"/>
      <c r="D664" s="257"/>
      <c r="E664" s="257"/>
      <c r="F664" s="257"/>
      <c r="G664" s="258"/>
      <c r="H664" s="258"/>
      <c r="I664" s="258"/>
      <c r="J664" s="258"/>
      <c r="K664" s="258"/>
      <c r="L664" s="258"/>
      <c r="M664" s="258"/>
      <c r="N664" s="258"/>
    </row>
    <row r="665">
      <c r="A665" s="257"/>
      <c r="B665" s="257"/>
      <c r="C665" s="258"/>
      <c r="D665" s="257"/>
      <c r="E665" s="257"/>
      <c r="F665" s="257"/>
      <c r="G665" s="258"/>
      <c r="H665" s="258"/>
      <c r="I665" s="258"/>
      <c r="J665" s="258"/>
      <c r="K665" s="258"/>
      <c r="L665" s="258"/>
      <c r="M665" s="258"/>
      <c r="N665" s="258"/>
    </row>
    <row r="666">
      <c r="A666" s="257"/>
      <c r="B666" s="257"/>
      <c r="C666" s="258"/>
      <c r="D666" s="257"/>
      <c r="E666" s="257"/>
      <c r="F666" s="257"/>
      <c r="G666" s="258"/>
      <c r="H666" s="258"/>
      <c r="I666" s="258"/>
      <c r="J666" s="258"/>
      <c r="K666" s="258"/>
      <c r="L666" s="258"/>
      <c r="M666" s="258"/>
      <c r="N666" s="258"/>
    </row>
    <row r="667">
      <c r="A667" s="257"/>
      <c r="B667" s="257"/>
      <c r="C667" s="258"/>
      <c r="D667" s="257"/>
      <c r="E667" s="257"/>
      <c r="F667" s="257"/>
      <c r="G667" s="258"/>
      <c r="H667" s="258"/>
      <c r="I667" s="258"/>
      <c r="J667" s="258"/>
      <c r="K667" s="258"/>
      <c r="L667" s="258"/>
      <c r="M667" s="258"/>
      <c r="N667" s="258"/>
    </row>
    <row r="668">
      <c r="A668" s="257"/>
      <c r="B668" s="257"/>
      <c r="C668" s="258"/>
      <c r="D668" s="257"/>
      <c r="E668" s="257"/>
      <c r="F668" s="257"/>
      <c r="G668" s="258"/>
      <c r="H668" s="258"/>
      <c r="I668" s="258"/>
      <c r="J668" s="258"/>
      <c r="K668" s="258"/>
      <c r="L668" s="258"/>
      <c r="M668" s="258"/>
      <c r="N668" s="258"/>
    </row>
    <row r="669">
      <c r="A669" s="257"/>
      <c r="B669" s="257"/>
      <c r="C669" s="258"/>
      <c r="D669" s="257"/>
      <c r="E669" s="257"/>
      <c r="F669" s="257"/>
      <c r="G669" s="258"/>
      <c r="H669" s="258"/>
      <c r="I669" s="258"/>
      <c r="J669" s="258"/>
      <c r="K669" s="258"/>
      <c r="L669" s="258"/>
      <c r="M669" s="258"/>
      <c r="N669" s="258"/>
    </row>
    <row r="670">
      <c r="A670" s="257"/>
      <c r="B670" s="257"/>
      <c r="C670" s="258"/>
      <c r="D670" s="257"/>
      <c r="E670" s="257"/>
      <c r="F670" s="257"/>
      <c r="G670" s="258"/>
      <c r="H670" s="258"/>
      <c r="I670" s="258"/>
      <c r="J670" s="258"/>
      <c r="K670" s="258"/>
      <c r="L670" s="258"/>
      <c r="M670" s="258"/>
      <c r="N670" s="258"/>
    </row>
    <row r="671">
      <c r="A671" s="257"/>
      <c r="B671" s="257"/>
      <c r="C671" s="258"/>
      <c r="D671" s="257"/>
      <c r="E671" s="257"/>
      <c r="F671" s="257"/>
      <c r="G671" s="258"/>
      <c r="H671" s="258"/>
      <c r="I671" s="258"/>
      <c r="J671" s="258"/>
      <c r="K671" s="258"/>
      <c r="L671" s="258"/>
      <c r="M671" s="258"/>
      <c r="N671" s="258"/>
    </row>
    <row r="672">
      <c r="A672" s="257"/>
      <c r="B672" s="257"/>
      <c r="C672" s="258"/>
      <c r="D672" s="257"/>
      <c r="E672" s="257"/>
      <c r="F672" s="257"/>
      <c r="G672" s="258"/>
      <c r="H672" s="258"/>
      <c r="I672" s="258"/>
      <c r="J672" s="258"/>
      <c r="K672" s="258"/>
      <c r="L672" s="258"/>
      <c r="M672" s="258"/>
      <c r="N672" s="258"/>
    </row>
    <row r="673">
      <c r="A673" s="257"/>
      <c r="B673" s="257"/>
      <c r="C673" s="258"/>
      <c r="D673" s="257"/>
      <c r="E673" s="257"/>
      <c r="F673" s="257"/>
      <c r="G673" s="258"/>
      <c r="H673" s="258"/>
      <c r="I673" s="258"/>
      <c r="J673" s="258"/>
      <c r="K673" s="258"/>
      <c r="L673" s="258"/>
      <c r="M673" s="258"/>
      <c r="N673" s="258"/>
    </row>
    <row r="674">
      <c r="A674" s="257"/>
      <c r="B674" s="257"/>
      <c r="C674" s="258"/>
      <c r="D674" s="257"/>
      <c r="E674" s="257"/>
      <c r="F674" s="257"/>
      <c r="G674" s="258"/>
      <c r="H674" s="258"/>
      <c r="I674" s="258"/>
      <c r="J674" s="258"/>
      <c r="K674" s="258"/>
      <c r="L674" s="258"/>
      <c r="M674" s="258"/>
      <c r="N674" s="258"/>
    </row>
    <row r="675">
      <c r="A675" s="257"/>
      <c r="B675" s="257"/>
      <c r="C675" s="258"/>
      <c r="D675" s="257"/>
      <c r="E675" s="257"/>
      <c r="F675" s="257"/>
      <c r="G675" s="258"/>
      <c r="H675" s="258"/>
      <c r="I675" s="258"/>
      <c r="J675" s="258"/>
      <c r="K675" s="258"/>
      <c r="L675" s="258"/>
      <c r="M675" s="258"/>
      <c r="N675" s="258"/>
    </row>
    <row r="676">
      <c r="A676" s="257"/>
      <c r="B676" s="257"/>
      <c r="C676" s="258"/>
      <c r="D676" s="257"/>
      <c r="E676" s="257"/>
      <c r="F676" s="257"/>
      <c r="G676" s="258"/>
      <c r="H676" s="258"/>
      <c r="I676" s="258"/>
      <c r="J676" s="258"/>
      <c r="K676" s="258"/>
      <c r="L676" s="258"/>
      <c r="M676" s="258"/>
      <c r="N676" s="258"/>
    </row>
    <row r="677">
      <c r="A677" s="257"/>
      <c r="B677" s="257"/>
      <c r="C677" s="258"/>
      <c r="D677" s="257"/>
      <c r="E677" s="257"/>
      <c r="F677" s="257"/>
      <c r="G677" s="258"/>
      <c r="H677" s="258"/>
      <c r="I677" s="258"/>
      <c r="J677" s="258"/>
      <c r="K677" s="258"/>
      <c r="L677" s="258"/>
      <c r="M677" s="258"/>
      <c r="N677" s="258"/>
    </row>
    <row r="678">
      <c r="A678" s="257"/>
      <c r="B678" s="257"/>
      <c r="C678" s="258"/>
      <c r="D678" s="257"/>
      <c r="E678" s="257"/>
      <c r="F678" s="257"/>
      <c r="G678" s="258"/>
      <c r="H678" s="258"/>
      <c r="I678" s="258"/>
      <c r="J678" s="258"/>
      <c r="K678" s="258"/>
      <c r="L678" s="258"/>
      <c r="M678" s="258"/>
      <c r="N678" s="258"/>
    </row>
    <row r="679">
      <c r="A679" s="257"/>
      <c r="B679" s="257"/>
      <c r="C679" s="258"/>
      <c r="D679" s="257"/>
      <c r="E679" s="257"/>
      <c r="F679" s="257"/>
      <c r="G679" s="258"/>
      <c r="H679" s="258"/>
      <c r="I679" s="258"/>
      <c r="J679" s="258"/>
      <c r="K679" s="258"/>
      <c r="L679" s="258"/>
      <c r="M679" s="258"/>
      <c r="N679" s="258"/>
    </row>
    <row r="680">
      <c r="A680" s="257"/>
      <c r="B680" s="257"/>
      <c r="C680" s="258"/>
      <c r="D680" s="257"/>
      <c r="E680" s="257"/>
      <c r="F680" s="257"/>
      <c r="G680" s="258"/>
      <c r="H680" s="258"/>
      <c r="I680" s="258"/>
      <c r="J680" s="258"/>
      <c r="K680" s="258"/>
      <c r="L680" s="258"/>
      <c r="M680" s="258"/>
      <c r="N680" s="258"/>
    </row>
    <row r="681">
      <c r="A681" s="257"/>
      <c r="B681" s="257"/>
      <c r="C681" s="258"/>
      <c r="D681" s="257"/>
      <c r="E681" s="257"/>
      <c r="F681" s="257"/>
      <c r="G681" s="258"/>
      <c r="H681" s="258"/>
      <c r="I681" s="258"/>
      <c r="J681" s="258"/>
      <c r="K681" s="258"/>
      <c r="L681" s="258"/>
      <c r="M681" s="258"/>
      <c r="N681" s="258"/>
    </row>
    <row r="682">
      <c r="A682" s="257"/>
      <c r="B682" s="257"/>
      <c r="C682" s="258"/>
      <c r="D682" s="257"/>
      <c r="E682" s="257"/>
      <c r="F682" s="257"/>
      <c r="G682" s="258"/>
      <c r="H682" s="258"/>
      <c r="I682" s="258"/>
      <c r="J682" s="258"/>
      <c r="K682" s="258"/>
      <c r="L682" s="258"/>
      <c r="M682" s="258"/>
      <c r="N682" s="258"/>
    </row>
    <row r="683">
      <c r="A683" s="257"/>
      <c r="B683" s="257"/>
      <c r="C683" s="258"/>
      <c r="D683" s="257"/>
      <c r="E683" s="257"/>
      <c r="F683" s="257"/>
      <c r="G683" s="258"/>
      <c r="H683" s="258"/>
      <c r="I683" s="258"/>
      <c r="J683" s="258"/>
      <c r="K683" s="258"/>
      <c r="L683" s="258"/>
      <c r="M683" s="258"/>
      <c r="N683" s="258"/>
    </row>
    <row r="684">
      <c r="A684" s="257"/>
      <c r="B684" s="257"/>
      <c r="C684" s="258"/>
      <c r="D684" s="257"/>
      <c r="E684" s="257"/>
      <c r="F684" s="257"/>
      <c r="G684" s="258"/>
      <c r="H684" s="258"/>
      <c r="I684" s="258"/>
      <c r="J684" s="258"/>
      <c r="K684" s="258"/>
      <c r="L684" s="258"/>
      <c r="M684" s="258"/>
      <c r="N684" s="258"/>
    </row>
    <row r="685">
      <c r="A685" s="257"/>
      <c r="B685" s="257"/>
      <c r="C685" s="258"/>
      <c r="D685" s="257"/>
      <c r="E685" s="257"/>
      <c r="F685" s="257"/>
      <c r="G685" s="258"/>
      <c r="H685" s="258"/>
      <c r="I685" s="258"/>
      <c r="J685" s="258"/>
      <c r="K685" s="258"/>
      <c r="L685" s="258"/>
      <c r="M685" s="258"/>
      <c r="N685" s="258"/>
    </row>
    <row r="686">
      <c r="A686" s="257"/>
      <c r="B686" s="257"/>
      <c r="C686" s="258"/>
      <c r="D686" s="257"/>
      <c r="E686" s="257"/>
      <c r="F686" s="257"/>
      <c r="G686" s="258"/>
      <c r="H686" s="258"/>
      <c r="I686" s="258"/>
      <c r="J686" s="258"/>
      <c r="K686" s="258"/>
      <c r="L686" s="258"/>
      <c r="M686" s="258"/>
      <c r="N686" s="258"/>
    </row>
    <row r="687">
      <c r="A687" s="257"/>
      <c r="B687" s="257"/>
      <c r="C687" s="258"/>
      <c r="D687" s="257"/>
      <c r="E687" s="257"/>
      <c r="F687" s="257"/>
      <c r="G687" s="258"/>
      <c r="H687" s="258"/>
      <c r="I687" s="258"/>
      <c r="J687" s="258"/>
      <c r="K687" s="258"/>
      <c r="L687" s="258"/>
      <c r="M687" s="258"/>
      <c r="N687" s="258"/>
    </row>
    <row r="688">
      <c r="A688" s="257"/>
      <c r="B688" s="257"/>
      <c r="C688" s="258"/>
      <c r="D688" s="257"/>
      <c r="E688" s="257"/>
      <c r="F688" s="257"/>
      <c r="G688" s="258"/>
      <c r="H688" s="258"/>
      <c r="I688" s="258"/>
      <c r="J688" s="258"/>
      <c r="K688" s="258"/>
      <c r="L688" s="258"/>
      <c r="M688" s="258"/>
      <c r="N688" s="258"/>
    </row>
    <row r="689">
      <c r="A689" s="257"/>
      <c r="B689" s="257"/>
      <c r="C689" s="258"/>
      <c r="D689" s="257"/>
      <c r="E689" s="257"/>
      <c r="F689" s="257"/>
      <c r="G689" s="258"/>
      <c r="H689" s="258"/>
      <c r="I689" s="258"/>
      <c r="J689" s="258"/>
      <c r="K689" s="258"/>
      <c r="L689" s="258"/>
      <c r="M689" s="258"/>
      <c r="N689" s="258"/>
    </row>
    <row r="690">
      <c r="A690" s="257"/>
      <c r="B690" s="257"/>
      <c r="C690" s="258"/>
      <c r="D690" s="257"/>
      <c r="E690" s="257"/>
      <c r="F690" s="257"/>
      <c r="G690" s="258"/>
      <c r="H690" s="258"/>
      <c r="I690" s="258"/>
      <c r="J690" s="258"/>
      <c r="K690" s="258"/>
      <c r="L690" s="258"/>
      <c r="M690" s="258"/>
      <c r="N690" s="258"/>
    </row>
    <row r="691">
      <c r="A691" s="257"/>
      <c r="B691" s="257"/>
      <c r="C691" s="258"/>
      <c r="D691" s="257"/>
      <c r="E691" s="257"/>
      <c r="F691" s="257"/>
      <c r="G691" s="258"/>
      <c r="H691" s="258"/>
      <c r="I691" s="258"/>
      <c r="J691" s="258"/>
      <c r="K691" s="258"/>
      <c r="L691" s="258"/>
      <c r="M691" s="258"/>
      <c r="N691" s="258"/>
    </row>
    <row r="692">
      <c r="A692" s="257"/>
      <c r="B692" s="257"/>
      <c r="C692" s="258"/>
      <c r="D692" s="257"/>
      <c r="E692" s="257"/>
      <c r="F692" s="257"/>
      <c r="G692" s="258"/>
      <c r="H692" s="258"/>
      <c r="I692" s="258"/>
      <c r="J692" s="258"/>
      <c r="K692" s="258"/>
      <c r="L692" s="258"/>
      <c r="M692" s="258"/>
      <c r="N692" s="258"/>
    </row>
    <row r="693">
      <c r="A693" s="257"/>
      <c r="B693" s="257"/>
      <c r="C693" s="258"/>
      <c r="D693" s="257"/>
      <c r="E693" s="257"/>
      <c r="F693" s="257"/>
      <c r="G693" s="258"/>
      <c r="H693" s="258"/>
      <c r="I693" s="258"/>
      <c r="J693" s="258"/>
      <c r="K693" s="258"/>
      <c r="L693" s="258"/>
      <c r="M693" s="258"/>
      <c r="N693" s="258"/>
    </row>
    <row r="694">
      <c r="A694" s="257"/>
      <c r="B694" s="257"/>
      <c r="C694" s="258"/>
      <c r="D694" s="257"/>
      <c r="E694" s="257"/>
      <c r="F694" s="257"/>
      <c r="G694" s="258"/>
      <c r="H694" s="258"/>
      <c r="I694" s="258"/>
      <c r="J694" s="258"/>
      <c r="K694" s="258"/>
      <c r="L694" s="258"/>
      <c r="M694" s="258"/>
      <c r="N694" s="258"/>
    </row>
    <row r="695">
      <c r="A695" s="257"/>
      <c r="B695" s="257"/>
      <c r="C695" s="258"/>
      <c r="D695" s="257"/>
      <c r="E695" s="257"/>
      <c r="F695" s="257"/>
      <c r="G695" s="258"/>
      <c r="H695" s="258"/>
      <c r="I695" s="258"/>
      <c r="J695" s="258"/>
      <c r="K695" s="258"/>
      <c r="L695" s="258"/>
      <c r="M695" s="258"/>
      <c r="N695" s="258"/>
    </row>
    <row r="696">
      <c r="A696" s="257"/>
      <c r="B696" s="257"/>
      <c r="C696" s="258"/>
      <c r="D696" s="257"/>
      <c r="E696" s="257"/>
      <c r="F696" s="257"/>
      <c r="G696" s="258"/>
      <c r="H696" s="258"/>
      <c r="I696" s="258"/>
      <c r="J696" s="258"/>
      <c r="K696" s="258"/>
      <c r="L696" s="258"/>
      <c r="M696" s="258"/>
      <c r="N696" s="258"/>
    </row>
    <row r="697">
      <c r="A697" s="257"/>
      <c r="B697" s="257"/>
      <c r="C697" s="258"/>
      <c r="D697" s="257"/>
      <c r="E697" s="257"/>
      <c r="F697" s="257"/>
      <c r="G697" s="258"/>
      <c r="H697" s="258"/>
      <c r="I697" s="258"/>
      <c r="J697" s="258"/>
      <c r="K697" s="258"/>
      <c r="L697" s="258"/>
      <c r="M697" s="258"/>
      <c r="N697" s="258"/>
    </row>
    <row r="698">
      <c r="A698" s="257"/>
      <c r="B698" s="257"/>
      <c r="C698" s="258"/>
      <c r="D698" s="257"/>
      <c r="E698" s="257"/>
      <c r="F698" s="257"/>
      <c r="G698" s="258"/>
      <c r="H698" s="258"/>
      <c r="I698" s="258"/>
      <c r="J698" s="258"/>
      <c r="K698" s="258"/>
      <c r="L698" s="258"/>
      <c r="M698" s="258"/>
      <c r="N698" s="258"/>
    </row>
    <row r="699">
      <c r="A699" s="257"/>
      <c r="B699" s="257"/>
      <c r="C699" s="258"/>
      <c r="D699" s="257"/>
      <c r="E699" s="257"/>
      <c r="F699" s="257"/>
      <c r="G699" s="258"/>
      <c r="H699" s="258"/>
      <c r="I699" s="258"/>
      <c r="J699" s="258"/>
      <c r="K699" s="258"/>
      <c r="L699" s="258"/>
      <c r="M699" s="258"/>
      <c r="N699" s="258"/>
    </row>
    <row r="700">
      <c r="A700" s="257"/>
      <c r="B700" s="257"/>
      <c r="C700" s="258"/>
      <c r="D700" s="257"/>
      <c r="E700" s="257"/>
      <c r="F700" s="257"/>
      <c r="G700" s="258"/>
      <c r="H700" s="258"/>
      <c r="I700" s="258"/>
      <c r="J700" s="258"/>
      <c r="K700" s="258"/>
      <c r="L700" s="258"/>
      <c r="M700" s="258"/>
      <c r="N700" s="258"/>
    </row>
    <row r="701">
      <c r="A701" s="257"/>
      <c r="B701" s="257"/>
      <c r="C701" s="258"/>
      <c r="D701" s="257"/>
      <c r="E701" s="257"/>
      <c r="F701" s="257"/>
      <c r="G701" s="258"/>
      <c r="H701" s="258"/>
      <c r="I701" s="258"/>
      <c r="J701" s="258"/>
      <c r="K701" s="258"/>
      <c r="L701" s="258"/>
      <c r="M701" s="258"/>
      <c r="N701" s="258"/>
    </row>
    <row r="702">
      <c r="A702" s="257"/>
      <c r="B702" s="257"/>
      <c r="C702" s="258"/>
      <c r="D702" s="257"/>
      <c r="E702" s="257"/>
      <c r="F702" s="257"/>
      <c r="G702" s="258"/>
      <c r="H702" s="258"/>
      <c r="I702" s="258"/>
      <c r="J702" s="258"/>
      <c r="K702" s="258"/>
      <c r="L702" s="258"/>
      <c r="M702" s="258"/>
      <c r="N702" s="258"/>
    </row>
    <row r="703">
      <c r="A703" s="257"/>
      <c r="B703" s="257"/>
      <c r="C703" s="258"/>
      <c r="D703" s="257"/>
      <c r="E703" s="257"/>
      <c r="F703" s="257"/>
      <c r="G703" s="258"/>
      <c r="H703" s="258"/>
      <c r="I703" s="258"/>
      <c r="J703" s="258"/>
      <c r="K703" s="258"/>
      <c r="L703" s="258"/>
      <c r="M703" s="258"/>
      <c r="N703" s="258"/>
    </row>
    <row r="704">
      <c r="A704" s="257"/>
      <c r="B704" s="257"/>
      <c r="C704" s="258"/>
      <c r="D704" s="257"/>
      <c r="E704" s="257"/>
      <c r="F704" s="257"/>
      <c r="G704" s="258"/>
      <c r="H704" s="258"/>
      <c r="I704" s="258"/>
      <c r="J704" s="258"/>
      <c r="K704" s="258"/>
      <c r="L704" s="258"/>
      <c r="M704" s="258"/>
      <c r="N704" s="258"/>
    </row>
    <row r="705">
      <c r="A705" s="257"/>
      <c r="B705" s="257"/>
      <c r="C705" s="258"/>
      <c r="D705" s="257"/>
      <c r="E705" s="257"/>
      <c r="F705" s="257"/>
      <c r="G705" s="258"/>
      <c r="H705" s="258"/>
      <c r="I705" s="258"/>
      <c r="J705" s="258"/>
      <c r="K705" s="258"/>
      <c r="L705" s="258"/>
      <c r="M705" s="258"/>
      <c r="N705" s="258"/>
    </row>
    <row r="706">
      <c r="A706" s="257"/>
      <c r="B706" s="257"/>
      <c r="C706" s="258"/>
      <c r="D706" s="257"/>
      <c r="E706" s="257"/>
      <c r="F706" s="257"/>
      <c r="G706" s="258"/>
      <c r="H706" s="258"/>
      <c r="I706" s="258"/>
      <c r="J706" s="258"/>
      <c r="K706" s="258"/>
      <c r="L706" s="258"/>
      <c r="M706" s="258"/>
      <c r="N706" s="258"/>
    </row>
    <row r="707">
      <c r="A707" s="257"/>
      <c r="B707" s="257"/>
      <c r="C707" s="258"/>
      <c r="D707" s="257"/>
      <c r="E707" s="257"/>
      <c r="F707" s="257"/>
      <c r="G707" s="258"/>
      <c r="H707" s="258"/>
      <c r="I707" s="258"/>
      <c r="J707" s="258"/>
      <c r="K707" s="258"/>
      <c r="L707" s="258"/>
      <c r="M707" s="258"/>
      <c r="N707" s="258"/>
    </row>
    <row r="708">
      <c r="A708" s="257"/>
      <c r="B708" s="257"/>
      <c r="C708" s="258"/>
      <c r="D708" s="257"/>
      <c r="E708" s="257"/>
      <c r="F708" s="257"/>
      <c r="G708" s="258"/>
      <c r="H708" s="258"/>
      <c r="I708" s="258"/>
      <c r="J708" s="258"/>
      <c r="K708" s="258"/>
      <c r="L708" s="258"/>
      <c r="M708" s="258"/>
      <c r="N708" s="258"/>
    </row>
    <row r="709">
      <c r="A709" s="257"/>
      <c r="B709" s="257"/>
      <c r="C709" s="258"/>
      <c r="D709" s="257"/>
      <c r="E709" s="257"/>
      <c r="F709" s="257"/>
      <c r="G709" s="258"/>
      <c r="H709" s="258"/>
      <c r="I709" s="258"/>
      <c r="J709" s="258"/>
      <c r="K709" s="258"/>
      <c r="L709" s="258"/>
      <c r="M709" s="258"/>
      <c r="N709" s="258"/>
    </row>
    <row r="710">
      <c r="A710" s="257"/>
      <c r="B710" s="257"/>
      <c r="C710" s="258"/>
      <c r="D710" s="257"/>
      <c r="E710" s="257"/>
      <c r="F710" s="257"/>
      <c r="G710" s="258"/>
      <c r="H710" s="258"/>
      <c r="I710" s="258"/>
      <c r="J710" s="258"/>
      <c r="K710" s="258"/>
      <c r="L710" s="258"/>
      <c r="M710" s="258"/>
      <c r="N710" s="258"/>
    </row>
    <row r="711">
      <c r="A711" s="257"/>
      <c r="B711" s="257"/>
      <c r="C711" s="258"/>
      <c r="D711" s="257"/>
      <c r="E711" s="257"/>
      <c r="F711" s="257"/>
      <c r="G711" s="258"/>
      <c r="H711" s="258"/>
      <c r="I711" s="258"/>
      <c r="J711" s="258"/>
      <c r="K711" s="258"/>
      <c r="L711" s="258"/>
      <c r="M711" s="258"/>
      <c r="N711" s="258"/>
    </row>
    <row r="712">
      <c r="A712" s="257"/>
      <c r="B712" s="257"/>
      <c r="C712" s="258"/>
      <c r="D712" s="257"/>
      <c r="E712" s="257"/>
      <c r="F712" s="257"/>
      <c r="G712" s="258"/>
      <c r="H712" s="258"/>
      <c r="I712" s="258"/>
      <c r="J712" s="258"/>
      <c r="K712" s="258"/>
      <c r="L712" s="258"/>
      <c r="M712" s="258"/>
      <c r="N712" s="258"/>
    </row>
    <row r="713">
      <c r="A713" s="257"/>
      <c r="B713" s="257"/>
      <c r="C713" s="258"/>
      <c r="D713" s="257"/>
      <c r="E713" s="257"/>
      <c r="F713" s="257"/>
      <c r="G713" s="258"/>
      <c r="H713" s="258"/>
      <c r="I713" s="258"/>
      <c r="J713" s="258"/>
      <c r="K713" s="258"/>
      <c r="L713" s="258"/>
      <c r="M713" s="258"/>
      <c r="N713" s="258"/>
    </row>
    <row r="714">
      <c r="A714" s="257"/>
      <c r="B714" s="257"/>
      <c r="C714" s="258"/>
      <c r="D714" s="257"/>
      <c r="E714" s="257"/>
      <c r="F714" s="257"/>
      <c r="G714" s="258"/>
      <c r="H714" s="258"/>
      <c r="I714" s="258"/>
      <c r="J714" s="258"/>
      <c r="K714" s="258"/>
      <c r="L714" s="258"/>
      <c r="M714" s="258"/>
      <c r="N714" s="258"/>
    </row>
    <row r="715">
      <c r="A715" s="257"/>
      <c r="B715" s="257"/>
      <c r="C715" s="258"/>
      <c r="D715" s="257"/>
      <c r="E715" s="257"/>
      <c r="F715" s="257"/>
      <c r="G715" s="258"/>
      <c r="H715" s="258"/>
      <c r="I715" s="258"/>
      <c r="J715" s="258"/>
      <c r="K715" s="258"/>
      <c r="L715" s="258"/>
      <c r="M715" s="258"/>
      <c r="N715" s="258"/>
    </row>
    <row r="716">
      <c r="A716" s="257"/>
      <c r="B716" s="257"/>
      <c r="C716" s="258"/>
      <c r="D716" s="257"/>
      <c r="E716" s="257"/>
      <c r="F716" s="257"/>
      <c r="G716" s="258"/>
      <c r="H716" s="258"/>
      <c r="I716" s="258"/>
      <c r="J716" s="258"/>
      <c r="K716" s="258"/>
      <c r="L716" s="258"/>
      <c r="M716" s="258"/>
      <c r="N716" s="258"/>
    </row>
    <row r="717">
      <c r="A717" s="257"/>
      <c r="B717" s="257"/>
      <c r="C717" s="258"/>
      <c r="D717" s="257"/>
      <c r="E717" s="257"/>
      <c r="F717" s="257"/>
      <c r="G717" s="258"/>
      <c r="H717" s="258"/>
      <c r="I717" s="258"/>
      <c r="J717" s="258"/>
      <c r="K717" s="258"/>
      <c r="L717" s="258"/>
      <c r="M717" s="258"/>
      <c r="N717" s="258"/>
    </row>
    <row r="718">
      <c r="A718" s="257"/>
      <c r="B718" s="257"/>
      <c r="C718" s="258"/>
      <c r="D718" s="257"/>
      <c r="E718" s="257"/>
      <c r="F718" s="257"/>
      <c r="G718" s="258"/>
      <c r="H718" s="258"/>
      <c r="I718" s="258"/>
      <c r="J718" s="258"/>
      <c r="K718" s="258"/>
      <c r="L718" s="258"/>
      <c r="M718" s="258"/>
      <c r="N718" s="258"/>
    </row>
    <row r="719">
      <c r="A719" s="257"/>
      <c r="B719" s="257"/>
      <c r="C719" s="258"/>
      <c r="D719" s="257"/>
      <c r="E719" s="257"/>
      <c r="F719" s="257"/>
      <c r="G719" s="258"/>
      <c r="H719" s="258"/>
      <c r="I719" s="258"/>
      <c r="J719" s="258"/>
      <c r="K719" s="258"/>
      <c r="L719" s="258"/>
      <c r="M719" s="258"/>
      <c r="N719" s="258"/>
    </row>
    <row r="720">
      <c r="A720" s="257"/>
      <c r="B720" s="257"/>
      <c r="C720" s="258"/>
      <c r="D720" s="257"/>
      <c r="E720" s="257"/>
      <c r="F720" s="257"/>
      <c r="G720" s="258"/>
      <c r="H720" s="258"/>
      <c r="I720" s="258"/>
      <c r="J720" s="258"/>
      <c r="K720" s="258"/>
      <c r="L720" s="258"/>
      <c r="M720" s="258"/>
      <c r="N720" s="258"/>
    </row>
    <row r="721">
      <c r="A721" s="257"/>
      <c r="B721" s="257"/>
      <c r="C721" s="258"/>
      <c r="D721" s="257"/>
      <c r="E721" s="257"/>
      <c r="F721" s="257"/>
      <c r="G721" s="258"/>
      <c r="H721" s="258"/>
      <c r="I721" s="258"/>
      <c r="J721" s="258"/>
      <c r="K721" s="258"/>
      <c r="L721" s="258"/>
      <c r="M721" s="258"/>
      <c r="N721" s="258"/>
    </row>
    <row r="722">
      <c r="A722" s="257"/>
      <c r="B722" s="257"/>
      <c r="C722" s="258"/>
      <c r="D722" s="257"/>
      <c r="E722" s="257"/>
      <c r="F722" s="257"/>
      <c r="G722" s="258"/>
      <c r="H722" s="258"/>
      <c r="I722" s="258"/>
      <c r="J722" s="258"/>
      <c r="K722" s="258"/>
      <c r="L722" s="258"/>
      <c r="M722" s="258"/>
      <c r="N722" s="258"/>
    </row>
    <row r="723">
      <c r="A723" s="257"/>
      <c r="B723" s="257"/>
      <c r="C723" s="258"/>
      <c r="D723" s="257"/>
      <c r="E723" s="257"/>
      <c r="F723" s="257"/>
      <c r="G723" s="258"/>
      <c r="H723" s="258"/>
      <c r="I723" s="258"/>
      <c r="J723" s="258"/>
      <c r="K723" s="258"/>
      <c r="L723" s="258"/>
      <c r="M723" s="258"/>
      <c r="N723" s="258"/>
    </row>
    <row r="724">
      <c r="A724" s="257"/>
      <c r="B724" s="257"/>
      <c r="C724" s="258"/>
      <c r="D724" s="257"/>
      <c r="E724" s="257"/>
      <c r="F724" s="257"/>
      <c r="G724" s="258"/>
      <c r="H724" s="258"/>
      <c r="I724" s="258"/>
      <c r="J724" s="258"/>
      <c r="K724" s="258"/>
      <c r="L724" s="258"/>
      <c r="M724" s="258"/>
      <c r="N724" s="258"/>
    </row>
    <row r="725">
      <c r="A725" s="257"/>
      <c r="B725" s="257"/>
      <c r="C725" s="258"/>
      <c r="D725" s="257"/>
      <c r="E725" s="257"/>
      <c r="F725" s="257"/>
      <c r="G725" s="258"/>
      <c r="H725" s="258"/>
      <c r="I725" s="258"/>
      <c r="J725" s="258"/>
      <c r="K725" s="258"/>
      <c r="L725" s="258"/>
      <c r="M725" s="258"/>
      <c r="N725" s="258"/>
    </row>
    <row r="726">
      <c r="A726" s="257"/>
      <c r="B726" s="257"/>
      <c r="C726" s="258"/>
      <c r="D726" s="257"/>
      <c r="E726" s="257"/>
      <c r="F726" s="257"/>
      <c r="G726" s="258"/>
      <c r="H726" s="258"/>
      <c r="I726" s="258"/>
      <c r="J726" s="258"/>
      <c r="K726" s="258"/>
      <c r="L726" s="258"/>
      <c r="M726" s="258"/>
      <c r="N726" s="258"/>
    </row>
    <row r="727">
      <c r="A727" s="257"/>
      <c r="B727" s="257"/>
      <c r="C727" s="258"/>
      <c r="D727" s="257"/>
      <c r="E727" s="257"/>
      <c r="F727" s="257"/>
      <c r="G727" s="258"/>
      <c r="H727" s="258"/>
      <c r="I727" s="258"/>
      <c r="J727" s="258"/>
      <c r="K727" s="258"/>
      <c r="L727" s="258"/>
      <c r="M727" s="258"/>
      <c r="N727" s="258"/>
    </row>
    <row r="728">
      <c r="A728" s="257"/>
      <c r="B728" s="257"/>
      <c r="C728" s="258"/>
      <c r="D728" s="257"/>
      <c r="E728" s="257"/>
      <c r="F728" s="257"/>
      <c r="G728" s="258"/>
      <c r="H728" s="258"/>
      <c r="I728" s="258"/>
      <c r="J728" s="258"/>
      <c r="K728" s="258"/>
      <c r="L728" s="258"/>
      <c r="M728" s="258"/>
      <c r="N728" s="258"/>
    </row>
    <row r="729">
      <c r="A729" s="257"/>
      <c r="B729" s="257"/>
      <c r="C729" s="258"/>
      <c r="D729" s="257"/>
      <c r="E729" s="257"/>
      <c r="F729" s="257"/>
      <c r="G729" s="258"/>
      <c r="H729" s="258"/>
      <c r="I729" s="258"/>
      <c r="J729" s="258"/>
      <c r="K729" s="258"/>
      <c r="L729" s="258"/>
      <c r="M729" s="258"/>
      <c r="N729" s="258"/>
    </row>
    <row r="730">
      <c r="A730" s="257"/>
      <c r="B730" s="257"/>
      <c r="C730" s="258"/>
      <c r="D730" s="257"/>
      <c r="E730" s="257"/>
      <c r="F730" s="257"/>
      <c r="G730" s="258"/>
      <c r="H730" s="258"/>
      <c r="I730" s="258"/>
      <c r="J730" s="258"/>
      <c r="K730" s="258"/>
      <c r="L730" s="258"/>
      <c r="M730" s="258"/>
      <c r="N730" s="258"/>
    </row>
    <row r="731">
      <c r="A731" s="257"/>
      <c r="B731" s="257"/>
      <c r="C731" s="258"/>
      <c r="D731" s="257"/>
      <c r="E731" s="257"/>
      <c r="F731" s="257"/>
      <c r="G731" s="258"/>
      <c r="H731" s="258"/>
      <c r="I731" s="258"/>
      <c r="J731" s="258"/>
      <c r="K731" s="258"/>
      <c r="L731" s="258"/>
      <c r="M731" s="258"/>
      <c r="N731" s="258"/>
    </row>
    <row r="732">
      <c r="A732" s="257"/>
      <c r="B732" s="257"/>
      <c r="C732" s="258"/>
      <c r="D732" s="257"/>
      <c r="E732" s="257"/>
      <c r="F732" s="257"/>
      <c r="G732" s="258"/>
      <c r="H732" s="258"/>
      <c r="I732" s="258"/>
      <c r="J732" s="258"/>
      <c r="K732" s="258"/>
      <c r="L732" s="258"/>
      <c r="M732" s="258"/>
      <c r="N732" s="258"/>
    </row>
    <row r="733">
      <c r="A733" s="257"/>
      <c r="B733" s="257"/>
      <c r="C733" s="258"/>
      <c r="D733" s="257"/>
      <c r="E733" s="257"/>
      <c r="F733" s="257"/>
      <c r="G733" s="258"/>
      <c r="H733" s="258"/>
      <c r="I733" s="258"/>
      <c r="J733" s="258"/>
      <c r="K733" s="258"/>
      <c r="L733" s="258"/>
      <c r="M733" s="258"/>
      <c r="N733" s="258"/>
    </row>
    <row r="734">
      <c r="A734" s="257"/>
      <c r="B734" s="257"/>
      <c r="C734" s="258"/>
      <c r="D734" s="257"/>
      <c r="E734" s="257"/>
      <c r="F734" s="257"/>
      <c r="G734" s="258"/>
      <c r="H734" s="258"/>
      <c r="I734" s="258"/>
      <c r="J734" s="258"/>
      <c r="K734" s="258"/>
      <c r="L734" s="258"/>
      <c r="M734" s="258"/>
      <c r="N734" s="258"/>
    </row>
    <row r="735">
      <c r="A735" s="257"/>
      <c r="B735" s="257"/>
      <c r="C735" s="258"/>
      <c r="D735" s="257"/>
      <c r="E735" s="257"/>
      <c r="F735" s="257"/>
      <c r="G735" s="258"/>
      <c r="H735" s="258"/>
      <c r="I735" s="258"/>
      <c r="J735" s="258"/>
      <c r="K735" s="258"/>
      <c r="L735" s="258"/>
      <c r="M735" s="258"/>
      <c r="N735" s="258"/>
    </row>
    <row r="736">
      <c r="A736" s="257"/>
      <c r="B736" s="257"/>
      <c r="C736" s="258"/>
      <c r="D736" s="257"/>
      <c r="E736" s="257"/>
      <c r="F736" s="257"/>
      <c r="G736" s="258"/>
      <c r="H736" s="258"/>
      <c r="I736" s="258"/>
      <c r="J736" s="258"/>
      <c r="K736" s="258"/>
      <c r="L736" s="258"/>
      <c r="M736" s="258"/>
      <c r="N736" s="258"/>
    </row>
    <row r="737">
      <c r="A737" s="257"/>
      <c r="B737" s="257"/>
      <c r="C737" s="258"/>
      <c r="D737" s="257"/>
      <c r="E737" s="257"/>
      <c r="F737" s="257"/>
      <c r="G737" s="258"/>
      <c r="H737" s="258"/>
      <c r="I737" s="258"/>
      <c r="J737" s="258"/>
      <c r="K737" s="258"/>
      <c r="L737" s="258"/>
      <c r="M737" s="258"/>
      <c r="N737" s="258"/>
    </row>
    <row r="738">
      <c r="A738" s="257"/>
      <c r="B738" s="257"/>
      <c r="C738" s="258"/>
      <c r="D738" s="257"/>
      <c r="E738" s="257"/>
      <c r="F738" s="257"/>
      <c r="G738" s="258"/>
      <c r="H738" s="258"/>
      <c r="I738" s="258"/>
      <c r="J738" s="258"/>
      <c r="K738" s="258"/>
      <c r="L738" s="258"/>
      <c r="M738" s="258"/>
      <c r="N738" s="258"/>
    </row>
    <row r="739">
      <c r="A739" s="257"/>
      <c r="B739" s="257"/>
      <c r="C739" s="258"/>
      <c r="D739" s="257"/>
      <c r="E739" s="257"/>
      <c r="F739" s="257"/>
      <c r="G739" s="258"/>
      <c r="H739" s="258"/>
      <c r="I739" s="258"/>
      <c r="J739" s="258"/>
      <c r="K739" s="258"/>
      <c r="L739" s="258"/>
      <c r="M739" s="258"/>
      <c r="N739" s="258"/>
    </row>
    <row r="740">
      <c r="A740" s="257"/>
      <c r="B740" s="257"/>
      <c r="C740" s="258"/>
      <c r="D740" s="257"/>
      <c r="E740" s="257"/>
      <c r="F740" s="257"/>
      <c r="G740" s="258"/>
      <c r="H740" s="258"/>
      <c r="I740" s="258"/>
      <c r="J740" s="258"/>
      <c r="K740" s="258"/>
      <c r="L740" s="258"/>
      <c r="M740" s="258"/>
      <c r="N740" s="258"/>
    </row>
    <row r="741">
      <c r="A741" s="257"/>
      <c r="B741" s="257"/>
      <c r="C741" s="258"/>
      <c r="D741" s="257"/>
      <c r="E741" s="257"/>
      <c r="F741" s="257"/>
      <c r="G741" s="258"/>
      <c r="H741" s="258"/>
      <c r="I741" s="258"/>
      <c r="J741" s="258"/>
      <c r="K741" s="258"/>
      <c r="L741" s="258"/>
      <c r="M741" s="258"/>
      <c r="N741" s="258"/>
    </row>
    <row r="742">
      <c r="A742" s="257"/>
      <c r="B742" s="257"/>
      <c r="C742" s="258"/>
      <c r="D742" s="257"/>
      <c r="E742" s="257"/>
      <c r="F742" s="257"/>
      <c r="G742" s="258"/>
      <c r="H742" s="258"/>
      <c r="I742" s="258"/>
      <c r="J742" s="258"/>
      <c r="K742" s="258"/>
      <c r="L742" s="258"/>
      <c r="M742" s="258"/>
      <c r="N742" s="258"/>
    </row>
    <row r="743">
      <c r="A743" s="257"/>
      <c r="B743" s="257"/>
      <c r="C743" s="258"/>
      <c r="D743" s="257"/>
      <c r="E743" s="257"/>
      <c r="F743" s="257"/>
      <c r="G743" s="258"/>
      <c r="H743" s="258"/>
      <c r="I743" s="258"/>
      <c r="J743" s="258"/>
      <c r="K743" s="258"/>
      <c r="L743" s="258"/>
      <c r="M743" s="258"/>
      <c r="N743" s="258"/>
    </row>
    <row r="744">
      <c r="A744" s="257"/>
      <c r="B744" s="257"/>
      <c r="C744" s="258"/>
      <c r="D744" s="257"/>
      <c r="E744" s="257"/>
      <c r="F744" s="257"/>
      <c r="G744" s="258"/>
      <c r="H744" s="258"/>
      <c r="I744" s="258"/>
      <c r="J744" s="258"/>
      <c r="K744" s="258"/>
      <c r="L744" s="258"/>
      <c r="M744" s="258"/>
      <c r="N744" s="258"/>
    </row>
    <row r="745">
      <c r="A745" s="257"/>
      <c r="B745" s="257"/>
      <c r="C745" s="258"/>
      <c r="D745" s="257"/>
      <c r="E745" s="257"/>
      <c r="F745" s="257"/>
      <c r="G745" s="258"/>
      <c r="H745" s="258"/>
      <c r="I745" s="258"/>
      <c r="J745" s="258"/>
      <c r="K745" s="258"/>
      <c r="L745" s="258"/>
      <c r="M745" s="258"/>
      <c r="N745" s="258"/>
    </row>
    <row r="746">
      <c r="A746" s="257"/>
      <c r="B746" s="257"/>
      <c r="C746" s="258"/>
      <c r="D746" s="257"/>
      <c r="E746" s="257"/>
      <c r="F746" s="257"/>
      <c r="G746" s="258"/>
      <c r="H746" s="258"/>
      <c r="I746" s="258"/>
      <c r="J746" s="258"/>
      <c r="K746" s="258"/>
      <c r="L746" s="258"/>
      <c r="M746" s="258"/>
      <c r="N746" s="258"/>
    </row>
    <row r="747">
      <c r="A747" s="257"/>
      <c r="B747" s="257"/>
      <c r="C747" s="258"/>
      <c r="D747" s="257"/>
      <c r="E747" s="257"/>
      <c r="F747" s="257"/>
      <c r="G747" s="258"/>
      <c r="H747" s="258"/>
      <c r="I747" s="258"/>
      <c r="J747" s="258"/>
      <c r="K747" s="258"/>
      <c r="L747" s="258"/>
      <c r="M747" s="258"/>
      <c r="N747" s="258"/>
    </row>
    <row r="748">
      <c r="A748" s="257"/>
      <c r="B748" s="257"/>
      <c r="C748" s="258"/>
      <c r="D748" s="257"/>
      <c r="E748" s="257"/>
      <c r="F748" s="257"/>
      <c r="G748" s="258"/>
      <c r="H748" s="258"/>
      <c r="I748" s="258"/>
      <c r="J748" s="258"/>
      <c r="K748" s="258"/>
      <c r="L748" s="258"/>
      <c r="M748" s="258"/>
      <c r="N748" s="258"/>
    </row>
    <row r="749">
      <c r="A749" s="257"/>
      <c r="B749" s="257"/>
      <c r="C749" s="258"/>
      <c r="D749" s="257"/>
      <c r="E749" s="257"/>
      <c r="F749" s="257"/>
      <c r="G749" s="258"/>
      <c r="H749" s="258"/>
      <c r="I749" s="258"/>
      <c r="J749" s="258"/>
      <c r="K749" s="258"/>
      <c r="L749" s="258"/>
      <c r="M749" s="258"/>
      <c r="N749" s="258"/>
    </row>
    <row r="750">
      <c r="A750" s="257"/>
      <c r="B750" s="257"/>
      <c r="C750" s="258"/>
      <c r="D750" s="257"/>
      <c r="E750" s="257"/>
      <c r="F750" s="257"/>
      <c r="G750" s="258"/>
      <c r="H750" s="258"/>
      <c r="I750" s="258"/>
      <c r="J750" s="258"/>
      <c r="K750" s="258"/>
      <c r="L750" s="258"/>
      <c r="M750" s="258"/>
      <c r="N750" s="258"/>
    </row>
    <row r="751">
      <c r="A751" s="257"/>
      <c r="B751" s="257"/>
      <c r="C751" s="258"/>
      <c r="D751" s="257"/>
      <c r="E751" s="257"/>
      <c r="F751" s="257"/>
      <c r="G751" s="258"/>
      <c r="H751" s="258"/>
      <c r="I751" s="258"/>
      <c r="J751" s="258"/>
      <c r="K751" s="258"/>
      <c r="L751" s="258"/>
      <c r="M751" s="258"/>
      <c r="N751" s="258"/>
    </row>
    <row r="752">
      <c r="A752" s="257"/>
      <c r="B752" s="257"/>
      <c r="C752" s="258"/>
      <c r="D752" s="257"/>
      <c r="E752" s="257"/>
      <c r="F752" s="257"/>
      <c r="G752" s="258"/>
      <c r="H752" s="258"/>
      <c r="I752" s="258"/>
      <c r="J752" s="258"/>
      <c r="K752" s="258"/>
      <c r="L752" s="258"/>
      <c r="M752" s="258"/>
      <c r="N752" s="258"/>
    </row>
    <row r="753">
      <c r="A753" s="257"/>
      <c r="B753" s="257"/>
      <c r="C753" s="258"/>
      <c r="D753" s="257"/>
      <c r="E753" s="257"/>
      <c r="F753" s="257"/>
      <c r="G753" s="258"/>
      <c r="H753" s="258"/>
      <c r="I753" s="258"/>
      <c r="J753" s="258"/>
      <c r="K753" s="258"/>
      <c r="L753" s="258"/>
      <c r="M753" s="258"/>
      <c r="N753" s="258"/>
    </row>
    <row r="754">
      <c r="A754" s="257"/>
      <c r="B754" s="257"/>
      <c r="C754" s="258"/>
      <c r="D754" s="257"/>
      <c r="E754" s="257"/>
      <c r="F754" s="257"/>
      <c r="G754" s="258"/>
      <c r="H754" s="258"/>
      <c r="I754" s="258"/>
      <c r="J754" s="258"/>
      <c r="K754" s="258"/>
      <c r="L754" s="258"/>
      <c r="M754" s="258"/>
      <c r="N754" s="258"/>
    </row>
    <row r="755">
      <c r="A755" s="257"/>
      <c r="B755" s="257"/>
      <c r="C755" s="258"/>
      <c r="D755" s="257"/>
      <c r="E755" s="257"/>
      <c r="F755" s="257"/>
      <c r="G755" s="258"/>
      <c r="H755" s="258"/>
      <c r="I755" s="258"/>
      <c r="J755" s="258"/>
      <c r="K755" s="258"/>
      <c r="L755" s="258"/>
      <c r="M755" s="258"/>
      <c r="N755" s="258"/>
    </row>
    <row r="756">
      <c r="A756" s="257"/>
      <c r="B756" s="257"/>
      <c r="C756" s="258"/>
      <c r="D756" s="257"/>
      <c r="E756" s="257"/>
      <c r="F756" s="257"/>
      <c r="G756" s="258"/>
      <c r="H756" s="258"/>
      <c r="I756" s="258"/>
      <c r="J756" s="258"/>
      <c r="K756" s="258"/>
      <c r="L756" s="258"/>
      <c r="M756" s="258"/>
      <c r="N756" s="258"/>
    </row>
    <row r="757">
      <c r="A757" s="257"/>
      <c r="B757" s="257"/>
      <c r="C757" s="258"/>
      <c r="D757" s="257"/>
      <c r="E757" s="257"/>
      <c r="F757" s="257"/>
      <c r="G757" s="258"/>
      <c r="H757" s="258"/>
      <c r="I757" s="258"/>
      <c r="J757" s="258"/>
      <c r="K757" s="258"/>
      <c r="L757" s="258"/>
      <c r="M757" s="258"/>
      <c r="N757" s="258"/>
    </row>
    <row r="758">
      <c r="A758" s="257"/>
      <c r="B758" s="257"/>
      <c r="C758" s="258"/>
      <c r="D758" s="257"/>
      <c r="E758" s="257"/>
      <c r="F758" s="257"/>
      <c r="G758" s="258"/>
      <c r="H758" s="258"/>
      <c r="I758" s="258"/>
      <c r="J758" s="258"/>
      <c r="K758" s="258"/>
      <c r="L758" s="258"/>
      <c r="M758" s="258"/>
      <c r="N758" s="258"/>
    </row>
    <row r="759">
      <c r="A759" s="257"/>
      <c r="B759" s="257"/>
      <c r="C759" s="258"/>
      <c r="D759" s="257"/>
      <c r="E759" s="257"/>
      <c r="F759" s="257"/>
      <c r="G759" s="258"/>
      <c r="H759" s="258"/>
      <c r="I759" s="258"/>
      <c r="J759" s="258"/>
      <c r="K759" s="258"/>
      <c r="L759" s="258"/>
      <c r="M759" s="258"/>
      <c r="N759" s="258"/>
    </row>
    <row r="760">
      <c r="A760" s="257"/>
      <c r="B760" s="257"/>
      <c r="C760" s="258"/>
      <c r="D760" s="257"/>
      <c r="E760" s="257"/>
      <c r="F760" s="257"/>
      <c r="G760" s="258"/>
      <c r="H760" s="258"/>
      <c r="I760" s="258"/>
      <c r="J760" s="258"/>
      <c r="K760" s="258"/>
      <c r="L760" s="258"/>
      <c r="M760" s="258"/>
      <c r="N760" s="258"/>
    </row>
    <row r="761">
      <c r="A761" s="257"/>
      <c r="B761" s="257"/>
      <c r="C761" s="258"/>
      <c r="D761" s="257"/>
      <c r="E761" s="257"/>
      <c r="F761" s="257"/>
      <c r="G761" s="258"/>
      <c r="H761" s="258"/>
      <c r="I761" s="258"/>
      <c r="J761" s="258"/>
      <c r="K761" s="258"/>
      <c r="L761" s="258"/>
      <c r="M761" s="258"/>
      <c r="N761" s="258"/>
    </row>
    <row r="762">
      <c r="A762" s="257"/>
      <c r="B762" s="257"/>
      <c r="C762" s="258"/>
      <c r="D762" s="257"/>
      <c r="E762" s="257"/>
      <c r="F762" s="257"/>
      <c r="G762" s="258"/>
      <c r="H762" s="258"/>
      <c r="I762" s="258"/>
      <c r="J762" s="258"/>
      <c r="K762" s="258"/>
      <c r="L762" s="258"/>
      <c r="M762" s="258"/>
      <c r="N762" s="258"/>
    </row>
    <row r="763">
      <c r="A763" s="257"/>
      <c r="B763" s="257"/>
      <c r="C763" s="258"/>
      <c r="D763" s="257"/>
      <c r="E763" s="257"/>
      <c r="F763" s="257"/>
      <c r="G763" s="258"/>
      <c r="H763" s="258"/>
      <c r="I763" s="258"/>
      <c r="J763" s="258"/>
      <c r="K763" s="258"/>
      <c r="L763" s="258"/>
      <c r="M763" s="258"/>
      <c r="N763" s="258"/>
    </row>
    <row r="764">
      <c r="A764" s="257"/>
      <c r="B764" s="257"/>
      <c r="C764" s="258"/>
      <c r="D764" s="257"/>
      <c r="E764" s="257"/>
      <c r="F764" s="257"/>
      <c r="G764" s="258"/>
      <c r="H764" s="258"/>
      <c r="I764" s="258"/>
      <c r="J764" s="258"/>
      <c r="K764" s="258"/>
      <c r="L764" s="258"/>
      <c r="M764" s="258"/>
      <c r="N764" s="258"/>
    </row>
    <row r="765">
      <c r="A765" s="257"/>
      <c r="B765" s="257"/>
      <c r="C765" s="258"/>
      <c r="D765" s="257"/>
      <c r="E765" s="257"/>
      <c r="F765" s="257"/>
      <c r="G765" s="258"/>
      <c r="H765" s="258"/>
      <c r="I765" s="258"/>
      <c r="J765" s="258"/>
      <c r="K765" s="258"/>
      <c r="L765" s="258"/>
      <c r="M765" s="258"/>
      <c r="N765" s="258"/>
    </row>
    <row r="766">
      <c r="A766" s="257"/>
      <c r="B766" s="257"/>
      <c r="C766" s="258"/>
      <c r="D766" s="257"/>
      <c r="E766" s="257"/>
      <c r="F766" s="257"/>
      <c r="G766" s="258"/>
      <c r="H766" s="258"/>
      <c r="I766" s="258"/>
      <c r="J766" s="258"/>
      <c r="K766" s="258"/>
      <c r="L766" s="258"/>
      <c r="M766" s="258"/>
      <c r="N766" s="258"/>
    </row>
    <row r="767">
      <c r="A767" s="257"/>
      <c r="B767" s="257"/>
      <c r="C767" s="258"/>
      <c r="D767" s="257"/>
      <c r="E767" s="257"/>
      <c r="F767" s="257"/>
      <c r="G767" s="258"/>
      <c r="H767" s="258"/>
      <c r="I767" s="258"/>
      <c r="J767" s="258"/>
      <c r="K767" s="258"/>
      <c r="L767" s="258"/>
      <c r="M767" s="258"/>
      <c r="N767" s="258"/>
    </row>
    <row r="768">
      <c r="A768" s="257"/>
      <c r="B768" s="257"/>
      <c r="C768" s="258"/>
      <c r="D768" s="257"/>
      <c r="E768" s="257"/>
      <c r="F768" s="257"/>
      <c r="G768" s="258"/>
      <c r="H768" s="258"/>
      <c r="I768" s="258"/>
      <c r="J768" s="258"/>
      <c r="K768" s="258"/>
      <c r="L768" s="258"/>
      <c r="M768" s="258"/>
      <c r="N768" s="258"/>
    </row>
    <row r="769">
      <c r="A769" s="257"/>
      <c r="B769" s="257"/>
      <c r="C769" s="258"/>
      <c r="D769" s="257"/>
      <c r="E769" s="257"/>
      <c r="F769" s="257"/>
      <c r="G769" s="258"/>
      <c r="H769" s="258"/>
      <c r="I769" s="258"/>
      <c r="J769" s="258"/>
      <c r="K769" s="258"/>
      <c r="L769" s="258"/>
      <c r="M769" s="258"/>
      <c r="N769" s="258"/>
    </row>
    <row r="770">
      <c r="A770" s="257"/>
      <c r="B770" s="257"/>
      <c r="C770" s="258"/>
      <c r="D770" s="257"/>
      <c r="E770" s="257"/>
      <c r="F770" s="257"/>
      <c r="G770" s="258"/>
      <c r="H770" s="258"/>
      <c r="I770" s="258"/>
      <c r="J770" s="258"/>
      <c r="K770" s="258"/>
      <c r="L770" s="258"/>
      <c r="M770" s="258"/>
      <c r="N770" s="258"/>
    </row>
    <row r="771">
      <c r="A771" s="257"/>
      <c r="B771" s="257"/>
      <c r="C771" s="258"/>
      <c r="D771" s="257"/>
      <c r="E771" s="257"/>
      <c r="F771" s="257"/>
      <c r="G771" s="258"/>
      <c r="H771" s="258"/>
      <c r="I771" s="258"/>
      <c r="J771" s="258"/>
      <c r="K771" s="258"/>
      <c r="L771" s="258"/>
      <c r="M771" s="258"/>
      <c r="N771" s="258"/>
    </row>
    <row r="772">
      <c r="A772" s="257"/>
      <c r="B772" s="257"/>
      <c r="C772" s="258"/>
      <c r="D772" s="257"/>
      <c r="E772" s="257"/>
      <c r="F772" s="257"/>
      <c r="G772" s="258"/>
      <c r="H772" s="258"/>
      <c r="I772" s="258"/>
      <c r="J772" s="258"/>
      <c r="K772" s="258"/>
      <c r="L772" s="258"/>
      <c r="M772" s="258"/>
      <c r="N772" s="258"/>
    </row>
    <row r="773">
      <c r="A773" s="257"/>
      <c r="B773" s="257"/>
      <c r="C773" s="258"/>
      <c r="D773" s="257"/>
      <c r="E773" s="257"/>
      <c r="F773" s="257"/>
      <c r="G773" s="258"/>
      <c r="H773" s="258"/>
      <c r="I773" s="258"/>
      <c r="J773" s="258"/>
      <c r="K773" s="258"/>
      <c r="L773" s="258"/>
      <c r="M773" s="258"/>
      <c r="N773" s="258"/>
    </row>
    <row r="774">
      <c r="A774" s="257"/>
      <c r="B774" s="257"/>
      <c r="C774" s="258"/>
      <c r="D774" s="257"/>
      <c r="E774" s="257"/>
      <c r="F774" s="257"/>
      <c r="G774" s="258"/>
      <c r="H774" s="258"/>
      <c r="I774" s="258"/>
      <c r="J774" s="258"/>
      <c r="K774" s="258"/>
      <c r="L774" s="258"/>
      <c r="M774" s="258"/>
      <c r="N774" s="258"/>
    </row>
    <row r="775">
      <c r="A775" s="257"/>
      <c r="B775" s="257"/>
      <c r="C775" s="258"/>
      <c r="D775" s="257"/>
      <c r="E775" s="257"/>
      <c r="F775" s="257"/>
      <c r="G775" s="258"/>
      <c r="H775" s="258"/>
      <c r="I775" s="258"/>
      <c r="J775" s="258"/>
      <c r="K775" s="258"/>
      <c r="L775" s="258"/>
      <c r="M775" s="258"/>
      <c r="N775" s="258"/>
    </row>
    <row r="776">
      <c r="A776" s="257"/>
      <c r="B776" s="257"/>
      <c r="C776" s="258"/>
      <c r="D776" s="257"/>
      <c r="E776" s="257"/>
      <c r="F776" s="257"/>
      <c r="G776" s="258"/>
      <c r="H776" s="258"/>
      <c r="I776" s="258"/>
      <c r="J776" s="258"/>
      <c r="K776" s="258"/>
      <c r="L776" s="258"/>
      <c r="M776" s="258"/>
      <c r="N776" s="258"/>
    </row>
    <row r="777">
      <c r="A777" s="257"/>
      <c r="B777" s="257"/>
      <c r="C777" s="258"/>
      <c r="D777" s="257"/>
      <c r="E777" s="257"/>
      <c r="F777" s="257"/>
      <c r="G777" s="258"/>
      <c r="H777" s="258"/>
      <c r="I777" s="258"/>
      <c r="J777" s="258"/>
      <c r="K777" s="258"/>
      <c r="L777" s="258"/>
      <c r="M777" s="258"/>
      <c r="N777" s="258"/>
    </row>
    <row r="778">
      <c r="A778" s="257"/>
      <c r="B778" s="257"/>
      <c r="C778" s="258"/>
      <c r="D778" s="257"/>
      <c r="E778" s="257"/>
      <c r="F778" s="257"/>
      <c r="G778" s="258"/>
      <c r="H778" s="258"/>
      <c r="I778" s="258"/>
      <c r="J778" s="258"/>
      <c r="K778" s="258"/>
      <c r="L778" s="258"/>
      <c r="M778" s="258"/>
      <c r="N778" s="258"/>
    </row>
    <row r="779">
      <c r="A779" s="257"/>
      <c r="B779" s="257"/>
      <c r="C779" s="258"/>
      <c r="D779" s="257"/>
      <c r="E779" s="257"/>
      <c r="F779" s="257"/>
      <c r="G779" s="258"/>
      <c r="H779" s="258"/>
      <c r="I779" s="258"/>
      <c r="J779" s="258"/>
      <c r="K779" s="258"/>
      <c r="L779" s="258"/>
      <c r="M779" s="258"/>
      <c r="N779" s="258"/>
    </row>
    <row r="780">
      <c r="A780" s="257"/>
      <c r="B780" s="257"/>
      <c r="C780" s="258"/>
      <c r="D780" s="257"/>
      <c r="E780" s="257"/>
      <c r="F780" s="257"/>
      <c r="G780" s="258"/>
      <c r="H780" s="258"/>
      <c r="I780" s="258"/>
      <c r="J780" s="258"/>
      <c r="K780" s="258"/>
      <c r="L780" s="258"/>
      <c r="M780" s="258"/>
      <c r="N780" s="258"/>
    </row>
    <row r="781">
      <c r="A781" s="257"/>
      <c r="B781" s="257"/>
      <c r="C781" s="258"/>
      <c r="D781" s="257"/>
      <c r="E781" s="257"/>
      <c r="F781" s="257"/>
      <c r="G781" s="258"/>
      <c r="H781" s="258"/>
      <c r="I781" s="258"/>
      <c r="J781" s="258"/>
      <c r="K781" s="258"/>
      <c r="L781" s="258"/>
      <c r="M781" s="258"/>
      <c r="N781" s="258"/>
    </row>
    <row r="782">
      <c r="A782" s="257"/>
      <c r="B782" s="257"/>
      <c r="C782" s="258"/>
      <c r="D782" s="257"/>
      <c r="E782" s="257"/>
      <c r="F782" s="257"/>
      <c r="G782" s="258"/>
      <c r="H782" s="258"/>
      <c r="I782" s="258"/>
      <c r="J782" s="258"/>
      <c r="K782" s="258"/>
      <c r="L782" s="258"/>
      <c r="M782" s="258"/>
      <c r="N782" s="258"/>
    </row>
    <row r="783">
      <c r="A783" s="257"/>
      <c r="B783" s="257"/>
      <c r="C783" s="258"/>
      <c r="D783" s="257"/>
      <c r="E783" s="257"/>
      <c r="F783" s="257"/>
      <c r="G783" s="258"/>
      <c r="H783" s="258"/>
      <c r="I783" s="258"/>
      <c r="J783" s="258"/>
      <c r="K783" s="258"/>
      <c r="L783" s="258"/>
      <c r="M783" s="258"/>
      <c r="N783" s="258"/>
    </row>
    <row r="784">
      <c r="A784" s="257"/>
      <c r="B784" s="257"/>
      <c r="C784" s="258"/>
      <c r="D784" s="257"/>
      <c r="E784" s="257"/>
      <c r="F784" s="257"/>
      <c r="G784" s="258"/>
      <c r="H784" s="258"/>
      <c r="I784" s="258"/>
      <c r="J784" s="258"/>
      <c r="K784" s="258"/>
      <c r="L784" s="258"/>
      <c r="M784" s="258"/>
      <c r="N784" s="258"/>
    </row>
    <row r="785">
      <c r="A785" s="257"/>
      <c r="B785" s="257"/>
      <c r="C785" s="258"/>
      <c r="D785" s="257"/>
      <c r="E785" s="257"/>
      <c r="F785" s="257"/>
      <c r="G785" s="258"/>
      <c r="H785" s="258"/>
      <c r="I785" s="258"/>
      <c r="J785" s="258"/>
      <c r="K785" s="258"/>
      <c r="L785" s="258"/>
      <c r="M785" s="258"/>
      <c r="N785" s="258"/>
    </row>
    <row r="786">
      <c r="A786" s="257"/>
      <c r="B786" s="257"/>
      <c r="C786" s="258"/>
      <c r="D786" s="257"/>
      <c r="E786" s="257"/>
      <c r="F786" s="257"/>
      <c r="G786" s="258"/>
      <c r="H786" s="258"/>
      <c r="I786" s="258"/>
      <c r="J786" s="258"/>
      <c r="K786" s="258"/>
      <c r="L786" s="258"/>
      <c r="M786" s="258"/>
      <c r="N786" s="258"/>
    </row>
    <row r="787">
      <c r="A787" s="257"/>
      <c r="B787" s="257"/>
      <c r="C787" s="258"/>
      <c r="D787" s="257"/>
      <c r="E787" s="257"/>
      <c r="F787" s="257"/>
      <c r="G787" s="258"/>
      <c r="H787" s="258"/>
      <c r="I787" s="258"/>
      <c r="J787" s="258"/>
      <c r="K787" s="258"/>
      <c r="L787" s="258"/>
      <c r="M787" s="258"/>
      <c r="N787" s="258"/>
    </row>
    <row r="788">
      <c r="A788" s="257"/>
      <c r="B788" s="257"/>
      <c r="C788" s="258"/>
      <c r="D788" s="257"/>
      <c r="E788" s="257"/>
      <c r="F788" s="257"/>
      <c r="G788" s="258"/>
      <c r="H788" s="258"/>
      <c r="I788" s="258"/>
      <c r="J788" s="258"/>
      <c r="K788" s="258"/>
      <c r="L788" s="258"/>
      <c r="M788" s="258"/>
      <c r="N788" s="258"/>
    </row>
    <row r="789">
      <c r="A789" s="257"/>
      <c r="B789" s="257"/>
      <c r="C789" s="258"/>
      <c r="D789" s="257"/>
      <c r="E789" s="257"/>
      <c r="F789" s="257"/>
      <c r="G789" s="258"/>
      <c r="H789" s="258"/>
      <c r="I789" s="258"/>
      <c r="J789" s="258"/>
      <c r="K789" s="258"/>
      <c r="L789" s="258"/>
      <c r="M789" s="258"/>
      <c r="N789" s="258"/>
    </row>
    <row r="790">
      <c r="A790" s="257"/>
      <c r="B790" s="257"/>
      <c r="C790" s="258"/>
      <c r="D790" s="257"/>
      <c r="E790" s="257"/>
      <c r="F790" s="257"/>
      <c r="G790" s="258"/>
      <c r="H790" s="258"/>
      <c r="I790" s="258"/>
      <c r="J790" s="258"/>
      <c r="K790" s="258"/>
      <c r="L790" s="258"/>
      <c r="M790" s="258"/>
      <c r="N790" s="258"/>
    </row>
    <row r="791">
      <c r="A791" s="257"/>
      <c r="B791" s="257"/>
      <c r="C791" s="258"/>
      <c r="D791" s="257"/>
      <c r="E791" s="257"/>
      <c r="F791" s="257"/>
      <c r="G791" s="258"/>
      <c r="H791" s="258"/>
      <c r="I791" s="258"/>
      <c r="J791" s="258"/>
      <c r="K791" s="258"/>
      <c r="L791" s="258"/>
      <c r="M791" s="258"/>
      <c r="N791" s="258"/>
    </row>
    <row r="792">
      <c r="A792" s="257"/>
      <c r="B792" s="257"/>
      <c r="C792" s="258"/>
      <c r="D792" s="257"/>
      <c r="E792" s="257"/>
      <c r="F792" s="257"/>
      <c r="G792" s="258"/>
      <c r="H792" s="258"/>
      <c r="I792" s="258"/>
      <c r="J792" s="258"/>
      <c r="K792" s="258"/>
      <c r="L792" s="258"/>
      <c r="M792" s="258"/>
      <c r="N792" s="258"/>
    </row>
    <row r="793">
      <c r="A793" s="257"/>
      <c r="B793" s="257"/>
      <c r="C793" s="258"/>
      <c r="D793" s="257"/>
      <c r="E793" s="257"/>
      <c r="F793" s="257"/>
      <c r="G793" s="258"/>
      <c r="H793" s="258"/>
      <c r="I793" s="258"/>
      <c r="J793" s="258"/>
      <c r="K793" s="258"/>
      <c r="L793" s="258"/>
      <c r="M793" s="258"/>
      <c r="N793" s="258"/>
    </row>
    <row r="794">
      <c r="A794" s="257"/>
      <c r="B794" s="257"/>
      <c r="C794" s="258"/>
      <c r="D794" s="257"/>
      <c r="E794" s="257"/>
      <c r="F794" s="257"/>
      <c r="G794" s="258"/>
      <c r="H794" s="258"/>
      <c r="I794" s="258"/>
      <c r="J794" s="258"/>
      <c r="K794" s="258"/>
      <c r="L794" s="258"/>
      <c r="M794" s="258"/>
      <c r="N794" s="258"/>
    </row>
    <row r="795">
      <c r="A795" s="257"/>
      <c r="B795" s="257"/>
      <c r="C795" s="258"/>
      <c r="D795" s="257"/>
      <c r="E795" s="257"/>
      <c r="F795" s="257"/>
      <c r="G795" s="258"/>
      <c r="H795" s="258"/>
      <c r="I795" s="258"/>
      <c r="J795" s="258"/>
      <c r="K795" s="258"/>
      <c r="L795" s="258"/>
      <c r="M795" s="258"/>
      <c r="N795" s="258"/>
    </row>
    <row r="796">
      <c r="A796" s="257"/>
      <c r="B796" s="257"/>
      <c r="C796" s="258"/>
      <c r="D796" s="257"/>
      <c r="E796" s="257"/>
      <c r="F796" s="257"/>
      <c r="G796" s="258"/>
      <c r="H796" s="258"/>
      <c r="I796" s="258"/>
      <c r="J796" s="258"/>
      <c r="K796" s="258"/>
      <c r="L796" s="258"/>
      <c r="M796" s="258"/>
      <c r="N796" s="258"/>
    </row>
    <row r="797">
      <c r="A797" s="257"/>
      <c r="B797" s="257"/>
      <c r="C797" s="258"/>
      <c r="D797" s="257"/>
      <c r="E797" s="257"/>
      <c r="F797" s="257"/>
      <c r="G797" s="258"/>
      <c r="H797" s="258"/>
      <c r="I797" s="258"/>
      <c r="J797" s="258"/>
      <c r="K797" s="258"/>
      <c r="L797" s="258"/>
      <c r="M797" s="258"/>
      <c r="N797" s="258"/>
    </row>
    <row r="798">
      <c r="A798" s="257"/>
      <c r="B798" s="257"/>
      <c r="C798" s="258"/>
      <c r="D798" s="257"/>
      <c r="E798" s="257"/>
      <c r="F798" s="257"/>
      <c r="G798" s="258"/>
      <c r="H798" s="258"/>
      <c r="I798" s="258"/>
      <c r="J798" s="258"/>
      <c r="K798" s="258"/>
      <c r="L798" s="258"/>
      <c r="M798" s="258"/>
      <c r="N798" s="258"/>
    </row>
    <row r="799">
      <c r="A799" s="257"/>
      <c r="B799" s="257"/>
      <c r="C799" s="258"/>
      <c r="D799" s="257"/>
      <c r="E799" s="257"/>
      <c r="F799" s="257"/>
      <c r="G799" s="258"/>
      <c r="H799" s="258"/>
      <c r="I799" s="258"/>
      <c r="J799" s="258"/>
      <c r="K799" s="258"/>
      <c r="L799" s="258"/>
      <c r="M799" s="258"/>
      <c r="N799" s="258"/>
    </row>
    <row r="800">
      <c r="A800" s="257"/>
      <c r="B800" s="257"/>
      <c r="C800" s="258"/>
      <c r="D800" s="257"/>
      <c r="E800" s="257"/>
      <c r="F800" s="257"/>
      <c r="G800" s="258"/>
      <c r="H800" s="258"/>
      <c r="I800" s="258"/>
      <c r="J800" s="258"/>
      <c r="K800" s="258"/>
      <c r="L800" s="258"/>
      <c r="M800" s="258"/>
      <c r="N800" s="258"/>
    </row>
    <row r="801">
      <c r="A801" s="257"/>
      <c r="B801" s="257"/>
      <c r="C801" s="258"/>
      <c r="D801" s="257"/>
      <c r="E801" s="257"/>
      <c r="F801" s="257"/>
      <c r="G801" s="258"/>
      <c r="H801" s="258"/>
      <c r="I801" s="258"/>
      <c r="J801" s="258"/>
      <c r="K801" s="258"/>
      <c r="L801" s="258"/>
      <c r="M801" s="258"/>
      <c r="N801" s="258"/>
    </row>
    <row r="802">
      <c r="A802" s="257"/>
      <c r="B802" s="257"/>
      <c r="C802" s="258"/>
      <c r="D802" s="257"/>
      <c r="E802" s="257"/>
      <c r="F802" s="257"/>
      <c r="G802" s="258"/>
      <c r="H802" s="258"/>
      <c r="I802" s="258"/>
      <c r="J802" s="258"/>
      <c r="K802" s="258"/>
      <c r="L802" s="258"/>
      <c r="M802" s="258"/>
      <c r="N802" s="258"/>
    </row>
    <row r="803">
      <c r="A803" s="257"/>
      <c r="B803" s="257"/>
      <c r="C803" s="258"/>
      <c r="D803" s="257"/>
      <c r="E803" s="257"/>
      <c r="F803" s="257"/>
      <c r="G803" s="258"/>
      <c r="H803" s="258"/>
      <c r="I803" s="258"/>
      <c r="J803" s="258"/>
      <c r="K803" s="258"/>
      <c r="L803" s="258"/>
      <c r="M803" s="258"/>
      <c r="N803" s="258"/>
    </row>
    <row r="804">
      <c r="A804" s="257"/>
      <c r="B804" s="257"/>
      <c r="C804" s="258"/>
      <c r="D804" s="257"/>
      <c r="E804" s="257"/>
      <c r="F804" s="257"/>
      <c r="G804" s="258"/>
      <c r="H804" s="258"/>
      <c r="I804" s="258"/>
      <c r="J804" s="258"/>
      <c r="K804" s="258"/>
      <c r="L804" s="258"/>
      <c r="M804" s="258"/>
      <c r="N804" s="258"/>
    </row>
    <row r="805">
      <c r="A805" s="257"/>
      <c r="B805" s="257"/>
      <c r="C805" s="258"/>
      <c r="D805" s="257"/>
      <c r="E805" s="257"/>
      <c r="F805" s="257"/>
      <c r="G805" s="258"/>
      <c r="H805" s="258"/>
      <c r="I805" s="258"/>
      <c r="J805" s="258"/>
      <c r="K805" s="258"/>
      <c r="L805" s="258"/>
      <c r="M805" s="258"/>
      <c r="N805" s="258"/>
    </row>
    <row r="806">
      <c r="A806" s="257"/>
      <c r="B806" s="257"/>
      <c r="C806" s="258"/>
      <c r="D806" s="257"/>
      <c r="E806" s="257"/>
      <c r="F806" s="257"/>
      <c r="G806" s="258"/>
      <c r="H806" s="258"/>
      <c r="I806" s="258"/>
      <c r="J806" s="258"/>
      <c r="K806" s="258"/>
      <c r="L806" s="258"/>
      <c r="M806" s="258"/>
      <c r="N806" s="258"/>
    </row>
    <row r="807">
      <c r="A807" s="257"/>
      <c r="B807" s="257"/>
      <c r="C807" s="258"/>
      <c r="D807" s="257"/>
      <c r="E807" s="257"/>
      <c r="F807" s="257"/>
      <c r="G807" s="258"/>
      <c r="H807" s="258"/>
      <c r="I807" s="258"/>
      <c r="J807" s="258"/>
      <c r="K807" s="258"/>
      <c r="L807" s="258"/>
      <c r="M807" s="258"/>
      <c r="N807" s="258"/>
    </row>
    <row r="808">
      <c r="A808" s="257"/>
      <c r="B808" s="257"/>
      <c r="C808" s="258"/>
      <c r="D808" s="257"/>
      <c r="E808" s="257"/>
      <c r="F808" s="257"/>
      <c r="G808" s="258"/>
      <c r="H808" s="258"/>
      <c r="I808" s="258"/>
      <c r="J808" s="258"/>
      <c r="K808" s="258"/>
      <c r="L808" s="258"/>
      <c r="M808" s="258"/>
      <c r="N808" s="258"/>
    </row>
    <row r="809">
      <c r="A809" s="257"/>
      <c r="B809" s="257"/>
      <c r="C809" s="258"/>
      <c r="D809" s="257"/>
      <c r="E809" s="257"/>
      <c r="F809" s="257"/>
      <c r="G809" s="258"/>
      <c r="H809" s="258"/>
      <c r="I809" s="258"/>
      <c r="J809" s="258"/>
      <c r="K809" s="258"/>
      <c r="L809" s="258"/>
      <c r="M809" s="258"/>
      <c r="N809" s="258"/>
    </row>
    <row r="810">
      <c r="A810" s="257"/>
      <c r="B810" s="257"/>
      <c r="C810" s="258"/>
      <c r="D810" s="257"/>
      <c r="E810" s="257"/>
      <c r="F810" s="257"/>
      <c r="G810" s="258"/>
      <c r="H810" s="258"/>
      <c r="I810" s="258"/>
      <c r="J810" s="258"/>
      <c r="K810" s="258"/>
      <c r="L810" s="258"/>
      <c r="M810" s="258"/>
      <c r="N810" s="258"/>
    </row>
    <row r="811">
      <c r="A811" s="257"/>
      <c r="B811" s="257"/>
      <c r="C811" s="258"/>
      <c r="D811" s="257"/>
      <c r="E811" s="257"/>
      <c r="F811" s="257"/>
      <c r="G811" s="258"/>
      <c r="H811" s="258"/>
      <c r="I811" s="258"/>
      <c r="J811" s="258"/>
      <c r="K811" s="258"/>
      <c r="L811" s="258"/>
      <c r="M811" s="258"/>
      <c r="N811" s="258"/>
    </row>
    <row r="812">
      <c r="A812" s="257"/>
      <c r="B812" s="257"/>
      <c r="C812" s="258"/>
      <c r="D812" s="257"/>
      <c r="E812" s="257"/>
      <c r="F812" s="257"/>
      <c r="G812" s="258"/>
      <c r="H812" s="258"/>
      <c r="I812" s="258"/>
      <c r="J812" s="258"/>
      <c r="K812" s="258"/>
      <c r="L812" s="258"/>
      <c r="M812" s="258"/>
      <c r="N812" s="258"/>
    </row>
    <row r="813">
      <c r="A813" s="257"/>
      <c r="B813" s="257"/>
      <c r="C813" s="258"/>
      <c r="D813" s="257"/>
      <c r="E813" s="257"/>
      <c r="F813" s="257"/>
      <c r="G813" s="258"/>
      <c r="H813" s="258"/>
      <c r="I813" s="258"/>
      <c r="J813" s="258"/>
      <c r="K813" s="258"/>
      <c r="L813" s="258"/>
      <c r="M813" s="258"/>
      <c r="N813" s="258"/>
    </row>
    <row r="814">
      <c r="A814" s="257"/>
      <c r="B814" s="257"/>
      <c r="C814" s="258"/>
      <c r="D814" s="257"/>
      <c r="E814" s="257"/>
      <c r="F814" s="257"/>
      <c r="G814" s="258"/>
      <c r="H814" s="258"/>
      <c r="I814" s="258"/>
      <c r="J814" s="258"/>
      <c r="K814" s="258"/>
      <c r="L814" s="258"/>
      <c r="M814" s="258"/>
      <c r="N814" s="258"/>
    </row>
    <row r="815">
      <c r="A815" s="257"/>
      <c r="B815" s="257"/>
      <c r="C815" s="258"/>
      <c r="D815" s="257"/>
      <c r="E815" s="257"/>
      <c r="F815" s="257"/>
      <c r="G815" s="258"/>
      <c r="H815" s="258"/>
      <c r="I815" s="258"/>
      <c r="J815" s="258"/>
      <c r="K815" s="258"/>
      <c r="L815" s="258"/>
      <c r="M815" s="258"/>
      <c r="N815" s="258"/>
    </row>
    <row r="816">
      <c r="A816" s="257"/>
      <c r="B816" s="257"/>
      <c r="C816" s="258"/>
      <c r="D816" s="257"/>
      <c r="E816" s="257"/>
      <c r="F816" s="257"/>
      <c r="G816" s="258"/>
      <c r="H816" s="258"/>
      <c r="I816" s="258"/>
      <c r="J816" s="258"/>
      <c r="K816" s="258"/>
      <c r="L816" s="258"/>
      <c r="M816" s="258"/>
      <c r="N816" s="258"/>
    </row>
    <row r="817">
      <c r="A817" s="257"/>
      <c r="B817" s="257"/>
      <c r="C817" s="258"/>
      <c r="D817" s="257"/>
      <c r="E817" s="257"/>
      <c r="F817" s="257"/>
      <c r="G817" s="258"/>
      <c r="H817" s="258"/>
      <c r="I817" s="258"/>
      <c r="J817" s="258"/>
      <c r="K817" s="258"/>
      <c r="L817" s="258"/>
      <c r="M817" s="258"/>
      <c r="N817" s="258"/>
    </row>
    <row r="818">
      <c r="A818" s="257"/>
      <c r="B818" s="257"/>
      <c r="C818" s="258"/>
      <c r="D818" s="257"/>
      <c r="E818" s="257"/>
      <c r="F818" s="257"/>
      <c r="G818" s="258"/>
      <c r="H818" s="258"/>
      <c r="I818" s="258"/>
      <c r="J818" s="258"/>
      <c r="K818" s="258"/>
      <c r="L818" s="258"/>
      <c r="M818" s="258"/>
      <c r="N818" s="258"/>
    </row>
    <row r="819">
      <c r="A819" s="257"/>
      <c r="B819" s="257"/>
      <c r="C819" s="258"/>
      <c r="D819" s="257"/>
      <c r="E819" s="257"/>
      <c r="F819" s="257"/>
      <c r="G819" s="258"/>
      <c r="H819" s="258"/>
      <c r="I819" s="258"/>
      <c r="J819" s="258"/>
      <c r="K819" s="258"/>
      <c r="L819" s="258"/>
      <c r="M819" s="258"/>
      <c r="N819" s="258"/>
    </row>
    <row r="820">
      <c r="A820" s="257"/>
      <c r="B820" s="257"/>
      <c r="C820" s="258"/>
      <c r="D820" s="257"/>
      <c r="E820" s="257"/>
      <c r="F820" s="257"/>
      <c r="G820" s="258"/>
      <c r="H820" s="258"/>
      <c r="I820" s="258"/>
      <c r="J820" s="258"/>
      <c r="K820" s="258"/>
      <c r="L820" s="258"/>
      <c r="M820" s="258"/>
      <c r="N820" s="258"/>
    </row>
    <row r="821">
      <c r="A821" s="257"/>
      <c r="B821" s="257"/>
      <c r="C821" s="258"/>
      <c r="D821" s="257"/>
      <c r="E821" s="257"/>
      <c r="F821" s="257"/>
      <c r="G821" s="258"/>
      <c r="H821" s="258"/>
      <c r="I821" s="258"/>
      <c r="J821" s="258"/>
      <c r="K821" s="258"/>
      <c r="L821" s="258"/>
      <c r="M821" s="258"/>
      <c r="N821" s="258"/>
    </row>
    <row r="822">
      <c r="A822" s="257"/>
      <c r="B822" s="257"/>
      <c r="C822" s="258"/>
      <c r="D822" s="257"/>
      <c r="E822" s="257"/>
      <c r="F822" s="257"/>
      <c r="G822" s="258"/>
      <c r="H822" s="258"/>
      <c r="I822" s="258"/>
      <c r="J822" s="258"/>
      <c r="K822" s="258"/>
      <c r="L822" s="258"/>
      <c r="M822" s="258"/>
      <c r="N822" s="258"/>
    </row>
    <row r="823">
      <c r="A823" s="257"/>
      <c r="B823" s="257"/>
      <c r="C823" s="258"/>
      <c r="D823" s="257"/>
      <c r="E823" s="257"/>
      <c r="F823" s="257"/>
      <c r="G823" s="258"/>
      <c r="H823" s="258"/>
      <c r="I823" s="258"/>
      <c r="J823" s="258"/>
      <c r="K823" s="258"/>
      <c r="L823" s="258"/>
      <c r="M823" s="258"/>
      <c r="N823" s="258"/>
    </row>
    <row r="824">
      <c r="A824" s="257"/>
      <c r="B824" s="257"/>
      <c r="C824" s="258"/>
      <c r="D824" s="257"/>
      <c r="E824" s="257"/>
      <c r="F824" s="257"/>
      <c r="G824" s="258"/>
      <c r="H824" s="258"/>
      <c r="I824" s="258"/>
      <c r="J824" s="258"/>
      <c r="K824" s="258"/>
      <c r="L824" s="258"/>
      <c r="M824" s="258"/>
      <c r="N824" s="258"/>
    </row>
    <row r="825">
      <c r="A825" s="257"/>
      <c r="B825" s="257"/>
      <c r="C825" s="258"/>
      <c r="D825" s="257"/>
      <c r="E825" s="257"/>
      <c r="F825" s="257"/>
      <c r="G825" s="258"/>
      <c r="H825" s="258"/>
      <c r="I825" s="258"/>
      <c r="J825" s="258"/>
      <c r="K825" s="258"/>
      <c r="L825" s="258"/>
      <c r="M825" s="258"/>
      <c r="N825" s="258"/>
    </row>
    <row r="826">
      <c r="A826" s="257"/>
      <c r="B826" s="257"/>
      <c r="C826" s="258"/>
      <c r="D826" s="257"/>
      <c r="E826" s="257"/>
      <c r="F826" s="257"/>
      <c r="G826" s="258"/>
      <c r="H826" s="258"/>
      <c r="I826" s="258"/>
      <c r="J826" s="258"/>
      <c r="K826" s="258"/>
      <c r="L826" s="258"/>
      <c r="M826" s="258"/>
      <c r="N826" s="258"/>
    </row>
    <row r="827">
      <c r="A827" s="257"/>
      <c r="B827" s="257"/>
      <c r="C827" s="258"/>
      <c r="D827" s="257"/>
      <c r="E827" s="257"/>
      <c r="F827" s="257"/>
      <c r="G827" s="258"/>
      <c r="H827" s="258"/>
      <c r="I827" s="258"/>
      <c r="J827" s="258"/>
      <c r="K827" s="258"/>
      <c r="L827" s="258"/>
      <c r="M827" s="258"/>
      <c r="N827" s="258"/>
    </row>
    <row r="828">
      <c r="A828" s="257"/>
      <c r="B828" s="257"/>
      <c r="C828" s="258"/>
      <c r="D828" s="257"/>
      <c r="E828" s="257"/>
      <c r="F828" s="257"/>
      <c r="G828" s="258"/>
      <c r="H828" s="258"/>
      <c r="I828" s="258"/>
      <c r="J828" s="258"/>
      <c r="K828" s="258"/>
      <c r="L828" s="258"/>
      <c r="M828" s="258"/>
      <c r="N828" s="258"/>
    </row>
    <row r="829">
      <c r="A829" s="257"/>
      <c r="B829" s="257"/>
      <c r="C829" s="258"/>
      <c r="D829" s="257"/>
      <c r="E829" s="257"/>
      <c r="F829" s="257"/>
      <c r="G829" s="258"/>
      <c r="H829" s="258"/>
      <c r="I829" s="258"/>
      <c r="J829" s="258"/>
      <c r="K829" s="258"/>
      <c r="L829" s="258"/>
      <c r="M829" s="258"/>
      <c r="N829" s="258"/>
    </row>
    <row r="830">
      <c r="A830" s="257"/>
      <c r="B830" s="257"/>
      <c r="C830" s="258"/>
      <c r="D830" s="257"/>
      <c r="E830" s="257"/>
      <c r="F830" s="257"/>
      <c r="G830" s="258"/>
      <c r="H830" s="258"/>
      <c r="I830" s="258"/>
      <c r="J830" s="258"/>
      <c r="K830" s="258"/>
      <c r="L830" s="258"/>
      <c r="M830" s="258"/>
      <c r="N830" s="258"/>
    </row>
    <row r="831">
      <c r="A831" s="257"/>
      <c r="B831" s="257"/>
      <c r="C831" s="258"/>
      <c r="D831" s="257"/>
      <c r="E831" s="257"/>
      <c r="F831" s="257"/>
      <c r="G831" s="258"/>
      <c r="H831" s="258"/>
      <c r="I831" s="258"/>
      <c r="J831" s="258"/>
      <c r="K831" s="258"/>
      <c r="L831" s="258"/>
      <c r="M831" s="258"/>
      <c r="N831" s="258"/>
    </row>
    <row r="832">
      <c r="A832" s="257"/>
      <c r="B832" s="257"/>
      <c r="C832" s="258"/>
      <c r="D832" s="257"/>
      <c r="E832" s="257"/>
      <c r="F832" s="257"/>
      <c r="G832" s="258"/>
      <c r="H832" s="258"/>
      <c r="I832" s="258"/>
      <c r="J832" s="258"/>
      <c r="K832" s="258"/>
      <c r="L832" s="258"/>
      <c r="M832" s="258"/>
      <c r="N832" s="258"/>
    </row>
    <row r="833">
      <c r="A833" s="257"/>
      <c r="B833" s="257"/>
      <c r="C833" s="258"/>
      <c r="D833" s="257"/>
      <c r="E833" s="257"/>
      <c r="F833" s="257"/>
      <c r="G833" s="258"/>
      <c r="H833" s="258"/>
      <c r="I833" s="258"/>
      <c r="J833" s="258"/>
      <c r="K833" s="258"/>
      <c r="L833" s="258"/>
      <c r="M833" s="258"/>
      <c r="N833" s="258"/>
    </row>
    <row r="834">
      <c r="A834" s="257"/>
      <c r="B834" s="257"/>
      <c r="C834" s="258"/>
      <c r="D834" s="257"/>
      <c r="E834" s="257"/>
      <c r="F834" s="257"/>
      <c r="G834" s="258"/>
      <c r="H834" s="258"/>
      <c r="I834" s="258"/>
      <c r="J834" s="258"/>
      <c r="K834" s="258"/>
      <c r="L834" s="258"/>
      <c r="M834" s="258"/>
      <c r="N834" s="258"/>
    </row>
    <row r="835">
      <c r="A835" s="257"/>
      <c r="B835" s="257"/>
      <c r="C835" s="258"/>
      <c r="D835" s="257"/>
      <c r="E835" s="257"/>
      <c r="F835" s="257"/>
      <c r="G835" s="258"/>
      <c r="H835" s="258"/>
      <c r="I835" s="258"/>
      <c r="J835" s="258"/>
      <c r="K835" s="258"/>
      <c r="L835" s="258"/>
      <c r="M835" s="258"/>
      <c r="N835" s="258"/>
    </row>
    <row r="836">
      <c r="A836" s="257"/>
      <c r="B836" s="257"/>
      <c r="C836" s="258"/>
      <c r="D836" s="257"/>
      <c r="E836" s="257"/>
      <c r="F836" s="257"/>
      <c r="G836" s="258"/>
      <c r="H836" s="258"/>
      <c r="I836" s="258"/>
      <c r="J836" s="258"/>
      <c r="K836" s="258"/>
      <c r="L836" s="258"/>
      <c r="M836" s="258"/>
      <c r="N836" s="258"/>
    </row>
    <row r="837">
      <c r="A837" s="257"/>
      <c r="B837" s="257"/>
      <c r="C837" s="258"/>
      <c r="D837" s="257"/>
      <c r="E837" s="257"/>
      <c r="F837" s="257"/>
      <c r="G837" s="258"/>
      <c r="H837" s="258"/>
      <c r="I837" s="258"/>
      <c r="J837" s="258"/>
      <c r="K837" s="258"/>
      <c r="L837" s="258"/>
      <c r="M837" s="258"/>
      <c r="N837" s="258"/>
    </row>
    <row r="838">
      <c r="A838" s="257"/>
      <c r="B838" s="257"/>
      <c r="C838" s="258"/>
      <c r="D838" s="257"/>
      <c r="E838" s="257"/>
      <c r="F838" s="257"/>
      <c r="G838" s="258"/>
      <c r="H838" s="258"/>
      <c r="I838" s="258"/>
      <c r="J838" s="258"/>
      <c r="K838" s="258"/>
      <c r="L838" s="258"/>
      <c r="M838" s="258"/>
      <c r="N838" s="258"/>
    </row>
    <row r="839">
      <c r="A839" s="257"/>
      <c r="B839" s="257"/>
      <c r="C839" s="258"/>
      <c r="D839" s="257"/>
      <c r="E839" s="257"/>
      <c r="F839" s="257"/>
      <c r="G839" s="258"/>
      <c r="H839" s="258"/>
      <c r="I839" s="258"/>
      <c r="J839" s="258"/>
      <c r="K839" s="258"/>
      <c r="L839" s="258"/>
      <c r="M839" s="258"/>
      <c r="N839" s="258"/>
    </row>
    <row r="840">
      <c r="A840" s="257"/>
      <c r="B840" s="257"/>
      <c r="C840" s="258"/>
      <c r="D840" s="257"/>
      <c r="E840" s="257"/>
      <c r="F840" s="257"/>
      <c r="G840" s="258"/>
      <c r="H840" s="258"/>
      <c r="I840" s="258"/>
      <c r="J840" s="258"/>
      <c r="K840" s="258"/>
      <c r="L840" s="258"/>
      <c r="M840" s="258"/>
      <c r="N840" s="258"/>
    </row>
    <row r="841">
      <c r="A841" s="257"/>
      <c r="B841" s="257"/>
      <c r="C841" s="258"/>
      <c r="D841" s="257"/>
      <c r="E841" s="257"/>
      <c r="F841" s="257"/>
      <c r="G841" s="258"/>
      <c r="H841" s="258"/>
      <c r="I841" s="258"/>
      <c r="J841" s="258"/>
      <c r="K841" s="258"/>
      <c r="L841" s="258"/>
      <c r="M841" s="258"/>
      <c r="N841" s="258"/>
    </row>
    <row r="842">
      <c r="A842" s="257"/>
      <c r="B842" s="257"/>
      <c r="C842" s="258"/>
      <c r="D842" s="257"/>
      <c r="E842" s="257"/>
      <c r="F842" s="257"/>
      <c r="G842" s="258"/>
      <c r="H842" s="258"/>
      <c r="I842" s="258"/>
      <c r="J842" s="258"/>
      <c r="K842" s="258"/>
      <c r="L842" s="258"/>
      <c r="M842" s="258"/>
      <c r="N842" s="258"/>
    </row>
    <row r="843">
      <c r="A843" s="257"/>
      <c r="B843" s="257"/>
      <c r="C843" s="258"/>
      <c r="D843" s="257"/>
      <c r="E843" s="257"/>
      <c r="F843" s="257"/>
      <c r="G843" s="258"/>
      <c r="H843" s="258"/>
      <c r="I843" s="258"/>
      <c r="J843" s="258"/>
      <c r="K843" s="258"/>
      <c r="L843" s="258"/>
      <c r="M843" s="258"/>
      <c r="N843" s="258"/>
    </row>
    <row r="844">
      <c r="A844" s="257"/>
      <c r="B844" s="257"/>
      <c r="C844" s="258"/>
      <c r="D844" s="257"/>
      <c r="E844" s="257"/>
      <c r="F844" s="257"/>
      <c r="G844" s="258"/>
      <c r="H844" s="258"/>
      <c r="I844" s="258"/>
      <c r="J844" s="258"/>
      <c r="K844" s="258"/>
      <c r="L844" s="258"/>
      <c r="M844" s="258"/>
      <c r="N844" s="258"/>
    </row>
    <row r="845">
      <c r="A845" s="257"/>
      <c r="B845" s="257"/>
      <c r="C845" s="258"/>
      <c r="D845" s="257"/>
      <c r="E845" s="257"/>
      <c r="F845" s="257"/>
      <c r="G845" s="258"/>
      <c r="H845" s="258"/>
      <c r="I845" s="258"/>
      <c r="J845" s="258"/>
      <c r="K845" s="258"/>
      <c r="L845" s="258"/>
      <c r="M845" s="258"/>
      <c r="N845" s="258"/>
    </row>
    <row r="846">
      <c r="A846" s="257"/>
      <c r="B846" s="257"/>
      <c r="C846" s="258"/>
      <c r="D846" s="257"/>
      <c r="E846" s="257"/>
      <c r="F846" s="257"/>
      <c r="G846" s="258"/>
      <c r="H846" s="258"/>
      <c r="I846" s="258"/>
      <c r="J846" s="258"/>
      <c r="K846" s="258"/>
      <c r="L846" s="258"/>
      <c r="M846" s="258"/>
      <c r="N846" s="258"/>
    </row>
    <row r="847">
      <c r="A847" s="257"/>
      <c r="B847" s="257"/>
      <c r="C847" s="258"/>
      <c r="D847" s="257"/>
      <c r="E847" s="257"/>
      <c r="F847" s="257"/>
      <c r="G847" s="258"/>
      <c r="H847" s="258"/>
      <c r="I847" s="258"/>
      <c r="J847" s="258"/>
      <c r="K847" s="258"/>
      <c r="L847" s="258"/>
      <c r="M847" s="258"/>
      <c r="N847" s="258"/>
    </row>
    <row r="848">
      <c r="A848" s="257"/>
      <c r="B848" s="257"/>
      <c r="C848" s="258"/>
      <c r="D848" s="257"/>
      <c r="E848" s="257"/>
      <c r="F848" s="257"/>
      <c r="G848" s="258"/>
      <c r="H848" s="258"/>
      <c r="I848" s="258"/>
      <c r="J848" s="258"/>
      <c r="K848" s="258"/>
      <c r="L848" s="258"/>
      <c r="M848" s="258"/>
      <c r="N848" s="258"/>
    </row>
    <row r="849">
      <c r="A849" s="257"/>
      <c r="B849" s="257"/>
      <c r="C849" s="258"/>
      <c r="D849" s="257"/>
      <c r="E849" s="257"/>
      <c r="F849" s="257"/>
      <c r="G849" s="258"/>
      <c r="H849" s="258"/>
      <c r="I849" s="258"/>
      <c r="J849" s="258"/>
      <c r="K849" s="258"/>
      <c r="L849" s="258"/>
      <c r="M849" s="258"/>
      <c r="N849" s="258"/>
    </row>
    <row r="850">
      <c r="A850" s="257"/>
      <c r="B850" s="257"/>
      <c r="C850" s="258"/>
      <c r="D850" s="257"/>
      <c r="E850" s="257"/>
      <c r="F850" s="257"/>
      <c r="G850" s="258"/>
      <c r="H850" s="258"/>
      <c r="I850" s="258"/>
      <c r="J850" s="258"/>
      <c r="K850" s="258"/>
      <c r="L850" s="258"/>
      <c r="M850" s="258"/>
      <c r="N850" s="258"/>
    </row>
    <row r="851">
      <c r="A851" s="257"/>
      <c r="B851" s="257"/>
      <c r="C851" s="258"/>
      <c r="D851" s="257"/>
      <c r="E851" s="257"/>
      <c r="F851" s="257"/>
      <c r="G851" s="258"/>
      <c r="H851" s="258"/>
      <c r="I851" s="258"/>
      <c r="J851" s="258"/>
      <c r="K851" s="258"/>
      <c r="L851" s="258"/>
      <c r="M851" s="258"/>
      <c r="N851" s="258"/>
    </row>
    <row r="852">
      <c r="A852" s="257"/>
      <c r="B852" s="257"/>
      <c r="C852" s="258"/>
      <c r="D852" s="257"/>
      <c r="E852" s="257"/>
      <c r="F852" s="257"/>
      <c r="G852" s="258"/>
      <c r="H852" s="258"/>
      <c r="I852" s="258"/>
      <c r="J852" s="258"/>
      <c r="K852" s="258"/>
      <c r="L852" s="258"/>
      <c r="M852" s="258"/>
      <c r="N852" s="258"/>
    </row>
    <row r="853">
      <c r="A853" s="257"/>
      <c r="B853" s="257"/>
      <c r="C853" s="258"/>
      <c r="D853" s="257"/>
      <c r="E853" s="257"/>
      <c r="F853" s="257"/>
      <c r="G853" s="258"/>
      <c r="H853" s="258"/>
      <c r="I853" s="258"/>
      <c r="J853" s="258"/>
      <c r="K853" s="258"/>
      <c r="L853" s="258"/>
      <c r="M853" s="258"/>
      <c r="N853" s="258"/>
    </row>
    <row r="854">
      <c r="A854" s="257"/>
      <c r="B854" s="257"/>
      <c r="C854" s="258"/>
      <c r="D854" s="257"/>
      <c r="E854" s="257"/>
      <c r="F854" s="257"/>
      <c r="G854" s="258"/>
      <c r="H854" s="258"/>
      <c r="I854" s="258"/>
      <c r="J854" s="258"/>
      <c r="K854" s="258"/>
      <c r="L854" s="258"/>
      <c r="M854" s="258"/>
      <c r="N854" s="258"/>
    </row>
    <row r="855">
      <c r="A855" s="257"/>
      <c r="B855" s="257"/>
      <c r="C855" s="258"/>
      <c r="D855" s="257"/>
      <c r="E855" s="257"/>
      <c r="F855" s="257"/>
      <c r="G855" s="258"/>
      <c r="H855" s="258"/>
      <c r="I855" s="258"/>
      <c r="J855" s="258"/>
      <c r="K855" s="258"/>
      <c r="L855" s="258"/>
      <c r="M855" s="258"/>
      <c r="N855" s="258"/>
    </row>
    <row r="856">
      <c r="A856" s="257"/>
      <c r="B856" s="257"/>
      <c r="C856" s="258"/>
      <c r="D856" s="257"/>
      <c r="E856" s="257"/>
      <c r="F856" s="257"/>
      <c r="G856" s="258"/>
      <c r="H856" s="258"/>
      <c r="I856" s="258"/>
      <c r="J856" s="258"/>
      <c r="K856" s="258"/>
      <c r="L856" s="258"/>
      <c r="M856" s="258"/>
      <c r="N856" s="258"/>
    </row>
    <row r="857">
      <c r="A857" s="257"/>
      <c r="B857" s="257"/>
      <c r="C857" s="258"/>
      <c r="D857" s="257"/>
      <c r="E857" s="257"/>
      <c r="F857" s="257"/>
      <c r="G857" s="258"/>
      <c r="H857" s="258"/>
      <c r="I857" s="258"/>
      <c r="J857" s="258"/>
      <c r="K857" s="258"/>
      <c r="L857" s="258"/>
      <c r="M857" s="258"/>
      <c r="N857" s="258"/>
    </row>
    <row r="858">
      <c r="A858" s="257"/>
      <c r="B858" s="257"/>
      <c r="C858" s="258"/>
      <c r="D858" s="257"/>
      <c r="E858" s="257"/>
      <c r="F858" s="257"/>
      <c r="G858" s="258"/>
      <c r="H858" s="258"/>
      <c r="I858" s="258"/>
      <c r="J858" s="258"/>
      <c r="K858" s="258"/>
      <c r="L858" s="258"/>
      <c r="M858" s="258"/>
      <c r="N858" s="258"/>
    </row>
    <row r="859">
      <c r="A859" s="257"/>
      <c r="B859" s="257"/>
      <c r="C859" s="258"/>
      <c r="D859" s="257"/>
      <c r="E859" s="257"/>
      <c r="F859" s="257"/>
      <c r="G859" s="258"/>
      <c r="H859" s="258"/>
      <c r="I859" s="258"/>
      <c r="J859" s="258"/>
      <c r="K859" s="258"/>
      <c r="L859" s="258"/>
      <c r="M859" s="258"/>
      <c r="N859" s="258"/>
    </row>
    <row r="860">
      <c r="A860" s="257"/>
      <c r="B860" s="257"/>
      <c r="C860" s="258"/>
      <c r="D860" s="257"/>
      <c r="E860" s="257"/>
      <c r="F860" s="257"/>
      <c r="G860" s="258"/>
      <c r="H860" s="258"/>
      <c r="I860" s="258"/>
      <c r="J860" s="258"/>
      <c r="K860" s="258"/>
      <c r="L860" s="258"/>
      <c r="M860" s="258"/>
      <c r="N860" s="258"/>
    </row>
    <row r="861">
      <c r="A861" s="257"/>
      <c r="B861" s="257"/>
      <c r="C861" s="258"/>
      <c r="D861" s="257"/>
      <c r="E861" s="257"/>
      <c r="F861" s="257"/>
      <c r="G861" s="258"/>
      <c r="H861" s="258"/>
      <c r="I861" s="258"/>
      <c r="J861" s="258"/>
      <c r="K861" s="258"/>
      <c r="L861" s="258"/>
      <c r="M861" s="258"/>
      <c r="N861" s="258"/>
    </row>
    <row r="862">
      <c r="A862" s="257"/>
      <c r="B862" s="257"/>
      <c r="C862" s="258"/>
      <c r="D862" s="257"/>
      <c r="E862" s="257"/>
      <c r="F862" s="257"/>
      <c r="G862" s="258"/>
      <c r="H862" s="258"/>
      <c r="I862" s="258"/>
      <c r="J862" s="258"/>
      <c r="K862" s="258"/>
      <c r="L862" s="258"/>
      <c r="M862" s="258"/>
      <c r="N862" s="258"/>
    </row>
    <row r="863">
      <c r="A863" s="257"/>
      <c r="B863" s="257"/>
      <c r="C863" s="258"/>
      <c r="D863" s="257"/>
      <c r="E863" s="257"/>
      <c r="F863" s="257"/>
      <c r="G863" s="258"/>
      <c r="H863" s="258"/>
      <c r="I863" s="258"/>
      <c r="J863" s="258"/>
      <c r="K863" s="258"/>
      <c r="L863" s="258"/>
      <c r="M863" s="258"/>
      <c r="N863" s="258"/>
    </row>
    <row r="864">
      <c r="A864" s="257"/>
      <c r="B864" s="257"/>
      <c r="C864" s="258"/>
      <c r="D864" s="257"/>
      <c r="E864" s="257"/>
      <c r="F864" s="257"/>
      <c r="G864" s="258"/>
      <c r="H864" s="258"/>
      <c r="I864" s="258"/>
      <c r="J864" s="258"/>
      <c r="K864" s="258"/>
      <c r="L864" s="258"/>
      <c r="M864" s="258"/>
      <c r="N864" s="258"/>
    </row>
    <row r="865">
      <c r="A865" s="257"/>
      <c r="B865" s="257"/>
      <c r="C865" s="258"/>
      <c r="D865" s="257"/>
      <c r="E865" s="257"/>
      <c r="F865" s="257"/>
      <c r="G865" s="258"/>
      <c r="H865" s="258"/>
      <c r="I865" s="258"/>
      <c r="J865" s="258"/>
      <c r="K865" s="258"/>
      <c r="L865" s="258"/>
      <c r="M865" s="258"/>
      <c r="N865" s="258"/>
    </row>
    <row r="866">
      <c r="A866" s="257"/>
      <c r="B866" s="257"/>
      <c r="C866" s="258"/>
      <c r="D866" s="257"/>
      <c r="E866" s="257"/>
      <c r="F866" s="257"/>
      <c r="G866" s="258"/>
      <c r="H866" s="258"/>
      <c r="I866" s="258"/>
      <c r="J866" s="258"/>
      <c r="K866" s="258"/>
      <c r="L866" s="258"/>
      <c r="M866" s="258"/>
      <c r="N866" s="258"/>
    </row>
    <row r="867">
      <c r="A867" s="257"/>
      <c r="B867" s="257"/>
      <c r="C867" s="258"/>
      <c r="D867" s="257"/>
      <c r="E867" s="257"/>
      <c r="F867" s="257"/>
      <c r="G867" s="258"/>
      <c r="H867" s="258"/>
      <c r="I867" s="258"/>
      <c r="J867" s="258"/>
      <c r="K867" s="258"/>
      <c r="L867" s="258"/>
      <c r="M867" s="258"/>
      <c r="N867" s="258"/>
    </row>
    <row r="868">
      <c r="A868" s="257"/>
      <c r="B868" s="257"/>
      <c r="C868" s="258"/>
      <c r="D868" s="257"/>
      <c r="E868" s="257"/>
      <c r="F868" s="257"/>
      <c r="G868" s="258"/>
      <c r="H868" s="258"/>
      <c r="I868" s="258"/>
      <c r="J868" s="258"/>
      <c r="K868" s="258"/>
      <c r="L868" s="258"/>
      <c r="M868" s="258"/>
      <c r="N868" s="258"/>
    </row>
    <row r="869">
      <c r="A869" s="257"/>
      <c r="B869" s="257"/>
      <c r="C869" s="258"/>
      <c r="D869" s="257"/>
      <c r="E869" s="257"/>
      <c r="F869" s="257"/>
      <c r="G869" s="258"/>
      <c r="H869" s="258"/>
      <c r="I869" s="258"/>
      <c r="J869" s="258"/>
      <c r="K869" s="258"/>
      <c r="L869" s="258"/>
      <c r="M869" s="258"/>
      <c r="N869" s="258"/>
    </row>
    <row r="870">
      <c r="A870" s="257"/>
      <c r="B870" s="257"/>
      <c r="C870" s="258"/>
      <c r="D870" s="257"/>
      <c r="E870" s="257"/>
      <c r="F870" s="257"/>
      <c r="G870" s="258"/>
      <c r="H870" s="258"/>
      <c r="I870" s="258"/>
      <c r="J870" s="258"/>
      <c r="K870" s="258"/>
      <c r="L870" s="258"/>
      <c r="M870" s="258"/>
      <c r="N870" s="258"/>
    </row>
    <row r="871">
      <c r="A871" s="257"/>
      <c r="B871" s="257"/>
      <c r="C871" s="258"/>
      <c r="D871" s="257"/>
      <c r="E871" s="257"/>
      <c r="F871" s="257"/>
      <c r="G871" s="258"/>
      <c r="H871" s="258"/>
      <c r="I871" s="258"/>
      <c r="J871" s="258"/>
      <c r="K871" s="258"/>
      <c r="L871" s="258"/>
      <c r="M871" s="258"/>
      <c r="N871" s="258"/>
    </row>
    <row r="872">
      <c r="A872" s="257"/>
      <c r="B872" s="257"/>
      <c r="C872" s="258"/>
      <c r="D872" s="257"/>
      <c r="E872" s="257"/>
      <c r="F872" s="257"/>
      <c r="G872" s="258"/>
      <c r="H872" s="258"/>
      <c r="I872" s="258"/>
      <c r="J872" s="258"/>
      <c r="K872" s="258"/>
      <c r="L872" s="258"/>
      <c r="M872" s="258"/>
      <c r="N872" s="258"/>
    </row>
    <row r="873">
      <c r="A873" s="257"/>
      <c r="B873" s="257"/>
      <c r="C873" s="258"/>
      <c r="D873" s="257"/>
      <c r="E873" s="257"/>
      <c r="F873" s="257"/>
      <c r="G873" s="258"/>
      <c r="H873" s="258"/>
      <c r="I873" s="258"/>
      <c r="J873" s="258"/>
      <c r="K873" s="258"/>
      <c r="L873" s="258"/>
      <c r="M873" s="258"/>
      <c r="N873" s="258"/>
    </row>
    <row r="874">
      <c r="A874" s="257"/>
      <c r="B874" s="257"/>
      <c r="C874" s="258"/>
      <c r="D874" s="257"/>
      <c r="E874" s="257"/>
      <c r="F874" s="257"/>
      <c r="G874" s="258"/>
      <c r="H874" s="258"/>
      <c r="I874" s="258"/>
      <c r="J874" s="258"/>
      <c r="K874" s="258"/>
      <c r="L874" s="258"/>
      <c r="M874" s="258"/>
      <c r="N874" s="258"/>
    </row>
    <row r="875">
      <c r="A875" s="257"/>
      <c r="B875" s="257"/>
      <c r="C875" s="258"/>
      <c r="D875" s="257"/>
      <c r="E875" s="257"/>
      <c r="F875" s="257"/>
      <c r="G875" s="258"/>
      <c r="H875" s="258"/>
      <c r="I875" s="258"/>
      <c r="J875" s="258"/>
      <c r="K875" s="258"/>
      <c r="L875" s="258"/>
      <c r="M875" s="258"/>
      <c r="N875" s="258"/>
    </row>
    <row r="876">
      <c r="A876" s="257"/>
      <c r="B876" s="257"/>
      <c r="C876" s="258"/>
      <c r="D876" s="257"/>
      <c r="E876" s="257"/>
      <c r="F876" s="257"/>
      <c r="G876" s="258"/>
      <c r="H876" s="258"/>
      <c r="I876" s="258"/>
      <c r="J876" s="258"/>
      <c r="K876" s="258"/>
      <c r="L876" s="258"/>
      <c r="M876" s="258"/>
      <c r="N876" s="258"/>
    </row>
    <row r="877">
      <c r="A877" s="257"/>
      <c r="B877" s="257"/>
      <c r="C877" s="258"/>
      <c r="D877" s="257"/>
      <c r="E877" s="257"/>
      <c r="F877" s="257"/>
      <c r="G877" s="258"/>
      <c r="H877" s="258"/>
      <c r="I877" s="258"/>
      <c r="J877" s="258"/>
      <c r="K877" s="258"/>
      <c r="L877" s="258"/>
      <c r="M877" s="258"/>
      <c r="N877" s="258"/>
    </row>
    <row r="878">
      <c r="A878" s="257"/>
      <c r="B878" s="257"/>
      <c r="C878" s="258"/>
      <c r="D878" s="257"/>
      <c r="E878" s="257"/>
      <c r="F878" s="257"/>
      <c r="G878" s="258"/>
      <c r="H878" s="258"/>
      <c r="I878" s="258"/>
      <c r="J878" s="258"/>
      <c r="K878" s="258"/>
      <c r="L878" s="258"/>
      <c r="M878" s="258"/>
      <c r="N878" s="258"/>
    </row>
    <row r="879">
      <c r="A879" s="257"/>
      <c r="B879" s="257"/>
      <c r="C879" s="258"/>
      <c r="D879" s="257"/>
      <c r="E879" s="257"/>
      <c r="F879" s="257"/>
      <c r="G879" s="258"/>
      <c r="H879" s="258"/>
      <c r="I879" s="258"/>
      <c r="J879" s="258"/>
      <c r="K879" s="258"/>
      <c r="L879" s="258"/>
      <c r="M879" s="258"/>
      <c r="N879" s="258"/>
    </row>
    <row r="880">
      <c r="A880" s="257"/>
      <c r="B880" s="257"/>
      <c r="C880" s="258"/>
      <c r="D880" s="257"/>
      <c r="E880" s="257"/>
      <c r="F880" s="257"/>
      <c r="G880" s="258"/>
      <c r="H880" s="258"/>
      <c r="I880" s="258"/>
      <c r="J880" s="258"/>
      <c r="K880" s="258"/>
      <c r="L880" s="258"/>
      <c r="M880" s="258"/>
      <c r="N880" s="258"/>
    </row>
    <row r="881">
      <c r="A881" s="257"/>
      <c r="B881" s="257"/>
      <c r="C881" s="258"/>
      <c r="D881" s="257"/>
      <c r="E881" s="257"/>
      <c r="F881" s="257"/>
      <c r="G881" s="258"/>
      <c r="H881" s="258"/>
      <c r="I881" s="258"/>
      <c r="J881" s="258"/>
      <c r="K881" s="258"/>
      <c r="L881" s="258"/>
      <c r="M881" s="258"/>
      <c r="N881" s="258"/>
    </row>
    <row r="882">
      <c r="A882" s="257"/>
      <c r="B882" s="257"/>
      <c r="C882" s="258"/>
      <c r="D882" s="257"/>
      <c r="E882" s="257"/>
      <c r="F882" s="257"/>
      <c r="G882" s="258"/>
      <c r="H882" s="258"/>
      <c r="I882" s="258"/>
      <c r="J882" s="258"/>
      <c r="K882" s="258"/>
      <c r="L882" s="258"/>
      <c r="M882" s="258"/>
      <c r="N882" s="258"/>
    </row>
    <row r="883">
      <c r="A883" s="257"/>
      <c r="B883" s="257"/>
      <c r="C883" s="258"/>
      <c r="D883" s="257"/>
      <c r="E883" s="257"/>
      <c r="F883" s="257"/>
      <c r="G883" s="258"/>
      <c r="H883" s="258"/>
      <c r="I883" s="258"/>
      <c r="J883" s="258"/>
      <c r="K883" s="258"/>
      <c r="L883" s="258"/>
      <c r="M883" s="258"/>
      <c r="N883" s="258"/>
    </row>
    <row r="884">
      <c r="A884" s="257"/>
      <c r="B884" s="257"/>
      <c r="C884" s="258"/>
      <c r="D884" s="257"/>
      <c r="E884" s="257"/>
      <c r="F884" s="257"/>
      <c r="G884" s="258"/>
      <c r="H884" s="258"/>
      <c r="I884" s="258"/>
      <c r="J884" s="258"/>
      <c r="K884" s="258"/>
      <c r="L884" s="258"/>
      <c r="M884" s="258"/>
      <c r="N884" s="258"/>
    </row>
    <row r="885">
      <c r="A885" s="257"/>
      <c r="B885" s="257"/>
      <c r="C885" s="258"/>
      <c r="D885" s="257"/>
      <c r="E885" s="257"/>
      <c r="F885" s="257"/>
      <c r="G885" s="258"/>
      <c r="H885" s="258"/>
      <c r="I885" s="258"/>
      <c r="J885" s="258"/>
      <c r="K885" s="258"/>
      <c r="L885" s="258"/>
      <c r="M885" s="258"/>
      <c r="N885" s="258"/>
    </row>
    <row r="886">
      <c r="A886" s="257"/>
      <c r="B886" s="257"/>
      <c r="C886" s="258"/>
      <c r="D886" s="257"/>
      <c r="E886" s="257"/>
      <c r="F886" s="257"/>
      <c r="G886" s="258"/>
      <c r="H886" s="258"/>
      <c r="I886" s="258"/>
      <c r="J886" s="258"/>
      <c r="K886" s="258"/>
      <c r="L886" s="258"/>
      <c r="M886" s="258"/>
      <c r="N886" s="258"/>
    </row>
    <row r="887">
      <c r="A887" s="257"/>
      <c r="B887" s="257"/>
      <c r="C887" s="258"/>
      <c r="D887" s="257"/>
      <c r="E887" s="257"/>
      <c r="F887" s="257"/>
      <c r="G887" s="258"/>
      <c r="H887" s="258"/>
      <c r="I887" s="258"/>
      <c r="J887" s="258"/>
      <c r="K887" s="258"/>
      <c r="L887" s="258"/>
      <c r="M887" s="258"/>
      <c r="N887" s="258"/>
    </row>
    <row r="888">
      <c r="A888" s="257"/>
      <c r="B888" s="257"/>
      <c r="C888" s="258"/>
      <c r="D888" s="257"/>
      <c r="E888" s="257"/>
      <c r="F888" s="257"/>
      <c r="G888" s="258"/>
      <c r="H888" s="258"/>
      <c r="I888" s="258"/>
      <c r="J888" s="258"/>
      <c r="K888" s="258"/>
      <c r="L888" s="258"/>
      <c r="M888" s="258"/>
      <c r="N888" s="258"/>
    </row>
    <row r="889">
      <c r="A889" s="257"/>
      <c r="B889" s="257"/>
      <c r="C889" s="258"/>
      <c r="D889" s="257"/>
      <c r="E889" s="257"/>
      <c r="F889" s="257"/>
      <c r="G889" s="258"/>
      <c r="H889" s="258"/>
      <c r="I889" s="258"/>
      <c r="J889" s="258"/>
      <c r="K889" s="258"/>
      <c r="L889" s="258"/>
      <c r="M889" s="258"/>
      <c r="N889" s="258"/>
    </row>
    <row r="890">
      <c r="A890" s="257"/>
      <c r="B890" s="257"/>
      <c r="C890" s="258"/>
      <c r="D890" s="257"/>
      <c r="E890" s="257"/>
      <c r="F890" s="257"/>
      <c r="G890" s="258"/>
      <c r="H890" s="258"/>
      <c r="I890" s="258"/>
      <c r="J890" s="258"/>
      <c r="K890" s="258"/>
      <c r="L890" s="258"/>
      <c r="M890" s="258"/>
      <c r="N890" s="258"/>
    </row>
    <row r="891">
      <c r="A891" s="257"/>
      <c r="B891" s="257"/>
      <c r="C891" s="258"/>
      <c r="D891" s="257"/>
      <c r="E891" s="257"/>
      <c r="F891" s="257"/>
      <c r="G891" s="258"/>
      <c r="H891" s="258"/>
      <c r="I891" s="258"/>
      <c r="J891" s="258"/>
      <c r="K891" s="258"/>
      <c r="L891" s="258"/>
      <c r="M891" s="258"/>
      <c r="N891" s="258"/>
    </row>
    <row r="892">
      <c r="A892" s="257"/>
      <c r="B892" s="257"/>
      <c r="C892" s="258"/>
      <c r="D892" s="257"/>
      <c r="E892" s="257"/>
      <c r="F892" s="257"/>
      <c r="G892" s="258"/>
      <c r="H892" s="258"/>
      <c r="I892" s="258"/>
      <c r="J892" s="258"/>
      <c r="K892" s="258"/>
      <c r="L892" s="258"/>
      <c r="M892" s="258"/>
      <c r="N892" s="258"/>
    </row>
    <row r="893">
      <c r="A893" s="257"/>
      <c r="B893" s="257"/>
      <c r="C893" s="258"/>
      <c r="D893" s="257"/>
      <c r="E893" s="257"/>
      <c r="F893" s="257"/>
      <c r="G893" s="258"/>
      <c r="H893" s="258"/>
      <c r="I893" s="258"/>
      <c r="J893" s="258"/>
      <c r="K893" s="258"/>
      <c r="L893" s="258"/>
      <c r="M893" s="258"/>
      <c r="N893" s="258"/>
    </row>
    <row r="894">
      <c r="A894" s="257"/>
      <c r="B894" s="257"/>
      <c r="C894" s="258"/>
      <c r="D894" s="257"/>
      <c r="E894" s="257"/>
      <c r="F894" s="257"/>
      <c r="G894" s="258"/>
      <c r="H894" s="258"/>
      <c r="I894" s="258"/>
      <c r="J894" s="258"/>
      <c r="K894" s="258"/>
      <c r="L894" s="258"/>
      <c r="M894" s="258"/>
      <c r="N894" s="258"/>
    </row>
    <row r="895">
      <c r="A895" s="257"/>
      <c r="B895" s="257"/>
      <c r="C895" s="258"/>
      <c r="D895" s="257"/>
      <c r="E895" s="257"/>
      <c r="F895" s="257"/>
      <c r="G895" s="258"/>
      <c r="H895" s="258"/>
      <c r="I895" s="258"/>
      <c r="J895" s="258"/>
      <c r="K895" s="258"/>
      <c r="L895" s="258"/>
      <c r="M895" s="258"/>
      <c r="N895" s="258"/>
    </row>
    <row r="896">
      <c r="A896" s="257"/>
      <c r="B896" s="257"/>
      <c r="C896" s="258"/>
      <c r="D896" s="257"/>
      <c r="E896" s="257"/>
      <c r="F896" s="257"/>
      <c r="G896" s="258"/>
      <c r="H896" s="258"/>
      <c r="I896" s="258"/>
      <c r="J896" s="258"/>
      <c r="K896" s="258"/>
      <c r="L896" s="258"/>
      <c r="M896" s="258"/>
      <c r="N896" s="258"/>
    </row>
    <row r="897">
      <c r="A897" s="257"/>
      <c r="B897" s="257"/>
      <c r="C897" s="258"/>
      <c r="D897" s="257"/>
      <c r="E897" s="257"/>
      <c r="F897" s="257"/>
      <c r="G897" s="258"/>
      <c r="H897" s="258"/>
      <c r="I897" s="258"/>
      <c r="J897" s="258"/>
      <c r="K897" s="258"/>
      <c r="L897" s="258"/>
      <c r="M897" s="258"/>
      <c r="N897" s="258"/>
    </row>
    <row r="898">
      <c r="A898" s="257"/>
      <c r="B898" s="257"/>
      <c r="C898" s="258"/>
      <c r="D898" s="257"/>
      <c r="E898" s="257"/>
      <c r="F898" s="257"/>
      <c r="G898" s="258"/>
      <c r="H898" s="258"/>
      <c r="I898" s="258"/>
      <c r="J898" s="258"/>
      <c r="K898" s="258"/>
      <c r="L898" s="258"/>
      <c r="M898" s="258"/>
      <c r="N898" s="258"/>
    </row>
    <row r="899">
      <c r="A899" s="257"/>
      <c r="B899" s="257"/>
      <c r="C899" s="258"/>
      <c r="D899" s="257"/>
      <c r="E899" s="257"/>
      <c r="F899" s="257"/>
      <c r="G899" s="258"/>
      <c r="H899" s="258"/>
      <c r="I899" s="258"/>
      <c r="J899" s="258"/>
      <c r="K899" s="258"/>
      <c r="L899" s="258"/>
      <c r="M899" s="258"/>
      <c r="N899" s="258"/>
    </row>
    <row r="900">
      <c r="A900" s="257"/>
      <c r="B900" s="257"/>
      <c r="C900" s="258"/>
      <c r="D900" s="257"/>
      <c r="E900" s="257"/>
      <c r="F900" s="257"/>
      <c r="G900" s="258"/>
      <c r="H900" s="258"/>
      <c r="I900" s="258"/>
      <c r="J900" s="258"/>
      <c r="K900" s="258"/>
      <c r="L900" s="258"/>
      <c r="M900" s="258"/>
      <c r="N900" s="258"/>
    </row>
    <row r="901">
      <c r="A901" s="257"/>
      <c r="B901" s="257"/>
      <c r="C901" s="258"/>
      <c r="D901" s="257"/>
      <c r="E901" s="257"/>
      <c r="F901" s="257"/>
      <c r="G901" s="258"/>
      <c r="H901" s="258"/>
      <c r="I901" s="258"/>
      <c r="J901" s="258"/>
      <c r="K901" s="258"/>
      <c r="L901" s="258"/>
      <c r="M901" s="258"/>
      <c r="N901" s="258"/>
    </row>
    <row r="902">
      <c r="A902" s="257"/>
      <c r="B902" s="257"/>
      <c r="C902" s="258"/>
      <c r="D902" s="257"/>
      <c r="E902" s="257"/>
      <c r="F902" s="257"/>
      <c r="G902" s="258"/>
      <c r="H902" s="258"/>
      <c r="I902" s="258"/>
      <c r="J902" s="258"/>
      <c r="K902" s="258"/>
      <c r="L902" s="258"/>
      <c r="M902" s="258"/>
      <c r="N902" s="258"/>
    </row>
    <row r="903">
      <c r="A903" s="257"/>
      <c r="B903" s="257"/>
      <c r="C903" s="258"/>
      <c r="D903" s="257"/>
      <c r="E903" s="257"/>
      <c r="F903" s="257"/>
      <c r="G903" s="258"/>
      <c r="H903" s="258"/>
      <c r="I903" s="258"/>
      <c r="J903" s="258"/>
      <c r="K903" s="258"/>
      <c r="L903" s="258"/>
      <c r="M903" s="258"/>
      <c r="N903" s="258"/>
    </row>
    <row r="904">
      <c r="A904" s="257"/>
      <c r="B904" s="257"/>
      <c r="C904" s="258"/>
      <c r="D904" s="257"/>
      <c r="E904" s="257"/>
      <c r="F904" s="257"/>
      <c r="G904" s="258"/>
      <c r="H904" s="258"/>
      <c r="I904" s="258"/>
      <c r="J904" s="258"/>
      <c r="K904" s="258"/>
      <c r="L904" s="258"/>
      <c r="M904" s="258"/>
      <c r="N904" s="258"/>
    </row>
    <row r="905">
      <c r="A905" s="257"/>
      <c r="B905" s="257"/>
      <c r="C905" s="258"/>
      <c r="D905" s="257"/>
      <c r="E905" s="257"/>
      <c r="F905" s="257"/>
      <c r="G905" s="258"/>
      <c r="H905" s="258"/>
      <c r="I905" s="258"/>
      <c r="J905" s="258"/>
      <c r="K905" s="258"/>
      <c r="L905" s="258"/>
      <c r="M905" s="258"/>
      <c r="N905" s="258"/>
    </row>
    <row r="906">
      <c r="A906" s="257"/>
      <c r="B906" s="257"/>
      <c r="C906" s="258"/>
      <c r="D906" s="257"/>
      <c r="E906" s="257"/>
      <c r="F906" s="257"/>
      <c r="G906" s="258"/>
      <c r="H906" s="258"/>
      <c r="I906" s="258"/>
      <c r="J906" s="258"/>
      <c r="K906" s="258"/>
      <c r="L906" s="258"/>
      <c r="M906" s="258"/>
      <c r="N906" s="258"/>
    </row>
    <row r="907">
      <c r="A907" s="257"/>
      <c r="B907" s="257"/>
      <c r="C907" s="258"/>
      <c r="D907" s="257"/>
      <c r="E907" s="257"/>
      <c r="F907" s="257"/>
      <c r="G907" s="258"/>
      <c r="H907" s="258"/>
      <c r="I907" s="258"/>
      <c r="J907" s="258"/>
      <c r="K907" s="258"/>
      <c r="L907" s="258"/>
      <c r="M907" s="258"/>
      <c r="N907" s="258"/>
    </row>
    <row r="908">
      <c r="A908" s="257"/>
      <c r="B908" s="257"/>
      <c r="C908" s="258"/>
      <c r="D908" s="257"/>
      <c r="E908" s="257"/>
      <c r="F908" s="257"/>
      <c r="G908" s="258"/>
      <c r="H908" s="258"/>
      <c r="I908" s="258"/>
      <c r="J908" s="258"/>
      <c r="K908" s="258"/>
      <c r="L908" s="258"/>
      <c r="M908" s="258"/>
      <c r="N908" s="258"/>
    </row>
    <row r="909">
      <c r="A909" s="257"/>
      <c r="B909" s="257"/>
      <c r="C909" s="258"/>
      <c r="D909" s="257"/>
      <c r="E909" s="257"/>
      <c r="F909" s="257"/>
      <c r="G909" s="258"/>
      <c r="H909" s="258"/>
      <c r="I909" s="258"/>
      <c r="J909" s="258"/>
      <c r="K909" s="258"/>
      <c r="L909" s="258"/>
      <c r="M909" s="258"/>
      <c r="N909" s="258"/>
    </row>
    <row r="910">
      <c r="A910" s="257"/>
      <c r="B910" s="257"/>
      <c r="C910" s="258"/>
      <c r="D910" s="257"/>
      <c r="E910" s="257"/>
      <c r="F910" s="257"/>
      <c r="G910" s="258"/>
      <c r="H910" s="258"/>
      <c r="I910" s="258"/>
      <c r="J910" s="258"/>
      <c r="K910" s="258"/>
      <c r="L910" s="258"/>
      <c r="M910" s="258"/>
      <c r="N910" s="258"/>
    </row>
    <row r="911">
      <c r="A911" s="257"/>
      <c r="B911" s="257"/>
      <c r="C911" s="258"/>
      <c r="D911" s="257"/>
      <c r="E911" s="257"/>
      <c r="F911" s="257"/>
      <c r="G911" s="258"/>
      <c r="H911" s="258"/>
      <c r="I911" s="258"/>
      <c r="J911" s="258"/>
      <c r="K911" s="258"/>
      <c r="L911" s="258"/>
      <c r="M911" s="258"/>
      <c r="N911" s="258"/>
    </row>
    <row r="912">
      <c r="A912" s="257"/>
      <c r="B912" s="257"/>
      <c r="C912" s="258"/>
      <c r="D912" s="257"/>
      <c r="E912" s="257"/>
      <c r="F912" s="257"/>
      <c r="G912" s="258"/>
      <c r="H912" s="258"/>
      <c r="I912" s="258"/>
      <c r="J912" s="258"/>
      <c r="K912" s="258"/>
      <c r="L912" s="258"/>
      <c r="M912" s="258"/>
      <c r="N912" s="258"/>
    </row>
    <row r="913">
      <c r="A913" s="257"/>
      <c r="B913" s="257"/>
      <c r="C913" s="258"/>
      <c r="D913" s="257"/>
      <c r="E913" s="257"/>
      <c r="F913" s="257"/>
      <c r="G913" s="258"/>
      <c r="H913" s="258"/>
      <c r="I913" s="258"/>
      <c r="J913" s="258"/>
      <c r="K913" s="258"/>
      <c r="L913" s="258"/>
      <c r="M913" s="258"/>
      <c r="N913" s="258"/>
    </row>
    <row r="914">
      <c r="A914" s="257"/>
      <c r="B914" s="257"/>
      <c r="C914" s="258"/>
      <c r="D914" s="257"/>
      <c r="E914" s="257"/>
      <c r="F914" s="257"/>
      <c r="G914" s="258"/>
      <c r="H914" s="258"/>
      <c r="I914" s="258"/>
      <c r="J914" s="258"/>
      <c r="K914" s="258"/>
      <c r="L914" s="258"/>
      <c r="M914" s="258"/>
      <c r="N914" s="258"/>
    </row>
    <row r="915">
      <c r="A915" s="257"/>
      <c r="B915" s="257"/>
      <c r="C915" s="258"/>
      <c r="D915" s="257"/>
      <c r="E915" s="257"/>
      <c r="F915" s="257"/>
      <c r="G915" s="258"/>
      <c r="H915" s="258"/>
      <c r="I915" s="258"/>
      <c r="J915" s="258"/>
      <c r="K915" s="258"/>
      <c r="L915" s="258"/>
      <c r="M915" s="258"/>
      <c r="N915" s="258"/>
    </row>
    <row r="916">
      <c r="A916" s="257"/>
      <c r="B916" s="257"/>
      <c r="C916" s="258"/>
      <c r="D916" s="257"/>
      <c r="E916" s="257"/>
      <c r="F916" s="257"/>
      <c r="G916" s="258"/>
      <c r="H916" s="258"/>
      <c r="I916" s="258"/>
      <c r="J916" s="258"/>
      <c r="K916" s="258"/>
      <c r="L916" s="258"/>
      <c r="M916" s="258"/>
      <c r="N916" s="258"/>
    </row>
    <row r="917">
      <c r="A917" s="257"/>
      <c r="B917" s="257"/>
      <c r="C917" s="258"/>
      <c r="D917" s="257"/>
      <c r="E917" s="257"/>
      <c r="F917" s="257"/>
      <c r="G917" s="258"/>
      <c r="H917" s="258"/>
      <c r="I917" s="258"/>
      <c r="J917" s="258"/>
      <c r="K917" s="258"/>
      <c r="L917" s="258"/>
      <c r="M917" s="258"/>
      <c r="N917" s="258"/>
    </row>
    <row r="918">
      <c r="A918" s="257"/>
      <c r="B918" s="257"/>
      <c r="C918" s="258"/>
      <c r="D918" s="257"/>
      <c r="E918" s="257"/>
      <c r="F918" s="257"/>
      <c r="G918" s="258"/>
      <c r="H918" s="258"/>
      <c r="I918" s="258"/>
      <c r="J918" s="258"/>
      <c r="K918" s="258"/>
      <c r="L918" s="258"/>
      <c r="M918" s="258"/>
      <c r="N918" s="258"/>
    </row>
    <row r="919">
      <c r="A919" s="257"/>
      <c r="B919" s="257"/>
      <c r="C919" s="258"/>
      <c r="D919" s="257"/>
      <c r="E919" s="257"/>
      <c r="F919" s="257"/>
      <c r="G919" s="258"/>
      <c r="H919" s="258"/>
      <c r="I919" s="258"/>
      <c r="J919" s="258"/>
      <c r="K919" s="258"/>
      <c r="L919" s="258"/>
      <c r="M919" s="258"/>
      <c r="N919" s="258"/>
    </row>
    <row r="920">
      <c r="A920" s="257"/>
      <c r="B920" s="257"/>
      <c r="C920" s="258"/>
      <c r="D920" s="257"/>
      <c r="E920" s="257"/>
      <c r="F920" s="257"/>
      <c r="G920" s="258"/>
      <c r="H920" s="258"/>
      <c r="I920" s="258"/>
      <c r="J920" s="258"/>
      <c r="K920" s="258"/>
      <c r="L920" s="258"/>
      <c r="M920" s="258"/>
      <c r="N920" s="258"/>
    </row>
    <row r="921">
      <c r="A921" s="257"/>
      <c r="B921" s="257"/>
      <c r="C921" s="258"/>
      <c r="D921" s="257"/>
      <c r="E921" s="257"/>
      <c r="F921" s="257"/>
      <c r="G921" s="258"/>
      <c r="H921" s="258"/>
      <c r="I921" s="258"/>
      <c r="J921" s="258"/>
      <c r="K921" s="258"/>
      <c r="L921" s="258"/>
      <c r="M921" s="258"/>
      <c r="N921" s="258"/>
    </row>
    <row r="922">
      <c r="A922" s="257"/>
      <c r="B922" s="257"/>
      <c r="C922" s="258"/>
      <c r="D922" s="257"/>
      <c r="E922" s="257"/>
      <c r="F922" s="257"/>
      <c r="G922" s="258"/>
      <c r="H922" s="258"/>
      <c r="I922" s="258"/>
      <c r="J922" s="258"/>
      <c r="K922" s="258"/>
      <c r="L922" s="258"/>
      <c r="M922" s="258"/>
      <c r="N922" s="258"/>
    </row>
    <row r="923">
      <c r="A923" s="257"/>
      <c r="B923" s="257"/>
      <c r="C923" s="258"/>
      <c r="D923" s="257"/>
      <c r="E923" s="257"/>
      <c r="F923" s="257"/>
      <c r="G923" s="258"/>
      <c r="H923" s="258"/>
      <c r="I923" s="258"/>
      <c r="J923" s="258"/>
      <c r="K923" s="258"/>
      <c r="L923" s="258"/>
      <c r="M923" s="258"/>
      <c r="N923" s="258"/>
    </row>
    <row r="924">
      <c r="A924" s="257"/>
      <c r="B924" s="257"/>
      <c r="C924" s="258"/>
      <c r="D924" s="257"/>
      <c r="E924" s="257"/>
      <c r="F924" s="257"/>
      <c r="G924" s="258"/>
      <c r="H924" s="258"/>
      <c r="I924" s="258"/>
      <c r="J924" s="258"/>
      <c r="K924" s="258"/>
      <c r="L924" s="258"/>
      <c r="M924" s="258"/>
      <c r="N924" s="258"/>
    </row>
    <row r="925">
      <c r="A925" s="257"/>
      <c r="B925" s="257"/>
      <c r="C925" s="258"/>
      <c r="D925" s="257"/>
      <c r="E925" s="257"/>
      <c r="F925" s="257"/>
      <c r="G925" s="258"/>
      <c r="H925" s="258"/>
      <c r="I925" s="258"/>
      <c r="J925" s="258"/>
      <c r="K925" s="258"/>
      <c r="L925" s="258"/>
      <c r="M925" s="258"/>
      <c r="N925" s="258"/>
    </row>
    <row r="926">
      <c r="A926" s="257"/>
      <c r="B926" s="257"/>
      <c r="C926" s="258"/>
      <c r="D926" s="257"/>
      <c r="E926" s="257"/>
      <c r="F926" s="257"/>
      <c r="G926" s="258"/>
      <c r="H926" s="258"/>
      <c r="I926" s="258"/>
      <c r="J926" s="258"/>
      <c r="K926" s="258"/>
      <c r="L926" s="258"/>
      <c r="M926" s="258"/>
      <c r="N926" s="258"/>
    </row>
    <row r="927">
      <c r="A927" s="257"/>
      <c r="B927" s="257"/>
      <c r="C927" s="258"/>
      <c r="D927" s="257"/>
      <c r="E927" s="257"/>
      <c r="F927" s="257"/>
      <c r="G927" s="258"/>
      <c r="H927" s="258"/>
      <c r="I927" s="258"/>
      <c r="J927" s="258"/>
      <c r="K927" s="258"/>
      <c r="L927" s="258"/>
      <c r="M927" s="258"/>
      <c r="N927" s="258"/>
    </row>
    <row r="928">
      <c r="A928" s="257"/>
      <c r="B928" s="257"/>
      <c r="C928" s="258"/>
      <c r="D928" s="257"/>
      <c r="E928" s="257"/>
      <c r="F928" s="257"/>
      <c r="G928" s="258"/>
      <c r="H928" s="258"/>
      <c r="I928" s="258"/>
      <c r="J928" s="258"/>
      <c r="K928" s="258"/>
      <c r="L928" s="258"/>
      <c r="M928" s="258"/>
      <c r="N928" s="258"/>
    </row>
    <row r="929">
      <c r="A929" s="257"/>
      <c r="B929" s="257"/>
      <c r="C929" s="258"/>
      <c r="D929" s="257"/>
      <c r="E929" s="257"/>
      <c r="F929" s="257"/>
      <c r="G929" s="258"/>
      <c r="H929" s="258"/>
      <c r="I929" s="258"/>
      <c r="J929" s="258"/>
      <c r="K929" s="258"/>
      <c r="L929" s="258"/>
      <c r="M929" s="258"/>
      <c r="N929" s="258"/>
    </row>
    <row r="930">
      <c r="A930" s="257"/>
      <c r="B930" s="257"/>
      <c r="C930" s="258"/>
      <c r="D930" s="257"/>
      <c r="E930" s="257"/>
      <c r="F930" s="257"/>
      <c r="G930" s="258"/>
      <c r="H930" s="258"/>
      <c r="I930" s="258"/>
      <c r="J930" s="258"/>
      <c r="K930" s="258"/>
      <c r="L930" s="258"/>
      <c r="M930" s="258"/>
      <c r="N930" s="258"/>
    </row>
    <row r="931">
      <c r="A931" s="257"/>
      <c r="B931" s="257"/>
      <c r="C931" s="258"/>
      <c r="D931" s="257"/>
      <c r="E931" s="257"/>
      <c r="F931" s="257"/>
      <c r="G931" s="258"/>
      <c r="H931" s="258"/>
      <c r="I931" s="258"/>
      <c r="J931" s="258"/>
      <c r="K931" s="258"/>
      <c r="L931" s="258"/>
      <c r="M931" s="258"/>
      <c r="N931" s="258"/>
    </row>
    <row r="932">
      <c r="A932" s="257"/>
      <c r="B932" s="257"/>
      <c r="C932" s="258"/>
      <c r="D932" s="257"/>
      <c r="E932" s="257"/>
      <c r="F932" s="257"/>
      <c r="G932" s="258"/>
      <c r="H932" s="258"/>
      <c r="I932" s="258"/>
      <c r="J932" s="258"/>
      <c r="K932" s="258"/>
      <c r="L932" s="258"/>
      <c r="M932" s="258"/>
      <c r="N932" s="258"/>
    </row>
    <row r="933">
      <c r="A933" s="257"/>
      <c r="B933" s="257"/>
      <c r="C933" s="258"/>
      <c r="D933" s="257"/>
      <c r="E933" s="257"/>
      <c r="F933" s="257"/>
      <c r="G933" s="258"/>
      <c r="H933" s="258"/>
      <c r="I933" s="258"/>
      <c r="J933" s="258"/>
      <c r="K933" s="258"/>
      <c r="L933" s="258"/>
      <c r="M933" s="258"/>
      <c r="N933" s="258"/>
    </row>
    <row r="934">
      <c r="A934" s="257"/>
      <c r="B934" s="257"/>
      <c r="C934" s="258"/>
      <c r="D934" s="257"/>
      <c r="E934" s="257"/>
      <c r="F934" s="257"/>
      <c r="G934" s="258"/>
      <c r="H934" s="258"/>
      <c r="I934" s="258"/>
      <c r="J934" s="258"/>
      <c r="K934" s="258"/>
      <c r="L934" s="258"/>
      <c r="M934" s="258"/>
      <c r="N934" s="258"/>
    </row>
    <row r="935">
      <c r="A935" s="257"/>
      <c r="B935" s="257"/>
      <c r="C935" s="258"/>
      <c r="D935" s="257"/>
      <c r="E935" s="257"/>
      <c r="F935" s="257"/>
      <c r="G935" s="258"/>
      <c r="H935" s="258"/>
      <c r="I935" s="258"/>
      <c r="J935" s="258"/>
      <c r="K935" s="258"/>
      <c r="L935" s="258"/>
      <c r="M935" s="258"/>
      <c r="N935" s="258"/>
    </row>
    <row r="936">
      <c r="A936" s="257"/>
      <c r="B936" s="257"/>
      <c r="C936" s="258"/>
      <c r="D936" s="257"/>
      <c r="E936" s="257"/>
      <c r="F936" s="257"/>
      <c r="G936" s="258"/>
      <c r="H936" s="258"/>
      <c r="I936" s="258"/>
      <c r="J936" s="258"/>
      <c r="K936" s="258"/>
      <c r="L936" s="258"/>
      <c r="M936" s="258"/>
      <c r="N936" s="258"/>
    </row>
    <row r="937">
      <c r="A937" s="257"/>
      <c r="B937" s="257"/>
      <c r="C937" s="258"/>
      <c r="D937" s="257"/>
      <c r="E937" s="257"/>
      <c r="F937" s="257"/>
      <c r="G937" s="258"/>
      <c r="H937" s="258"/>
      <c r="I937" s="258"/>
      <c r="J937" s="258"/>
      <c r="K937" s="258"/>
      <c r="L937" s="258"/>
      <c r="M937" s="258"/>
      <c r="N937" s="258"/>
    </row>
    <row r="938">
      <c r="A938" s="257"/>
      <c r="B938" s="257"/>
      <c r="C938" s="258"/>
      <c r="D938" s="257"/>
      <c r="E938" s="257"/>
      <c r="F938" s="257"/>
      <c r="G938" s="258"/>
      <c r="H938" s="258"/>
      <c r="I938" s="258"/>
      <c r="J938" s="258"/>
      <c r="K938" s="258"/>
      <c r="L938" s="258"/>
      <c r="M938" s="258"/>
      <c r="N938" s="258"/>
    </row>
    <row r="939">
      <c r="A939" s="257"/>
      <c r="B939" s="257"/>
      <c r="C939" s="258"/>
      <c r="D939" s="257"/>
      <c r="E939" s="257"/>
      <c r="F939" s="257"/>
      <c r="G939" s="258"/>
      <c r="H939" s="258"/>
      <c r="I939" s="258"/>
      <c r="J939" s="258"/>
      <c r="K939" s="258"/>
      <c r="L939" s="258"/>
      <c r="M939" s="258"/>
      <c r="N939" s="258"/>
    </row>
    <row r="940">
      <c r="A940" s="257"/>
      <c r="B940" s="257"/>
      <c r="C940" s="258"/>
      <c r="D940" s="257"/>
      <c r="E940" s="257"/>
      <c r="F940" s="257"/>
      <c r="G940" s="258"/>
      <c r="H940" s="258"/>
      <c r="I940" s="258"/>
      <c r="J940" s="258"/>
      <c r="K940" s="258"/>
      <c r="L940" s="258"/>
      <c r="M940" s="258"/>
      <c r="N940" s="258"/>
    </row>
    <row r="941">
      <c r="A941" s="257"/>
      <c r="B941" s="257"/>
      <c r="C941" s="258"/>
      <c r="D941" s="257"/>
      <c r="E941" s="257"/>
      <c r="F941" s="257"/>
      <c r="G941" s="258"/>
      <c r="H941" s="258"/>
      <c r="I941" s="258"/>
      <c r="J941" s="258"/>
      <c r="K941" s="258"/>
      <c r="L941" s="258"/>
      <c r="M941" s="258"/>
      <c r="N941" s="258"/>
    </row>
    <row r="942">
      <c r="A942" s="257"/>
      <c r="B942" s="257"/>
      <c r="C942" s="258"/>
      <c r="D942" s="257"/>
      <c r="E942" s="257"/>
      <c r="F942" s="257"/>
      <c r="G942" s="258"/>
      <c r="H942" s="258"/>
      <c r="I942" s="258"/>
      <c r="J942" s="258"/>
      <c r="K942" s="258"/>
      <c r="L942" s="258"/>
      <c r="M942" s="258"/>
      <c r="N942" s="258"/>
    </row>
    <row r="943">
      <c r="A943" s="257"/>
      <c r="B943" s="257"/>
      <c r="C943" s="258"/>
      <c r="D943" s="257"/>
      <c r="E943" s="257"/>
      <c r="F943" s="257"/>
      <c r="G943" s="258"/>
      <c r="H943" s="258"/>
      <c r="I943" s="258"/>
      <c r="J943" s="258"/>
      <c r="K943" s="258"/>
      <c r="L943" s="258"/>
      <c r="M943" s="258"/>
      <c r="N943" s="258"/>
    </row>
    <row r="944">
      <c r="A944" s="257"/>
      <c r="B944" s="257"/>
      <c r="C944" s="258"/>
      <c r="D944" s="257"/>
      <c r="E944" s="257"/>
      <c r="F944" s="257"/>
      <c r="G944" s="258"/>
      <c r="H944" s="258"/>
      <c r="I944" s="258"/>
      <c r="J944" s="258"/>
      <c r="K944" s="258"/>
      <c r="L944" s="258"/>
      <c r="M944" s="258"/>
      <c r="N944" s="258"/>
    </row>
    <row r="945">
      <c r="A945" s="257"/>
      <c r="B945" s="257"/>
      <c r="C945" s="258"/>
      <c r="D945" s="257"/>
      <c r="E945" s="257"/>
      <c r="F945" s="257"/>
      <c r="G945" s="258"/>
      <c r="H945" s="258"/>
      <c r="I945" s="258"/>
      <c r="J945" s="258"/>
      <c r="K945" s="258"/>
      <c r="L945" s="258"/>
      <c r="M945" s="258"/>
      <c r="N945" s="258"/>
    </row>
    <row r="946">
      <c r="A946" s="257"/>
      <c r="B946" s="257"/>
      <c r="C946" s="258"/>
      <c r="D946" s="257"/>
      <c r="E946" s="257"/>
      <c r="F946" s="257"/>
      <c r="G946" s="258"/>
      <c r="H946" s="258"/>
      <c r="I946" s="258"/>
      <c r="J946" s="258"/>
      <c r="K946" s="258"/>
      <c r="L946" s="258"/>
      <c r="M946" s="258"/>
      <c r="N946" s="258"/>
    </row>
    <row r="947">
      <c r="A947" s="257"/>
      <c r="B947" s="257"/>
      <c r="C947" s="258"/>
      <c r="D947" s="257"/>
      <c r="E947" s="257"/>
      <c r="F947" s="257"/>
      <c r="G947" s="258"/>
      <c r="H947" s="258"/>
      <c r="I947" s="258"/>
      <c r="J947" s="258"/>
      <c r="K947" s="258"/>
      <c r="L947" s="258"/>
      <c r="M947" s="258"/>
      <c r="N947" s="258"/>
    </row>
    <row r="948">
      <c r="A948" s="257"/>
      <c r="B948" s="257"/>
      <c r="C948" s="258"/>
      <c r="D948" s="257"/>
      <c r="E948" s="257"/>
      <c r="F948" s="257"/>
      <c r="G948" s="258"/>
      <c r="H948" s="258"/>
      <c r="I948" s="258"/>
      <c r="J948" s="258"/>
      <c r="K948" s="258"/>
      <c r="L948" s="258"/>
      <c r="M948" s="258"/>
      <c r="N948" s="258"/>
    </row>
    <row r="949">
      <c r="A949" s="257"/>
      <c r="B949" s="257"/>
      <c r="C949" s="258"/>
      <c r="D949" s="257"/>
      <c r="E949" s="257"/>
      <c r="F949" s="257"/>
      <c r="G949" s="258"/>
      <c r="H949" s="258"/>
      <c r="I949" s="258"/>
      <c r="J949" s="258"/>
      <c r="K949" s="258"/>
      <c r="L949" s="258"/>
      <c r="M949" s="258"/>
      <c r="N949" s="258"/>
    </row>
    <row r="950">
      <c r="A950" s="257"/>
      <c r="B950" s="257"/>
      <c r="C950" s="258"/>
      <c r="D950" s="257"/>
      <c r="E950" s="257"/>
      <c r="F950" s="257"/>
      <c r="G950" s="258"/>
      <c r="H950" s="258"/>
      <c r="I950" s="258"/>
      <c r="J950" s="258"/>
      <c r="K950" s="258"/>
      <c r="L950" s="258"/>
      <c r="M950" s="258"/>
      <c r="N950" s="258"/>
    </row>
    <row r="951">
      <c r="A951" s="257"/>
      <c r="B951" s="257"/>
      <c r="C951" s="258"/>
      <c r="D951" s="257"/>
      <c r="E951" s="257"/>
      <c r="F951" s="257"/>
      <c r="G951" s="258"/>
      <c r="H951" s="258"/>
      <c r="I951" s="258"/>
      <c r="J951" s="258"/>
      <c r="K951" s="258"/>
      <c r="L951" s="258"/>
      <c r="M951" s="258"/>
      <c r="N951" s="258"/>
    </row>
    <row r="952">
      <c r="A952" s="257"/>
      <c r="B952" s="257"/>
      <c r="C952" s="258"/>
      <c r="D952" s="257"/>
      <c r="E952" s="257"/>
      <c r="F952" s="257"/>
      <c r="G952" s="258"/>
      <c r="H952" s="258"/>
      <c r="I952" s="258"/>
      <c r="J952" s="258"/>
      <c r="K952" s="258"/>
      <c r="L952" s="258"/>
      <c r="M952" s="258"/>
      <c r="N952" s="258"/>
    </row>
    <row r="953">
      <c r="A953" s="257"/>
      <c r="B953" s="257"/>
      <c r="C953" s="258"/>
      <c r="D953" s="257"/>
      <c r="E953" s="257"/>
      <c r="F953" s="257"/>
      <c r="G953" s="258"/>
      <c r="H953" s="258"/>
      <c r="I953" s="258"/>
      <c r="J953" s="258"/>
      <c r="K953" s="258"/>
      <c r="L953" s="258"/>
      <c r="M953" s="258"/>
      <c r="N953" s="258"/>
    </row>
    <row r="954">
      <c r="A954" s="257"/>
      <c r="B954" s="257"/>
      <c r="C954" s="258"/>
      <c r="D954" s="257"/>
      <c r="E954" s="257"/>
      <c r="F954" s="257"/>
      <c r="G954" s="258"/>
      <c r="H954" s="258"/>
      <c r="I954" s="258"/>
      <c r="J954" s="258"/>
      <c r="K954" s="258"/>
      <c r="L954" s="258"/>
      <c r="M954" s="258"/>
      <c r="N954" s="258"/>
    </row>
    <row r="955">
      <c r="A955" s="257"/>
      <c r="B955" s="257"/>
      <c r="C955" s="258"/>
      <c r="D955" s="257"/>
      <c r="E955" s="257"/>
      <c r="F955" s="257"/>
      <c r="G955" s="258"/>
      <c r="H955" s="258"/>
      <c r="I955" s="258"/>
      <c r="J955" s="258"/>
      <c r="K955" s="258"/>
      <c r="L955" s="258"/>
      <c r="M955" s="258"/>
      <c r="N955" s="258"/>
    </row>
    <row r="956">
      <c r="A956" s="257"/>
      <c r="B956" s="257"/>
      <c r="C956" s="258"/>
      <c r="D956" s="257"/>
      <c r="E956" s="257"/>
      <c r="F956" s="257"/>
      <c r="G956" s="258"/>
      <c r="H956" s="258"/>
      <c r="I956" s="258"/>
      <c r="J956" s="258"/>
      <c r="K956" s="258"/>
      <c r="L956" s="258"/>
      <c r="M956" s="258"/>
      <c r="N956" s="258"/>
    </row>
    <row r="957">
      <c r="A957" s="257"/>
      <c r="B957" s="257"/>
      <c r="C957" s="258"/>
      <c r="D957" s="257"/>
      <c r="E957" s="257"/>
      <c r="F957" s="257"/>
      <c r="G957" s="258"/>
      <c r="H957" s="258"/>
      <c r="I957" s="258"/>
      <c r="J957" s="258"/>
      <c r="K957" s="258"/>
      <c r="L957" s="258"/>
      <c r="M957" s="258"/>
      <c r="N957" s="258"/>
    </row>
    <row r="958">
      <c r="A958" s="257"/>
      <c r="B958" s="257"/>
      <c r="C958" s="258"/>
      <c r="D958" s="257"/>
      <c r="E958" s="257"/>
      <c r="F958" s="257"/>
      <c r="G958" s="258"/>
      <c r="H958" s="258"/>
      <c r="I958" s="258"/>
      <c r="J958" s="258"/>
      <c r="K958" s="258"/>
      <c r="L958" s="258"/>
      <c r="M958" s="258"/>
      <c r="N958" s="258"/>
    </row>
    <row r="959">
      <c r="A959" s="257"/>
      <c r="B959" s="257"/>
      <c r="C959" s="258"/>
      <c r="D959" s="257"/>
      <c r="E959" s="257"/>
      <c r="F959" s="257"/>
      <c r="G959" s="258"/>
      <c r="H959" s="258"/>
      <c r="I959" s="258"/>
      <c r="J959" s="258"/>
      <c r="K959" s="258"/>
      <c r="L959" s="258"/>
      <c r="M959" s="258"/>
      <c r="N959" s="258"/>
    </row>
    <row r="960">
      <c r="A960" s="257"/>
      <c r="B960" s="257"/>
      <c r="C960" s="258"/>
      <c r="D960" s="257"/>
      <c r="E960" s="257"/>
      <c r="F960" s="257"/>
      <c r="G960" s="258"/>
      <c r="H960" s="258"/>
      <c r="I960" s="258"/>
      <c r="J960" s="258"/>
      <c r="K960" s="258"/>
      <c r="L960" s="258"/>
      <c r="M960" s="258"/>
      <c r="N960" s="258"/>
    </row>
    <row r="961">
      <c r="A961" s="257"/>
      <c r="B961" s="257"/>
      <c r="C961" s="258"/>
      <c r="D961" s="257"/>
      <c r="E961" s="257"/>
      <c r="F961" s="257"/>
      <c r="G961" s="258"/>
      <c r="H961" s="258"/>
      <c r="I961" s="258"/>
      <c r="J961" s="258"/>
      <c r="K961" s="258"/>
      <c r="L961" s="258"/>
      <c r="M961" s="258"/>
      <c r="N961" s="258"/>
    </row>
    <row r="962">
      <c r="A962" s="257"/>
      <c r="B962" s="257"/>
      <c r="C962" s="258"/>
      <c r="D962" s="257"/>
      <c r="E962" s="257"/>
      <c r="F962" s="257"/>
      <c r="G962" s="258"/>
      <c r="H962" s="258"/>
      <c r="I962" s="258"/>
      <c r="J962" s="258"/>
      <c r="K962" s="258"/>
      <c r="L962" s="258"/>
      <c r="M962" s="258"/>
      <c r="N962" s="258"/>
    </row>
    <row r="963">
      <c r="A963" s="257"/>
      <c r="B963" s="257"/>
      <c r="C963" s="258"/>
      <c r="D963" s="257"/>
      <c r="E963" s="257"/>
      <c r="F963" s="257"/>
      <c r="G963" s="258"/>
      <c r="H963" s="258"/>
      <c r="I963" s="258"/>
      <c r="J963" s="258"/>
      <c r="K963" s="258"/>
      <c r="L963" s="258"/>
      <c r="M963" s="258"/>
      <c r="N963" s="258"/>
    </row>
    <row r="964">
      <c r="A964" s="257"/>
      <c r="B964" s="257"/>
      <c r="C964" s="258"/>
      <c r="D964" s="257"/>
      <c r="E964" s="257"/>
      <c r="F964" s="257"/>
      <c r="G964" s="258"/>
      <c r="H964" s="258"/>
      <c r="I964" s="258"/>
      <c r="J964" s="258"/>
      <c r="K964" s="258"/>
      <c r="L964" s="258"/>
      <c r="M964" s="258"/>
      <c r="N964" s="258"/>
    </row>
    <row r="965">
      <c r="A965" s="257"/>
      <c r="B965" s="257"/>
      <c r="C965" s="258"/>
      <c r="D965" s="257"/>
      <c r="E965" s="257"/>
      <c r="F965" s="257"/>
      <c r="G965" s="258"/>
      <c r="H965" s="258"/>
      <c r="I965" s="258"/>
      <c r="J965" s="258"/>
      <c r="K965" s="258"/>
      <c r="L965" s="258"/>
      <c r="M965" s="258"/>
      <c r="N965" s="258"/>
    </row>
    <row r="966">
      <c r="A966" s="257"/>
      <c r="B966" s="257"/>
      <c r="C966" s="258"/>
      <c r="D966" s="257"/>
      <c r="E966" s="257"/>
      <c r="F966" s="257"/>
      <c r="G966" s="258"/>
      <c r="H966" s="258"/>
      <c r="I966" s="258"/>
      <c r="J966" s="258"/>
      <c r="K966" s="258"/>
      <c r="L966" s="258"/>
      <c r="M966" s="258"/>
      <c r="N966" s="258"/>
    </row>
    <row r="967">
      <c r="A967" s="257"/>
      <c r="B967" s="257"/>
      <c r="C967" s="258"/>
      <c r="D967" s="257"/>
      <c r="E967" s="257"/>
      <c r="F967" s="257"/>
      <c r="G967" s="258"/>
      <c r="H967" s="258"/>
      <c r="I967" s="258"/>
      <c r="J967" s="258"/>
      <c r="K967" s="258"/>
      <c r="L967" s="258"/>
      <c r="M967" s="258"/>
      <c r="N967" s="258"/>
    </row>
    <row r="968">
      <c r="A968" s="257"/>
      <c r="B968" s="257"/>
      <c r="C968" s="258"/>
      <c r="D968" s="257"/>
      <c r="E968" s="257"/>
      <c r="F968" s="257"/>
      <c r="G968" s="258"/>
      <c r="H968" s="258"/>
      <c r="I968" s="258"/>
      <c r="J968" s="258"/>
      <c r="K968" s="258"/>
      <c r="L968" s="258"/>
      <c r="M968" s="258"/>
      <c r="N968" s="258"/>
    </row>
    <row r="969">
      <c r="A969" s="257"/>
      <c r="B969" s="257"/>
      <c r="C969" s="258"/>
      <c r="D969" s="257"/>
      <c r="E969" s="257"/>
      <c r="F969" s="257"/>
      <c r="G969" s="258"/>
      <c r="H969" s="258"/>
      <c r="I969" s="258"/>
      <c r="J969" s="258"/>
      <c r="K969" s="258"/>
      <c r="L969" s="258"/>
      <c r="M969" s="258"/>
      <c r="N969" s="258"/>
    </row>
    <row r="970">
      <c r="A970" s="257"/>
      <c r="B970" s="257"/>
      <c r="C970" s="258"/>
      <c r="D970" s="257"/>
      <c r="E970" s="257"/>
      <c r="F970" s="257"/>
      <c r="G970" s="258"/>
      <c r="H970" s="258"/>
      <c r="I970" s="258"/>
      <c r="J970" s="258"/>
      <c r="K970" s="258"/>
      <c r="L970" s="258"/>
      <c r="M970" s="258"/>
      <c r="N970" s="258"/>
    </row>
    <row r="971">
      <c r="A971" s="257"/>
      <c r="B971" s="257"/>
      <c r="C971" s="258"/>
      <c r="D971" s="257"/>
      <c r="E971" s="257"/>
      <c r="F971" s="257"/>
      <c r="G971" s="258"/>
      <c r="H971" s="258"/>
      <c r="I971" s="258"/>
      <c r="J971" s="258"/>
      <c r="K971" s="258"/>
      <c r="L971" s="258"/>
      <c r="M971" s="258"/>
      <c r="N971" s="258"/>
    </row>
    <row r="972">
      <c r="A972" s="257"/>
      <c r="B972" s="257"/>
      <c r="C972" s="258"/>
      <c r="D972" s="257"/>
      <c r="E972" s="257"/>
      <c r="F972" s="257"/>
      <c r="G972" s="258"/>
      <c r="H972" s="258"/>
      <c r="I972" s="258"/>
      <c r="J972" s="258"/>
      <c r="K972" s="258"/>
      <c r="L972" s="258"/>
      <c r="M972" s="258"/>
      <c r="N972" s="258"/>
    </row>
    <row r="973">
      <c r="A973" s="257"/>
      <c r="B973" s="257"/>
      <c r="C973" s="258"/>
      <c r="D973" s="257"/>
      <c r="E973" s="257"/>
      <c r="F973" s="257"/>
      <c r="G973" s="258"/>
      <c r="H973" s="258"/>
      <c r="I973" s="258"/>
      <c r="J973" s="258"/>
      <c r="K973" s="258"/>
      <c r="L973" s="258"/>
      <c r="M973" s="258"/>
      <c r="N973" s="258"/>
    </row>
    <row r="974">
      <c r="A974" s="257"/>
      <c r="B974" s="257"/>
      <c r="C974" s="258"/>
      <c r="D974" s="257"/>
      <c r="E974" s="257"/>
      <c r="F974" s="257"/>
      <c r="G974" s="258"/>
      <c r="H974" s="258"/>
      <c r="I974" s="258"/>
      <c r="J974" s="258"/>
      <c r="K974" s="258"/>
      <c r="L974" s="258"/>
      <c r="M974" s="258"/>
      <c r="N974" s="258"/>
    </row>
    <row r="975">
      <c r="A975" s="257"/>
      <c r="B975" s="257"/>
      <c r="C975" s="258"/>
      <c r="D975" s="257"/>
      <c r="E975" s="257"/>
      <c r="F975" s="257"/>
      <c r="G975" s="258"/>
      <c r="H975" s="258"/>
      <c r="I975" s="258"/>
      <c r="J975" s="258"/>
      <c r="K975" s="258"/>
      <c r="L975" s="258"/>
      <c r="M975" s="258"/>
      <c r="N975" s="258"/>
    </row>
    <row r="976">
      <c r="A976" s="257"/>
      <c r="B976" s="257"/>
      <c r="C976" s="258"/>
      <c r="D976" s="257"/>
      <c r="E976" s="257"/>
      <c r="F976" s="257"/>
      <c r="G976" s="258"/>
      <c r="H976" s="258"/>
      <c r="I976" s="258"/>
      <c r="J976" s="258"/>
      <c r="K976" s="258"/>
      <c r="L976" s="258"/>
      <c r="M976" s="258"/>
      <c r="N976" s="258"/>
    </row>
    <row r="977">
      <c r="A977" s="257"/>
      <c r="B977" s="257"/>
      <c r="C977" s="258"/>
      <c r="D977" s="257"/>
      <c r="E977" s="257"/>
      <c r="F977" s="257"/>
      <c r="G977" s="258"/>
      <c r="H977" s="258"/>
      <c r="I977" s="258"/>
      <c r="J977" s="258"/>
      <c r="K977" s="258"/>
      <c r="L977" s="258"/>
      <c r="M977" s="258"/>
      <c r="N977" s="258"/>
    </row>
    <row r="978">
      <c r="A978" s="257"/>
      <c r="B978" s="257"/>
      <c r="C978" s="258"/>
      <c r="D978" s="257"/>
      <c r="E978" s="257"/>
      <c r="F978" s="257"/>
      <c r="G978" s="258"/>
      <c r="H978" s="258"/>
      <c r="I978" s="258"/>
      <c r="J978" s="258"/>
      <c r="K978" s="258"/>
      <c r="L978" s="258"/>
      <c r="M978" s="258"/>
      <c r="N978" s="258"/>
    </row>
    <row r="979">
      <c r="A979" s="257"/>
      <c r="B979" s="257"/>
      <c r="C979" s="258"/>
      <c r="D979" s="257"/>
      <c r="E979" s="257"/>
      <c r="F979" s="257"/>
      <c r="G979" s="258"/>
      <c r="H979" s="258"/>
      <c r="I979" s="258"/>
      <c r="J979" s="258"/>
      <c r="K979" s="258"/>
      <c r="L979" s="258"/>
      <c r="M979" s="258"/>
      <c r="N979" s="258"/>
    </row>
    <row r="980">
      <c r="A980" s="257"/>
      <c r="B980" s="257"/>
      <c r="C980" s="258"/>
      <c r="D980" s="257"/>
      <c r="E980" s="257"/>
      <c r="F980" s="257"/>
      <c r="G980" s="258"/>
      <c r="H980" s="258"/>
      <c r="I980" s="258"/>
      <c r="J980" s="258"/>
      <c r="K980" s="258"/>
      <c r="L980" s="258"/>
      <c r="M980" s="258"/>
      <c r="N980" s="258"/>
    </row>
    <row r="981">
      <c r="A981" s="257"/>
      <c r="B981" s="257"/>
      <c r="C981" s="258"/>
      <c r="D981" s="257"/>
      <c r="E981" s="257"/>
      <c r="F981" s="257"/>
      <c r="G981" s="258"/>
      <c r="H981" s="258"/>
      <c r="I981" s="258"/>
      <c r="J981" s="258"/>
      <c r="K981" s="258"/>
      <c r="L981" s="258"/>
      <c r="M981" s="258"/>
      <c r="N981" s="258"/>
    </row>
    <row r="982">
      <c r="A982" s="257"/>
      <c r="B982" s="257"/>
      <c r="C982" s="258"/>
      <c r="D982" s="257"/>
      <c r="E982" s="257"/>
      <c r="F982" s="257"/>
      <c r="G982" s="258"/>
      <c r="H982" s="258"/>
      <c r="I982" s="258"/>
      <c r="J982" s="258"/>
      <c r="K982" s="258"/>
      <c r="L982" s="258"/>
      <c r="M982" s="258"/>
      <c r="N982" s="258"/>
    </row>
    <row r="983">
      <c r="A983" s="257"/>
      <c r="B983" s="257"/>
      <c r="C983" s="258"/>
      <c r="D983" s="257"/>
      <c r="E983" s="257"/>
      <c r="F983" s="257"/>
      <c r="G983" s="258"/>
      <c r="H983" s="258"/>
      <c r="I983" s="258"/>
      <c r="J983" s="258"/>
      <c r="K983" s="258"/>
      <c r="L983" s="258"/>
      <c r="M983" s="258"/>
      <c r="N983" s="258"/>
    </row>
    <row r="984">
      <c r="A984" s="257"/>
      <c r="B984" s="257"/>
      <c r="C984" s="258"/>
      <c r="D984" s="257"/>
      <c r="E984" s="257"/>
      <c r="F984" s="257"/>
      <c r="G984" s="258"/>
      <c r="H984" s="258"/>
      <c r="I984" s="258"/>
      <c r="J984" s="258"/>
      <c r="K984" s="258"/>
      <c r="L984" s="258"/>
      <c r="M984" s="258"/>
      <c r="N984" s="258"/>
    </row>
    <row r="985">
      <c r="A985" s="257"/>
      <c r="B985" s="257"/>
      <c r="C985" s="258"/>
      <c r="D985" s="257"/>
      <c r="E985" s="257"/>
      <c r="F985" s="257"/>
      <c r="G985" s="258"/>
      <c r="H985" s="258"/>
      <c r="I985" s="258"/>
      <c r="J985" s="258"/>
      <c r="K985" s="258"/>
      <c r="L985" s="258"/>
      <c r="M985" s="258"/>
      <c r="N985" s="258"/>
    </row>
    <row r="986">
      <c r="A986" s="257"/>
      <c r="B986" s="257"/>
      <c r="C986" s="258"/>
      <c r="D986" s="257"/>
      <c r="E986" s="257"/>
      <c r="F986" s="257"/>
      <c r="G986" s="258"/>
      <c r="H986" s="258"/>
      <c r="I986" s="258"/>
      <c r="J986" s="258"/>
      <c r="K986" s="258"/>
      <c r="L986" s="258"/>
      <c r="M986" s="258"/>
      <c r="N986" s="258"/>
    </row>
    <row r="987">
      <c r="A987" s="257"/>
      <c r="B987" s="257"/>
      <c r="C987" s="258"/>
      <c r="D987" s="257"/>
      <c r="E987" s="257"/>
      <c r="F987" s="257"/>
      <c r="G987" s="258"/>
      <c r="H987" s="258"/>
      <c r="I987" s="258"/>
      <c r="J987" s="258"/>
      <c r="K987" s="258"/>
      <c r="L987" s="258"/>
      <c r="M987" s="258"/>
      <c r="N987" s="258"/>
    </row>
    <row r="988">
      <c r="A988" s="257"/>
      <c r="B988" s="257"/>
      <c r="C988" s="258"/>
      <c r="D988" s="257"/>
      <c r="E988" s="257"/>
      <c r="F988" s="257"/>
      <c r="G988" s="258"/>
      <c r="H988" s="258"/>
      <c r="I988" s="258"/>
      <c r="J988" s="258"/>
      <c r="K988" s="258"/>
      <c r="L988" s="258"/>
      <c r="M988" s="258"/>
      <c r="N988" s="258"/>
    </row>
    <row r="989">
      <c r="A989" s="257"/>
      <c r="B989" s="257"/>
      <c r="C989" s="258"/>
      <c r="D989" s="257"/>
      <c r="E989" s="257"/>
      <c r="F989" s="257"/>
      <c r="G989" s="258"/>
      <c r="H989" s="258"/>
      <c r="I989" s="258"/>
      <c r="J989" s="258"/>
      <c r="K989" s="258"/>
      <c r="L989" s="258"/>
      <c r="M989" s="258"/>
      <c r="N989" s="258"/>
    </row>
    <row r="990">
      <c r="A990" s="257"/>
      <c r="B990" s="257"/>
      <c r="C990" s="258"/>
      <c r="D990" s="257"/>
      <c r="E990" s="257"/>
      <c r="F990" s="257"/>
      <c r="G990" s="258"/>
      <c r="H990" s="258"/>
      <c r="I990" s="258"/>
      <c r="J990" s="258"/>
      <c r="K990" s="258"/>
      <c r="L990" s="258"/>
      <c r="M990" s="258"/>
      <c r="N990" s="258"/>
    </row>
    <row r="991">
      <c r="A991" s="257"/>
      <c r="B991" s="257"/>
      <c r="C991" s="258"/>
      <c r="D991" s="257"/>
      <c r="E991" s="257"/>
      <c r="F991" s="257"/>
      <c r="G991" s="258"/>
      <c r="H991" s="258"/>
      <c r="I991" s="258"/>
      <c r="J991" s="258"/>
      <c r="K991" s="258"/>
      <c r="L991" s="258"/>
      <c r="M991" s="258"/>
      <c r="N991" s="258"/>
    </row>
    <row r="992">
      <c r="A992" s="257"/>
      <c r="B992" s="257"/>
      <c r="C992" s="258"/>
      <c r="D992" s="257"/>
      <c r="E992" s="257"/>
      <c r="F992" s="257"/>
      <c r="G992" s="258"/>
      <c r="H992" s="258"/>
      <c r="I992" s="258"/>
      <c r="J992" s="258"/>
      <c r="K992" s="258"/>
      <c r="L992" s="258"/>
      <c r="M992" s="258"/>
      <c r="N992" s="258"/>
    </row>
    <row r="993">
      <c r="A993" s="257"/>
      <c r="B993" s="257"/>
      <c r="C993" s="258"/>
      <c r="D993" s="257"/>
      <c r="E993" s="257"/>
      <c r="F993" s="257"/>
      <c r="G993" s="258"/>
      <c r="H993" s="258"/>
      <c r="I993" s="258"/>
      <c r="J993" s="258"/>
      <c r="K993" s="258"/>
      <c r="L993" s="258"/>
      <c r="M993" s="258"/>
      <c r="N993" s="258"/>
    </row>
    <row r="994">
      <c r="A994" s="257"/>
      <c r="B994" s="257"/>
      <c r="C994" s="258"/>
      <c r="D994" s="257"/>
      <c r="E994" s="257"/>
      <c r="F994" s="257"/>
      <c r="G994" s="258"/>
      <c r="H994" s="258"/>
      <c r="I994" s="258"/>
      <c r="J994" s="258"/>
      <c r="K994" s="258"/>
      <c r="L994" s="258"/>
      <c r="M994" s="258"/>
      <c r="N994" s="258"/>
    </row>
    <row r="995">
      <c r="A995" s="257"/>
      <c r="B995" s="257"/>
      <c r="C995" s="258"/>
      <c r="D995" s="257"/>
      <c r="E995" s="257"/>
      <c r="F995" s="257"/>
      <c r="G995" s="258"/>
      <c r="H995" s="258"/>
      <c r="I995" s="258"/>
      <c r="J995" s="258"/>
      <c r="K995" s="258"/>
      <c r="L995" s="258"/>
      <c r="M995" s="258"/>
      <c r="N995" s="258"/>
    </row>
    <row r="996">
      <c r="A996" s="257"/>
      <c r="B996" s="257"/>
      <c r="C996" s="258"/>
      <c r="D996" s="257"/>
      <c r="E996" s="257"/>
      <c r="F996" s="257"/>
      <c r="G996" s="258"/>
      <c r="H996" s="258"/>
      <c r="I996" s="258"/>
      <c r="J996" s="258"/>
      <c r="K996" s="258"/>
      <c r="L996" s="258"/>
      <c r="M996" s="258"/>
      <c r="N996" s="258"/>
    </row>
    <row r="997">
      <c r="A997" s="257"/>
      <c r="B997" s="257"/>
      <c r="C997" s="258"/>
      <c r="D997" s="257"/>
      <c r="E997" s="257"/>
      <c r="F997" s="257"/>
      <c r="G997" s="258"/>
      <c r="H997" s="258"/>
      <c r="I997" s="258"/>
      <c r="J997" s="258"/>
      <c r="K997" s="258"/>
      <c r="L997" s="258"/>
      <c r="M997" s="258"/>
      <c r="N997" s="258"/>
    </row>
    <row r="998">
      <c r="A998" s="257"/>
      <c r="B998" s="257"/>
      <c r="C998" s="258"/>
      <c r="D998" s="257"/>
      <c r="E998" s="257"/>
      <c r="F998" s="257"/>
      <c r="G998" s="258"/>
      <c r="H998" s="258"/>
      <c r="I998" s="258"/>
      <c r="J998" s="258"/>
      <c r="K998" s="258"/>
      <c r="L998" s="258"/>
      <c r="M998" s="258"/>
      <c r="N998" s="258"/>
    </row>
    <row r="999">
      <c r="A999" s="257"/>
      <c r="B999" s="257"/>
      <c r="C999" s="258"/>
      <c r="D999" s="257"/>
      <c r="E999" s="257"/>
      <c r="F999" s="257"/>
      <c r="G999" s="258"/>
      <c r="H999" s="258"/>
      <c r="I999" s="258"/>
      <c r="J999" s="258"/>
      <c r="K999" s="258"/>
      <c r="L999" s="258"/>
      <c r="M999" s="258"/>
      <c r="N999" s="258"/>
    </row>
    <row r="1000">
      <c r="A1000" s="257"/>
      <c r="B1000" s="257"/>
      <c r="C1000" s="258"/>
      <c r="D1000" s="257"/>
      <c r="E1000" s="257"/>
      <c r="F1000" s="257"/>
      <c r="G1000" s="258"/>
      <c r="H1000" s="258"/>
      <c r="I1000" s="258"/>
      <c r="J1000" s="258"/>
      <c r="K1000" s="258"/>
      <c r="L1000" s="258"/>
      <c r="M1000" s="258"/>
      <c r="N1000" s="258"/>
    </row>
  </sheetData>
  <conditionalFormatting sqref="A1 B1">
    <cfRule type="expression" dxfId="0" priority="1">
      <formula>if(countif(A:A,A1)&gt;1,1,0)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9.86"/>
    <col customWidth="1" min="2" max="2" width="18.43"/>
    <col customWidth="1" min="3" max="3" width="49.86"/>
    <col customWidth="1" min="6" max="6" width="33.43"/>
    <col customWidth="1" min="14" max="14" width="29.57"/>
  </cols>
  <sheetData>
    <row r="1">
      <c r="A1" s="167" t="str">
        <f>IFERROR(__xludf.DUMMYFUNCTION("IMPORTRANGE(""https://docs.google.com/spreadsheets/d/1l-iYfI0QgEr79PyHxt6PzvSrO-8AcvmgKswY_DQKKlo/edit#gid=279667306"",""SCV Level - B2B!A:N"")
"),"ATTRIBUTE NAME")</f>
        <v>ATTRIBUTE NAME</v>
      </c>
      <c r="B1" s="167" t="str">
        <f>IFERROR(__xludf.DUMMYFUNCTION("""COMPUTED_VALUE"""),"DATA CATEGORY")</f>
        <v>DATA CATEGORY</v>
      </c>
      <c r="C1" s="167" t="str">
        <f>IFERROR(__xludf.DUMMYFUNCTION("""COMPUTED_VALUE"""),"DEFINITION")</f>
        <v>DEFINITION</v>
      </c>
      <c r="D1" s="168" t="str">
        <f>IFERROR(__xludf.DUMMYFUNCTION("""COMPUTED_VALUE"""),"DERIVATION TYPE")</f>
        <v>DERIVATION TYPE</v>
      </c>
      <c r="E1" s="167" t="str">
        <f>IFERROR(__xludf.DUMMYFUNCTION("""COMPUTED_VALUE"""),"DATA TYPE")</f>
        <v>DATA TYPE</v>
      </c>
      <c r="F1" s="168" t="str">
        <f>IFERROR(__xludf.DUMMYFUNCTION("""COMPUTED_VALUE"""),"SAMPLE VALUES")</f>
        <v>SAMPLE VALUES</v>
      </c>
      <c r="G1" s="167" t="str">
        <f>IFERROR(__xludf.DUMMYFUNCTION("""COMPUTED_VALUE"""),"DATA OWNER")</f>
        <v>DATA OWNER</v>
      </c>
      <c r="H1" s="168" t="str">
        <f>IFERROR(__xludf.DUMMYFUNCTION("""COMPUTED_VALUE"""),"DATA REQUESTOR")</f>
        <v>DATA REQUESTOR</v>
      </c>
      <c r="I1" s="168" t="str">
        <f>IFERROR(__xludf.DUMMYFUNCTION("""COMPUTED_VALUE"""),"DATA USER")</f>
        <v>DATA USER</v>
      </c>
      <c r="J1" s="168" t="str">
        <f>IFERROR(__xludf.DUMMYFUNCTION("""COMPUTED_VALUE"""),"FREQUENCY OF REFRESH")</f>
        <v>FREQUENCY OF REFRESH</v>
      </c>
      <c r="K1" s="168" t="str">
        <f>IFERROR(__xludf.DUMMYFUNCTION("""COMPUTED_VALUE"""),"BRAND")</f>
        <v>BRAND</v>
      </c>
      <c r="L1" s="168" t="str">
        <f>IFERROR(__xludf.DUMMYFUNCTION("""COMPUTED_VALUE"""),"CFU")</f>
        <v>CFU</v>
      </c>
      <c r="M1" s="167" t="str">
        <f>IFERROR(__xludf.DUMMYFUNCTION("""COMPUTED_VALUE"""),"SUBJECT AREA")</f>
        <v>SUBJECT AREA</v>
      </c>
      <c r="N1" s="168" t="str">
        <f>IFERROR(__xludf.DUMMYFUNCTION("""COMPUTED_VALUE"""),"REDSHIFT TABLE")</f>
        <v>REDSHIFT TABLE</v>
      </c>
    </row>
    <row r="2">
      <c r="A2" s="257" t="str">
        <f>IFERROR(__xludf.DUMMYFUNCTION("""COMPUTED_VALUE"""),"gid_b2b")</f>
        <v>gid_b2b</v>
      </c>
      <c r="B2" s="257" t="str">
        <f>IFERROR(__xludf.DUMMYFUNCTION("""COMPUTED_VALUE"""),"Globe ID")</f>
        <v>Globe ID</v>
      </c>
      <c r="C2" s="258" t="str">
        <f>IFERROR(__xludf.DUMMYFUNCTION("""COMPUTED_VALUE"""),"Globe ID inferred from business-to-business (B2B) model")</f>
        <v>Globe ID inferred from business-to-business (B2B) model</v>
      </c>
      <c r="D2" s="257" t="str">
        <f>IFERROR(__xludf.DUMMYFUNCTION("""COMPUTED_VALUE"""),"Direct Pull")</f>
        <v>Direct Pull</v>
      </c>
      <c r="E2" s="257" t="str">
        <f>IFERROR(__xludf.DUMMYFUNCTION("""COMPUTED_VALUE"""),"string")</f>
        <v>string</v>
      </c>
      <c r="F2" s="257" t="str">
        <f>IFERROR(__xludf.DUMMYFUNCTION("""COMPUTED_VALUE"""),"c419160d-658c-4df2-b4a3-3793945f9b49")</f>
        <v>c419160d-658c-4df2-b4a3-3793945f9b49</v>
      </c>
      <c r="G2" s="258" t="str">
        <f>IFERROR(__xludf.DUMMYFUNCTION("""COMPUTED_VALUE"""),"CSSG-CDA")</f>
        <v>CSSG-CDA</v>
      </c>
      <c r="H2" s="258" t="str">
        <f>IFERROR(__xludf.DUMMYFUNCTION("""COMPUTED_VALUE"""),"EDO-DG")</f>
        <v>EDO-DG</v>
      </c>
      <c r="I2" s="258" t="str">
        <f>IFERROR(__xludf.DUMMYFUNCTION("""COMPUTED_VALUE"""),"B2B")</f>
        <v>B2B</v>
      </c>
      <c r="J2" s="258" t="str">
        <f>IFERROR(__xludf.DUMMYFUNCTION("""COMPUTED_VALUE"""),"Monthly")</f>
        <v>Monthly</v>
      </c>
      <c r="K2" s="258" t="str">
        <f>IFERROR(__xludf.DUMMYFUNCTION("""COMPUTED_VALUE"""),"NA - SCV View")</f>
        <v>NA - SCV View</v>
      </c>
      <c r="L2" s="258" t="str">
        <f>IFERROR(__xludf.DUMMYFUNCTION("""COMPUTED_VALUE"""),"EG
SG")</f>
        <v>EG
SG</v>
      </c>
      <c r="M2" s="258" t="str">
        <f>IFERROR(__xludf.DUMMYFUNCTION("""COMPUTED_VALUE"""),"customer")</f>
        <v>customer</v>
      </c>
      <c r="N2" s="258" t="str">
        <f>IFERROR(__xludf.DUMMYFUNCTION("""COMPUTED_VALUE"""),"scv_b2b_customer_profile")</f>
        <v>scv_b2b_customer_profile</v>
      </c>
    </row>
    <row r="3" ht="225.0" customHeight="1">
      <c r="A3" s="257" t="str">
        <f>IFERROR(__xludf.DUMMYFUNCTION("""COMPUTED_VALUE"""),"subscriber_id")</f>
        <v>subscriber_id</v>
      </c>
      <c r="B3" s="257" t="str">
        <f>IFERROR(__xludf.DUMMYFUNCTION("""COMPUTED_VALUE"""),"Globe ID")</f>
        <v>Globe ID</v>
      </c>
      <c r="C3" s="258" t="str">
        <f>IFERROR(__xludf.DUMMYFUNCTION("""COMPUTED_VALUE"""),"Unique subscriber identifier")</f>
        <v>Unique subscriber identifier</v>
      </c>
      <c r="D3" s="257" t="str">
        <f>IFERROR(__xludf.DUMMYFUNCTION("""COMPUTED_VALUE"""),"Direct Pull")</f>
        <v>Direct Pull</v>
      </c>
      <c r="E3" s="257" t="str">
        <f>IFERROR(__xludf.DUMMYFUNCTION("""COMPUTED_VALUE"""),"varchar(1000)")</f>
        <v>varchar(1000)</v>
      </c>
      <c r="F3" s="257">
        <f>IFERROR(__xludf.DUMMYFUNCTION("""COMPUTED_VALUE"""),5496688.0)</f>
        <v>5496688</v>
      </c>
      <c r="G3" s="258" t="str">
        <f>IFERROR(__xludf.DUMMYFUNCTION("""COMPUTED_VALUE"""),"EDO-UUP")</f>
        <v>EDO-UUP</v>
      </c>
      <c r="H3" s="258" t="str">
        <f>IFERROR(__xludf.DUMMYFUNCTION("""COMPUTED_VALUE"""),"DPA")</f>
        <v>DPA</v>
      </c>
      <c r="I3" s="258" t="str">
        <f>IFERROR(__xludf.DUMMYFUNCTION("""COMPUTED_VALUE"""),"DPA")</f>
        <v>DPA</v>
      </c>
      <c r="J3" s="258" t="str">
        <f>IFERROR(__xludf.DUMMYFUNCTION("""COMPUTED_VALUE"""),"Daily")</f>
        <v>Daily</v>
      </c>
      <c r="K3" s="258" t="str">
        <f>IFERROR(__xludf.DUMMYFUNCTION("""COMPUTED_VALUE"""),"GHP, GHP-PREPAID, TM, PW, GOMO, WIRELINE, BAYAN, GLOBE")</f>
        <v>GHP, GHP-PREPAID, TM, PW, GOMO, WIRELINE, BAYAN, GLOBE</v>
      </c>
      <c r="L3" s="258" t="str">
        <f>IFERROR(__xludf.DUMMYFUNCTION("""COMPUTED_VALUE"""),"Consumer
EG
SG")</f>
        <v>Consumer
EG
SG</v>
      </c>
      <c r="M3" s="258" t="str">
        <f>IFERROR(__xludf.DUMMYFUNCTION("""COMPUTED_VALUE"""),"customer")</f>
        <v>customer</v>
      </c>
      <c r="N3" s="258" t="str">
        <f>IFERROR(__xludf.DUMMYFUNCTION("""COMPUTED_VALUE"""),"scv_b2b_customer_profile")</f>
        <v>scv_b2b_customer_profile</v>
      </c>
    </row>
    <row r="4">
      <c r="A4" s="257" t="str">
        <f>IFERROR(__xludf.DUMMYFUNCTION("""COMPUTED_VALUE"""),"msisdn_value")</f>
        <v>msisdn_value</v>
      </c>
      <c r="B4" s="257" t="str">
        <f>IFERROR(__xludf.DUMMYFUNCTION("""COMPUTED_VALUE"""),"Customer PII")</f>
        <v>Customer PII</v>
      </c>
      <c r="C4" s="258" t="str">
        <f>IFERROR(__xludf.DUMMYFUNCTION("""COMPUTED_VALUE"""),"Mobile number of the subscriber for wireless while for wireline it is the service ID/landline number")</f>
        <v>Mobile number of the subscriber for wireless while for wireline it is the service ID/landline number</v>
      </c>
      <c r="D4" s="257" t="str">
        <f>IFERROR(__xludf.DUMMYFUNCTION("""COMPUTED_VALUE"""),"Derived")</f>
        <v>Derived</v>
      </c>
      <c r="E4" s="257" t="str">
        <f>IFERROR(__xludf.DUMMYFUNCTION("""COMPUTED_VALUE"""),"varchar(1000)")</f>
        <v>varchar(1000)</v>
      </c>
      <c r="F4" s="257" t="str">
        <f>IFERROR(__xludf.DUMMYFUNCTION("""COMPUTED_VALUE"""),"9120000000")</f>
        <v>9120000000</v>
      </c>
      <c r="G4" s="258" t="str">
        <f>IFERROR(__xludf.DUMMYFUNCTION("""COMPUTED_VALUE"""),"NTG-CPEI")</f>
        <v>NTG-CPEI</v>
      </c>
      <c r="H4" s="258" t="str">
        <f>IFERROR(__xludf.DUMMYFUNCTION("""COMPUTED_VALUE"""),"DPA")</f>
        <v>DPA</v>
      </c>
      <c r="I4" s="258" t="str">
        <f>IFERROR(__xludf.DUMMYFUNCTION("""COMPUTED_VALUE"""),"DPA")</f>
        <v>DPA</v>
      </c>
      <c r="J4" s="258" t="str">
        <f>IFERROR(__xludf.DUMMYFUNCTION("""COMPUTED_VALUE"""),"Daily")</f>
        <v>Daily</v>
      </c>
      <c r="K4" s="258" t="str">
        <f>IFERROR(__xludf.DUMMYFUNCTION("""COMPUTED_VALUE"""),"GHP, GHP-PREPAID, TM, PW, GOMO, WIRELINE, BAYAN, GLOBE")</f>
        <v>GHP, GHP-PREPAID, TM, PW, GOMO, WIRELINE, BAYAN, GLOBE</v>
      </c>
      <c r="L4" s="258" t="str">
        <f>IFERROR(__xludf.DUMMYFUNCTION("""COMPUTED_VALUE"""),"Consumer, EG, SG, In house, IBG Traveler")</f>
        <v>Consumer, EG, SG, In house, IBG Traveler</v>
      </c>
      <c r="M4" s="258" t="str">
        <f>IFERROR(__xludf.DUMMYFUNCTION("""COMPUTED_VALUE"""),"customer")</f>
        <v>customer</v>
      </c>
      <c r="N4" s="258" t="str">
        <f>IFERROR(__xludf.DUMMYFUNCTION("""COMPUTED_VALUE"""),"scv_b2c_customer_profile")</f>
        <v>scv_b2c_customer_profile</v>
      </c>
    </row>
    <row r="5">
      <c r="A5" s="257" t="str">
        <f>IFERROR(__xludf.DUMMYFUNCTION("""COMPUTED_VALUE"""),"financial_account_id")</f>
        <v>financial_account_id</v>
      </c>
      <c r="B5" s="257" t="str">
        <f>IFERROR(__xludf.DUMMYFUNCTION("""COMPUTED_VALUE"""),"Globe ID")</f>
        <v>Globe ID</v>
      </c>
      <c r="C5" s="258" t="str">
        <f>IFERROR(__xludf.DUMMYFUNCTION("""COMPUTED_VALUE"""),"The unique identifier of the financial account of the subscriber")</f>
        <v>The unique identifier of the financial account of the subscriber</v>
      </c>
      <c r="D5" s="257" t="str">
        <f>IFERROR(__xludf.DUMMYFUNCTION("""COMPUTED_VALUE"""),"Direct Pull")</f>
        <v>Direct Pull</v>
      </c>
      <c r="E5" s="257" t="str">
        <f>IFERROR(__xludf.DUMMYFUNCTION("""COMPUTED_VALUE"""),"integer")</f>
        <v>integer</v>
      </c>
      <c r="F5" s="257">
        <f>IFERROR(__xludf.DUMMYFUNCTION("""COMPUTED_VALUE"""),15.0)</f>
        <v>15</v>
      </c>
      <c r="G5" s="258" t="str">
        <f>IFERROR(__xludf.DUMMYFUNCTION("""COMPUTED_VALUE"""),"FVT CRM BB Postpaid")</f>
        <v>FVT CRM BB Postpaid</v>
      </c>
      <c r="H5" s="258" t="str">
        <f>IFERROR(__xludf.DUMMYFUNCTION("""COMPUTED_VALUE"""),"FVT CRM BB Postpaid")</f>
        <v>FVT CRM BB Postpaid</v>
      </c>
      <c r="I5" s="258" t="str">
        <f>IFERROR(__xludf.DUMMYFUNCTION("""COMPUTED_VALUE"""),"FVT CRM BB Postpaid")</f>
        <v>FVT CRM BB Postpaid</v>
      </c>
      <c r="J5" s="258" t="str">
        <f>IFERROR(__xludf.DUMMYFUNCTION("""COMPUTED_VALUE"""),"Daily")</f>
        <v>Daily</v>
      </c>
      <c r="K5" s="258" t="str">
        <f>IFERROR(__xludf.DUMMYFUNCTION("""COMPUTED_VALUE"""),"GHP, WIRELINE, BAYAN, GLOBE")</f>
        <v>GHP, WIRELINE, BAYAN, GLOBE</v>
      </c>
      <c r="L5" s="258" t="str">
        <f>IFERROR(__xludf.DUMMYFUNCTION("""COMPUTED_VALUE"""),"Consumer, EG, SG, In house")</f>
        <v>Consumer, EG, SG, In house</v>
      </c>
      <c r="M5" s="258" t="str">
        <f>IFERROR(__xludf.DUMMYFUNCTION("""COMPUTED_VALUE"""),"customer")</f>
        <v>customer</v>
      </c>
      <c r="N5" s="258" t="str">
        <f>IFERROR(__xludf.DUMMYFUNCTION("""COMPUTED_VALUE"""),"scv_b2c_customer_profile")</f>
        <v>scv_b2c_customer_profile</v>
      </c>
    </row>
    <row r="6">
      <c r="A6" s="257" t="str">
        <f>IFERROR(__xludf.DUMMYFUNCTION("""COMPUTED_VALUE"""),"customer_final_name")</f>
        <v>customer_final_name</v>
      </c>
      <c r="B6" s="257" t="str">
        <f>IFERROR(__xludf.DUMMYFUNCTION("""COMPUTED_VALUE"""),"Globe ID")</f>
        <v>Globe ID</v>
      </c>
      <c r="C6" s="258" t="str">
        <f>IFERROR(__xludf.DUMMYFUNCTION("""COMPUTED_VALUE"""),"Refers to the final company name used to link the GBU files")</f>
        <v>Refers to the final company name used to link the GBU files</v>
      </c>
      <c r="D6" s="257" t="str">
        <f>IFERROR(__xludf.DUMMYFUNCTION("""COMPUTED_VALUE"""),"Direct Pull")</f>
        <v>Direct Pull</v>
      </c>
      <c r="E6" s="257" t="str">
        <f>IFERROR(__xludf.DUMMYFUNCTION("""COMPUTED_VALUE"""),"string")</f>
        <v>string</v>
      </c>
      <c r="F6" s="257" t="str">
        <f>IFERROR(__xludf.DUMMYFUNCTION("""COMPUTED_VALUE"""),"03 KING BAKER BAKESHOP")</f>
        <v>03 KING BAKER BAKESHOP</v>
      </c>
      <c r="G6" s="258" t="str">
        <f>IFERROR(__xludf.DUMMYFUNCTION("""COMPUTED_VALUE"""),"CSSG-CDA")</f>
        <v>CSSG-CDA</v>
      </c>
      <c r="H6" s="258" t="str">
        <f>IFERROR(__xludf.DUMMYFUNCTION("""COMPUTED_VALUE"""),"EDO-DG")</f>
        <v>EDO-DG</v>
      </c>
      <c r="I6" s="258" t="str">
        <f>IFERROR(__xludf.DUMMYFUNCTION("""COMPUTED_VALUE"""),"B2B")</f>
        <v>B2B</v>
      </c>
      <c r="J6" s="258" t="str">
        <f>IFERROR(__xludf.DUMMYFUNCTION("""COMPUTED_VALUE"""),"Monthly")</f>
        <v>Monthly</v>
      </c>
      <c r="K6" s="258" t="str">
        <f>IFERROR(__xludf.DUMMYFUNCTION("""COMPUTED_VALUE"""),"NA - SCV View")</f>
        <v>NA - SCV View</v>
      </c>
      <c r="L6" s="258" t="str">
        <f>IFERROR(__xludf.DUMMYFUNCTION("""COMPUTED_VALUE"""),"Consumer
EG
SG")</f>
        <v>Consumer
EG
SG</v>
      </c>
      <c r="M6" s="258" t="str">
        <f>IFERROR(__xludf.DUMMYFUNCTION("""COMPUTED_VALUE"""),"customer")</f>
        <v>customer</v>
      </c>
      <c r="N6" s="258" t="str">
        <f>IFERROR(__xludf.DUMMYFUNCTION("""COMPUTED_VALUE"""),"scv_b2b_customer_profile")</f>
        <v>scv_b2b_customer_profile</v>
      </c>
    </row>
    <row r="7">
      <c r="A7" s="257" t="str">
        <f>IFERROR(__xludf.DUMMYFUNCTION("""COMPUTED_VALUE"""),"customer_facing_unit_type_description")</f>
        <v>customer_facing_unit_type_description</v>
      </c>
      <c r="B7" s="257" t="str">
        <f>IFERROR(__xludf.DUMMYFUNCTION("""COMPUTED_VALUE"""),"Demographic/Affluence")</f>
        <v>Demographic/Affluence</v>
      </c>
      <c r="C7" s="258" t="str">
        <f>IFERROR(__xludf.DUMMYFUNCTION("""COMPUTED_VALUE"""),"The customer group in which the customer belongs to.")</f>
        <v>The customer group in which the customer belongs to.</v>
      </c>
      <c r="D7" s="257" t="str">
        <f>IFERROR(__xludf.DUMMYFUNCTION("""COMPUTED_VALUE"""),"Direct Pull")</f>
        <v>Direct Pull</v>
      </c>
      <c r="E7" s="257" t="str">
        <f>IFERROR(__xludf.DUMMYFUNCTION("""COMPUTED_VALUE"""),"string")</f>
        <v>string</v>
      </c>
      <c r="F7" s="257" t="str">
        <f>IFERROR(__xludf.DUMMYFUNCTION("""COMPUTED_VALUE"""),"SG")</f>
        <v>SG</v>
      </c>
      <c r="G7" s="258" t="str">
        <f>IFERROR(__xludf.DUMMYFUNCTION("""COMPUTED_VALUE"""),"CSSG-CDA")</f>
        <v>CSSG-CDA</v>
      </c>
      <c r="H7" s="258" t="str">
        <f>IFERROR(__xludf.DUMMYFUNCTION("""COMPUTED_VALUE"""),"EDO-DG")</f>
        <v>EDO-DG</v>
      </c>
      <c r="I7" s="258" t="str">
        <f>IFERROR(__xludf.DUMMYFUNCTION("""COMPUTED_VALUE"""),"B2B")</f>
        <v>B2B</v>
      </c>
      <c r="J7" s="258" t="str">
        <f>IFERROR(__xludf.DUMMYFUNCTION("""COMPUTED_VALUE"""),"Monthly")</f>
        <v>Monthly</v>
      </c>
      <c r="K7" s="258" t="str">
        <f>IFERROR(__xludf.DUMMYFUNCTION("""COMPUTED_VALUE"""),"NA - SCV View")</f>
        <v>NA - SCV View</v>
      </c>
      <c r="L7" s="258" t="str">
        <f>IFERROR(__xludf.DUMMYFUNCTION("""COMPUTED_VALUE"""),"Consumer
EG
SG")</f>
        <v>Consumer
EG
SG</v>
      </c>
      <c r="M7" s="258" t="str">
        <f>IFERROR(__xludf.DUMMYFUNCTION("""COMPUTED_VALUE"""),"customer")</f>
        <v>customer</v>
      </c>
      <c r="N7" s="258" t="str">
        <f>IFERROR(__xludf.DUMMYFUNCTION("""COMPUTED_VALUE"""),"scv_b2b_customer_profile")</f>
        <v>scv_b2b_customer_profile</v>
      </c>
    </row>
    <row r="8">
      <c r="A8" s="257" t="str">
        <f>IFERROR(__xludf.DUMMYFUNCTION("""COMPUTED_VALUE"""),"globe_business_universe_id")</f>
        <v>globe_business_universe_id</v>
      </c>
      <c r="B8" s="257" t="str">
        <f>IFERROR(__xludf.DUMMYFUNCTION("""COMPUTED_VALUE"""),"Globe ID")</f>
        <v>Globe ID</v>
      </c>
      <c r="C8" s="258" t="str">
        <f>IFERROR(__xludf.DUMMYFUNCTION("""COMPUTED_VALUE"""),"Manually assigned code of GBU Admin that serves as the unique code of all GBU accounts.")</f>
        <v>Manually assigned code of GBU Admin that serves as the unique code of all GBU accounts.</v>
      </c>
      <c r="D8" s="257" t="str">
        <f>IFERROR(__xludf.DUMMYFUNCTION("""COMPUTED_VALUE"""),"Direct Pull")</f>
        <v>Direct Pull</v>
      </c>
      <c r="E8" s="257" t="str">
        <f>IFERROR(__xludf.DUMMYFUNCTION("""COMPUTED_VALUE"""),"string")</f>
        <v>string</v>
      </c>
      <c r="F8" s="257">
        <f>IFERROR(__xludf.DUMMYFUNCTION("""COMPUTED_VALUE"""),1.0000006E7)</f>
        <v>10000006</v>
      </c>
      <c r="G8" s="258" t="str">
        <f>IFERROR(__xludf.DUMMYFUNCTION("""COMPUTED_VALUE"""),"CSSG-CDA")</f>
        <v>CSSG-CDA</v>
      </c>
      <c r="H8" s="258" t="str">
        <f>IFERROR(__xludf.DUMMYFUNCTION("""COMPUTED_VALUE"""),"EDO-DG")</f>
        <v>EDO-DG</v>
      </c>
      <c r="I8" s="258" t="str">
        <f>IFERROR(__xludf.DUMMYFUNCTION("""COMPUTED_VALUE"""),"B2B")</f>
        <v>B2B</v>
      </c>
      <c r="J8" s="258" t="str">
        <f>IFERROR(__xludf.DUMMYFUNCTION("""COMPUTED_VALUE"""),"Monthly")</f>
        <v>Monthly</v>
      </c>
      <c r="K8" s="258" t="str">
        <f>IFERROR(__xludf.DUMMYFUNCTION("""COMPUTED_VALUE"""),"NA - SCV View")</f>
        <v>NA - SCV View</v>
      </c>
      <c r="L8" s="258" t="str">
        <f>IFERROR(__xludf.DUMMYFUNCTION("""COMPUTED_VALUE"""),"Consumer
EG
SG")</f>
        <v>Consumer
EG
SG</v>
      </c>
      <c r="M8" s="258" t="str">
        <f>IFERROR(__xludf.DUMMYFUNCTION("""COMPUTED_VALUE"""),"customer")</f>
        <v>customer</v>
      </c>
      <c r="N8" s="258" t="str">
        <f>IFERROR(__xludf.DUMMYFUNCTION("""COMPUTED_VALUE"""),"scv_b2b_customer_profile")</f>
        <v>scv_b2b_customer_profile</v>
      </c>
    </row>
    <row r="9">
      <c r="A9" s="257"/>
      <c r="B9" s="257"/>
      <c r="C9" s="258"/>
      <c r="D9" s="257"/>
      <c r="E9" s="257"/>
      <c r="F9" s="257"/>
      <c r="G9" s="258"/>
      <c r="H9" s="258"/>
      <c r="I9" s="258"/>
      <c r="J9" s="258"/>
      <c r="K9" s="258"/>
      <c r="L9" s="258"/>
      <c r="M9" s="258"/>
      <c r="N9" s="258"/>
    </row>
    <row r="10">
      <c r="A10" s="257"/>
      <c r="B10" s="257"/>
      <c r="C10" s="258"/>
      <c r="D10" s="257"/>
      <c r="E10" s="257"/>
      <c r="F10" s="257"/>
      <c r="G10" s="258"/>
      <c r="H10" s="258"/>
      <c r="I10" s="258"/>
      <c r="J10" s="258"/>
      <c r="K10" s="258"/>
      <c r="L10" s="258"/>
      <c r="M10" s="258"/>
      <c r="N10" s="258"/>
    </row>
    <row r="11">
      <c r="A11" s="257"/>
      <c r="B11" s="257"/>
      <c r="C11" s="258"/>
      <c r="D11" s="257"/>
      <c r="E11" s="257"/>
      <c r="F11" s="257"/>
      <c r="G11" s="258"/>
      <c r="H11" s="258"/>
      <c r="I11" s="258"/>
      <c r="J11" s="258"/>
      <c r="K11" s="258"/>
      <c r="L11" s="258"/>
      <c r="M11" s="258"/>
      <c r="N11" s="258"/>
    </row>
    <row r="12">
      <c r="A12" s="257"/>
      <c r="B12" s="257"/>
      <c r="C12" s="258"/>
      <c r="D12" s="257"/>
      <c r="E12" s="257"/>
      <c r="F12" s="257"/>
      <c r="G12" s="258"/>
      <c r="H12" s="258"/>
      <c r="I12" s="258"/>
      <c r="J12" s="258"/>
      <c r="K12" s="258"/>
      <c r="L12" s="258"/>
      <c r="M12" s="258"/>
      <c r="N12" s="258"/>
    </row>
    <row r="13">
      <c r="A13" s="257"/>
      <c r="B13" s="257"/>
      <c r="C13" s="258"/>
      <c r="D13" s="257"/>
      <c r="E13" s="257"/>
      <c r="F13" s="257"/>
      <c r="G13" s="258"/>
      <c r="H13" s="258"/>
      <c r="I13" s="258"/>
      <c r="J13" s="258"/>
      <c r="K13" s="258"/>
      <c r="L13" s="258"/>
      <c r="M13" s="258"/>
      <c r="N13" s="258"/>
    </row>
    <row r="14">
      <c r="A14" s="257"/>
      <c r="B14" s="257"/>
      <c r="C14" s="258"/>
      <c r="D14" s="257"/>
      <c r="E14" s="257"/>
      <c r="F14" s="257"/>
      <c r="G14" s="258"/>
      <c r="H14" s="258"/>
      <c r="I14" s="258"/>
      <c r="J14" s="258"/>
      <c r="K14" s="258"/>
      <c r="L14" s="258"/>
      <c r="M14" s="258"/>
      <c r="N14" s="258"/>
    </row>
    <row r="15">
      <c r="A15" s="257"/>
      <c r="B15" s="257"/>
      <c r="C15" s="258"/>
      <c r="D15" s="257"/>
      <c r="E15" s="257"/>
      <c r="F15" s="257"/>
      <c r="G15" s="258"/>
      <c r="H15" s="258"/>
      <c r="I15" s="258"/>
      <c r="J15" s="258"/>
      <c r="K15" s="258"/>
      <c r="L15" s="258"/>
      <c r="M15" s="258"/>
      <c r="N15" s="258"/>
    </row>
    <row r="16">
      <c r="A16" s="257"/>
      <c r="B16" s="257"/>
      <c r="C16" s="258"/>
      <c r="D16" s="257"/>
      <c r="E16" s="257"/>
      <c r="F16" s="257"/>
      <c r="G16" s="258"/>
      <c r="H16" s="258"/>
      <c r="I16" s="258"/>
      <c r="J16" s="258"/>
      <c r="K16" s="258"/>
      <c r="L16" s="258"/>
      <c r="M16" s="258"/>
      <c r="N16" s="258"/>
    </row>
    <row r="17">
      <c r="A17" s="257"/>
      <c r="B17" s="257"/>
      <c r="C17" s="258"/>
      <c r="D17" s="257"/>
      <c r="E17" s="257"/>
      <c r="F17" s="257"/>
      <c r="G17" s="258"/>
      <c r="H17" s="258"/>
      <c r="I17" s="258"/>
      <c r="J17" s="258"/>
      <c r="K17" s="258"/>
      <c r="L17" s="258"/>
      <c r="M17" s="258"/>
      <c r="N17" s="258"/>
    </row>
    <row r="18">
      <c r="A18" s="257"/>
      <c r="B18" s="257"/>
      <c r="C18" s="258"/>
      <c r="D18" s="257"/>
      <c r="E18" s="257"/>
      <c r="F18" s="257"/>
      <c r="G18" s="258"/>
      <c r="H18" s="258"/>
      <c r="I18" s="258"/>
      <c r="J18" s="258"/>
      <c r="K18" s="258"/>
      <c r="L18" s="258"/>
      <c r="M18" s="258"/>
      <c r="N18" s="258"/>
    </row>
    <row r="19">
      <c r="A19" s="257"/>
      <c r="B19" s="257"/>
      <c r="C19" s="258"/>
      <c r="D19" s="257"/>
      <c r="E19" s="257"/>
      <c r="F19" s="257"/>
      <c r="G19" s="258"/>
      <c r="H19" s="258"/>
      <c r="I19" s="258"/>
      <c r="J19" s="258"/>
      <c r="K19" s="258"/>
      <c r="L19" s="258"/>
      <c r="M19" s="258"/>
      <c r="N19" s="258"/>
    </row>
    <row r="20">
      <c r="A20" s="257"/>
      <c r="B20" s="257"/>
      <c r="C20" s="258"/>
      <c r="D20" s="257"/>
      <c r="E20" s="257"/>
      <c r="F20" s="257"/>
      <c r="G20" s="258"/>
      <c r="H20" s="258"/>
      <c r="I20" s="258"/>
      <c r="J20" s="258"/>
      <c r="K20" s="258"/>
      <c r="L20" s="258"/>
      <c r="M20" s="258"/>
      <c r="N20" s="258"/>
    </row>
    <row r="21">
      <c r="A21" s="257"/>
      <c r="B21" s="257"/>
      <c r="C21" s="258"/>
      <c r="D21" s="257"/>
      <c r="E21" s="257"/>
      <c r="F21" s="257"/>
      <c r="G21" s="258"/>
      <c r="H21" s="258"/>
      <c r="I21" s="258"/>
      <c r="J21" s="258"/>
      <c r="K21" s="258"/>
      <c r="L21" s="258"/>
      <c r="M21" s="258"/>
      <c r="N21" s="258"/>
    </row>
    <row r="22">
      <c r="A22" s="257"/>
      <c r="B22" s="257"/>
      <c r="C22" s="258"/>
      <c r="D22" s="257"/>
      <c r="E22" s="257"/>
      <c r="F22" s="257"/>
      <c r="G22" s="258"/>
      <c r="H22" s="258"/>
      <c r="I22" s="258"/>
      <c r="J22" s="258"/>
      <c r="K22" s="258"/>
      <c r="L22" s="258"/>
      <c r="M22" s="258"/>
      <c r="N22" s="258"/>
    </row>
    <row r="23">
      <c r="A23" s="257"/>
      <c r="B23" s="257"/>
      <c r="C23" s="258"/>
      <c r="D23" s="257"/>
      <c r="E23" s="257"/>
      <c r="F23" s="257"/>
      <c r="G23" s="258"/>
      <c r="H23" s="258"/>
      <c r="I23" s="258"/>
      <c r="J23" s="258"/>
      <c r="K23" s="258"/>
      <c r="L23" s="258"/>
      <c r="M23" s="258"/>
      <c r="N23" s="258"/>
    </row>
    <row r="24">
      <c r="A24" s="257"/>
      <c r="B24" s="257"/>
      <c r="C24" s="258"/>
      <c r="D24" s="257"/>
      <c r="E24" s="257"/>
      <c r="F24" s="257"/>
      <c r="G24" s="258"/>
      <c r="H24" s="258"/>
      <c r="I24" s="258"/>
      <c r="J24" s="258"/>
      <c r="K24" s="258"/>
      <c r="L24" s="258"/>
      <c r="M24" s="258"/>
      <c r="N24" s="258"/>
    </row>
    <row r="25">
      <c r="A25" s="257"/>
      <c r="B25" s="257"/>
      <c r="C25" s="258"/>
      <c r="D25" s="257"/>
      <c r="E25" s="257"/>
      <c r="F25" s="257"/>
      <c r="G25" s="258"/>
      <c r="H25" s="258"/>
      <c r="I25" s="258"/>
      <c r="J25" s="258"/>
      <c r="K25" s="258"/>
      <c r="L25" s="258"/>
      <c r="M25" s="258"/>
      <c r="N25" s="258"/>
    </row>
    <row r="26">
      <c r="A26" s="257"/>
      <c r="B26" s="257"/>
      <c r="C26" s="258"/>
      <c r="D26" s="257"/>
      <c r="E26" s="257"/>
      <c r="F26" s="257"/>
      <c r="G26" s="258"/>
      <c r="H26" s="258"/>
      <c r="I26" s="258"/>
      <c r="J26" s="258"/>
      <c r="K26" s="258"/>
      <c r="L26" s="258"/>
      <c r="M26" s="258"/>
      <c r="N26" s="258"/>
    </row>
    <row r="27">
      <c r="A27" s="257"/>
      <c r="B27" s="257"/>
      <c r="C27" s="258"/>
      <c r="D27" s="257"/>
      <c r="E27" s="257"/>
      <c r="F27" s="257"/>
      <c r="G27" s="258"/>
      <c r="H27" s="258"/>
      <c r="I27" s="258"/>
      <c r="J27" s="258"/>
      <c r="K27" s="258"/>
      <c r="L27" s="258"/>
      <c r="M27" s="258"/>
      <c r="N27" s="258"/>
    </row>
    <row r="28">
      <c r="A28" s="257"/>
      <c r="B28" s="257"/>
      <c r="C28" s="258"/>
      <c r="D28" s="257"/>
      <c r="E28" s="257"/>
      <c r="F28" s="257"/>
      <c r="G28" s="258"/>
      <c r="H28" s="258"/>
      <c r="I28" s="258"/>
      <c r="J28" s="258"/>
      <c r="K28" s="258"/>
      <c r="L28" s="258"/>
      <c r="M28" s="258"/>
      <c r="N28" s="258"/>
    </row>
    <row r="29">
      <c r="A29" s="257"/>
      <c r="B29" s="257"/>
      <c r="C29" s="258"/>
      <c r="D29" s="257"/>
      <c r="E29" s="257"/>
      <c r="F29" s="257"/>
      <c r="G29" s="258"/>
      <c r="H29" s="258"/>
      <c r="I29" s="258"/>
      <c r="J29" s="258"/>
      <c r="K29" s="258"/>
      <c r="L29" s="258"/>
      <c r="M29" s="258"/>
      <c r="N29" s="258"/>
    </row>
    <row r="30">
      <c r="A30" s="257"/>
      <c r="B30" s="257"/>
      <c r="C30" s="258"/>
      <c r="D30" s="257"/>
      <c r="E30" s="257"/>
      <c r="F30" s="257"/>
      <c r="G30" s="258"/>
      <c r="H30" s="258"/>
      <c r="I30" s="258"/>
      <c r="J30" s="258"/>
      <c r="K30" s="258"/>
      <c r="L30" s="258"/>
      <c r="M30" s="258"/>
      <c r="N30" s="258"/>
    </row>
    <row r="31">
      <c r="A31" s="257"/>
      <c r="B31" s="257"/>
      <c r="C31" s="258"/>
      <c r="D31" s="257"/>
      <c r="E31" s="257"/>
      <c r="F31" s="257"/>
      <c r="G31" s="258"/>
      <c r="H31" s="258"/>
      <c r="I31" s="258"/>
      <c r="J31" s="258"/>
      <c r="K31" s="258"/>
      <c r="L31" s="258"/>
      <c r="M31" s="258"/>
      <c r="N31" s="258"/>
    </row>
    <row r="32">
      <c r="A32" s="257"/>
      <c r="B32" s="257"/>
      <c r="C32" s="258"/>
      <c r="D32" s="257"/>
      <c r="E32" s="257"/>
      <c r="F32" s="257"/>
      <c r="G32" s="258"/>
      <c r="H32" s="258"/>
      <c r="I32" s="258"/>
      <c r="J32" s="258"/>
      <c r="K32" s="258"/>
      <c r="L32" s="258"/>
      <c r="M32" s="258"/>
      <c r="N32" s="258"/>
    </row>
    <row r="33">
      <c r="A33" s="257"/>
      <c r="B33" s="257"/>
      <c r="C33" s="258"/>
      <c r="D33" s="257"/>
      <c r="E33" s="257"/>
      <c r="F33" s="257"/>
      <c r="G33" s="258"/>
      <c r="H33" s="258"/>
      <c r="I33" s="258"/>
      <c r="J33" s="258"/>
      <c r="K33" s="258"/>
      <c r="L33" s="258"/>
      <c r="M33" s="258"/>
      <c r="N33" s="258"/>
    </row>
    <row r="34">
      <c r="A34" s="257"/>
      <c r="B34" s="257"/>
      <c r="C34" s="258"/>
      <c r="D34" s="257"/>
      <c r="E34" s="257"/>
      <c r="F34" s="257"/>
      <c r="G34" s="258"/>
      <c r="H34" s="258"/>
      <c r="I34" s="258"/>
      <c r="J34" s="258"/>
      <c r="K34" s="258"/>
      <c r="L34" s="258"/>
      <c r="M34" s="258"/>
      <c r="N34" s="258"/>
    </row>
    <row r="35">
      <c r="A35" s="257"/>
      <c r="B35" s="257"/>
      <c r="C35" s="258"/>
      <c r="D35" s="257"/>
      <c r="E35" s="257"/>
      <c r="F35" s="257"/>
      <c r="G35" s="258"/>
      <c r="H35" s="258"/>
      <c r="I35" s="258"/>
      <c r="J35" s="258"/>
      <c r="K35" s="258"/>
      <c r="L35" s="258"/>
      <c r="M35" s="258"/>
      <c r="N35" s="258"/>
    </row>
    <row r="36">
      <c r="A36" s="257"/>
      <c r="B36" s="257"/>
      <c r="C36" s="258"/>
      <c r="D36" s="257"/>
      <c r="E36" s="257"/>
      <c r="F36" s="257"/>
      <c r="G36" s="258"/>
      <c r="H36" s="258"/>
      <c r="I36" s="258"/>
      <c r="J36" s="258"/>
      <c r="K36" s="258"/>
      <c r="L36" s="258"/>
      <c r="M36" s="258"/>
      <c r="N36" s="258"/>
    </row>
    <row r="37">
      <c r="A37" s="257"/>
      <c r="B37" s="257"/>
      <c r="C37" s="258"/>
      <c r="D37" s="257"/>
      <c r="E37" s="257"/>
      <c r="F37" s="257"/>
      <c r="G37" s="258"/>
      <c r="H37" s="258"/>
      <c r="I37" s="258"/>
      <c r="J37" s="258"/>
      <c r="K37" s="258"/>
      <c r="L37" s="258"/>
      <c r="M37" s="258"/>
      <c r="N37" s="258"/>
    </row>
    <row r="38">
      <c r="A38" s="257"/>
      <c r="B38" s="257"/>
      <c r="C38" s="258"/>
      <c r="D38" s="257"/>
      <c r="E38" s="257"/>
      <c r="F38" s="257"/>
      <c r="G38" s="258"/>
      <c r="H38" s="258"/>
      <c r="I38" s="258"/>
      <c r="J38" s="258"/>
      <c r="K38" s="258"/>
      <c r="L38" s="258"/>
      <c r="M38" s="258"/>
      <c r="N38" s="258"/>
    </row>
    <row r="39">
      <c r="A39" s="257"/>
      <c r="B39" s="257"/>
      <c r="C39" s="258"/>
      <c r="D39" s="257"/>
      <c r="E39" s="257"/>
      <c r="F39" s="257"/>
      <c r="G39" s="258"/>
      <c r="H39" s="258"/>
      <c r="I39" s="258"/>
      <c r="J39" s="258"/>
      <c r="K39" s="258"/>
      <c r="L39" s="258"/>
      <c r="M39" s="258"/>
      <c r="N39" s="258"/>
    </row>
    <row r="40">
      <c r="A40" s="257"/>
      <c r="B40" s="257"/>
      <c r="C40" s="258"/>
      <c r="D40" s="257"/>
      <c r="E40" s="257"/>
      <c r="F40" s="257"/>
      <c r="G40" s="258"/>
      <c r="H40" s="258"/>
      <c r="I40" s="258"/>
      <c r="J40" s="258"/>
      <c r="K40" s="258"/>
      <c r="L40" s="258"/>
      <c r="M40" s="258"/>
      <c r="N40" s="258"/>
    </row>
    <row r="41">
      <c r="A41" s="257"/>
      <c r="B41" s="257"/>
      <c r="C41" s="258"/>
      <c r="D41" s="257"/>
      <c r="E41" s="257"/>
      <c r="F41" s="257"/>
      <c r="G41" s="258"/>
      <c r="H41" s="258"/>
      <c r="I41" s="258"/>
      <c r="J41" s="258"/>
      <c r="K41" s="258"/>
      <c r="L41" s="258"/>
      <c r="M41" s="258"/>
      <c r="N41" s="258"/>
    </row>
    <row r="42">
      <c r="A42" s="257"/>
      <c r="B42" s="257"/>
      <c r="C42" s="258"/>
      <c r="D42" s="257"/>
      <c r="E42" s="257"/>
      <c r="F42" s="257"/>
      <c r="G42" s="258"/>
      <c r="H42" s="258"/>
      <c r="I42" s="258"/>
      <c r="J42" s="258"/>
      <c r="K42" s="258"/>
      <c r="L42" s="258"/>
      <c r="M42" s="258"/>
      <c r="N42" s="258"/>
    </row>
    <row r="43">
      <c r="A43" s="257"/>
      <c r="B43" s="257"/>
      <c r="C43" s="258"/>
      <c r="D43" s="257"/>
      <c r="E43" s="257"/>
      <c r="F43" s="257"/>
      <c r="G43" s="258"/>
      <c r="H43" s="258"/>
      <c r="I43" s="258"/>
      <c r="J43" s="258"/>
      <c r="K43" s="258"/>
      <c r="L43" s="258"/>
      <c r="M43" s="258"/>
      <c r="N43" s="258"/>
    </row>
    <row r="44">
      <c r="A44" s="257"/>
      <c r="B44" s="257"/>
      <c r="C44" s="258"/>
      <c r="D44" s="257"/>
      <c r="E44" s="257"/>
      <c r="F44" s="257"/>
      <c r="G44" s="258"/>
      <c r="H44" s="258"/>
      <c r="I44" s="258"/>
      <c r="J44" s="258"/>
      <c r="K44" s="258"/>
      <c r="L44" s="258"/>
      <c r="M44" s="258"/>
      <c r="N44" s="258"/>
    </row>
    <row r="45">
      <c r="A45" s="257"/>
      <c r="B45" s="257"/>
      <c r="C45" s="258"/>
      <c r="D45" s="257"/>
      <c r="E45" s="257"/>
      <c r="F45" s="257"/>
      <c r="G45" s="258"/>
      <c r="H45" s="258"/>
      <c r="I45" s="258"/>
      <c r="J45" s="258"/>
      <c r="K45" s="258"/>
      <c r="L45" s="258"/>
      <c r="M45" s="258"/>
      <c r="N45" s="258"/>
    </row>
    <row r="46">
      <c r="A46" s="257"/>
      <c r="B46" s="257"/>
      <c r="C46" s="258"/>
      <c r="D46" s="257"/>
      <c r="E46" s="257"/>
      <c r="F46" s="257"/>
      <c r="G46" s="258"/>
      <c r="H46" s="258"/>
      <c r="I46" s="258"/>
      <c r="J46" s="258"/>
      <c r="K46" s="258"/>
      <c r="L46" s="258"/>
      <c r="M46" s="258"/>
      <c r="N46" s="258"/>
    </row>
    <row r="47">
      <c r="A47" s="257"/>
      <c r="B47" s="257"/>
      <c r="C47" s="258"/>
      <c r="D47" s="257"/>
      <c r="E47" s="257"/>
      <c r="F47" s="257"/>
      <c r="G47" s="258"/>
      <c r="H47" s="258"/>
      <c r="I47" s="258"/>
      <c r="J47" s="258"/>
      <c r="K47" s="258"/>
      <c r="L47" s="258"/>
      <c r="M47" s="258"/>
      <c r="N47" s="258"/>
    </row>
    <row r="48">
      <c r="A48" s="257"/>
      <c r="B48" s="257"/>
      <c r="C48" s="258"/>
      <c r="D48" s="257"/>
      <c r="E48" s="257"/>
      <c r="F48" s="257"/>
      <c r="G48" s="258"/>
      <c r="H48" s="258"/>
      <c r="I48" s="258"/>
      <c r="J48" s="258"/>
      <c r="K48" s="258"/>
      <c r="L48" s="258"/>
      <c r="M48" s="258"/>
      <c r="N48" s="258"/>
    </row>
    <row r="49">
      <c r="A49" s="257"/>
      <c r="B49" s="257"/>
      <c r="C49" s="258"/>
      <c r="D49" s="257"/>
      <c r="E49" s="257"/>
      <c r="F49" s="257"/>
      <c r="G49" s="258"/>
      <c r="H49" s="258"/>
      <c r="I49" s="258"/>
      <c r="J49" s="258"/>
      <c r="K49" s="258"/>
      <c r="L49" s="258"/>
      <c r="M49" s="258"/>
      <c r="N49" s="258"/>
    </row>
    <row r="50">
      <c r="A50" s="257"/>
      <c r="B50" s="257"/>
      <c r="C50" s="258"/>
      <c r="D50" s="257"/>
      <c r="E50" s="257"/>
      <c r="F50" s="257"/>
      <c r="G50" s="258"/>
      <c r="H50" s="258"/>
      <c r="I50" s="258"/>
      <c r="J50" s="258"/>
      <c r="K50" s="258"/>
      <c r="L50" s="258"/>
      <c r="M50" s="258"/>
      <c r="N50" s="258"/>
    </row>
    <row r="51">
      <c r="A51" s="257"/>
      <c r="B51" s="257"/>
      <c r="C51" s="258"/>
      <c r="D51" s="257"/>
      <c r="E51" s="257"/>
      <c r="F51" s="257"/>
      <c r="G51" s="258"/>
      <c r="H51" s="258"/>
      <c r="I51" s="258"/>
      <c r="J51" s="258"/>
      <c r="K51" s="258"/>
      <c r="L51" s="258"/>
      <c r="M51" s="258"/>
      <c r="N51" s="258"/>
    </row>
    <row r="52">
      <c r="A52" s="257"/>
      <c r="B52" s="257"/>
      <c r="C52" s="258"/>
      <c r="D52" s="257"/>
      <c r="E52" s="257"/>
      <c r="F52" s="257"/>
      <c r="G52" s="258"/>
      <c r="H52" s="258"/>
      <c r="I52" s="258"/>
      <c r="J52" s="258"/>
      <c r="K52" s="258"/>
      <c r="L52" s="258"/>
      <c r="M52" s="258"/>
      <c r="N52" s="258"/>
    </row>
    <row r="53">
      <c r="A53" s="257"/>
      <c r="B53" s="257"/>
      <c r="C53" s="258"/>
      <c r="D53" s="257"/>
      <c r="E53" s="257"/>
      <c r="F53" s="257"/>
      <c r="G53" s="258"/>
      <c r="H53" s="258"/>
      <c r="I53" s="258"/>
      <c r="J53" s="258"/>
      <c r="K53" s="258"/>
      <c r="L53" s="258"/>
      <c r="M53" s="258"/>
      <c r="N53" s="258"/>
    </row>
    <row r="54">
      <c r="A54" s="257"/>
      <c r="B54" s="257"/>
      <c r="C54" s="258"/>
      <c r="D54" s="257"/>
      <c r="E54" s="257"/>
      <c r="F54" s="257"/>
      <c r="G54" s="258"/>
      <c r="H54" s="258"/>
      <c r="I54" s="258"/>
      <c r="J54" s="258"/>
      <c r="K54" s="258"/>
      <c r="L54" s="258"/>
      <c r="M54" s="258"/>
      <c r="N54" s="258"/>
    </row>
    <row r="55">
      <c r="A55" s="257"/>
      <c r="B55" s="257"/>
      <c r="C55" s="258"/>
      <c r="D55" s="257"/>
      <c r="E55" s="257"/>
      <c r="F55" s="257"/>
      <c r="G55" s="258"/>
      <c r="H55" s="258"/>
      <c r="I55" s="258"/>
      <c r="J55" s="258"/>
      <c r="K55" s="258"/>
      <c r="L55" s="258"/>
      <c r="M55" s="258"/>
      <c r="N55" s="258"/>
    </row>
    <row r="56">
      <c r="A56" s="257"/>
      <c r="B56" s="257"/>
      <c r="C56" s="258"/>
      <c r="D56" s="257"/>
      <c r="E56" s="257"/>
      <c r="F56" s="257"/>
      <c r="G56" s="258"/>
      <c r="H56" s="258"/>
      <c r="I56" s="258"/>
      <c r="J56" s="258"/>
      <c r="K56" s="258"/>
      <c r="L56" s="258"/>
      <c r="M56" s="258"/>
      <c r="N56" s="258"/>
    </row>
    <row r="57">
      <c r="A57" s="257"/>
      <c r="B57" s="257"/>
      <c r="C57" s="258"/>
      <c r="D57" s="257"/>
      <c r="E57" s="257"/>
      <c r="F57" s="257"/>
      <c r="G57" s="258"/>
      <c r="H57" s="258"/>
      <c r="I57" s="258"/>
      <c r="J57" s="258"/>
      <c r="K57" s="258"/>
      <c r="L57" s="258"/>
      <c r="M57" s="258"/>
      <c r="N57" s="258"/>
    </row>
    <row r="58">
      <c r="A58" s="257"/>
      <c r="B58" s="257"/>
      <c r="C58" s="258"/>
      <c r="D58" s="257"/>
      <c r="E58" s="257"/>
      <c r="F58" s="257"/>
      <c r="G58" s="258"/>
      <c r="H58" s="258"/>
      <c r="I58" s="258"/>
      <c r="J58" s="258"/>
      <c r="K58" s="258"/>
      <c r="L58" s="258"/>
      <c r="M58" s="258"/>
      <c r="N58" s="258"/>
    </row>
    <row r="59">
      <c r="A59" s="257"/>
      <c r="B59" s="257"/>
      <c r="C59" s="258"/>
      <c r="D59" s="257"/>
      <c r="E59" s="257"/>
      <c r="F59" s="257"/>
      <c r="G59" s="258"/>
      <c r="H59" s="258"/>
      <c r="I59" s="258"/>
      <c r="J59" s="258"/>
      <c r="K59" s="258"/>
      <c r="L59" s="258"/>
      <c r="M59" s="258"/>
      <c r="N59" s="258"/>
    </row>
    <row r="60">
      <c r="A60" s="257"/>
      <c r="B60" s="257"/>
      <c r="C60" s="258"/>
      <c r="D60" s="257"/>
      <c r="E60" s="257"/>
      <c r="F60" s="257"/>
      <c r="G60" s="258"/>
      <c r="H60" s="258"/>
      <c r="I60" s="258"/>
      <c r="J60" s="258"/>
      <c r="K60" s="258"/>
      <c r="L60" s="258"/>
      <c r="M60" s="258"/>
      <c r="N60" s="258"/>
    </row>
    <row r="61">
      <c r="A61" s="257"/>
      <c r="B61" s="257"/>
      <c r="C61" s="258"/>
      <c r="D61" s="257"/>
      <c r="E61" s="257"/>
      <c r="F61" s="257"/>
      <c r="G61" s="258"/>
      <c r="H61" s="258"/>
      <c r="I61" s="258"/>
      <c r="J61" s="258"/>
      <c r="K61" s="258"/>
      <c r="L61" s="258"/>
      <c r="M61" s="258"/>
      <c r="N61" s="258"/>
    </row>
    <row r="62">
      <c r="A62" s="257"/>
      <c r="B62" s="257"/>
      <c r="C62" s="258"/>
      <c r="D62" s="257"/>
      <c r="E62" s="257"/>
      <c r="F62" s="257"/>
      <c r="G62" s="258"/>
      <c r="H62" s="258"/>
      <c r="I62" s="258"/>
      <c r="J62" s="258"/>
      <c r="K62" s="258"/>
      <c r="L62" s="258"/>
      <c r="M62" s="258"/>
      <c r="N62" s="258"/>
    </row>
    <row r="63">
      <c r="A63" s="257"/>
      <c r="B63" s="257"/>
      <c r="C63" s="258"/>
      <c r="D63" s="257"/>
      <c r="E63" s="257"/>
      <c r="F63" s="257"/>
      <c r="G63" s="258"/>
      <c r="H63" s="258"/>
      <c r="I63" s="258"/>
      <c r="J63" s="258"/>
      <c r="K63" s="258"/>
      <c r="L63" s="258"/>
      <c r="M63" s="258"/>
      <c r="N63" s="258"/>
    </row>
    <row r="64">
      <c r="A64" s="257"/>
      <c r="B64" s="257"/>
      <c r="C64" s="258"/>
      <c r="D64" s="257"/>
      <c r="E64" s="257"/>
      <c r="F64" s="257"/>
      <c r="G64" s="258"/>
      <c r="H64" s="258"/>
      <c r="I64" s="258"/>
      <c r="J64" s="258"/>
      <c r="K64" s="258"/>
      <c r="L64" s="258"/>
      <c r="M64" s="258"/>
      <c r="N64" s="258"/>
    </row>
    <row r="65">
      <c r="A65" s="257"/>
      <c r="B65" s="257"/>
      <c r="C65" s="258"/>
      <c r="D65" s="257"/>
      <c r="E65" s="257"/>
      <c r="F65" s="257"/>
      <c r="G65" s="258"/>
      <c r="H65" s="258"/>
      <c r="I65" s="258"/>
      <c r="J65" s="258"/>
      <c r="K65" s="258"/>
      <c r="L65" s="258"/>
      <c r="M65" s="258"/>
      <c r="N65" s="258"/>
    </row>
    <row r="66">
      <c r="A66" s="257"/>
      <c r="B66" s="257"/>
      <c r="C66" s="258"/>
      <c r="D66" s="257"/>
      <c r="E66" s="257"/>
      <c r="F66" s="257"/>
      <c r="G66" s="258"/>
      <c r="H66" s="258"/>
      <c r="I66" s="258"/>
      <c r="J66" s="258"/>
      <c r="K66" s="258"/>
      <c r="L66" s="258"/>
      <c r="M66" s="258"/>
      <c r="N66" s="258"/>
    </row>
    <row r="67">
      <c r="A67" s="257"/>
      <c r="B67" s="257"/>
      <c r="C67" s="258"/>
      <c r="D67" s="257"/>
      <c r="E67" s="257"/>
      <c r="F67" s="257"/>
      <c r="G67" s="258"/>
      <c r="H67" s="258"/>
      <c r="I67" s="258"/>
      <c r="J67" s="258"/>
      <c r="K67" s="258"/>
      <c r="L67" s="258"/>
      <c r="M67" s="258"/>
      <c r="N67" s="258"/>
    </row>
    <row r="68">
      <c r="A68" s="257"/>
      <c r="B68" s="257"/>
      <c r="C68" s="258"/>
      <c r="D68" s="257"/>
      <c r="E68" s="257"/>
      <c r="F68" s="257"/>
      <c r="G68" s="258"/>
      <c r="H68" s="258"/>
      <c r="I68" s="258"/>
      <c r="J68" s="258"/>
      <c r="K68" s="258"/>
      <c r="L68" s="258"/>
      <c r="M68" s="258"/>
      <c r="N68" s="258"/>
    </row>
    <row r="69">
      <c r="A69" s="257"/>
      <c r="B69" s="257"/>
      <c r="C69" s="258"/>
      <c r="D69" s="257"/>
      <c r="E69" s="257"/>
      <c r="F69" s="257"/>
      <c r="G69" s="258"/>
      <c r="H69" s="258"/>
      <c r="I69" s="258"/>
      <c r="J69" s="258"/>
      <c r="K69" s="258"/>
      <c r="L69" s="258"/>
      <c r="M69" s="258"/>
      <c r="N69" s="258"/>
    </row>
    <row r="70">
      <c r="A70" s="257"/>
      <c r="B70" s="257"/>
      <c r="C70" s="258"/>
      <c r="D70" s="257"/>
      <c r="E70" s="257"/>
      <c r="F70" s="257"/>
      <c r="G70" s="258"/>
      <c r="H70" s="258"/>
      <c r="I70" s="258"/>
      <c r="J70" s="258"/>
      <c r="K70" s="258"/>
      <c r="L70" s="258"/>
      <c r="M70" s="258"/>
      <c r="N70" s="258"/>
    </row>
    <row r="71">
      <c r="A71" s="257"/>
      <c r="B71" s="257"/>
      <c r="C71" s="258"/>
      <c r="D71" s="257"/>
      <c r="E71" s="257"/>
      <c r="F71" s="257"/>
      <c r="G71" s="258"/>
      <c r="H71" s="258"/>
      <c r="I71" s="258"/>
      <c r="J71" s="258"/>
      <c r="K71" s="258"/>
      <c r="L71" s="258"/>
      <c r="M71" s="258"/>
      <c r="N71" s="258"/>
    </row>
    <row r="72">
      <c r="A72" s="257"/>
      <c r="B72" s="257"/>
      <c r="C72" s="258"/>
      <c r="D72" s="257"/>
      <c r="E72" s="257"/>
      <c r="F72" s="257"/>
      <c r="G72" s="258"/>
      <c r="H72" s="258"/>
      <c r="I72" s="258"/>
      <c r="J72" s="258"/>
      <c r="K72" s="258"/>
      <c r="L72" s="258"/>
      <c r="M72" s="258"/>
      <c r="N72" s="258"/>
    </row>
    <row r="73">
      <c r="A73" s="257"/>
      <c r="B73" s="257"/>
      <c r="C73" s="258"/>
      <c r="D73" s="257"/>
      <c r="E73" s="257"/>
      <c r="F73" s="257"/>
      <c r="G73" s="258"/>
      <c r="H73" s="258"/>
      <c r="I73" s="258"/>
      <c r="J73" s="258"/>
      <c r="K73" s="258"/>
      <c r="L73" s="258"/>
      <c r="M73" s="258"/>
      <c r="N73" s="258"/>
    </row>
    <row r="74">
      <c r="A74" s="257"/>
      <c r="B74" s="257"/>
      <c r="C74" s="258"/>
      <c r="D74" s="257"/>
      <c r="E74" s="257"/>
      <c r="F74" s="257"/>
      <c r="G74" s="258"/>
      <c r="H74" s="258"/>
      <c r="I74" s="258"/>
      <c r="J74" s="258"/>
      <c r="K74" s="258"/>
      <c r="L74" s="258"/>
      <c r="M74" s="258"/>
      <c r="N74" s="258"/>
    </row>
    <row r="75">
      <c r="A75" s="257"/>
      <c r="B75" s="257"/>
      <c r="C75" s="258"/>
      <c r="D75" s="257"/>
      <c r="E75" s="257"/>
      <c r="F75" s="257"/>
      <c r="G75" s="258"/>
      <c r="H75" s="258"/>
      <c r="I75" s="258"/>
      <c r="J75" s="258"/>
      <c r="K75" s="258"/>
      <c r="L75" s="258"/>
      <c r="M75" s="258"/>
      <c r="N75" s="258"/>
    </row>
    <row r="76">
      <c r="A76" s="257"/>
      <c r="B76" s="257"/>
      <c r="C76" s="258"/>
      <c r="D76" s="257"/>
      <c r="E76" s="257"/>
      <c r="F76" s="257"/>
      <c r="G76" s="258"/>
      <c r="H76" s="258"/>
      <c r="I76" s="258"/>
      <c r="J76" s="258"/>
      <c r="K76" s="258"/>
      <c r="L76" s="258"/>
      <c r="M76" s="258"/>
      <c r="N76" s="258"/>
    </row>
    <row r="77">
      <c r="A77" s="257"/>
      <c r="B77" s="257"/>
      <c r="C77" s="258"/>
      <c r="D77" s="257"/>
      <c r="E77" s="257"/>
      <c r="F77" s="257"/>
      <c r="G77" s="258"/>
      <c r="H77" s="258"/>
      <c r="I77" s="258"/>
      <c r="J77" s="258"/>
      <c r="K77" s="258"/>
      <c r="L77" s="258"/>
      <c r="M77" s="258"/>
      <c r="N77" s="258"/>
    </row>
    <row r="78">
      <c r="A78" s="257"/>
      <c r="B78" s="257"/>
      <c r="C78" s="258"/>
      <c r="D78" s="257"/>
      <c r="E78" s="257"/>
      <c r="F78" s="257"/>
      <c r="G78" s="258"/>
      <c r="H78" s="258"/>
      <c r="I78" s="258"/>
      <c r="J78" s="258"/>
      <c r="K78" s="258"/>
      <c r="L78" s="258"/>
      <c r="M78" s="258"/>
      <c r="N78" s="258"/>
    </row>
    <row r="79">
      <c r="A79" s="257"/>
      <c r="B79" s="257"/>
      <c r="C79" s="258"/>
      <c r="D79" s="257"/>
      <c r="E79" s="257"/>
      <c r="F79" s="257"/>
      <c r="G79" s="258"/>
      <c r="H79" s="258"/>
      <c r="I79" s="258"/>
      <c r="J79" s="258"/>
      <c r="K79" s="258"/>
      <c r="L79" s="258"/>
      <c r="M79" s="258"/>
      <c r="N79" s="258"/>
    </row>
    <row r="80">
      <c r="A80" s="257"/>
      <c r="B80" s="257"/>
      <c r="C80" s="258"/>
      <c r="D80" s="257"/>
      <c r="E80" s="257"/>
      <c r="F80" s="257"/>
      <c r="G80" s="258"/>
      <c r="H80" s="258"/>
      <c r="I80" s="258"/>
      <c r="J80" s="258"/>
      <c r="K80" s="258"/>
      <c r="L80" s="258"/>
      <c r="M80" s="258"/>
      <c r="N80" s="258"/>
    </row>
    <row r="81">
      <c r="A81" s="257"/>
      <c r="B81" s="257"/>
      <c r="C81" s="258"/>
      <c r="D81" s="257"/>
      <c r="E81" s="257"/>
      <c r="F81" s="257"/>
      <c r="G81" s="258"/>
      <c r="H81" s="258"/>
      <c r="I81" s="258"/>
      <c r="J81" s="258"/>
      <c r="K81" s="258"/>
      <c r="L81" s="258"/>
      <c r="M81" s="258"/>
      <c r="N81" s="258"/>
    </row>
    <row r="82">
      <c r="A82" s="257"/>
      <c r="B82" s="257"/>
      <c r="C82" s="258"/>
      <c r="D82" s="257"/>
      <c r="E82" s="257"/>
      <c r="F82" s="257"/>
      <c r="G82" s="258"/>
      <c r="H82" s="258"/>
      <c r="I82" s="258"/>
      <c r="J82" s="258"/>
      <c r="K82" s="258"/>
      <c r="L82" s="258"/>
      <c r="M82" s="258"/>
      <c r="N82" s="258"/>
    </row>
    <row r="83">
      <c r="A83" s="257"/>
      <c r="B83" s="257"/>
      <c r="C83" s="258"/>
      <c r="D83" s="257"/>
      <c r="E83" s="257"/>
      <c r="F83" s="257"/>
      <c r="G83" s="258"/>
      <c r="H83" s="258"/>
      <c r="I83" s="258"/>
      <c r="J83" s="258"/>
      <c r="K83" s="258"/>
      <c r="L83" s="258"/>
      <c r="M83" s="258"/>
      <c r="N83" s="258"/>
    </row>
    <row r="84">
      <c r="A84" s="257"/>
      <c r="B84" s="257"/>
      <c r="C84" s="258"/>
      <c r="D84" s="257"/>
      <c r="E84" s="257"/>
      <c r="F84" s="257"/>
      <c r="G84" s="258"/>
      <c r="H84" s="258"/>
      <c r="I84" s="258"/>
      <c r="J84" s="258"/>
      <c r="K84" s="258"/>
      <c r="L84" s="258"/>
      <c r="M84" s="258"/>
      <c r="N84" s="258"/>
    </row>
    <row r="85">
      <c r="A85" s="257"/>
      <c r="B85" s="257"/>
      <c r="C85" s="258"/>
      <c r="D85" s="257"/>
      <c r="E85" s="257"/>
      <c r="F85" s="257"/>
      <c r="G85" s="258"/>
      <c r="H85" s="258"/>
      <c r="I85" s="258"/>
      <c r="J85" s="258"/>
      <c r="K85" s="258"/>
      <c r="L85" s="258"/>
      <c r="M85" s="258"/>
      <c r="N85" s="258"/>
    </row>
    <row r="86" ht="225.0" customHeight="1">
      <c r="A86" s="257"/>
      <c r="B86" s="257"/>
      <c r="C86" s="258"/>
      <c r="D86" s="257"/>
      <c r="E86" s="257"/>
      <c r="F86" s="257"/>
      <c r="G86" s="258"/>
      <c r="H86" s="258"/>
      <c r="I86" s="258"/>
      <c r="J86" s="258"/>
      <c r="K86" s="258"/>
      <c r="L86" s="258"/>
      <c r="M86" s="258"/>
      <c r="N86" s="258"/>
    </row>
    <row r="87">
      <c r="A87" s="257"/>
      <c r="B87" s="257"/>
      <c r="C87" s="258"/>
      <c r="D87" s="257"/>
      <c r="E87" s="257"/>
      <c r="F87" s="257"/>
      <c r="G87" s="258"/>
      <c r="H87" s="258"/>
      <c r="I87" s="258"/>
      <c r="J87" s="258"/>
      <c r="K87" s="258"/>
      <c r="L87" s="258"/>
      <c r="M87" s="258"/>
      <c r="N87" s="258"/>
    </row>
    <row r="88">
      <c r="A88" s="257"/>
      <c r="B88" s="257"/>
      <c r="C88" s="258"/>
      <c r="D88" s="257"/>
      <c r="E88" s="257"/>
      <c r="F88" s="257"/>
      <c r="G88" s="258"/>
      <c r="H88" s="258"/>
      <c r="I88" s="258"/>
      <c r="J88" s="258"/>
      <c r="K88" s="258"/>
      <c r="L88" s="258"/>
      <c r="M88" s="258"/>
      <c r="N88" s="258"/>
    </row>
    <row r="89">
      <c r="A89" s="257"/>
      <c r="B89" s="257"/>
      <c r="C89" s="258"/>
      <c r="D89" s="257"/>
      <c r="E89" s="257"/>
      <c r="F89" s="257"/>
      <c r="G89" s="258"/>
      <c r="H89" s="258"/>
      <c r="I89" s="258"/>
      <c r="J89" s="258"/>
      <c r="K89" s="258"/>
      <c r="L89" s="258"/>
      <c r="M89" s="258"/>
      <c r="N89" s="258"/>
    </row>
    <row r="90">
      <c r="A90" s="257"/>
      <c r="B90" s="257"/>
      <c r="C90" s="258"/>
      <c r="D90" s="257"/>
      <c r="E90" s="257"/>
      <c r="F90" s="257"/>
      <c r="G90" s="258"/>
      <c r="H90" s="258"/>
      <c r="I90" s="258"/>
      <c r="J90" s="258"/>
      <c r="K90" s="258"/>
      <c r="L90" s="258"/>
      <c r="M90" s="258"/>
      <c r="N90" s="258"/>
    </row>
    <row r="91">
      <c r="A91" s="257"/>
      <c r="B91" s="257"/>
      <c r="C91" s="258"/>
      <c r="D91" s="257"/>
      <c r="E91" s="257"/>
      <c r="F91" s="257"/>
      <c r="G91" s="258"/>
      <c r="H91" s="258"/>
      <c r="I91" s="258"/>
      <c r="J91" s="258"/>
      <c r="K91" s="258"/>
      <c r="L91" s="258"/>
      <c r="M91" s="258"/>
      <c r="N91" s="258"/>
    </row>
    <row r="92">
      <c r="A92" s="257"/>
      <c r="B92" s="257"/>
      <c r="C92" s="258"/>
      <c r="D92" s="257"/>
      <c r="E92" s="257"/>
      <c r="F92" s="257"/>
      <c r="G92" s="258"/>
      <c r="H92" s="258"/>
      <c r="I92" s="258"/>
      <c r="J92" s="258"/>
      <c r="K92" s="258"/>
      <c r="L92" s="258"/>
      <c r="M92" s="258"/>
      <c r="N92" s="258"/>
    </row>
    <row r="93">
      <c r="A93" s="257"/>
      <c r="B93" s="257"/>
      <c r="C93" s="258"/>
      <c r="D93" s="257"/>
      <c r="E93" s="257"/>
      <c r="F93" s="257"/>
      <c r="G93" s="258"/>
      <c r="H93" s="258"/>
      <c r="I93" s="258"/>
      <c r="J93" s="258"/>
      <c r="K93" s="258"/>
      <c r="L93" s="258"/>
      <c r="M93" s="258"/>
      <c r="N93" s="258"/>
    </row>
    <row r="94">
      <c r="A94" s="257"/>
      <c r="B94" s="257"/>
      <c r="C94" s="258"/>
      <c r="D94" s="257"/>
      <c r="E94" s="257"/>
      <c r="F94" s="257"/>
      <c r="G94" s="258"/>
      <c r="H94" s="258"/>
      <c r="I94" s="258"/>
      <c r="J94" s="258"/>
      <c r="K94" s="258"/>
      <c r="L94" s="258"/>
      <c r="M94" s="258"/>
      <c r="N94" s="258"/>
    </row>
    <row r="95">
      <c r="A95" s="257"/>
      <c r="B95" s="257"/>
      <c r="C95" s="258"/>
      <c r="D95" s="257"/>
      <c r="E95" s="257"/>
      <c r="F95" s="257"/>
      <c r="G95" s="258"/>
      <c r="H95" s="258"/>
      <c r="I95" s="258"/>
      <c r="J95" s="258"/>
      <c r="K95" s="258"/>
      <c r="L95" s="258"/>
      <c r="M95" s="258"/>
      <c r="N95" s="258"/>
    </row>
    <row r="96">
      <c r="A96" s="257"/>
      <c r="B96" s="257"/>
      <c r="C96" s="258"/>
      <c r="D96" s="257"/>
      <c r="E96" s="257"/>
      <c r="F96" s="257"/>
      <c r="G96" s="258"/>
      <c r="H96" s="258"/>
      <c r="I96" s="258"/>
      <c r="J96" s="258"/>
      <c r="K96" s="258"/>
      <c r="L96" s="258"/>
      <c r="M96" s="258"/>
      <c r="N96" s="258"/>
    </row>
    <row r="97">
      <c r="A97" s="257"/>
      <c r="B97" s="257"/>
      <c r="C97" s="258"/>
      <c r="D97" s="257"/>
      <c r="E97" s="257"/>
      <c r="F97" s="257"/>
      <c r="G97" s="258"/>
      <c r="H97" s="258"/>
      <c r="I97" s="258"/>
      <c r="J97" s="258"/>
      <c r="K97" s="258"/>
      <c r="L97" s="258"/>
      <c r="M97" s="258"/>
      <c r="N97" s="258"/>
    </row>
    <row r="98">
      <c r="A98" s="257"/>
      <c r="B98" s="257"/>
      <c r="C98" s="258"/>
      <c r="D98" s="257"/>
      <c r="E98" s="257"/>
      <c r="F98" s="257"/>
      <c r="G98" s="258"/>
      <c r="H98" s="258"/>
      <c r="I98" s="258"/>
      <c r="J98" s="258"/>
      <c r="K98" s="258"/>
      <c r="L98" s="258"/>
      <c r="M98" s="258"/>
      <c r="N98" s="258"/>
    </row>
    <row r="99">
      <c r="A99" s="257"/>
      <c r="B99" s="257"/>
      <c r="C99" s="258"/>
      <c r="D99" s="257"/>
      <c r="E99" s="257"/>
      <c r="F99" s="257"/>
      <c r="G99" s="258"/>
      <c r="H99" s="258"/>
      <c r="I99" s="258"/>
      <c r="J99" s="258"/>
      <c r="K99" s="258"/>
      <c r="L99" s="258"/>
      <c r="M99" s="258"/>
      <c r="N99" s="258"/>
    </row>
    <row r="100">
      <c r="A100" s="257"/>
      <c r="B100" s="257"/>
      <c r="C100" s="258"/>
      <c r="D100" s="257"/>
      <c r="E100" s="257"/>
      <c r="F100" s="257"/>
      <c r="G100" s="258"/>
      <c r="H100" s="258"/>
      <c r="I100" s="258"/>
      <c r="J100" s="258"/>
      <c r="K100" s="258"/>
      <c r="L100" s="258"/>
      <c r="M100" s="258"/>
      <c r="N100" s="258"/>
    </row>
    <row r="101">
      <c r="A101" s="257"/>
      <c r="B101" s="257"/>
      <c r="C101" s="258"/>
      <c r="D101" s="257"/>
      <c r="E101" s="257"/>
      <c r="F101" s="257"/>
      <c r="G101" s="258"/>
      <c r="H101" s="258"/>
      <c r="I101" s="258"/>
      <c r="J101" s="258"/>
      <c r="K101" s="258"/>
      <c r="L101" s="258"/>
      <c r="M101" s="258"/>
      <c r="N101" s="258"/>
    </row>
    <row r="102">
      <c r="A102" s="257"/>
      <c r="B102" s="257"/>
      <c r="C102" s="258"/>
      <c r="D102" s="257"/>
      <c r="E102" s="257"/>
      <c r="F102" s="257"/>
      <c r="G102" s="258"/>
      <c r="H102" s="258"/>
      <c r="I102" s="258"/>
      <c r="J102" s="258"/>
      <c r="K102" s="258"/>
      <c r="L102" s="258"/>
      <c r="M102" s="258"/>
      <c r="N102" s="258"/>
    </row>
    <row r="103">
      <c r="A103" s="257"/>
      <c r="B103" s="257"/>
      <c r="C103" s="258"/>
      <c r="D103" s="257"/>
      <c r="E103" s="257"/>
      <c r="F103" s="257"/>
      <c r="G103" s="258"/>
      <c r="H103" s="258"/>
      <c r="I103" s="258"/>
      <c r="J103" s="258"/>
      <c r="K103" s="258"/>
      <c r="L103" s="258"/>
      <c r="M103" s="258"/>
      <c r="N103" s="258"/>
    </row>
    <row r="104">
      <c r="A104" s="257"/>
      <c r="B104" s="257"/>
      <c r="C104" s="258"/>
      <c r="D104" s="257"/>
      <c r="E104" s="257"/>
      <c r="F104" s="257"/>
      <c r="G104" s="258"/>
      <c r="H104" s="258"/>
      <c r="I104" s="258"/>
      <c r="J104" s="258"/>
      <c r="K104" s="258"/>
      <c r="L104" s="258"/>
      <c r="M104" s="258"/>
      <c r="N104" s="258"/>
    </row>
    <row r="105">
      <c r="A105" s="257"/>
      <c r="B105" s="257"/>
      <c r="C105" s="258"/>
      <c r="D105" s="257"/>
      <c r="E105" s="257"/>
      <c r="F105" s="257"/>
      <c r="G105" s="258"/>
      <c r="H105" s="258"/>
      <c r="I105" s="258"/>
      <c r="J105" s="258"/>
      <c r="K105" s="258"/>
      <c r="L105" s="258"/>
      <c r="M105" s="258"/>
      <c r="N105" s="258"/>
    </row>
    <row r="106">
      <c r="A106" s="257"/>
      <c r="B106" s="257"/>
      <c r="C106" s="258"/>
      <c r="D106" s="257"/>
      <c r="E106" s="257"/>
      <c r="F106" s="257"/>
      <c r="G106" s="258"/>
      <c r="H106" s="258"/>
      <c r="I106" s="258"/>
      <c r="J106" s="258"/>
      <c r="K106" s="258"/>
      <c r="L106" s="258"/>
      <c r="M106" s="258"/>
      <c r="N106" s="258"/>
    </row>
    <row r="107">
      <c r="A107" s="257"/>
      <c r="B107" s="257"/>
      <c r="C107" s="258"/>
      <c r="D107" s="257"/>
      <c r="E107" s="257"/>
      <c r="F107" s="257"/>
      <c r="G107" s="258"/>
      <c r="H107" s="258"/>
      <c r="I107" s="258"/>
      <c r="J107" s="258"/>
      <c r="K107" s="258"/>
      <c r="L107" s="258"/>
      <c r="M107" s="258"/>
      <c r="N107" s="258"/>
    </row>
    <row r="108">
      <c r="A108" s="257"/>
      <c r="B108" s="257"/>
      <c r="C108" s="258"/>
      <c r="D108" s="257"/>
      <c r="E108" s="257"/>
      <c r="F108" s="257"/>
      <c r="G108" s="258"/>
      <c r="H108" s="258"/>
      <c r="I108" s="258"/>
      <c r="J108" s="258"/>
      <c r="K108" s="258"/>
      <c r="L108" s="258"/>
      <c r="M108" s="258"/>
      <c r="N108" s="258"/>
    </row>
    <row r="109">
      <c r="A109" s="257"/>
      <c r="B109" s="257"/>
      <c r="C109" s="258"/>
      <c r="D109" s="257"/>
      <c r="E109" s="257"/>
      <c r="F109" s="257"/>
      <c r="G109" s="258"/>
      <c r="H109" s="258"/>
      <c r="I109" s="258"/>
      <c r="J109" s="258"/>
      <c r="K109" s="258"/>
      <c r="L109" s="258"/>
      <c r="M109" s="258"/>
      <c r="N109" s="258"/>
    </row>
    <row r="110">
      <c r="A110" s="257"/>
      <c r="B110" s="257"/>
      <c r="C110" s="258"/>
      <c r="D110" s="257"/>
      <c r="E110" s="257"/>
      <c r="F110" s="257"/>
      <c r="G110" s="258"/>
      <c r="H110" s="258"/>
      <c r="I110" s="258"/>
      <c r="J110" s="258"/>
      <c r="K110" s="258"/>
      <c r="L110" s="258"/>
      <c r="M110" s="258"/>
      <c r="N110" s="258"/>
    </row>
    <row r="111">
      <c r="A111" s="257"/>
      <c r="B111" s="257"/>
      <c r="C111" s="258"/>
      <c r="D111" s="257"/>
      <c r="E111" s="257"/>
      <c r="F111" s="257"/>
      <c r="G111" s="258"/>
      <c r="H111" s="258"/>
      <c r="I111" s="258"/>
      <c r="J111" s="258"/>
      <c r="K111" s="258"/>
      <c r="L111" s="258"/>
      <c r="M111" s="258"/>
      <c r="N111" s="258"/>
    </row>
    <row r="112">
      <c r="A112" s="257"/>
      <c r="B112" s="257"/>
      <c r="C112" s="258"/>
      <c r="D112" s="257"/>
      <c r="E112" s="257"/>
      <c r="F112" s="257"/>
      <c r="G112" s="258"/>
      <c r="H112" s="258"/>
      <c r="I112" s="258"/>
      <c r="J112" s="258"/>
      <c r="K112" s="258"/>
      <c r="L112" s="258"/>
      <c r="M112" s="258"/>
      <c r="N112" s="258"/>
    </row>
    <row r="113">
      <c r="A113" s="257"/>
      <c r="B113" s="257"/>
      <c r="C113" s="258"/>
      <c r="D113" s="257"/>
      <c r="E113" s="257"/>
      <c r="F113" s="257"/>
      <c r="G113" s="258"/>
      <c r="H113" s="258"/>
      <c r="I113" s="258"/>
      <c r="J113" s="258"/>
      <c r="K113" s="258"/>
      <c r="L113" s="258"/>
      <c r="M113" s="258"/>
      <c r="N113" s="258"/>
    </row>
    <row r="114">
      <c r="A114" s="257"/>
      <c r="B114" s="257"/>
      <c r="C114" s="258"/>
      <c r="D114" s="257"/>
      <c r="E114" s="257"/>
      <c r="F114" s="257"/>
      <c r="G114" s="258"/>
      <c r="H114" s="258"/>
      <c r="I114" s="258"/>
      <c r="J114" s="258"/>
      <c r="K114" s="258"/>
      <c r="L114" s="258"/>
      <c r="M114" s="258"/>
      <c r="N114" s="258"/>
    </row>
    <row r="115">
      <c r="A115" s="257"/>
      <c r="B115" s="257"/>
      <c r="C115" s="258"/>
      <c r="D115" s="257"/>
      <c r="E115" s="257"/>
      <c r="F115" s="257"/>
      <c r="G115" s="258"/>
      <c r="H115" s="258"/>
      <c r="I115" s="258"/>
      <c r="J115" s="258"/>
      <c r="K115" s="258"/>
      <c r="L115" s="258"/>
      <c r="M115" s="258"/>
      <c r="N115" s="258"/>
    </row>
    <row r="116">
      <c r="A116" s="257"/>
      <c r="B116" s="257"/>
      <c r="C116" s="258"/>
      <c r="D116" s="257"/>
      <c r="E116" s="257"/>
      <c r="F116" s="257"/>
      <c r="G116" s="258"/>
      <c r="H116" s="258"/>
      <c r="I116" s="258"/>
      <c r="J116" s="258"/>
      <c r="K116" s="258"/>
      <c r="L116" s="258"/>
      <c r="M116" s="258"/>
      <c r="N116" s="258"/>
    </row>
    <row r="117">
      <c r="A117" s="257"/>
      <c r="B117" s="257"/>
      <c r="C117" s="258"/>
      <c r="D117" s="257"/>
      <c r="E117" s="257"/>
      <c r="F117" s="257"/>
      <c r="G117" s="258"/>
      <c r="H117" s="258"/>
      <c r="I117" s="258"/>
      <c r="J117" s="258"/>
      <c r="K117" s="258"/>
      <c r="L117" s="258"/>
      <c r="M117" s="258"/>
      <c r="N117" s="258"/>
    </row>
    <row r="118">
      <c r="A118" s="257"/>
      <c r="B118" s="257"/>
      <c r="C118" s="258"/>
      <c r="D118" s="257"/>
      <c r="E118" s="257"/>
      <c r="F118" s="257"/>
      <c r="G118" s="258"/>
      <c r="H118" s="258"/>
      <c r="I118" s="258"/>
      <c r="J118" s="258"/>
      <c r="K118" s="258"/>
      <c r="L118" s="258"/>
      <c r="M118" s="258"/>
      <c r="N118" s="258"/>
    </row>
    <row r="119">
      <c r="A119" s="257"/>
      <c r="B119" s="257"/>
      <c r="C119" s="258"/>
      <c r="D119" s="257"/>
      <c r="E119" s="257"/>
      <c r="F119" s="257"/>
      <c r="G119" s="258"/>
      <c r="H119" s="258"/>
      <c r="I119" s="258"/>
      <c r="J119" s="258"/>
      <c r="K119" s="258"/>
      <c r="L119" s="258"/>
      <c r="M119" s="258"/>
      <c r="N119" s="258"/>
    </row>
    <row r="120">
      <c r="A120" s="257"/>
      <c r="B120" s="257"/>
      <c r="C120" s="258"/>
      <c r="D120" s="257"/>
      <c r="E120" s="257"/>
      <c r="F120" s="257"/>
      <c r="G120" s="258"/>
      <c r="H120" s="258"/>
      <c r="I120" s="258"/>
      <c r="J120" s="258"/>
      <c r="K120" s="258"/>
      <c r="L120" s="258"/>
      <c r="M120" s="258"/>
      <c r="N120" s="258"/>
    </row>
    <row r="121">
      <c r="A121" s="257"/>
      <c r="B121" s="257"/>
      <c r="C121" s="258"/>
      <c r="D121" s="257"/>
      <c r="E121" s="257"/>
      <c r="F121" s="257"/>
      <c r="G121" s="258"/>
      <c r="H121" s="258"/>
      <c r="I121" s="258"/>
      <c r="J121" s="258"/>
      <c r="K121" s="258"/>
      <c r="L121" s="258"/>
      <c r="M121" s="258"/>
      <c r="N121" s="258"/>
    </row>
    <row r="122">
      <c r="A122" s="257"/>
      <c r="B122" s="257"/>
      <c r="C122" s="258"/>
      <c r="D122" s="257"/>
      <c r="E122" s="257"/>
      <c r="F122" s="257"/>
      <c r="G122" s="258"/>
      <c r="H122" s="258"/>
      <c r="I122" s="258"/>
      <c r="J122" s="258"/>
      <c r="K122" s="258"/>
      <c r="L122" s="258"/>
      <c r="M122" s="258"/>
      <c r="N122" s="258"/>
    </row>
    <row r="123">
      <c r="A123" s="257"/>
      <c r="B123" s="257"/>
      <c r="C123" s="258"/>
      <c r="D123" s="257"/>
      <c r="E123" s="257"/>
      <c r="F123" s="257"/>
      <c r="G123" s="258"/>
      <c r="H123" s="258"/>
      <c r="I123" s="258"/>
      <c r="J123" s="258"/>
      <c r="K123" s="258"/>
      <c r="L123" s="258"/>
      <c r="M123" s="258"/>
      <c r="N123" s="258"/>
    </row>
    <row r="124">
      <c r="A124" s="257"/>
      <c r="B124" s="257"/>
      <c r="C124" s="258"/>
      <c r="D124" s="257"/>
      <c r="E124" s="257"/>
      <c r="F124" s="257"/>
      <c r="G124" s="258"/>
      <c r="H124" s="258"/>
      <c r="I124" s="258"/>
      <c r="J124" s="258"/>
      <c r="K124" s="258"/>
      <c r="L124" s="258"/>
      <c r="M124" s="258"/>
      <c r="N124" s="258"/>
    </row>
    <row r="125">
      <c r="A125" s="257"/>
      <c r="B125" s="257"/>
      <c r="C125" s="258"/>
      <c r="D125" s="257"/>
      <c r="E125" s="257"/>
      <c r="F125" s="257"/>
      <c r="G125" s="258"/>
      <c r="H125" s="258"/>
      <c r="I125" s="258"/>
      <c r="J125" s="258"/>
      <c r="K125" s="258"/>
      <c r="L125" s="258"/>
      <c r="M125" s="258"/>
      <c r="N125" s="258"/>
    </row>
    <row r="126">
      <c r="A126" s="257"/>
      <c r="B126" s="257"/>
      <c r="C126" s="258"/>
      <c r="D126" s="257"/>
      <c r="E126" s="257"/>
      <c r="F126" s="257"/>
      <c r="G126" s="258"/>
      <c r="H126" s="258"/>
      <c r="I126" s="258"/>
      <c r="J126" s="258"/>
      <c r="K126" s="258"/>
      <c r="L126" s="258"/>
      <c r="M126" s="258"/>
      <c r="N126" s="258"/>
    </row>
    <row r="127">
      <c r="A127" s="257"/>
      <c r="B127" s="257"/>
      <c r="C127" s="258"/>
      <c r="D127" s="257"/>
      <c r="E127" s="257"/>
      <c r="F127" s="257"/>
      <c r="G127" s="258"/>
      <c r="H127" s="258"/>
      <c r="I127" s="258"/>
      <c r="J127" s="258"/>
      <c r="K127" s="258"/>
      <c r="L127" s="258"/>
      <c r="M127" s="258"/>
      <c r="N127" s="258"/>
    </row>
    <row r="128">
      <c r="A128" s="257"/>
      <c r="B128" s="257"/>
      <c r="C128" s="258"/>
      <c r="D128" s="257"/>
      <c r="E128" s="257"/>
      <c r="F128" s="257"/>
      <c r="G128" s="258"/>
      <c r="H128" s="258"/>
      <c r="I128" s="258"/>
      <c r="J128" s="258"/>
      <c r="K128" s="258"/>
      <c r="L128" s="258"/>
      <c r="M128" s="258"/>
      <c r="N128" s="258"/>
    </row>
    <row r="129">
      <c r="A129" s="257"/>
      <c r="B129" s="257"/>
      <c r="C129" s="258"/>
      <c r="D129" s="257"/>
      <c r="E129" s="257"/>
      <c r="F129" s="257"/>
      <c r="G129" s="258"/>
      <c r="H129" s="258"/>
      <c r="I129" s="258"/>
      <c r="J129" s="258"/>
      <c r="K129" s="258"/>
      <c r="L129" s="258"/>
      <c r="M129" s="258"/>
      <c r="N129" s="258"/>
    </row>
    <row r="130">
      <c r="A130" s="257"/>
      <c r="B130" s="257"/>
      <c r="C130" s="258"/>
      <c r="D130" s="257"/>
      <c r="E130" s="257"/>
      <c r="F130" s="257"/>
      <c r="G130" s="258"/>
      <c r="H130" s="258"/>
      <c r="I130" s="258"/>
      <c r="J130" s="258"/>
      <c r="K130" s="258"/>
      <c r="L130" s="258"/>
      <c r="M130" s="258"/>
      <c r="N130" s="258"/>
    </row>
    <row r="131">
      <c r="A131" s="257"/>
      <c r="B131" s="257"/>
      <c r="C131" s="258"/>
      <c r="D131" s="257"/>
      <c r="E131" s="257"/>
      <c r="F131" s="257"/>
      <c r="G131" s="258"/>
      <c r="H131" s="258"/>
      <c r="I131" s="258"/>
      <c r="J131" s="258"/>
      <c r="K131" s="258"/>
      <c r="L131" s="258"/>
      <c r="M131" s="258"/>
      <c r="N131" s="258"/>
    </row>
    <row r="132">
      <c r="A132" s="257"/>
      <c r="B132" s="257"/>
      <c r="C132" s="258"/>
      <c r="D132" s="257"/>
      <c r="E132" s="257"/>
      <c r="F132" s="257"/>
      <c r="G132" s="258"/>
      <c r="H132" s="258"/>
      <c r="I132" s="258"/>
      <c r="J132" s="258"/>
      <c r="K132" s="258"/>
      <c r="L132" s="258"/>
      <c r="M132" s="258"/>
      <c r="N132" s="258"/>
    </row>
    <row r="133">
      <c r="A133" s="257"/>
      <c r="B133" s="257"/>
      <c r="C133" s="258"/>
      <c r="D133" s="257"/>
      <c r="E133" s="257"/>
      <c r="F133" s="257"/>
      <c r="G133" s="258"/>
      <c r="H133" s="258"/>
      <c r="I133" s="258"/>
      <c r="J133" s="258"/>
      <c r="K133" s="258"/>
      <c r="L133" s="258"/>
      <c r="M133" s="258"/>
      <c r="N133" s="258"/>
    </row>
    <row r="134">
      <c r="A134" s="257"/>
      <c r="B134" s="257"/>
      <c r="C134" s="258"/>
      <c r="D134" s="257"/>
      <c r="E134" s="257"/>
      <c r="F134" s="257"/>
      <c r="G134" s="258"/>
      <c r="H134" s="258"/>
      <c r="I134" s="258"/>
      <c r="J134" s="258"/>
      <c r="K134" s="258"/>
      <c r="L134" s="258"/>
      <c r="M134" s="258"/>
      <c r="N134" s="258"/>
    </row>
    <row r="135">
      <c r="A135" s="257"/>
      <c r="B135" s="257"/>
      <c r="C135" s="258"/>
      <c r="D135" s="257"/>
      <c r="E135" s="257"/>
      <c r="F135" s="257"/>
      <c r="G135" s="258"/>
      <c r="H135" s="258"/>
      <c r="I135" s="258"/>
      <c r="J135" s="258"/>
      <c r="K135" s="258"/>
      <c r="L135" s="258"/>
      <c r="M135" s="258"/>
      <c r="N135" s="258"/>
    </row>
    <row r="136">
      <c r="A136" s="257"/>
      <c r="B136" s="257"/>
      <c r="C136" s="258"/>
      <c r="D136" s="257"/>
      <c r="E136" s="257"/>
      <c r="F136" s="257"/>
      <c r="G136" s="258"/>
      <c r="H136" s="258"/>
      <c r="I136" s="258"/>
      <c r="J136" s="258"/>
      <c r="K136" s="258"/>
      <c r="L136" s="258"/>
      <c r="M136" s="258"/>
      <c r="N136" s="258"/>
    </row>
    <row r="137">
      <c r="A137" s="257"/>
      <c r="B137" s="257"/>
      <c r="C137" s="258"/>
      <c r="D137" s="257"/>
      <c r="E137" s="257"/>
      <c r="F137" s="257"/>
      <c r="G137" s="258"/>
      <c r="H137" s="258"/>
      <c r="I137" s="258"/>
      <c r="J137" s="258"/>
      <c r="K137" s="258"/>
      <c r="L137" s="258"/>
      <c r="M137" s="258"/>
      <c r="N137" s="258"/>
    </row>
    <row r="138">
      <c r="A138" s="257"/>
      <c r="B138" s="257"/>
      <c r="C138" s="258"/>
      <c r="D138" s="257"/>
      <c r="E138" s="257"/>
      <c r="F138" s="257"/>
      <c r="G138" s="258"/>
      <c r="H138" s="258"/>
      <c r="I138" s="258"/>
      <c r="J138" s="258"/>
      <c r="K138" s="258"/>
      <c r="L138" s="258"/>
      <c r="M138" s="258"/>
      <c r="N138" s="258"/>
    </row>
    <row r="139">
      <c r="A139" s="257"/>
      <c r="B139" s="257"/>
      <c r="C139" s="258"/>
      <c r="D139" s="257"/>
      <c r="E139" s="257"/>
      <c r="F139" s="257"/>
      <c r="G139" s="258"/>
      <c r="H139" s="258"/>
      <c r="I139" s="258"/>
      <c r="J139" s="258"/>
      <c r="K139" s="258"/>
      <c r="L139" s="258"/>
      <c r="M139" s="258"/>
      <c r="N139" s="258"/>
    </row>
    <row r="140">
      <c r="A140" s="257"/>
      <c r="B140" s="257"/>
      <c r="C140" s="258"/>
      <c r="D140" s="257"/>
      <c r="E140" s="257"/>
      <c r="F140" s="257"/>
      <c r="G140" s="258"/>
      <c r="H140" s="258"/>
      <c r="I140" s="258"/>
      <c r="J140" s="258"/>
      <c r="K140" s="258"/>
      <c r="L140" s="258"/>
      <c r="M140" s="258"/>
      <c r="N140" s="258"/>
    </row>
    <row r="141">
      <c r="A141" s="257"/>
      <c r="B141" s="257"/>
      <c r="C141" s="258"/>
      <c r="D141" s="257"/>
      <c r="E141" s="257"/>
      <c r="F141" s="257"/>
      <c r="G141" s="258"/>
      <c r="H141" s="258"/>
      <c r="I141" s="258"/>
      <c r="J141" s="258"/>
      <c r="K141" s="258"/>
      <c r="L141" s="258"/>
      <c r="M141" s="258"/>
      <c r="N141" s="258"/>
    </row>
    <row r="142">
      <c r="A142" s="257"/>
      <c r="B142" s="257"/>
      <c r="C142" s="258"/>
      <c r="D142" s="257"/>
      <c r="E142" s="257"/>
      <c r="F142" s="257"/>
      <c r="G142" s="258"/>
      <c r="H142" s="258"/>
      <c r="I142" s="258"/>
      <c r="J142" s="258"/>
      <c r="K142" s="258"/>
      <c r="L142" s="258"/>
      <c r="M142" s="258"/>
      <c r="N142" s="258"/>
    </row>
    <row r="143">
      <c r="A143" s="257"/>
      <c r="B143" s="257"/>
      <c r="C143" s="258"/>
      <c r="D143" s="257"/>
      <c r="E143" s="257"/>
      <c r="F143" s="257"/>
      <c r="G143" s="258"/>
      <c r="H143" s="258"/>
      <c r="I143" s="258"/>
      <c r="J143" s="258"/>
      <c r="K143" s="258"/>
      <c r="L143" s="258"/>
      <c r="M143" s="258"/>
      <c r="N143" s="258"/>
    </row>
    <row r="144">
      <c r="A144" s="257"/>
      <c r="B144" s="257"/>
      <c r="C144" s="258"/>
      <c r="D144" s="257"/>
      <c r="E144" s="257"/>
      <c r="F144" s="257"/>
      <c r="G144" s="258"/>
      <c r="H144" s="258"/>
      <c r="I144" s="258"/>
      <c r="J144" s="258"/>
      <c r="K144" s="258"/>
      <c r="L144" s="258"/>
      <c r="M144" s="258"/>
      <c r="N144" s="258"/>
    </row>
    <row r="145">
      <c r="A145" s="257"/>
      <c r="B145" s="257"/>
      <c r="C145" s="258"/>
      <c r="D145" s="257"/>
      <c r="E145" s="257"/>
      <c r="F145" s="257"/>
      <c r="G145" s="258"/>
      <c r="H145" s="258"/>
      <c r="I145" s="258"/>
      <c r="J145" s="258"/>
      <c r="K145" s="258"/>
      <c r="L145" s="258"/>
      <c r="M145" s="258"/>
      <c r="N145" s="258"/>
    </row>
    <row r="146">
      <c r="A146" s="257"/>
      <c r="B146" s="257"/>
      <c r="C146" s="258"/>
      <c r="D146" s="257"/>
      <c r="E146" s="257"/>
      <c r="F146" s="257"/>
      <c r="G146" s="258"/>
      <c r="H146" s="258"/>
      <c r="I146" s="258"/>
      <c r="J146" s="258"/>
      <c r="K146" s="258"/>
      <c r="L146" s="258"/>
      <c r="M146" s="258"/>
      <c r="N146" s="258"/>
    </row>
    <row r="147">
      <c r="A147" s="257"/>
      <c r="B147" s="257"/>
      <c r="C147" s="258"/>
      <c r="D147" s="257"/>
      <c r="E147" s="257"/>
      <c r="F147" s="257"/>
      <c r="G147" s="258"/>
      <c r="H147" s="258"/>
      <c r="I147" s="258"/>
      <c r="J147" s="258"/>
      <c r="K147" s="258"/>
      <c r="L147" s="258"/>
      <c r="M147" s="258"/>
      <c r="N147" s="258"/>
    </row>
    <row r="148">
      <c r="A148" s="257"/>
      <c r="B148" s="257"/>
      <c r="C148" s="258"/>
      <c r="D148" s="257"/>
      <c r="E148" s="257"/>
      <c r="F148" s="257"/>
      <c r="G148" s="258"/>
      <c r="H148" s="258"/>
      <c r="I148" s="258"/>
      <c r="J148" s="258"/>
      <c r="K148" s="258"/>
      <c r="L148" s="258"/>
      <c r="M148" s="258"/>
      <c r="N148" s="258"/>
    </row>
    <row r="149">
      <c r="A149" s="257"/>
      <c r="B149" s="257"/>
      <c r="C149" s="258"/>
      <c r="D149" s="257"/>
      <c r="E149" s="257"/>
      <c r="F149" s="257"/>
      <c r="G149" s="258"/>
      <c r="H149" s="258"/>
      <c r="I149" s="258"/>
      <c r="J149" s="258"/>
      <c r="K149" s="258"/>
      <c r="L149" s="258"/>
      <c r="M149" s="258"/>
      <c r="N149" s="258"/>
    </row>
    <row r="150">
      <c r="A150" s="257"/>
      <c r="B150" s="257"/>
      <c r="C150" s="258"/>
      <c r="D150" s="257"/>
      <c r="E150" s="257"/>
      <c r="F150" s="257"/>
      <c r="G150" s="258"/>
      <c r="H150" s="258"/>
      <c r="I150" s="258"/>
      <c r="J150" s="258"/>
      <c r="K150" s="258"/>
      <c r="L150" s="258"/>
      <c r="M150" s="258"/>
      <c r="N150" s="258"/>
    </row>
    <row r="151">
      <c r="A151" s="257"/>
      <c r="B151" s="257"/>
      <c r="C151" s="258"/>
      <c r="D151" s="257"/>
      <c r="E151" s="257"/>
      <c r="F151" s="257"/>
      <c r="G151" s="258"/>
      <c r="H151" s="258"/>
      <c r="I151" s="258"/>
      <c r="J151" s="258"/>
      <c r="K151" s="258"/>
      <c r="L151" s="258"/>
      <c r="M151" s="258"/>
      <c r="N151" s="258"/>
    </row>
    <row r="152">
      <c r="A152" s="257"/>
      <c r="B152" s="257"/>
      <c r="C152" s="258"/>
      <c r="D152" s="257"/>
      <c r="E152" s="257"/>
      <c r="F152" s="257"/>
      <c r="G152" s="258"/>
      <c r="H152" s="258"/>
      <c r="I152" s="258"/>
      <c r="J152" s="258"/>
      <c r="K152" s="258"/>
      <c r="L152" s="258"/>
      <c r="M152" s="258"/>
      <c r="N152" s="258"/>
    </row>
    <row r="153">
      <c r="A153" s="257"/>
      <c r="B153" s="257"/>
      <c r="C153" s="258"/>
      <c r="D153" s="257"/>
      <c r="E153" s="257"/>
      <c r="F153" s="257"/>
      <c r="G153" s="258"/>
      <c r="H153" s="258"/>
      <c r="I153" s="258"/>
      <c r="J153" s="258"/>
      <c r="K153" s="258"/>
      <c r="L153" s="258"/>
      <c r="M153" s="258"/>
      <c r="N153" s="258"/>
    </row>
    <row r="154">
      <c r="A154" s="257"/>
      <c r="B154" s="257"/>
      <c r="C154" s="258"/>
      <c r="D154" s="257"/>
      <c r="E154" s="257"/>
      <c r="F154" s="257"/>
      <c r="G154" s="258"/>
      <c r="H154" s="258"/>
      <c r="I154" s="258"/>
      <c r="J154" s="258"/>
      <c r="K154" s="258"/>
      <c r="L154" s="258"/>
      <c r="M154" s="258"/>
      <c r="N154" s="258"/>
    </row>
    <row r="155">
      <c r="A155" s="257"/>
      <c r="B155" s="257"/>
      <c r="C155" s="258"/>
      <c r="D155" s="257"/>
      <c r="E155" s="257"/>
      <c r="F155" s="257"/>
      <c r="G155" s="258"/>
      <c r="H155" s="258"/>
      <c r="I155" s="258"/>
      <c r="J155" s="258"/>
      <c r="K155" s="258"/>
      <c r="L155" s="258"/>
      <c r="M155" s="258"/>
      <c r="N155" s="258"/>
    </row>
    <row r="156">
      <c r="A156" s="257"/>
      <c r="B156" s="257"/>
      <c r="C156" s="258"/>
      <c r="D156" s="257"/>
      <c r="E156" s="257"/>
      <c r="F156" s="257"/>
      <c r="G156" s="258"/>
      <c r="H156" s="258"/>
      <c r="I156" s="258"/>
      <c r="J156" s="258"/>
      <c r="K156" s="258"/>
      <c r="L156" s="258"/>
      <c r="M156" s="258"/>
      <c r="N156" s="258"/>
    </row>
    <row r="157">
      <c r="A157" s="257"/>
      <c r="B157" s="257"/>
      <c r="C157" s="258"/>
      <c r="D157" s="257"/>
      <c r="E157" s="257"/>
      <c r="F157" s="257"/>
      <c r="G157" s="258"/>
      <c r="H157" s="258"/>
      <c r="I157" s="258"/>
      <c r="J157" s="258"/>
      <c r="K157" s="258"/>
      <c r="L157" s="258"/>
      <c r="M157" s="258"/>
      <c r="N157" s="258"/>
    </row>
    <row r="158">
      <c r="A158" s="257"/>
      <c r="B158" s="257"/>
      <c r="C158" s="258"/>
      <c r="D158" s="257"/>
      <c r="E158" s="257"/>
      <c r="F158" s="257"/>
      <c r="G158" s="258"/>
      <c r="H158" s="258"/>
      <c r="I158" s="258"/>
      <c r="J158" s="258"/>
      <c r="K158" s="258"/>
      <c r="L158" s="258"/>
      <c r="M158" s="258"/>
      <c r="N158" s="258"/>
    </row>
    <row r="159">
      <c r="A159" s="257"/>
      <c r="B159" s="257"/>
      <c r="C159" s="258"/>
      <c r="D159" s="257"/>
      <c r="E159" s="257"/>
      <c r="F159" s="257"/>
      <c r="G159" s="258"/>
      <c r="H159" s="258"/>
      <c r="I159" s="258"/>
      <c r="J159" s="258"/>
      <c r="K159" s="258"/>
      <c r="L159" s="258"/>
      <c r="M159" s="258"/>
      <c r="N159" s="258"/>
    </row>
    <row r="160">
      <c r="A160" s="257"/>
      <c r="B160" s="257"/>
      <c r="C160" s="258"/>
      <c r="D160" s="257"/>
      <c r="E160" s="257"/>
      <c r="F160" s="257"/>
      <c r="G160" s="258"/>
      <c r="H160" s="258"/>
      <c r="I160" s="258"/>
      <c r="J160" s="258"/>
      <c r="K160" s="258"/>
      <c r="L160" s="258"/>
      <c r="M160" s="258"/>
      <c r="N160" s="258"/>
    </row>
    <row r="161">
      <c r="A161" s="257"/>
      <c r="B161" s="257"/>
      <c r="C161" s="258"/>
      <c r="D161" s="257"/>
      <c r="E161" s="257"/>
      <c r="F161" s="257"/>
      <c r="G161" s="258"/>
      <c r="H161" s="258"/>
      <c r="I161" s="258"/>
      <c r="J161" s="258"/>
      <c r="K161" s="258"/>
      <c r="L161" s="258"/>
      <c r="M161" s="258"/>
      <c r="N161" s="258"/>
    </row>
    <row r="162">
      <c r="A162" s="257"/>
      <c r="B162" s="257"/>
      <c r="C162" s="258"/>
      <c r="D162" s="257"/>
      <c r="E162" s="257"/>
      <c r="F162" s="257"/>
      <c r="G162" s="258"/>
      <c r="H162" s="258"/>
      <c r="I162" s="258"/>
      <c r="J162" s="258"/>
      <c r="K162" s="258"/>
      <c r="L162" s="258"/>
      <c r="M162" s="258"/>
      <c r="N162" s="258"/>
    </row>
    <row r="163">
      <c r="A163" s="257"/>
      <c r="B163" s="257"/>
      <c r="C163" s="258"/>
      <c r="D163" s="257"/>
      <c r="E163" s="257"/>
      <c r="F163" s="257"/>
      <c r="G163" s="258"/>
      <c r="H163" s="258"/>
      <c r="I163" s="258"/>
      <c r="J163" s="258"/>
      <c r="K163" s="258"/>
      <c r="L163" s="258"/>
      <c r="M163" s="258"/>
      <c r="N163" s="258"/>
    </row>
    <row r="164">
      <c r="A164" s="257"/>
      <c r="B164" s="257"/>
      <c r="C164" s="258"/>
      <c r="D164" s="257"/>
      <c r="E164" s="257"/>
      <c r="F164" s="257"/>
      <c r="G164" s="258"/>
      <c r="H164" s="258"/>
      <c r="I164" s="258"/>
      <c r="J164" s="258"/>
      <c r="K164" s="258"/>
      <c r="L164" s="258"/>
      <c r="M164" s="258"/>
      <c r="N164" s="258"/>
    </row>
    <row r="165">
      <c r="A165" s="257"/>
      <c r="B165" s="257"/>
      <c r="C165" s="258"/>
      <c r="D165" s="257"/>
      <c r="E165" s="257"/>
      <c r="F165" s="257"/>
      <c r="G165" s="258"/>
      <c r="H165" s="258"/>
      <c r="I165" s="258"/>
      <c r="J165" s="258"/>
      <c r="K165" s="258"/>
      <c r="L165" s="258"/>
      <c r="M165" s="258"/>
      <c r="N165" s="258"/>
    </row>
    <row r="166">
      <c r="A166" s="257"/>
      <c r="B166" s="257"/>
      <c r="C166" s="258"/>
      <c r="D166" s="257"/>
      <c r="E166" s="257"/>
      <c r="F166" s="257"/>
      <c r="G166" s="258"/>
      <c r="H166" s="258"/>
      <c r="I166" s="258"/>
      <c r="J166" s="258"/>
      <c r="K166" s="258"/>
      <c r="L166" s="258"/>
      <c r="M166" s="258"/>
      <c r="N166" s="258"/>
    </row>
    <row r="167">
      <c r="A167" s="257"/>
      <c r="B167" s="257"/>
      <c r="C167" s="258"/>
      <c r="D167" s="257"/>
      <c r="E167" s="257"/>
      <c r="F167" s="257"/>
      <c r="G167" s="258"/>
      <c r="H167" s="258"/>
      <c r="I167" s="258"/>
      <c r="J167" s="258"/>
      <c r="K167" s="258"/>
      <c r="L167" s="258"/>
      <c r="M167" s="258"/>
      <c r="N167" s="258"/>
    </row>
    <row r="168">
      <c r="A168" s="257"/>
      <c r="B168" s="257"/>
      <c r="C168" s="258"/>
      <c r="D168" s="257"/>
      <c r="E168" s="257"/>
      <c r="F168" s="257"/>
      <c r="G168" s="258"/>
      <c r="H168" s="258"/>
      <c r="I168" s="258"/>
      <c r="J168" s="258"/>
      <c r="K168" s="258"/>
      <c r="L168" s="258"/>
      <c r="M168" s="258"/>
      <c r="N168" s="258"/>
    </row>
    <row r="169">
      <c r="A169" s="257"/>
      <c r="B169" s="257"/>
      <c r="C169" s="258"/>
      <c r="D169" s="257"/>
      <c r="E169" s="257"/>
      <c r="F169" s="257"/>
      <c r="G169" s="258"/>
      <c r="H169" s="258"/>
      <c r="I169" s="258"/>
      <c r="J169" s="258"/>
      <c r="K169" s="258"/>
      <c r="L169" s="258"/>
      <c r="M169" s="258"/>
      <c r="N169" s="258"/>
    </row>
    <row r="170">
      <c r="A170" s="257"/>
      <c r="B170" s="257"/>
      <c r="C170" s="258"/>
      <c r="D170" s="257"/>
      <c r="E170" s="257"/>
      <c r="F170" s="257"/>
      <c r="G170" s="258"/>
      <c r="H170" s="258"/>
      <c r="I170" s="258"/>
      <c r="J170" s="258"/>
      <c r="K170" s="258"/>
      <c r="L170" s="258"/>
      <c r="M170" s="258"/>
      <c r="N170" s="258"/>
    </row>
    <row r="171">
      <c r="A171" s="257"/>
      <c r="B171" s="257"/>
      <c r="C171" s="258"/>
      <c r="D171" s="257"/>
      <c r="E171" s="257"/>
      <c r="F171" s="257"/>
      <c r="G171" s="258"/>
      <c r="H171" s="258"/>
      <c r="I171" s="258"/>
      <c r="J171" s="258"/>
      <c r="K171" s="258"/>
      <c r="L171" s="258"/>
      <c r="M171" s="258"/>
      <c r="N171" s="258"/>
    </row>
    <row r="172">
      <c r="A172" s="257"/>
      <c r="B172" s="257"/>
      <c r="C172" s="258"/>
      <c r="D172" s="257"/>
      <c r="E172" s="257"/>
      <c r="F172" s="257"/>
      <c r="G172" s="258"/>
      <c r="H172" s="258"/>
      <c r="I172" s="258"/>
      <c r="J172" s="258"/>
      <c r="K172" s="258"/>
      <c r="L172" s="258"/>
      <c r="M172" s="258"/>
      <c r="N172" s="258"/>
    </row>
    <row r="173">
      <c r="A173" s="257"/>
      <c r="B173" s="257"/>
      <c r="C173" s="258"/>
      <c r="D173" s="257"/>
      <c r="E173" s="257"/>
      <c r="F173" s="257"/>
      <c r="G173" s="258"/>
      <c r="H173" s="258"/>
      <c r="I173" s="258"/>
      <c r="J173" s="258"/>
      <c r="K173" s="258"/>
      <c r="L173" s="258"/>
      <c r="M173" s="258"/>
      <c r="N173" s="258"/>
    </row>
    <row r="174">
      <c r="A174" s="257"/>
      <c r="B174" s="257"/>
      <c r="C174" s="258"/>
      <c r="D174" s="257"/>
      <c r="E174" s="257"/>
      <c r="F174" s="257"/>
      <c r="G174" s="258"/>
      <c r="H174" s="258"/>
      <c r="I174" s="258"/>
      <c r="J174" s="258"/>
      <c r="K174" s="258"/>
      <c r="L174" s="258"/>
      <c r="M174" s="258"/>
      <c r="N174" s="258"/>
    </row>
    <row r="175">
      <c r="A175" s="257"/>
      <c r="B175" s="257"/>
      <c r="C175" s="258"/>
      <c r="D175" s="257"/>
      <c r="E175" s="257"/>
      <c r="F175" s="257"/>
      <c r="G175" s="258"/>
      <c r="H175" s="258"/>
      <c r="I175" s="258"/>
      <c r="J175" s="258"/>
      <c r="K175" s="258"/>
      <c r="L175" s="258"/>
      <c r="M175" s="258"/>
      <c r="N175" s="258"/>
    </row>
    <row r="176">
      <c r="A176" s="257"/>
      <c r="B176" s="257"/>
      <c r="C176" s="258"/>
      <c r="D176" s="257"/>
      <c r="E176" s="257"/>
      <c r="F176" s="257"/>
      <c r="G176" s="258"/>
      <c r="H176" s="258"/>
      <c r="I176" s="258"/>
      <c r="J176" s="258"/>
      <c r="K176" s="258"/>
      <c r="L176" s="258"/>
      <c r="M176" s="258"/>
      <c r="N176" s="258"/>
    </row>
    <row r="177">
      <c r="A177" s="257"/>
      <c r="B177" s="257"/>
      <c r="C177" s="258"/>
      <c r="D177" s="257"/>
      <c r="E177" s="257"/>
      <c r="F177" s="257"/>
      <c r="G177" s="258"/>
      <c r="H177" s="258"/>
      <c r="I177" s="258"/>
      <c r="J177" s="258"/>
      <c r="K177" s="258"/>
      <c r="L177" s="258"/>
      <c r="M177" s="258"/>
      <c r="N177" s="258"/>
    </row>
    <row r="178">
      <c r="A178" s="257"/>
      <c r="B178" s="257"/>
      <c r="C178" s="258"/>
      <c r="D178" s="257"/>
      <c r="E178" s="257"/>
      <c r="F178" s="257"/>
      <c r="G178" s="258"/>
      <c r="H178" s="258"/>
      <c r="I178" s="258"/>
      <c r="J178" s="258"/>
      <c r="K178" s="258"/>
      <c r="L178" s="258"/>
      <c r="M178" s="258"/>
      <c r="N178" s="258"/>
    </row>
    <row r="179">
      <c r="A179" s="257"/>
      <c r="B179" s="257"/>
      <c r="C179" s="258"/>
      <c r="D179" s="257"/>
      <c r="E179" s="257"/>
      <c r="F179" s="257"/>
      <c r="G179" s="258"/>
      <c r="H179" s="258"/>
      <c r="I179" s="258"/>
      <c r="J179" s="258"/>
      <c r="K179" s="258"/>
      <c r="L179" s="258"/>
      <c r="M179" s="258"/>
      <c r="N179" s="258"/>
    </row>
    <row r="180">
      <c r="A180" s="257"/>
      <c r="B180" s="257"/>
      <c r="C180" s="258"/>
      <c r="D180" s="257"/>
      <c r="E180" s="257"/>
      <c r="F180" s="257"/>
      <c r="G180" s="258"/>
      <c r="H180" s="258"/>
      <c r="I180" s="258"/>
      <c r="J180" s="258"/>
      <c r="K180" s="258"/>
      <c r="L180" s="258"/>
      <c r="M180" s="258"/>
      <c r="N180" s="258"/>
    </row>
    <row r="181">
      <c r="A181" s="257"/>
      <c r="B181" s="257"/>
      <c r="C181" s="258"/>
      <c r="D181" s="257"/>
      <c r="E181" s="257"/>
      <c r="F181" s="257"/>
      <c r="G181" s="258"/>
      <c r="H181" s="258"/>
      <c r="I181" s="258"/>
      <c r="J181" s="258"/>
      <c r="K181" s="258"/>
      <c r="L181" s="258"/>
      <c r="M181" s="258"/>
      <c r="N181" s="258"/>
    </row>
    <row r="182">
      <c r="A182" s="257"/>
      <c r="B182" s="257"/>
      <c r="C182" s="258"/>
      <c r="D182" s="257"/>
      <c r="E182" s="257"/>
      <c r="F182" s="257"/>
      <c r="G182" s="258"/>
      <c r="H182" s="258"/>
      <c r="I182" s="258"/>
      <c r="J182" s="258"/>
      <c r="K182" s="258"/>
      <c r="L182" s="258"/>
      <c r="M182" s="258"/>
      <c r="N182" s="258"/>
    </row>
    <row r="183">
      <c r="A183" s="257"/>
      <c r="B183" s="257"/>
      <c r="C183" s="258"/>
      <c r="D183" s="257"/>
      <c r="E183" s="257"/>
      <c r="F183" s="257"/>
      <c r="G183" s="258"/>
      <c r="H183" s="258"/>
      <c r="I183" s="258"/>
      <c r="J183" s="258"/>
      <c r="K183" s="258"/>
      <c r="L183" s="258"/>
      <c r="M183" s="258"/>
      <c r="N183" s="258"/>
    </row>
    <row r="184">
      <c r="A184" s="257"/>
      <c r="B184" s="257"/>
      <c r="C184" s="258"/>
      <c r="D184" s="257"/>
      <c r="E184" s="257"/>
      <c r="F184" s="257"/>
      <c r="G184" s="258"/>
      <c r="H184" s="258"/>
      <c r="I184" s="258"/>
      <c r="J184" s="258"/>
      <c r="K184" s="258"/>
      <c r="L184" s="258"/>
      <c r="M184" s="258"/>
      <c r="N184" s="258"/>
    </row>
    <row r="185">
      <c r="A185" s="257"/>
      <c r="B185" s="257"/>
      <c r="C185" s="258"/>
      <c r="D185" s="257"/>
      <c r="E185" s="257"/>
      <c r="F185" s="257"/>
      <c r="G185" s="258"/>
      <c r="H185" s="258"/>
      <c r="I185" s="258"/>
      <c r="J185" s="258"/>
      <c r="K185" s="258"/>
      <c r="L185" s="258"/>
      <c r="M185" s="258"/>
      <c r="N185" s="258"/>
    </row>
    <row r="186">
      <c r="A186" s="257"/>
      <c r="B186" s="257"/>
      <c r="C186" s="258"/>
      <c r="D186" s="257"/>
      <c r="E186" s="257"/>
      <c r="F186" s="257"/>
      <c r="G186" s="258"/>
      <c r="H186" s="258"/>
      <c r="I186" s="258"/>
      <c r="J186" s="258"/>
      <c r="K186" s="258"/>
      <c r="L186" s="258"/>
      <c r="M186" s="258"/>
      <c r="N186" s="258"/>
    </row>
    <row r="187">
      <c r="A187" s="257"/>
      <c r="B187" s="257"/>
      <c r="C187" s="258"/>
      <c r="D187" s="257"/>
      <c r="E187" s="257"/>
      <c r="F187" s="257"/>
      <c r="G187" s="258"/>
      <c r="H187" s="258"/>
      <c r="I187" s="258"/>
      <c r="J187" s="258"/>
      <c r="K187" s="258"/>
      <c r="L187" s="258"/>
      <c r="M187" s="258"/>
      <c r="N187" s="258"/>
    </row>
    <row r="188">
      <c r="A188" s="257"/>
      <c r="B188" s="257"/>
      <c r="C188" s="258"/>
      <c r="D188" s="257"/>
      <c r="E188" s="257"/>
      <c r="F188" s="257"/>
      <c r="G188" s="258"/>
      <c r="H188" s="258"/>
      <c r="I188" s="258"/>
      <c r="J188" s="258"/>
      <c r="K188" s="258"/>
      <c r="L188" s="258"/>
      <c r="M188" s="258"/>
      <c r="N188" s="258"/>
    </row>
    <row r="189">
      <c r="A189" s="257"/>
      <c r="B189" s="257"/>
      <c r="C189" s="258"/>
      <c r="D189" s="257"/>
      <c r="E189" s="257"/>
      <c r="F189" s="257"/>
      <c r="G189" s="258"/>
      <c r="H189" s="258"/>
      <c r="I189" s="258"/>
      <c r="J189" s="258"/>
      <c r="K189" s="258"/>
      <c r="L189" s="258"/>
      <c r="M189" s="258"/>
      <c r="N189" s="258"/>
    </row>
    <row r="190">
      <c r="A190" s="257"/>
      <c r="B190" s="257"/>
      <c r="C190" s="258"/>
      <c r="D190" s="257"/>
      <c r="E190" s="257"/>
      <c r="F190" s="257"/>
      <c r="G190" s="258"/>
      <c r="H190" s="258"/>
      <c r="I190" s="258"/>
      <c r="J190" s="258"/>
      <c r="K190" s="258"/>
      <c r="L190" s="258"/>
      <c r="M190" s="258"/>
      <c r="N190" s="258"/>
    </row>
    <row r="191">
      <c r="A191" s="257"/>
      <c r="B191" s="257"/>
      <c r="C191" s="258"/>
      <c r="D191" s="257"/>
      <c r="E191" s="257"/>
      <c r="F191" s="257"/>
      <c r="G191" s="258"/>
      <c r="H191" s="258"/>
      <c r="I191" s="258"/>
      <c r="J191" s="258"/>
      <c r="K191" s="258"/>
      <c r="L191" s="258"/>
      <c r="M191" s="258"/>
      <c r="N191" s="258"/>
    </row>
    <row r="192">
      <c r="A192" s="257"/>
      <c r="B192" s="257"/>
      <c r="C192" s="258"/>
      <c r="D192" s="257"/>
      <c r="E192" s="257"/>
      <c r="F192" s="257"/>
      <c r="G192" s="258"/>
      <c r="H192" s="258"/>
      <c r="I192" s="258"/>
      <c r="J192" s="258"/>
      <c r="K192" s="258"/>
      <c r="L192" s="258"/>
      <c r="M192" s="258"/>
      <c r="N192" s="258"/>
    </row>
    <row r="193">
      <c r="A193" s="257"/>
      <c r="B193" s="257"/>
      <c r="C193" s="258"/>
      <c r="D193" s="257"/>
      <c r="E193" s="257"/>
      <c r="F193" s="257"/>
      <c r="G193" s="258"/>
      <c r="H193" s="258"/>
      <c r="I193" s="258"/>
      <c r="J193" s="258"/>
      <c r="K193" s="258"/>
      <c r="L193" s="258"/>
      <c r="M193" s="258"/>
      <c r="N193" s="258"/>
    </row>
    <row r="194">
      <c r="A194" s="257"/>
      <c r="B194" s="257"/>
      <c r="C194" s="258"/>
      <c r="D194" s="257"/>
      <c r="E194" s="257"/>
      <c r="F194" s="257"/>
      <c r="G194" s="258"/>
      <c r="H194" s="258"/>
      <c r="I194" s="258"/>
      <c r="J194" s="258"/>
      <c r="K194" s="258"/>
      <c r="L194" s="258"/>
      <c r="M194" s="258"/>
      <c r="N194" s="258"/>
    </row>
    <row r="195">
      <c r="A195" s="257"/>
      <c r="B195" s="257"/>
      <c r="C195" s="258"/>
      <c r="D195" s="257"/>
      <c r="E195" s="257"/>
      <c r="F195" s="257"/>
      <c r="G195" s="258"/>
      <c r="H195" s="258"/>
      <c r="I195" s="258"/>
      <c r="J195" s="258"/>
      <c r="K195" s="258"/>
      <c r="L195" s="258"/>
      <c r="M195" s="258"/>
      <c r="N195" s="258"/>
    </row>
    <row r="196">
      <c r="A196" s="257"/>
      <c r="B196" s="257"/>
      <c r="C196" s="258"/>
      <c r="D196" s="257"/>
      <c r="E196" s="257"/>
      <c r="F196" s="257"/>
      <c r="G196" s="258"/>
      <c r="H196" s="258"/>
      <c r="I196" s="258"/>
      <c r="J196" s="258"/>
      <c r="K196" s="258"/>
      <c r="L196" s="258"/>
      <c r="M196" s="258"/>
      <c r="N196" s="258"/>
    </row>
    <row r="197">
      <c r="A197" s="257"/>
      <c r="B197" s="257"/>
      <c r="C197" s="258"/>
      <c r="D197" s="257"/>
      <c r="E197" s="257"/>
      <c r="F197" s="257"/>
      <c r="G197" s="258"/>
      <c r="H197" s="258"/>
      <c r="I197" s="258"/>
      <c r="J197" s="258"/>
      <c r="K197" s="258"/>
      <c r="L197" s="258"/>
      <c r="M197" s="258"/>
      <c r="N197" s="258"/>
    </row>
    <row r="198">
      <c r="A198" s="257"/>
      <c r="B198" s="257"/>
      <c r="C198" s="258"/>
      <c r="D198" s="257"/>
      <c r="E198" s="257"/>
      <c r="F198" s="257"/>
      <c r="G198" s="258"/>
      <c r="H198" s="258"/>
      <c r="I198" s="258"/>
      <c r="J198" s="258"/>
      <c r="K198" s="258"/>
      <c r="L198" s="258"/>
      <c r="M198" s="258"/>
      <c r="N198" s="258"/>
    </row>
    <row r="199">
      <c r="A199" s="257"/>
      <c r="B199" s="257"/>
      <c r="C199" s="258"/>
      <c r="D199" s="257"/>
      <c r="E199" s="257"/>
      <c r="F199" s="257"/>
      <c r="G199" s="258"/>
      <c r="H199" s="258"/>
      <c r="I199" s="258"/>
      <c r="J199" s="258"/>
      <c r="K199" s="258"/>
      <c r="L199" s="258"/>
      <c r="M199" s="258"/>
      <c r="N199" s="258"/>
    </row>
    <row r="200">
      <c r="A200" s="257"/>
      <c r="B200" s="257"/>
      <c r="C200" s="258"/>
      <c r="D200" s="257"/>
      <c r="E200" s="257"/>
      <c r="F200" s="257"/>
      <c r="G200" s="258"/>
      <c r="H200" s="258"/>
      <c r="I200" s="258"/>
      <c r="J200" s="258"/>
      <c r="K200" s="258"/>
      <c r="L200" s="258"/>
      <c r="M200" s="258"/>
      <c r="N200" s="258"/>
    </row>
    <row r="201">
      <c r="A201" s="257"/>
      <c r="B201" s="257"/>
      <c r="C201" s="258"/>
      <c r="D201" s="257"/>
      <c r="E201" s="257"/>
      <c r="F201" s="257"/>
      <c r="G201" s="258"/>
      <c r="H201" s="258"/>
      <c r="I201" s="258"/>
      <c r="J201" s="258"/>
      <c r="K201" s="258"/>
      <c r="L201" s="258"/>
      <c r="M201" s="258"/>
      <c r="N201" s="258"/>
    </row>
    <row r="202">
      <c r="A202" s="257"/>
      <c r="B202" s="257"/>
      <c r="C202" s="258"/>
      <c r="D202" s="257"/>
      <c r="E202" s="257"/>
      <c r="F202" s="257"/>
      <c r="G202" s="258"/>
      <c r="H202" s="258"/>
      <c r="I202" s="258"/>
      <c r="J202" s="258"/>
      <c r="K202" s="258"/>
      <c r="L202" s="258"/>
      <c r="M202" s="258"/>
      <c r="N202" s="258"/>
    </row>
    <row r="203">
      <c r="A203" s="257"/>
      <c r="B203" s="257"/>
      <c r="C203" s="258"/>
      <c r="D203" s="257"/>
      <c r="E203" s="257"/>
      <c r="F203" s="257"/>
      <c r="G203" s="258"/>
      <c r="H203" s="258"/>
      <c r="I203" s="258"/>
      <c r="J203" s="258"/>
      <c r="K203" s="258"/>
      <c r="L203" s="258"/>
      <c r="M203" s="258"/>
      <c r="N203" s="258"/>
    </row>
    <row r="204">
      <c r="A204" s="257"/>
      <c r="B204" s="257"/>
      <c r="C204" s="258"/>
      <c r="D204" s="257"/>
      <c r="E204" s="257"/>
      <c r="F204" s="257"/>
      <c r="G204" s="258"/>
      <c r="H204" s="258"/>
      <c r="I204" s="258"/>
      <c r="J204" s="258"/>
      <c r="K204" s="258"/>
      <c r="L204" s="258"/>
      <c r="M204" s="258"/>
      <c r="N204" s="258"/>
    </row>
    <row r="205">
      <c r="A205" s="257"/>
      <c r="B205" s="257"/>
      <c r="C205" s="258"/>
      <c r="D205" s="257"/>
      <c r="E205" s="257"/>
      <c r="F205" s="257"/>
      <c r="G205" s="258"/>
      <c r="H205" s="258"/>
      <c r="I205" s="258"/>
      <c r="J205" s="258"/>
      <c r="K205" s="258"/>
      <c r="L205" s="258"/>
      <c r="M205" s="258"/>
      <c r="N205" s="258"/>
    </row>
    <row r="206">
      <c r="A206" s="257"/>
      <c r="B206" s="257"/>
      <c r="C206" s="258"/>
      <c r="D206" s="257"/>
      <c r="E206" s="257"/>
      <c r="F206" s="257"/>
      <c r="G206" s="258"/>
      <c r="H206" s="258"/>
      <c r="I206" s="258"/>
      <c r="J206" s="258"/>
      <c r="K206" s="258"/>
      <c r="L206" s="258"/>
      <c r="M206" s="258"/>
      <c r="N206" s="258"/>
    </row>
    <row r="207">
      <c r="A207" s="257"/>
      <c r="B207" s="257"/>
      <c r="C207" s="258"/>
      <c r="D207" s="257"/>
      <c r="E207" s="257"/>
      <c r="F207" s="257"/>
      <c r="G207" s="258"/>
      <c r="H207" s="258"/>
      <c r="I207" s="258"/>
      <c r="J207" s="258"/>
      <c r="K207" s="258"/>
      <c r="L207" s="258"/>
      <c r="M207" s="258"/>
      <c r="N207" s="258"/>
    </row>
    <row r="208">
      <c r="A208" s="257"/>
      <c r="B208" s="257"/>
      <c r="C208" s="258"/>
      <c r="D208" s="257"/>
      <c r="E208" s="257"/>
      <c r="F208" s="257"/>
      <c r="G208" s="258"/>
      <c r="H208" s="258"/>
      <c r="I208" s="258"/>
      <c r="J208" s="258"/>
      <c r="K208" s="258"/>
      <c r="L208" s="258"/>
      <c r="M208" s="258"/>
      <c r="N208" s="258"/>
    </row>
    <row r="209">
      <c r="A209" s="257"/>
      <c r="B209" s="257"/>
      <c r="C209" s="258"/>
      <c r="D209" s="257"/>
      <c r="E209" s="257"/>
      <c r="F209" s="257"/>
      <c r="G209" s="258"/>
      <c r="H209" s="258"/>
      <c r="I209" s="258"/>
      <c r="J209" s="258"/>
      <c r="K209" s="258"/>
      <c r="L209" s="258"/>
      <c r="M209" s="258"/>
      <c r="N209" s="258"/>
    </row>
    <row r="210">
      <c r="A210" s="257"/>
      <c r="B210" s="257"/>
      <c r="C210" s="258"/>
      <c r="D210" s="257"/>
      <c r="E210" s="257"/>
      <c r="F210" s="257"/>
      <c r="G210" s="258"/>
      <c r="H210" s="258"/>
      <c r="I210" s="258"/>
      <c r="J210" s="258"/>
      <c r="K210" s="258"/>
      <c r="L210" s="258"/>
      <c r="M210" s="258"/>
      <c r="N210" s="258"/>
    </row>
    <row r="211">
      <c r="A211" s="257"/>
      <c r="B211" s="257"/>
      <c r="C211" s="258"/>
      <c r="D211" s="257"/>
      <c r="E211" s="257"/>
      <c r="F211" s="257"/>
      <c r="G211" s="258"/>
      <c r="H211" s="258"/>
      <c r="I211" s="258"/>
      <c r="J211" s="258"/>
      <c r="K211" s="258"/>
      <c r="L211" s="258"/>
      <c r="M211" s="258"/>
      <c r="N211" s="258"/>
    </row>
    <row r="212">
      <c r="A212" s="257"/>
      <c r="B212" s="257"/>
      <c r="C212" s="258"/>
      <c r="D212" s="257"/>
      <c r="E212" s="257"/>
      <c r="F212" s="257"/>
      <c r="G212" s="258"/>
      <c r="H212" s="258"/>
      <c r="I212" s="258"/>
      <c r="J212" s="258"/>
      <c r="K212" s="258"/>
      <c r="L212" s="258"/>
      <c r="M212" s="258"/>
      <c r="N212" s="258"/>
    </row>
    <row r="213">
      <c r="A213" s="257"/>
      <c r="B213" s="257"/>
      <c r="C213" s="258"/>
      <c r="D213" s="257"/>
      <c r="E213" s="257"/>
      <c r="F213" s="257"/>
      <c r="G213" s="258"/>
      <c r="H213" s="258"/>
      <c r="I213" s="258"/>
      <c r="J213" s="258"/>
      <c r="K213" s="258"/>
      <c r="L213" s="258"/>
      <c r="M213" s="258"/>
      <c r="N213" s="258"/>
    </row>
    <row r="214">
      <c r="A214" s="257"/>
      <c r="B214" s="257"/>
      <c r="C214" s="258"/>
      <c r="D214" s="257"/>
      <c r="E214" s="257"/>
      <c r="F214" s="257"/>
      <c r="G214" s="258"/>
      <c r="H214" s="258"/>
      <c r="I214" s="258"/>
      <c r="J214" s="258"/>
      <c r="K214" s="258"/>
      <c r="L214" s="258"/>
      <c r="M214" s="258"/>
      <c r="N214" s="258"/>
    </row>
    <row r="215">
      <c r="A215" s="257"/>
      <c r="B215" s="257"/>
      <c r="C215" s="258"/>
      <c r="D215" s="257"/>
      <c r="E215" s="257"/>
      <c r="F215" s="257"/>
      <c r="G215" s="258"/>
      <c r="H215" s="258"/>
      <c r="I215" s="258"/>
      <c r="J215" s="258"/>
      <c r="K215" s="258"/>
      <c r="L215" s="258"/>
      <c r="M215" s="258"/>
      <c r="N215" s="258"/>
    </row>
    <row r="216">
      <c r="A216" s="257"/>
      <c r="B216" s="257"/>
      <c r="C216" s="258"/>
      <c r="D216" s="257"/>
      <c r="E216" s="257"/>
      <c r="F216" s="257"/>
      <c r="G216" s="258"/>
      <c r="H216" s="258"/>
      <c r="I216" s="258"/>
      <c r="J216" s="258"/>
      <c r="K216" s="258"/>
      <c r="L216" s="258"/>
      <c r="M216" s="258"/>
      <c r="N216" s="258"/>
    </row>
    <row r="217">
      <c r="A217" s="257"/>
      <c r="B217" s="257"/>
      <c r="C217" s="258"/>
      <c r="D217" s="257"/>
      <c r="E217" s="257"/>
      <c r="F217" s="257"/>
      <c r="G217" s="258"/>
      <c r="H217" s="258"/>
      <c r="I217" s="258"/>
      <c r="J217" s="258"/>
      <c r="K217" s="258"/>
      <c r="L217" s="258"/>
      <c r="M217" s="258"/>
      <c r="N217" s="258"/>
    </row>
    <row r="218">
      <c r="A218" s="257"/>
      <c r="B218" s="257"/>
      <c r="C218" s="258"/>
      <c r="D218" s="257"/>
      <c r="E218" s="257"/>
      <c r="F218" s="257"/>
      <c r="G218" s="258"/>
      <c r="H218" s="258"/>
      <c r="I218" s="258"/>
      <c r="J218" s="258"/>
      <c r="K218" s="258"/>
      <c r="L218" s="258"/>
      <c r="M218" s="258"/>
      <c r="N218" s="258"/>
    </row>
    <row r="219">
      <c r="A219" s="257"/>
      <c r="B219" s="257"/>
      <c r="C219" s="258"/>
      <c r="D219" s="257"/>
      <c r="E219" s="257"/>
      <c r="F219" s="257"/>
      <c r="G219" s="258"/>
      <c r="H219" s="258"/>
      <c r="I219" s="258"/>
      <c r="J219" s="258"/>
      <c r="K219" s="258"/>
      <c r="L219" s="258"/>
      <c r="M219" s="258"/>
      <c r="N219" s="258"/>
    </row>
    <row r="220">
      <c r="A220" s="257"/>
      <c r="B220" s="257"/>
      <c r="C220" s="258"/>
      <c r="D220" s="257"/>
      <c r="E220" s="257"/>
      <c r="F220" s="257"/>
      <c r="G220" s="258"/>
      <c r="H220" s="258"/>
      <c r="I220" s="258"/>
      <c r="J220" s="258"/>
      <c r="K220" s="258"/>
      <c r="L220" s="258"/>
      <c r="M220" s="258"/>
      <c r="N220" s="258"/>
    </row>
    <row r="221">
      <c r="A221" s="257"/>
      <c r="B221" s="257"/>
      <c r="C221" s="258"/>
      <c r="D221" s="257"/>
      <c r="E221" s="257"/>
      <c r="F221" s="257"/>
      <c r="G221" s="258"/>
      <c r="H221" s="258"/>
      <c r="I221" s="258"/>
      <c r="J221" s="258"/>
      <c r="K221" s="258"/>
      <c r="L221" s="258"/>
      <c r="M221" s="258"/>
      <c r="N221" s="258"/>
    </row>
    <row r="222">
      <c r="A222" s="257"/>
      <c r="B222" s="257"/>
      <c r="C222" s="258"/>
      <c r="D222" s="257"/>
      <c r="E222" s="257"/>
      <c r="F222" s="257"/>
      <c r="G222" s="258"/>
      <c r="H222" s="258"/>
      <c r="I222" s="258"/>
      <c r="J222" s="258"/>
      <c r="K222" s="258"/>
      <c r="L222" s="258"/>
      <c r="M222" s="258"/>
      <c r="N222" s="258"/>
    </row>
    <row r="223">
      <c r="A223" s="257"/>
      <c r="B223" s="257"/>
      <c r="C223" s="258"/>
      <c r="D223" s="257"/>
      <c r="E223" s="257"/>
      <c r="F223" s="257"/>
      <c r="G223" s="258"/>
      <c r="H223" s="258"/>
      <c r="I223" s="258"/>
      <c r="J223" s="258"/>
      <c r="K223" s="258"/>
      <c r="L223" s="258"/>
      <c r="M223" s="258"/>
      <c r="N223" s="258"/>
    </row>
    <row r="224">
      <c r="A224" s="257"/>
      <c r="B224" s="257"/>
      <c r="C224" s="258"/>
      <c r="D224" s="257"/>
      <c r="E224" s="257"/>
      <c r="F224" s="257"/>
      <c r="G224" s="258"/>
      <c r="H224" s="258"/>
      <c r="I224" s="258"/>
      <c r="J224" s="258"/>
      <c r="K224" s="258"/>
      <c r="L224" s="258"/>
      <c r="M224" s="258"/>
      <c r="N224" s="258"/>
    </row>
    <row r="225">
      <c r="A225" s="257"/>
      <c r="B225" s="257"/>
      <c r="C225" s="258"/>
      <c r="D225" s="257"/>
      <c r="E225" s="257"/>
      <c r="F225" s="257"/>
      <c r="G225" s="258"/>
      <c r="H225" s="258"/>
      <c r="I225" s="258"/>
      <c r="J225" s="258"/>
      <c r="K225" s="258"/>
      <c r="L225" s="258"/>
      <c r="M225" s="258"/>
      <c r="N225" s="258"/>
    </row>
    <row r="226">
      <c r="A226" s="257"/>
      <c r="B226" s="257"/>
      <c r="C226" s="258"/>
      <c r="D226" s="257"/>
      <c r="E226" s="257"/>
      <c r="F226" s="257"/>
      <c r="G226" s="258"/>
      <c r="H226" s="258"/>
      <c r="I226" s="258"/>
      <c r="J226" s="258"/>
      <c r="K226" s="258"/>
      <c r="L226" s="258"/>
      <c r="M226" s="258"/>
      <c r="N226" s="258"/>
    </row>
    <row r="227">
      <c r="A227" s="257"/>
      <c r="B227" s="257"/>
      <c r="C227" s="258"/>
      <c r="D227" s="257"/>
      <c r="E227" s="257"/>
      <c r="F227" s="257"/>
      <c r="G227" s="258"/>
      <c r="H227" s="258"/>
      <c r="I227" s="258"/>
      <c r="J227" s="258"/>
      <c r="K227" s="258"/>
      <c r="L227" s="258"/>
      <c r="M227" s="258"/>
      <c r="N227" s="258"/>
    </row>
    <row r="228">
      <c r="A228" s="257"/>
      <c r="B228" s="257"/>
      <c r="C228" s="258"/>
      <c r="D228" s="257"/>
      <c r="E228" s="257"/>
      <c r="F228" s="257"/>
      <c r="G228" s="258"/>
      <c r="H228" s="258"/>
      <c r="I228" s="258"/>
      <c r="J228" s="258"/>
      <c r="K228" s="258"/>
      <c r="L228" s="258"/>
      <c r="M228" s="258"/>
      <c r="N228" s="258"/>
    </row>
    <row r="229">
      <c r="A229" s="257"/>
      <c r="B229" s="257"/>
      <c r="C229" s="258"/>
      <c r="D229" s="257"/>
      <c r="E229" s="257"/>
      <c r="F229" s="257"/>
      <c r="G229" s="258"/>
      <c r="H229" s="258"/>
      <c r="I229" s="258"/>
      <c r="J229" s="258"/>
      <c r="K229" s="258"/>
      <c r="L229" s="258"/>
      <c r="M229" s="258"/>
      <c r="N229" s="258"/>
    </row>
    <row r="230">
      <c r="A230" s="257"/>
      <c r="B230" s="257"/>
      <c r="C230" s="258"/>
      <c r="D230" s="257"/>
      <c r="E230" s="257"/>
      <c r="F230" s="257"/>
      <c r="G230" s="258"/>
      <c r="H230" s="258"/>
      <c r="I230" s="258"/>
      <c r="J230" s="258"/>
      <c r="K230" s="258"/>
      <c r="L230" s="258"/>
      <c r="M230" s="258"/>
      <c r="N230" s="258"/>
    </row>
    <row r="231">
      <c r="A231" s="257"/>
      <c r="B231" s="257"/>
      <c r="C231" s="258"/>
      <c r="D231" s="257"/>
      <c r="E231" s="257"/>
      <c r="F231" s="257"/>
      <c r="G231" s="258"/>
      <c r="H231" s="258"/>
      <c r="I231" s="258"/>
      <c r="J231" s="258"/>
      <c r="K231" s="258"/>
      <c r="L231" s="258"/>
      <c r="M231" s="258"/>
      <c r="N231" s="258"/>
    </row>
    <row r="232">
      <c r="A232" s="257"/>
      <c r="B232" s="257"/>
      <c r="C232" s="258"/>
      <c r="D232" s="257"/>
      <c r="E232" s="257"/>
      <c r="F232" s="257"/>
      <c r="G232" s="258"/>
      <c r="H232" s="258"/>
      <c r="I232" s="258"/>
      <c r="J232" s="258"/>
      <c r="K232" s="258"/>
      <c r="L232" s="258"/>
      <c r="M232" s="258"/>
      <c r="N232" s="258"/>
    </row>
    <row r="233">
      <c r="A233" s="257"/>
      <c r="B233" s="257"/>
      <c r="C233" s="258"/>
      <c r="D233" s="257"/>
      <c r="E233" s="257"/>
      <c r="F233" s="257"/>
      <c r="G233" s="258"/>
      <c r="H233" s="258"/>
      <c r="I233" s="258"/>
      <c r="J233" s="258"/>
      <c r="K233" s="258"/>
      <c r="L233" s="258"/>
      <c r="M233" s="258"/>
      <c r="N233" s="258"/>
    </row>
    <row r="234">
      <c r="A234" s="257"/>
      <c r="B234" s="257"/>
      <c r="C234" s="258"/>
      <c r="D234" s="257"/>
      <c r="E234" s="257"/>
      <c r="F234" s="257"/>
      <c r="G234" s="258"/>
      <c r="H234" s="258"/>
      <c r="I234" s="258"/>
      <c r="J234" s="258"/>
      <c r="K234" s="258"/>
      <c r="L234" s="258"/>
      <c r="M234" s="258"/>
      <c r="N234" s="258"/>
    </row>
    <row r="235">
      <c r="A235" s="257"/>
      <c r="B235" s="257"/>
      <c r="C235" s="258"/>
      <c r="D235" s="257"/>
      <c r="E235" s="257"/>
      <c r="F235" s="257"/>
      <c r="G235" s="258"/>
      <c r="H235" s="258"/>
      <c r="I235" s="258"/>
      <c r="J235" s="258"/>
      <c r="K235" s="258"/>
      <c r="L235" s="258"/>
      <c r="M235" s="258"/>
      <c r="N235" s="258"/>
    </row>
    <row r="236">
      <c r="A236" s="257"/>
      <c r="B236" s="257"/>
      <c r="C236" s="258"/>
      <c r="D236" s="257"/>
      <c r="E236" s="257"/>
      <c r="F236" s="257"/>
      <c r="G236" s="258"/>
      <c r="H236" s="258"/>
      <c r="I236" s="258"/>
      <c r="J236" s="258"/>
      <c r="K236" s="258"/>
      <c r="L236" s="258"/>
      <c r="M236" s="258"/>
      <c r="N236" s="258"/>
    </row>
    <row r="237">
      <c r="A237" s="257"/>
      <c r="B237" s="257"/>
      <c r="C237" s="258"/>
      <c r="D237" s="257"/>
      <c r="E237" s="257"/>
      <c r="F237" s="257"/>
      <c r="G237" s="258"/>
      <c r="H237" s="258"/>
      <c r="I237" s="258"/>
      <c r="J237" s="258"/>
      <c r="K237" s="258"/>
      <c r="L237" s="258"/>
      <c r="M237" s="258"/>
      <c r="N237" s="258"/>
    </row>
    <row r="238">
      <c r="A238" s="257"/>
      <c r="B238" s="257"/>
      <c r="C238" s="258"/>
      <c r="D238" s="257"/>
      <c r="E238" s="257"/>
      <c r="F238" s="257"/>
      <c r="G238" s="258"/>
      <c r="H238" s="258"/>
      <c r="I238" s="258"/>
      <c r="J238" s="258"/>
      <c r="K238" s="258"/>
      <c r="L238" s="258"/>
      <c r="M238" s="258"/>
      <c r="N238" s="258"/>
    </row>
    <row r="239">
      <c r="A239" s="257"/>
      <c r="B239" s="257"/>
      <c r="C239" s="258"/>
      <c r="D239" s="257"/>
      <c r="E239" s="257"/>
      <c r="F239" s="257"/>
      <c r="G239" s="258"/>
      <c r="H239" s="258"/>
      <c r="I239" s="258"/>
      <c r="J239" s="258"/>
      <c r="K239" s="258"/>
      <c r="L239" s="258"/>
      <c r="M239" s="258"/>
      <c r="N239" s="258"/>
    </row>
    <row r="240">
      <c r="A240" s="257"/>
      <c r="B240" s="257"/>
      <c r="C240" s="258"/>
      <c r="D240" s="257"/>
      <c r="E240" s="257"/>
      <c r="F240" s="257"/>
      <c r="G240" s="258"/>
      <c r="H240" s="258"/>
      <c r="I240" s="258"/>
      <c r="J240" s="258"/>
      <c r="K240" s="258"/>
      <c r="L240" s="258"/>
      <c r="M240" s="258"/>
      <c r="N240" s="258"/>
    </row>
    <row r="241">
      <c r="A241" s="257"/>
      <c r="B241" s="257"/>
      <c r="C241" s="258"/>
      <c r="D241" s="257"/>
      <c r="E241" s="257"/>
      <c r="F241" s="257"/>
      <c r="G241" s="258"/>
      <c r="H241" s="258"/>
      <c r="I241" s="258"/>
      <c r="J241" s="258"/>
      <c r="K241" s="258"/>
      <c r="L241" s="258"/>
      <c r="M241" s="258"/>
      <c r="N241" s="258"/>
    </row>
    <row r="242">
      <c r="A242" s="257"/>
      <c r="B242" s="257"/>
      <c r="C242" s="258"/>
      <c r="D242" s="257"/>
      <c r="E242" s="257"/>
      <c r="F242" s="257"/>
      <c r="G242" s="258"/>
      <c r="H242" s="258"/>
      <c r="I242" s="258"/>
      <c r="J242" s="258"/>
      <c r="K242" s="258"/>
      <c r="L242" s="258"/>
      <c r="M242" s="258"/>
      <c r="N242" s="258"/>
    </row>
    <row r="243">
      <c r="A243" s="257"/>
      <c r="B243" s="257"/>
      <c r="C243" s="258"/>
      <c r="D243" s="257"/>
      <c r="E243" s="257"/>
      <c r="F243" s="257"/>
      <c r="G243" s="258"/>
      <c r="H243" s="258"/>
      <c r="I243" s="258"/>
      <c r="J243" s="258"/>
      <c r="K243" s="258"/>
      <c r="L243" s="258"/>
      <c r="M243" s="258"/>
      <c r="N243" s="258"/>
    </row>
    <row r="244">
      <c r="A244" s="257"/>
      <c r="B244" s="257"/>
      <c r="C244" s="258"/>
      <c r="D244" s="257"/>
      <c r="E244" s="257"/>
      <c r="F244" s="257"/>
      <c r="G244" s="258"/>
      <c r="H244" s="258"/>
      <c r="I244" s="258"/>
      <c r="J244" s="258"/>
      <c r="K244" s="258"/>
      <c r="L244" s="258"/>
      <c r="M244" s="258"/>
      <c r="N244" s="258"/>
    </row>
    <row r="245">
      <c r="A245" s="257"/>
      <c r="B245" s="257"/>
      <c r="C245" s="258"/>
      <c r="D245" s="257"/>
      <c r="E245" s="257"/>
      <c r="F245" s="257"/>
      <c r="G245" s="258"/>
      <c r="H245" s="258"/>
      <c r="I245" s="258"/>
      <c r="J245" s="258"/>
      <c r="K245" s="258"/>
      <c r="L245" s="258"/>
      <c r="M245" s="258"/>
      <c r="N245" s="258"/>
    </row>
    <row r="246">
      <c r="A246" s="257"/>
      <c r="B246" s="257"/>
      <c r="C246" s="258"/>
      <c r="D246" s="257"/>
      <c r="E246" s="257"/>
      <c r="F246" s="257"/>
      <c r="G246" s="258"/>
      <c r="H246" s="258"/>
      <c r="I246" s="258"/>
      <c r="J246" s="258"/>
      <c r="K246" s="258"/>
      <c r="L246" s="258"/>
      <c r="M246" s="258"/>
      <c r="N246" s="258"/>
    </row>
    <row r="247">
      <c r="A247" s="257"/>
      <c r="B247" s="257"/>
      <c r="C247" s="258"/>
      <c r="D247" s="257"/>
      <c r="E247" s="257"/>
      <c r="F247" s="257"/>
      <c r="G247" s="258"/>
      <c r="H247" s="258"/>
      <c r="I247" s="258"/>
      <c r="J247" s="258"/>
      <c r="K247" s="258"/>
      <c r="L247" s="258"/>
      <c r="M247" s="258"/>
      <c r="N247" s="258"/>
    </row>
    <row r="248">
      <c r="A248" s="257"/>
      <c r="B248" s="257"/>
      <c r="C248" s="258"/>
      <c r="D248" s="257"/>
      <c r="E248" s="257"/>
      <c r="F248" s="257"/>
      <c r="G248" s="258"/>
      <c r="H248" s="258"/>
      <c r="I248" s="258"/>
      <c r="J248" s="258"/>
      <c r="K248" s="258"/>
      <c r="L248" s="258"/>
      <c r="M248" s="258"/>
      <c r="N248" s="258"/>
    </row>
    <row r="249">
      <c r="A249" s="257"/>
      <c r="B249" s="257"/>
      <c r="C249" s="258"/>
      <c r="D249" s="257"/>
      <c r="E249" s="257"/>
      <c r="F249" s="257"/>
      <c r="G249" s="258"/>
      <c r="H249" s="258"/>
      <c r="I249" s="258"/>
      <c r="J249" s="258"/>
      <c r="K249" s="258"/>
      <c r="L249" s="258"/>
      <c r="M249" s="258"/>
      <c r="N249" s="258"/>
    </row>
    <row r="250">
      <c r="A250" s="257"/>
      <c r="B250" s="257"/>
      <c r="C250" s="258"/>
      <c r="D250" s="257"/>
      <c r="E250" s="257"/>
      <c r="F250" s="257"/>
      <c r="G250" s="258"/>
      <c r="H250" s="258"/>
      <c r="I250" s="258"/>
      <c r="J250" s="258"/>
      <c r="K250" s="258"/>
      <c r="L250" s="258"/>
      <c r="M250" s="258"/>
      <c r="N250" s="258"/>
    </row>
    <row r="251">
      <c r="A251" s="257"/>
      <c r="B251" s="257"/>
      <c r="C251" s="258"/>
      <c r="D251" s="257"/>
      <c r="E251" s="257"/>
      <c r="F251" s="257"/>
      <c r="G251" s="258"/>
      <c r="H251" s="258"/>
      <c r="I251" s="258"/>
      <c r="J251" s="258"/>
      <c r="K251" s="258"/>
      <c r="L251" s="258"/>
      <c r="M251" s="258"/>
      <c r="N251" s="258"/>
    </row>
    <row r="252">
      <c r="A252" s="257"/>
      <c r="B252" s="257"/>
      <c r="C252" s="258"/>
      <c r="D252" s="257"/>
      <c r="E252" s="257"/>
      <c r="F252" s="257"/>
      <c r="G252" s="258"/>
      <c r="H252" s="258"/>
      <c r="I252" s="258"/>
      <c r="J252" s="258"/>
      <c r="K252" s="258"/>
      <c r="L252" s="258"/>
      <c r="M252" s="258"/>
      <c r="N252" s="258"/>
    </row>
    <row r="253">
      <c r="A253" s="257"/>
      <c r="B253" s="257"/>
      <c r="C253" s="258"/>
      <c r="D253" s="257"/>
      <c r="E253" s="257"/>
      <c r="F253" s="257"/>
      <c r="G253" s="258"/>
      <c r="H253" s="258"/>
      <c r="I253" s="258"/>
      <c r="J253" s="258"/>
      <c r="K253" s="258"/>
      <c r="L253" s="258"/>
      <c r="M253" s="258"/>
      <c r="N253" s="258"/>
    </row>
    <row r="254">
      <c r="A254" s="257"/>
      <c r="B254" s="257"/>
      <c r="C254" s="258"/>
      <c r="D254" s="257"/>
      <c r="E254" s="257"/>
      <c r="F254" s="257"/>
      <c r="G254" s="258"/>
      <c r="H254" s="258"/>
      <c r="I254" s="258"/>
      <c r="J254" s="258"/>
      <c r="K254" s="258"/>
      <c r="L254" s="258"/>
      <c r="M254" s="258"/>
      <c r="N254" s="258"/>
    </row>
    <row r="255">
      <c r="A255" s="257"/>
      <c r="B255" s="257"/>
      <c r="C255" s="258"/>
      <c r="D255" s="257"/>
      <c r="E255" s="257"/>
      <c r="F255" s="257"/>
      <c r="G255" s="258"/>
      <c r="H255" s="258"/>
      <c r="I255" s="258"/>
      <c r="J255" s="258"/>
      <c r="K255" s="258"/>
      <c r="L255" s="258"/>
      <c r="M255" s="258"/>
      <c r="N255" s="258"/>
    </row>
    <row r="256">
      <c r="A256" s="257"/>
      <c r="B256" s="257"/>
      <c r="C256" s="258"/>
      <c r="D256" s="257"/>
      <c r="E256" s="257"/>
      <c r="F256" s="257"/>
      <c r="G256" s="258"/>
      <c r="H256" s="258"/>
      <c r="I256" s="258"/>
      <c r="J256" s="258"/>
      <c r="K256" s="258"/>
      <c r="L256" s="258"/>
      <c r="M256" s="258"/>
      <c r="N256" s="258"/>
    </row>
    <row r="257">
      <c r="A257" s="257"/>
      <c r="B257" s="257"/>
      <c r="C257" s="258"/>
      <c r="D257" s="257"/>
      <c r="E257" s="257"/>
      <c r="F257" s="257"/>
      <c r="G257" s="258"/>
      <c r="H257" s="258"/>
      <c r="I257" s="258"/>
      <c r="J257" s="258"/>
      <c r="K257" s="258"/>
      <c r="L257" s="258"/>
      <c r="M257" s="258"/>
      <c r="N257" s="258"/>
    </row>
    <row r="258">
      <c r="A258" s="257"/>
      <c r="B258" s="257"/>
      <c r="C258" s="258"/>
      <c r="D258" s="257"/>
      <c r="E258" s="257"/>
      <c r="F258" s="257"/>
      <c r="G258" s="258"/>
      <c r="H258" s="258"/>
      <c r="I258" s="258"/>
      <c r="J258" s="258"/>
      <c r="K258" s="258"/>
      <c r="L258" s="258"/>
      <c r="M258" s="258"/>
      <c r="N258" s="258"/>
    </row>
    <row r="259">
      <c r="A259" s="257"/>
      <c r="B259" s="257"/>
      <c r="C259" s="258"/>
      <c r="D259" s="257"/>
      <c r="E259" s="257"/>
      <c r="F259" s="257"/>
      <c r="G259" s="258"/>
      <c r="H259" s="258"/>
      <c r="I259" s="258"/>
      <c r="J259" s="258"/>
      <c r="K259" s="258"/>
      <c r="L259" s="258"/>
      <c r="M259" s="258"/>
      <c r="N259" s="258"/>
    </row>
    <row r="260">
      <c r="A260" s="257"/>
      <c r="B260" s="257"/>
      <c r="C260" s="258"/>
      <c r="D260" s="257"/>
      <c r="E260" s="257"/>
      <c r="F260" s="257"/>
      <c r="G260" s="258"/>
      <c r="H260" s="258"/>
      <c r="I260" s="258"/>
      <c r="J260" s="258"/>
      <c r="K260" s="258"/>
      <c r="L260" s="258"/>
      <c r="M260" s="258"/>
      <c r="N260" s="258"/>
    </row>
    <row r="261">
      <c r="A261" s="257"/>
      <c r="B261" s="257"/>
      <c r="C261" s="258"/>
      <c r="D261" s="257"/>
      <c r="E261" s="257"/>
      <c r="F261" s="257"/>
      <c r="G261" s="258"/>
      <c r="H261" s="258"/>
      <c r="I261" s="258"/>
      <c r="J261" s="258"/>
      <c r="K261" s="258"/>
      <c r="L261" s="258"/>
      <c r="M261" s="258"/>
      <c r="N261" s="258"/>
    </row>
    <row r="262">
      <c r="A262" s="257"/>
      <c r="B262" s="257"/>
      <c r="C262" s="258"/>
      <c r="D262" s="257"/>
      <c r="E262" s="257"/>
      <c r="F262" s="257"/>
      <c r="G262" s="258"/>
      <c r="H262" s="258"/>
      <c r="I262" s="258"/>
      <c r="J262" s="258"/>
      <c r="K262" s="258"/>
      <c r="L262" s="258"/>
      <c r="M262" s="258"/>
      <c r="N262" s="258"/>
    </row>
    <row r="263">
      <c r="A263" s="257"/>
      <c r="B263" s="257"/>
      <c r="C263" s="258"/>
      <c r="D263" s="257"/>
      <c r="E263" s="257"/>
      <c r="F263" s="257"/>
      <c r="G263" s="258"/>
      <c r="H263" s="258"/>
      <c r="I263" s="258"/>
      <c r="J263" s="258"/>
      <c r="K263" s="258"/>
      <c r="L263" s="258"/>
      <c r="M263" s="258"/>
      <c r="N263" s="258"/>
    </row>
    <row r="264">
      <c r="A264" s="257"/>
      <c r="B264" s="257"/>
      <c r="C264" s="258"/>
      <c r="D264" s="257"/>
      <c r="E264" s="257"/>
      <c r="F264" s="257"/>
      <c r="G264" s="258"/>
      <c r="H264" s="258"/>
      <c r="I264" s="258"/>
      <c r="J264" s="258"/>
      <c r="K264" s="258"/>
      <c r="L264" s="258"/>
      <c r="M264" s="258"/>
      <c r="N264" s="258"/>
    </row>
    <row r="265">
      <c r="A265" s="257"/>
      <c r="B265" s="257"/>
      <c r="C265" s="258"/>
      <c r="D265" s="257"/>
      <c r="E265" s="257"/>
      <c r="F265" s="257"/>
      <c r="G265" s="258"/>
      <c r="H265" s="258"/>
      <c r="I265" s="258"/>
      <c r="J265" s="258"/>
      <c r="K265" s="258"/>
      <c r="L265" s="258"/>
      <c r="M265" s="258"/>
      <c r="N265" s="258"/>
    </row>
    <row r="266">
      <c r="A266" s="257"/>
      <c r="B266" s="257"/>
      <c r="C266" s="258"/>
      <c r="D266" s="257"/>
      <c r="E266" s="257"/>
      <c r="F266" s="257"/>
      <c r="G266" s="258"/>
      <c r="H266" s="258"/>
      <c r="I266" s="258"/>
      <c r="J266" s="258"/>
      <c r="K266" s="258"/>
      <c r="L266" s="258"/>
      <c r="M266" s="258"/>
      <c r="N266" s="258"/>
    </row>
    <row r="267">
      <c r="A267" s="257"/>
      <c r="B267" s="257"/>
      <c r="C267" s="258"/>
      <c r="D267" s="257"/>
      <c r="E267" s="257"/>
      <c r="F267" s="257"/>
      <c r="G267" s="258"/>
      <c r="H267" s="258"/>
      <c r="I267" s="258"/>
      <c r="J267" s="258"/>
      <c r="K267" s="258"/>
      <c r="L267" s="258"/>
      <c r="M267" s="258"/>
      <c r="N267" s="258"/>
    </row>
    <row r="268">
      <c r="A268" s="257"/>
      <c r="B268" s="257"/>
      <c r="C268" s="258"/>
      <c r="D268" s="257"/>
      <c r="E268" s="257"/>
      <c r="F268" s="257"/>
      <c r="G268" s="258"/>
      <c r="H268" s="258"/>
      <c r="I268" s="258"/>
      <c r="J268" s="258"/>
      <c r="K268" s="258"/>
      <c r="L268" s="258"/>
      <c r="M268" s="258"/>
      <c r="N268" s="258"/>
    </row>
    <row r="269">
      <c r="A269" s="257"/>
      <c r="B269" s="257"/>
      <c r="C269" s="258"/>
      <c r="D269" s="257"/>
      <c r="E269" s="257"/>
      <c r="F269" s="257"/>
      <c r="G269" s="258"/>
      <c r="H269" s="258"/>
      <c r="I269" s="258"/>
      <c r="J269" s="258"/>
      <c r="K269" s="258"/>
      <c r="L269" s="258"/>
      <c r="M269" s="258"/>
      <c r="N269" s="258"/>
    </row>
    <row r="270">
      <c r="A270" s="257"/>
      <c r="B270" s="257"/>
      <c r="C270" s="258"/>
      <c r="D270" s="257"/>
      <c r="E270" s="257"/>
      <c r="F270" s="257"/>
      <c r="G270" s="258"/>
      <c r="H270" s="258"/>
      <c r="I270" s="258"/>
      <c r="J270" s="258"/>
      <c r="K270" s="258"/>
      <c r="L270" s="258"/>
      <c r="M270" s="258"/>
      <c r="N270" s="258"/>
    </row>
    <row r="271">
      <c r="A271" s="257"/>
      <c r="B271" s="257"/>
      <c r="C271" s="258"/>
      <c r="D271" s="257"/>
      <c r="E271" s="257"/>
      <c r="F271" s="257"/>
      <c r="G271" s="258"/>
      <c r="H271" s="258"/>
      <c r="I271" s="258"/>
      <c r="J271" s="258"/>
      <c r="K271" s="258"/>
      <c r="L271" s="258"/>
      <c r="M271" s="258"/>
      <c r="N271" s="258"/>
    </row>
    <row r="272">
      <c r="A272" s="257"/>
      <c r="B272" s="257"/>
      <c r="C272" s="258"/>
      <c r="D272" s="257"/>
      <c r="E272" s="257"/>
      <c r="F272" s="257"/>
      <c r="G272" s="258"/>
      <c r="H272" s="258"/>
      <c r="I272" s="258"/>
      <c r="J272" s="258"/>
      <c r="K272" s="258"/>
      <c r="L272" s="258"/>
      <c r="M272" s="258"/>
      <c r="N272" s="258"/>
    </row>
    <row r="273">
      <c r="A273" s="257"/>
      <c r="B273" s="257"/>
      <c r="C273" s="258"/>
      <c r="D273" s="257"/>
      <c r="E273" s="257"/>
      <c r="F273" s="257"/>
      <c r="G273" s="258"/>
      <c r="H273" s="258"/>
      <c r="I273" s="258"/>
      <c r="J273" s="258"/>
      <c r="K273" s="258"/>
      <c r="L273" s="258"/>
      <c r="M273" s="258"/>
      <c r="N273" s="258"/>
    </row>
    <row r="274">
      <c r="A274" s="257"/>
      <c r="B274" s="257"/>
      <c r="C274" s="258"/>
      <c r="D274" s="257"/>
      <c r="E274" s="257"/>
      <c r="F274" s="257"/>
      <c r="G274" s="258"/>
      <c r="H274" s="258"/>
      <c r="I274" s="258"/>
      <c r="J274" s="258"/>
      <c r="K274" s="258"/>
      <c r="L274" s="258"/>
      <c r="M274" s="258"/>
      <c r="N274" s="258"/>
    </row>
    <row r="275">
      <c r="A275" s="257"/>
      <c r="B275" s="257"/>
      <c r="C275" s="258"/>
      <c r="D275" s="257"/>
      <c r="E275" s="257"/>
      <c r="F275" s="257"/>
      <c r="G275" s="258"/>
      <c r="H275" s="258"/>
      <c r="I275" s="258"/>
      <c r="J275" s="258"/>
      <c r="K275" s="258"/>
      <c r="L275" s="258"/>
      <c r="M275" s="258"/>
      <c r="N275" s="258"/>
    </row>
    <row r="276">
      <c r="A276" s="257"/>
      <c r="B276" s="257"/>
      <c r="C276" s="258"/>
      <c r="D276" s="257"/>
      <c r="E276" s="257"/>
      <c r="F276" s="257"/>
      <c r="G276" s="258"/>
      <c r="H276" s="258"/>
      <c r="I276" s="258"/>
      <c r="J276" s="258"/>
      <c r="K276" s="258"/>
      <c r="L276" s="258"/>
      <c r="M276" s="258"/>
      <c r="N276" s="258"/>
    </row>
    <row r="277">
      <c r="A277" s="257"/>
      <c r="B277" s="257"/>
      <c r="C277" s="258"/>
      <c r="D277" s="257"/>
      <c r="E277" s="257"/>
      <c r="F277" s="257"/>
      <c r="G277" s="258"/>
      <c r="H277" s="258"/>
      <c r="I277" s="258"/>
      <c r="J277" s="258"/>
      <c r="K277" s="258"/>
      <c r="L277" s="258"/>
      <c r="M277" s="258"/>
      <c r="N277" s="258"/>
    </row>
    <row r="278">
      <c r="A278" s="257"/>
      <c r="B278" s="257"/>
      <c r="C278" s="258"/>
      <c r="D278" s="257"/>
      <c r="E278" s="257"/>
      <c r="F278" s="257"/>
      <c r="G278" s="258"/>
      <c r="H278" s="258"/>
      <c r="I278" s="258"/>
      <c r="J278" s="258"/>
      <c r="K278" s="258"/>
      <c r="L278" s="258"/>
      <c r="M278" s="258"/>
      <c r="N278" s="258"/>
    </row>
    <row r="279">
      <c r="A279" s="257"/>
      <c r="B279" s="257"/>
      <c r="C279" s="258"/>
      <c r="D279" s="257"/>
      <c r="E279" s="257"/>
      <c r="F279" s="257"/>
      <c r="G279" s="258"/>
      <c r="H279" s="258"/>
      <c r="I279" s="258"/>
      <c r="J279" s="258"/>
      <c r="K279" s="258"/>
      <c r="L279" s="258"/>
      <c r="M279" s="258"/>
      <c r="N279" s="258"/>
    </row>
    <row r="280">
      <c r="A280" s="257"/>
      <c r="B280" s="257"/>
      <c r="C280" s="258"/>
      <c r="D280" s="257"/>
      <c r="E280" s="257"/>
      <c r="F280" s="257"/>
      <c r="G280" s="258"/>
      <c r="H280" s="258"/>
      <c r="I280" s="258"/>
      <c r="J280" s="258"/>
      <c r="K280" s="258"/>
      <c r="L280" s="258"/>
      <c r="M280" s="258"/>
      <c r="N280" s="258"/>
    </row>
    <row r="281">
      <c r="A281" s="257"/>
      <c r="B281" s="257"/>
      <c r="C281" s="258"/>
      <c r="D281" s="257"/>
      <c r="E281" s="257"/>
      <c r="F281" s="257"/>
      <c r="G281" s="258"/>
      <c r="H281" s="258"/>
      <c r="I281" s="258"/>
      <c r="J281" s="258"/>
      <c r="K281" s="258"/>
      <c r="L281" s="258"/>
      <c r="M281" s="258"/>
      <c r="N281" s="258"/>
    </row>
    <row r="282">
      <c r="A282" s="257"/>
      <c r="B282" s="257"/>
      <c r="C282" s="258"/>
      <c r="D282" s="257"/>
      <c r="E282" s="257"/>
      <c r="F282" s="257"/>
      <c r="G282" s="258"/>
      <c r="H282" s="258"/>
      <c r="I282" s="258"/>
      <c r="J282" s="258"/>
      <c r="K282" s="258"/>
      <c r="L282" s="258"/>
      <c r="M282" s="258"/>
      <c r="N282" s="258"/>
    </row>
    <row r="283">
      <c r="A283" s="257"/>
      <c r="B283" s="257"/>
      <c r="C283" s="258"/>
      <c r="D283" s="257"/>
      <c r="E283" s="257"/>
      <c r="F283" s="257"/>
      <c r="G283" s="258"/>
      <c r="H283" s="258"/>
      <c r="I283" s="258"/>
      <c r="J283" s="258"/>
      <c r="K283" s="258"/>
      <c r="L283" s="258"/>
      <c r="M283" s="258"/>
      <c r="N283" s="258"/>
    </row>
    <row r="284">
      <c r="A284" s="257"/>
      <c r="B284" s="257"/>
      <c r="C284" s="258"/>
      <c r="D284" s="257"/>
      <c r="E284" s="257"/>
      <c r="F284" s="257"/>
      <c r="G284" s="258"/>
      <c r="H284" s="258"/>
      <c r="I284" s="258"/>
      <c r="J284" s="258"/>
      <c r="K284" s="258"/>
      <c r="L284" s="258"/>
      <c r="M284" s="258"/>
      <c r="N284" s="258"/>
    </row>
    <row r="285">
      <c r="A285" s="257"/>
      <c r="B285" s="257"/>
      <c r="C285" s="258"/>
      <c r="D285" s="257"/>
      <c r="E285" s="257"/>
      <c r="F285" s="257"/>
      <c r="G285" s="258"/>
      <c r="H285" s="258"/>
      <c r="I285" s="258"/>
      <c r="J285" s="258"/>
      <c r="K285" s="258"/>
      <c r="L285" s="258"/>
      <c r="M285" s="258"/>
      <c r="N285" s="258"/>
    </row>
    <row r="286">
      <c r="A286" s="257"/>
      <c r="B286" s="257"/>
      <c r="C286" s="258"/>
      <c r="D286" s="257"/>
      <c r="E286" s="257"/>
      <c r="F286" s="257"/>
      <c r="G286" s="258"/>
      <c r="H286" s="258"/>
      <c r="I286" s="258"/>
      <c r="J286" s="258"/>
      <c r="K286" s="258"/>
      <c r="L286" s="258"/>
      <c r="M286" s="258"/>
      <c r="N286" s="258"/>
    </row>
    <row r="287">
      <c r="A287" s="257"/>
      <c r="B287" s="257"/>
      <c r="C287" s="258"/>
      <c r="D287" s="257"/>
      <c r="E287" s="257"/>
      <c r="F287" s="257"/>
      <c r="G287" s="258"/>
      <c r="H287" s="258"/>
      <c r="I287" s="258"/>
      <c r="J287" s="258"/>
      <c r="K287" s="258"/>
      <c r="L287" s="258"/>
      <c r="M287" s="258"/>
      <c r="N287" s="258"/>
    </row>
    <row r="288">
      <c r="A288" s="257"/>
      <c r="B288" s="257"/>
      <c r="C288" s="258"/>
      <c r="D288" s="257"/>
      <c r="E288" s="257"/>
      <c r="F288" s="257"/>
      <c r="G288" s="258"/>
      <c r="H288" s="258"/>
      <c r="I288" s="258"/>
      <c r="J288" s="258"/>
      <c r="K288" s="258"/>
      <c r="L288" s="258"/>
      <c r="M288" s="258"/>
      <c r="N288" s="258"/>
    </row>
    <row r="289">
      <c r="A289" s="257"/>
      <c r="B289" s="257"/>
      <c r="C289" s="258"/>
      <c r="D289" s="257"/>
      <c r="E289" s="257"/>
      <c r="F289" s="257"/>
      <c r="G289" s="258"/>
      <c r="H289" s="258"/>
      <c r="I289" s="258"/>
      <c r="J289" s="258"/>
      <c r="K289" s="258"/>
      <c r="L289" s="258"/>
      <c r="M289" s="258"/>
      <c r="N289" s="258"/>
    </row>
    <row r="290">
      <c r="A290" s="257"/>
      <c r="B290" s="257"/>
      <c r="C290" s="258"/>
      <c r="D290" s="257"/>
      <c r="E290" s="257"/>
      <c r="F290" s="257"/>
      <c r="G290" s="258"/>
      <c r="H290" s="258"/>
      <c r="I290" s="258"/>
      <c r="J290" s="258"/>
      <c r="K290" s="258"/>
      <c r="L290" s="258"/>
      <c r="M290" s="258"/>
      <c r="N290" s="258"/>
    </row>
    <row r="291">
      <c r="A291" s="257"/>
      <c r="B291" s="257"/>
      <c r="C291" s="258"/>
      <c r="D291" s="257"/>
      <c r="E291" s="257"/>
      <c r="F291" s="257"/>
      <c r="G291" s="258"/>
      <c r="H291" s="258"/>
      <c r="I291" s="258"/>
      <c r="J291" s="258"/>
      <c r="K291" s="258"/>
      <c r="L291" s="258"/>
      <c r="M291" s="258"/>
      <c r="N291" s="258"/>
    </row>
    <row r="292">
      <c r="A292" s="257"/>
      <c r="B292" s="257"/>
      <c r="C292" s="258"/>
      <c r="D292" s="257"/>
      <c r="E292" s="257"/>
      <c r="F292" s="257"/>
      <c r="G292" s="258"/>
      <c r="H292" s="258"/>
      <c r="I292" s="258"/>
      <c r="J292" s="258"/>
      <c r="K292" s="258"/>
      <c r="L292" s="258"/>
      <c r="M292" s="258"/>
      <c r="N292" s="258"/>
    </row>
    <row r="293">
      <c r="A293" s="257"/>
      <c r="B293" s="257"/>
      <c r="C293" s="258"/>
      <c r="D293" s="257"/>
      <c r="E293" s="257"/>
      <c r="F293" s="257"/>
      <c r="G293" s="258"/>
      <c r="H293" s="258"/>
      <c r="I293" s="258"/>
      <c r="J293" s="258"/>
      <c r="K293" s="258"/>
      <c r="L293" s="258"/>
      <c r="M293" s="258"/>
      <c r="N293" s="258"/>
    </row>
    <row r="294">
      <c r="A294" s="257"/>
      <c r="B294" s="257"/>
      <c r="C294" s="258"/>
      <c r="D294" s="257"/>
      <c r="E294" s="257"/>
      <c r="F294" s="257"/>
      <c r="G294" s="258"/>
      <c r="H294" s="258"/>
      <c r="I294" s="258"/>
      <c r="J294" s="258"/>
      <c r="K294" s="258"/>
      <c r="L294" s="258"/>
      <c r="M294" s="258"/>
      <c r="N294" s="258"/>
    </row>
    <row r="295">
      <c r="A295" s="257"/>
      <c r="B295" s="257"/>
      <c r="C295" s="258"/>
      <c r="D295" s="257"/>
      <c r="E295" s="257"/>
      <c r="F295" s="257"/>
      <c r="G295" s="258"/>
      <c r="H295" s="258"/>
      <c r="I295" s="258"/>
      <c r="J295" s="258"/>
      <c r="K295" s="258"/>
      <c r="L295" s="258"/>
      <c r="M295" s="258"/>
      <c r="N295" s="258"/>
    </row>
    <row r="296">
      <c r="A296" s="257"/>
      <c r="B296" s="257"/>
      <c r="C296" s="258"/>
      <c r="D296" s="257"/>
      <c r="E296" s="257"/>
      <c r="F296" s="257"/>
      <c r="G296" s="258"/>
      <c r="H296" s="258"/>
      <c r="I296" s="258"/>
      <c r="J296" s="258"/>
      <c r="K296" s="258"/>
      <c r="L296" s="258"/>
      <c r="M296" s="258"/>
      <c r="N296" s="258"/>
    </row>
    <row r="297">
      <c r="A297" s="257"/>
      <c r="B297" s="257"/>
      <c r="C297" s="258"/>
      <c r="D297" s="257"/>
      <c r="E297" s="257"/>
      <c r="F297" s="257"/>
      <c r="G297" s="258"/>
      <c r="H297" s="258"/>
      <c r="I297" s="258"/>
      <c r="J297" s="258"/>
      <c r="K297" s="258"/>
      <c r="L297" s="258"/>
      <c r="M297" s="258"/>
      <c r="N297" s="258"/>
    </row>
    <row r="298">
      <c r="A298" s="257"/>
      <c r="B298" s="257"/>
      <c r="C298" s="258"/>
      <c r="D298" s="257"/>
      <c r="E298" s="257"/>
      <c r="F298" s="257"/>
      <c r="G298" s="258"/>
      <c r="H298" s="258"/>
      <c r="I298" s="258"/>
      <c r="J298" s="258"/>
      <c r="K298" s="258"/>
      <c r="L298" s="258"/>
      <c r="M298" s="258"/>
      <c r="N298" s="258"/>
    </row>
    <row r="299">
      <c r="A299" s="257"/>
      <c r="B299" s="257"/>
      <c r="C299" s="258"/>
      <c r="D299" s="257"/>
      <c r="E299" s="257"/>
      <c r="F299" s="257"/>
      <c r="G299" s="258"/>
      <c r="H299" s="258"/>
      <c r="I299" s="258"/>
      <c r="J299" s="258"/>
      <c r="K299" s="258"/>
      <c r="L299" s="258"/>
      <c r="M299" s="258"/>
      <c r="N299" s="258"/>
    </row>
    <row r="300">
      <c r="A300" s="257"/>
      <c r="B300" s="257"/>
      <c r="C300" s="258"/>
      <c r="D300" s="257"/>
      <c r="E300" s="257"/>
      <c r="F300" s="257"/>
      <c r="G300" s="258"/>
      <c r="H300" s="258"/>
      <c r="I300" s="258"/>
      <c r="J300" s="258"/>
      <c r="K300" s="258"/>
      <c r="L300" s="258"/>
      <c r="M300" s="258"/>
      <c r="N300" s="258"/>
    </row>
    <row r="301">
      <c r="A301" s="257"/>
      <c r="B301" s="257"/>
      <c r="C301" s="258"/>
      <c r="D301" s="257"/>
      <c r="E301" s="257"/>
      <c r="F301" s="257"/>
      <c r="G301" s="258"/>
      <c r="H301" s="258"/>
      <c r="I301" s="258"/>
      <c r="J301" s="258"/>
      <c r="K301" s="258"/>
      <c r="L301" s="258"/>
      <c r="M301" s="258"/>
      <c r="N301" s="258"/>
    </row>
    <row r="302">
      <c r="A302" s="257"/>
      <c r="B302" s="257"/>
      <c r="C302" s="258"/>
      <c r="D302" s="257"/>
      <c r="E302" s="257"/>
      <c r="F302" s="257"/>
      <c r="G302" s="258"/>
      <c r="H302" s="258"/>
      <c r="I302" s="258"/>
      <c r="J302" s="258"/>
      <c r="K302" s="258"/>
      <c r="L302" s="258"/>
      <c r="M302" s="258"/>
      <c r="N302" s="258"/>
    </row>
    <row r="303">
      <c r="A303" s="257"/>
      <c r="B303" s="257"/>
      <c r="C303" s="258"/>
      <c r="D303" s="257"/>
      <c r="E303" s="257"/>
      <c r="F303" s="257"/>
      <c r="G303" s="258"/>
      <c r="H303" s="258"/>
      <c r="I303" s="258"/>
      <c r="J303" s="258"/>
      <c r="K303" s="258"/>
      <c r="L303" s="258"/>
      <c r="M303" s="258"/>
      <c r="N303" s="258"/>
    </row>
    <row r="304">
      <c r="A304" s="257"/>
      <c r="B304" s="257"/>
      <c r="C304" s="258"/>
      <c r="D304" s="257"/>
      <c r="E304" s="257"/>
      <c r="F304" s="257"/>
      <c r="G304" s="258"/>
      <c r="H304" s="258"/>
      <c r="I304" s="258"/>
      <c r="J304" s="258"/>
      <c r="K304" s="258"/>
      <c r="L304" s="258"/>
      <c r="M304" s="258"/>
      <c r="N304" s="258"/>
    </row>
    <row r="305">
      <c r="A305" s="257"/>
      <c r="B305" s="257"/>
      <c r="C305" s="258"/>
      <c r="D305" s="257"/>
      <c r="E305" s="257"/>
      <c r="F305" s="257"/>
      <c r="G305" s="258"/>
      <c r="H305" s="258"/>
      <c r="I305" s="258"/>
      <c r="J305" s="258"/>
      <c r="K305" s="258"/>
      <c r="L305" s="258"/>
      <c r="M305" s="258"/>
      <c r="N305" s="258"/>
    </row>
    <row r="306">
      <c r="A306" s="257"/>
      <c r="B306" s="257"/>
      <c r="C306" s="258"/>
      <c r="D306" s="257"/>
      <c r="E306" s="257"/>
      <c r="F306" s="257"/>
      <c r="G306" s="258"/>
      <c r="H306" s="258"/>
      <c r="I306" s="258"/>
      <c r="J306" s="258"/>
      <c r="K306" s="258"/>
      <c r="L306" s="258"/>
      <c r="M306" s="258"/>
      <c r="N306" s="258"/>
    </row>
    <row r="307">
      <c r="A307" s="257"/>
      <c r="B307" s="257"/>
      <c r="C307" s="258"/>
      <c r="D307" s="257"/>
      <c r="E307" s="257"/>
      <c r="F307" s="257"/>
      <c r="G307" s="258"/>
      <c r="H307" s="258"/>
      <c r="I307" s="258"/>
      <c r="J307" s="258"/>
      <c r="K307" s="258"/>
      <c r="L307" s="258"/>
      <c r="M307" s="258"/>
      <c r="N307" s="258"/>
    </row>
    <row r="308">
      <c r="A308" s="257"/>
      <c r="B308" s="257"/>
      <c r="C308" s="258"/>
      <c r="D308" s="257"/>
      <c r="E308" s="257"/>
      <c r="F308" s="257"/>
      <c r="G308" s="258"/>
      <c r="H308" s="258"/>
      <c r="I308" s="258"/>
      <c r="J308" s="258"/>
      <c r="K308" s="258"/>
      <c r="L308" s="258"/>
      <c r="M308" s="258"/>
      <c r="N308" s="258"/>
    </row>
    <row r="309">
      <c r="A309" s="257"/>
      <c r="B309" s="257"/>
      <c r="C309" s="258"/>
      <c r="D309" s="257"/>
      <c r="E309" s="257"/>
      <c r="F309" s="257"/>
      <c r="G309" s="258"/>
      <c r="H309" s="258"/>
      <c r="I309" s="258"/>
      <c r="J309" s="258"/>
      <c r="K309" s="258"/>
      <c r="L309" s="258"/>
      <c r="M309" s="258"/>
      <c r="N309" s="258"/>
    </row>
    <row r="310">
      <c r="A310" s="257"/>
      <c r="B310" s="257"/>
      <c r="C310" s="258"/>
      <c r="D310" s="257"/>
      <c r="E310" s="257"/>
      <c r="F310" s="257"/>
      <c r="G310" s="258"/>
      <c r="H310" s="258"/>
      <c r="I310" s="258"/>
      <c r="J310" s="258"/>
      <c r="K310" s="258"/>
      <c r="L310" s="258"/>
      <c r="M310" s="258"/>
      <c r="N310" s="258"/>
    </row>
    <row r="311">
      <c r="A311" s="257"/>
      <c r="B311" s="257"/>
      <c r="C311" s="258"/>
      <c r="D311" s="257"/>
      <c r="E311" s="257"/>
      <c r="F311" s="257"/>
      <c r="G311" s="258"/>
      <c r="H311" s="258"/>
      <c r="I311" s="258"/>
      <c r="J311" s="258"/>
      <c r="K311" s="258"/>
      <c r="L311" s="258"/>
      <c r="M311" s="258"/>
      <c r="N311" s="258"/>
    </row>
    <row r="312">
      <c r="A312" s="257"/>
      <c r="B312" s="257"/>
      <c r="C312" s="258"/>
      <c r="D312" s="257"/>
      <c r="E312" s="257"/>
      <c r="F312" s="257"/>
      <c r="G312" s="258"/>
      <c r="H312" s="258"/>
      <c r="I312" s="258"/>
      <c r="J312" s="258"/>
      <c r="K312" s="258"/>
      <c r="L312" s="258"/>
      <c r="M312" s="258"/>
      <c r="N312" s="258"/>
    </row>
    <row r="313">
      <c r="A313" s="257"/>
      <c r="B313" s="257"/>
      <c r="C313" s="258"/>
      <c r="D313" s="257"/>
      <c r="E313" s="257"/>
      <c r="F313" s="257"/>
      <c r="G313" s="258"/>
      <c r="H313" s="258"/>
      <c r="I313" s="258"/>
      <c r="J313" s="258"/>
      <c r="K313" s="258"/>
      <c r="L313" s="258"/>
      <c r="M313" s="258"/>
      <c r="N313" s="258"/>
    </row>
    <row r="314">
      <c r="A314" s="257"/>
      <c r="B314" s="257"/>
      <c r="C314" s="258"/>
      <c r="D314" s="257"/>
      <c r="E314" s="257"/>
      <c r="F314" s="257"/>
      <c r="G314" s="258"/>
      <c r="H314" s="258"/>
      <c r="I314" s="258"/>
      <c r="J314" s="258"/>
      <c r="K314" s="258"/>
      <c r="L314" s="258"/>
      <c r="M314" s="258"/>
      <c r="N314" s="258"/>
    </row>
    <row r="315">
      <c r="A315" s="257"/>
      <c r="B315" s="257"/>
      <c r="C315" s="258"/>
      <c r="D315" s="257"/>
      <c r="E315" s="257"/>
      <c r="F315" s="257"/>
      <c r="G315" s="258"/>
      <c r="H315" s="258"/>
      <c r="I315" s="258"/>
      <c r="J315" s="258"/>
      <c r="K315" s="258"/>
      <c r="L315" s="258"/>
      <c r="M315" s="258"/>
      <c r="N315" s="258"/>
    </row>
    <row r="316">
      <c r="A316" s="257"/>
      <c r="B316" s="257"/>
      <c r="C316" s="258"/>
      <c r="D316" s="257"/>
      <c r="E316" s="257"/>
      <c r="F316" s="257"/>
      <c r="G316" s="258"/>
      <c r="H316" s="258"/>
      <c r="I316" s="258"/>
      <c r="J316" s="258"/>
      <c r="K316" s="258"/>
      <c r="L316" s="258"/>
      <c r="M316" s="258"/>
      <c r="N316" s="258"/>
    </row>
    <row r="317">
      <c r="A317" s="257"/>
      <c r="B317" s="257"/>
      <c r="C317" s="258"/>
      <c r="D317" s="257"/>
      <c r="E317" s="257"/>
      <c r="F317" s="257"/>
      <c r="G317" s="258"/>
      <c r="H317" s="258"/>
      <c r="I317" s="258"/>
      <c r="J317" s="258"/>
      <c r="K317" s="258"/>
      <c r="L317" s="258"/>
      <c r="M317" s="258"/>
      <c r="N317" s="258"/>
    </row>
    <row r="318">
      <c r="A318" s="257"/>
      <c r="B318" s="257"/>
      <c r="C318" s="258"/>
      <c r="D318" s="257"/>
      <c r="E318" s="257"/>
      <c r="F318" s="257"/>
      <c r="G318" s="258"/>
      <c r="H318" s="258"/>
      <c r="I318" s="258"/>
      <c r="J318" s="258"/>
      <c r="K318" s="258"/>
      <c r="L318" s="258"/>
      <c r="M318" s="258"/>
      <c r="N318" s="258"/>
    </row>
    <row r="319">
      <c r="A319" s="257"/>
      <c r="B319" s="257"/>
      <c r="C319" s="258"/>
      <c r="D319" s="257"/>
      <c r="E319" s="257"/>
      <c r="F319" s="257"/>
      <c r="G319" s="258"/>
      <c r="H319" s="258"/>
      <c r="I319" s="258"/>
      <c r="J319" s="258"/>
      <c r="K319" s="258"/>
      <c r="L319" s="258"/>
      <c r="M319" s="258"/>
      <c r="N319" s="258"/>
    </row>
    <row r="320">
      <c r="A320" s="257"/>
      <c r="B320" s="257"/>
      <c r="C320" s="258"/>
      <c r="D320" s="257"/>
      <c r="E320" s="257"/>
      <c r="F320" s="257"/>
      <c r="G320" s="258"/>
      <c r="H320" s="258"/>
      <c r="I320" s="258"/>
      <c r="J320" s="258"/>
      <c r="K320" s="258"/>
      <c r="L320" s="258"/>
      <c r="M320" s="258"/>
      <c r="N320" s="258"/>
    </row>
    <row r="321">
      <c r="A321" s="257"/>
      <c r="B321" s="257"/>
      <c r="C321" s="258"/>
      <c r="D321" s="257"/>
      <c r="E321" s="257"/>
      <c r="F321" s="257"/>
      <c r="G321" s="258"/>
      <c r="H321" s="258"/>
      <c r="I321" s="258"/>
      <c r="J321" s="258"/>
      <c r="K321" s="258"/>
      <c r="L321" s="258"/>
      <c r="M321" s="258"/>
      <c r="N321" s="258"/>
    </row>
    <row r="322">
      <c r="A322" s="257"/>
      <c r="B322" s="257"/>
      <c r="C322" s="258"/>
      <c r="D322" s="257"/>
      <c r="E322" s="257"/>
      <c r="F322" s="257"/>
      <c r="G322" s="258"/>
      <c r="H322" s="258"/>
      <c r="I322" s="258"/>
      <c r="J322" s="258"/>
      <c r="K322" s="258"/>
      <c r="L322" s="258"/>
      <c r="M322" s="258"/>
      <c r="N322" s="258"/>
    </row>
    <row r="323">
      <c r="A323" s="257"/>
      <c r="B323" s="257"/>
      <c r="C323" s="258"/>
      <c r="D323" s="257"/>
      <c r="E323" s="257"/>
      <c r="F323" s="257"/>
      <c r="G323" s="258"/>
      <c r="H323" s="258"/>
      <c r="I323" s="258"/>
      <c r="J323" s="258"/>
      <c r="K323" s="258"/>
      <c r="L323" s="258"/>
      <c r="M323" s="258"/>
      <c r="N323" s="258"/>
    </row>
    <row r="324">
      <c r="A324" s="257"/>
      <c r="B324" s="257"/>
      <c r="C324" s="258"/>
      <c r="D324" s="257"/>
      <c r="E324" s="257"/>
      <c r="F324" s="257"/>
      <c r="G324" s="258"/>
      <c r="H324" s="258"/>
      <c r="I324" s="258"/>
      <c r="J324" s="258"/>
      <c r="K324" s="258"/>
      <c r="L324" s="258"/>
      <c r="M324" s="258"/>
      <c r="N324" s="258"/>
    </row>
    <row r="325">
      <c r="A325" s="257"/>
      <c r="B325" s="257"/>
      <c r="C325" s="258"/>
      <c r="D325" s="257"/>
      <c r="E325" s="257"/>
      <c r="F325" s="257"/>
      <c r="G325" s="258"/>
      <c r="H325" s="258"/>
      <c r="I325" s="258"/>
      <c r="J325" s="258"/>
      <c r="K325" s="258"/>
      <c r="L325" s="258"/>
      <c r="M325" s="258"/>
      <c r="N325" s="258"/>
    </row>
    <row r="326">
      <c r="A326" s="257"/>
      <c r="B326" s="257"/>
      <c r="C326" s="258"/>
      <c r="D326" s="257"/>
      <c r="E326" s="257"/>
      <c r="F326" s="257"/>
      <c r="G326" s="258"/>
      <c r="H326" s="258"/>
      <c r="I326" s="258"/>
      <c r="J326" s="258"/>
      <c r="K326" s="258"/>
      <c r="L326" s="258"/>
      <c r="M326" s="258"/>
      <c r="N326" s="258"/>
    </row>
    <row r="327">
      <c r="A327" s="257"/>
      <c r="B327" s="257"/>
      <c r="C327" s="258"/>
      <c r="D327" s="257"/>
      <c r="E327" s="257"/>
      <c r="F327" s="257"/>
      <c r="G327" s="258"/>
      <c r="H327" s="258"/>
      <c r="I327" s="258"/>
      <c r="J327" s="258"/>
      <c r="K327" s="258"/>
      <c r="L327" s="258"/>
      <c r="M327" s="258"/>
      <c r="N327" s="258"/>
    </row>
    <row r="328">
      <c r="A328" s="257"/>
      <c r="B328" s="257"/>
      <c r="C328" s="258"/>
      <c r="D328" s="257"/>
      <c r="E328" s="257"/>
      <c r="F328" s="257"/>
      <c r="G328" s="258"/>
      <c r="H328" s="258"/>
      <c r="I328" s="258"/>
      <c r="J328" s="258"/>
      <c r="K328" s="258"/>
      <c r="L328" s="258"/>
      <c r="M328" s="258"/>
      <c r="N328" s="258"/>
    </row>
    <row r="329">
      <c r="A329" s="257"/>
      <c r="B329" s="257"/>
      <c r="C329" s="258"/>
      <c r="D329" s="257"/>
      <c r="E329" s="257"/>
      <c r="F329" s="257"/>
      <c r="G329" s="258"/>
      <c r="H329" s="258"/>
      <c r="I329" s="258"/>
      <c r="J329" s="258"/>
      <c r="K329" s="258"/>
      <c r="L329" s="258"/>
      <c r="M329" s="258"/>
      <c r="N329" s="258"/>
    </row>
    <row r="330">
      <c r="A330" s="257"/>
      <c r="B330" s="257"/>
      <c r="C330" s="258"/>
      <c r="D330" s="257"/>
      <c r="E330" s="257"/>
      <c r="F330" s="257"/>
      <c r="G330" s="258"/>
      <c r="H330" s="258"/>
      <c r="I330" s="258"/>
      <c r="J330" s="258"/>
      <c r="K330" s="258"/>
      <c r="L330" s="258"/>
      <c r="M330" s="258"/>
      <c r="N330" s="258"/>
    </row>
    <row r="331">
      <c r="A331" s="257"/>
      <c r="B331" s="257"/>
      <c r="C331" s="258"/>
      <c r="D331" s="257"/>
      <c r="E331" s="257"/>
      <c r="F331" s="257"/>
      <c r="G331" s="258"/>
      <c r="H331" s="258"/>
      <c r="I331" s="258"/>
      <c r="J331" s="258"/>
      <c r="K331" s="258"/>
      <c r="L331" s="258"/>
      <c r="M331" s="258"/>
      <c r="N331" s="258"/>
    </row>
    <row r="332">
      <c r="A332" s="257"/>
      <c r="B332" s="257"/>
      <c r="C332" s="258"/>
      <c r="D332" s="257"/>
      <c r="E332" s="257"/>
      <c r="F332" s="257"/>
      <c r="G332" s="258"/>
      <c r="H332" s="258"/>
      <c r="I332" s="258"/>
      <c r="J332" s="258"/>
      <c r="K332" s="258"/>
      <c r="L332" s="258"/>
      <c r="M332" s="258"/>
      <c r="N332" s="258"/>
    </row>
    <row r="333">
      <c r="A333" s="257"/>
      <c r="B333" s="257"/>
      <c r="C333" s="258"/>
      <c r="D333" s="257"/>
      <c r="E333" s="257"/>
      <c r="F333" s="257"/>
      <c r="G333" s="258"/>
      <c r="H333" s="258"/>
      <c r="I333" s="258"/>
      <c r="J333" s="258"/>
      <c r="K333" s="258"/>
      <c r="L333" s="258"/>
      <c r="M333" s="258"/>
      <c r="N333" s="258"/>
    </row>
    <row r="334">
      <c r="A334" s="257"/>
      <c r="B334" s="257"/>
      <c r="C334" s="258"/>
      <c r="D334" s="257"/>
      <c r="E334" s="257"/>
      <c r="F334" s="257"/>
      <c r="G334" s="258"/>
      <c r="H334" s="258"/>
      <c r="I334" s="258"/>
      <c r="J334" s="258"/>
      <c r="K334" s="258"/>
      <c r="L334" s="258"/>
      <c r="M334" s="258"/>
      <c r="N334" s="258"/>
    </row>
    <row r="335">
      <c r="A335" s="257"/>
      <c r="B335" s="257"/>
      <c r="C335" s="258"/>
      <c r="D335" s="257"/>
      <c r="E335" s="257"/>
      <c r="F335" s="257"/>
      <c r="G335" s="258"/>
      <c r="H335" s="258"/>
      <c r="I335" s="258"/>
      <c r="J335" s="258"/>
      <c r="K335" s="258"/>
      <c r="L335" s="258"/>
      <c r="M335" s="258"/>
      <c r="N335" s="258"/>
    </row>
    <row r="336">
      <c r="A336" s="257"/>
      <c r="B336" s="257"/>
      <c r="C336" s="258"/>
      <c r="D336" s="257"/>
      <c r="E336" s="257"/>
      <c r="F336" s="257"/>
      <c r="G336" s="258"/>
      <c r="H336" s="258"/>
      <c r="I336" s="258"/>
      <c r="J336" s="258"/>
      <c r="K336" s="258"/>
      <c r="L336" s="258"/>
      <c r="M336" s="258"/>
      <c r="N336" s="258"/>
    </row>
    <row r="337">
      <c r="A337" s="257"/>
      <c r="B337" s="257"/>
      <c r="C337" s="258"/>
      <c r="D337" s="257"/>
      <c r="E337" s="257"/>
      <c r="F337" s="257"/>
      <c r="G337" s="258"/>
      <c r="H337" s="258"/>
      <c r="I337" s="258"/>
      <c r="J337" s="258"/>
      <c r="K337" s="258"/>
      <c r="L337" s="258"/>
      <c r="M337" s="258"/>
      <c r="N337" s="258"/>
    </row>
    <row r="338">
      <c r="A338" s="257"/>
      <c r="B338" s="257"/>
      <c r="C338" s="258"/>
      <c r="D338" s="257"/>
      <c r="E338" s="257"/>
      <c r="F338" s="257"/>
      <c r="G338" s="258"/>
      <c r="H338" s="258"/>
      <c r="I338" s="258"/>
      <c r="J338" s="258"/>
      <c r="K338" s="258"/>
      <c r="L338" s="258"/>
      <c r="M338" s="258"/>
      <c r="N338" s="258"/>
    </row>
    <row r="339">
      <c r="A339" s="257"/>
      <c r="B339" s="257"/>
      <c r="C339" s="258"/>
      <c r="D339" s="257"/>
      <c r="E339" s="257"/>
      <c r="F339" s="257"/>
      <c r="G339" s="258"/>
      <c r="H339" s="258"/>
      <c r="I339" s="258"/>
      <c r="J339" s="258"/>
      <c r="K339" s="258"/>
      <c r="L339" s="258"/>
      <c r="M339" s="258"/>
      <c r="N339" s="258"/>
    </row>
    <row r="340">
      <c r="A340" s="257"/>
      <c r="B340" s="257"/>
      <c r="C340" s="258"/>
      <c r="D340" s="257"/>
      <c r="E340" s="257"/>
      <c r="F340" s="257"/>
      <c r="G340" s="258"/>
      <c r="H340" s="258"/>
      <c r="I340" s="258"/>
      <c r="J340" s="258"/>
      <c r="K340" s="258"/>
      <c r="L340" s="258"/>
      <c r="M340" s="258"/>
      <c r="N340" s="258"/>
    </row>
    <row r="341">
      <c r="A341" s="257"/>
      <c r="B341" s="257"/>
      <c r="C341" s="258"/>
      <c r="D341" s="257"/>
      <c r="E341" s="257"/>
      <c r="F341" s="257"/>
      <c r="G341" s="258"/>
      <c r="H341" s="258"/>
      <c r="I341" s="258"/>
      <c r="J341" s="258"/>
      <c r="K341" s="258"/>
      <c r="L341" s="258"/>
      <c r="M341" s="258"/>
      <c r="N341" s="258"/>
    </row>
    <row r="342">
      <c r="A342" s="257"/>
      <c r="B342" s="257"/>
      <c r="C342" s="258"/>
      <c r="D342" s="257"/>
      <c r="E342" s="257"/>
      <c r="F342" s="257"/>
      <c r="G342" s="258"/>
      <c r="H342" s="258"/>
      <c r="I342" s="258"/>
      <c r="J342" s="258"/>
      <c r="K342" s="258"/>
      <c r="L342" s="258"/>
      <c r="M342" s="258"/>
      <c r="N342" s="258"/>
    </row>
    <row r="343">
      <c r="A343" s="257"/>
      <c r="B343" s="257"/>
      <c r="C343" s="258"/>
      <c r="D343" s="257"/>
      <c r="E343" s="257"/>
      <c r="F343" s="257"/>
      <c r="G343" s="258"/>
      <c r="H343" s="258"/>
      <c r="I343" s="258"/>
      <c r="J343" s="258"/>
      <c r="K343" s="258"/>
      <c r="L343" s="258"/>
      <c r="M343" s="258"/>
      <c r="N343" s="258"/>
    </row>
    <row r="344">
      <c r="A344" s="257"/>
      <c r="B344" s="257"/>
      <c r="C344" s="258"/>
      <c r="D344" s="257"/>
      <c r="E344" s="257"/>
      <c r="F344" s="257"/>
      <c r="G344" s="258"/>
      <c r="H344" s="258"/>
      <c r="I344" s="258"/>
      <c r="J344" s="258"/>
      <c r="K344" s="258"/>
      <c r="L344" s="258"/>
      <c r="M344" s="258"/>
      <c r="N344" s="258"/>
    </row>
    <row r="345">
      <c r="A345" s="257"/>
      <c r="B345" s="257"/>
      <c r="C345" s="258"/>
      <c r="D345" s="257"/>
      <c r="E345" s="257"/>
      <c r="F345" s="257"/>
      <c r="G345" s="258"/>
      <c r="H345" s="258"/>
      <c r="I345" s="258"/>
      <c r="J345" s="258"/>
      <c r="K345" s="258"/>
      <c r="L345" s="258"/>
      <c r="M345" s="258"/>
      <c r="N345" s="258"/>
    </row>
    <row r="346">
      <c r="A346" s="257"/>
      <c r="B346" s="257"/>
      <c r="C346" s="258"/>
      <c r="D346" s="257"/>
      <c r="E346" s="257"/>
      <c r="F346" s="257"/>
      <c r="G346" s="258"/>
      <c r="H346" s="258"/>
      <c r="I346" s="258"/>
      <c r="J346" s="258"/>
      <c r="K346" s="258"/>
      <c r="L346" s="258"/>
      <c r="M346" s="258"/>
      <c r="N346" s="258"/>
    </row>
    <row r="347">
      <c r="A347" s="257"/>
      <c r="B347" s="257"/>
      <c r="C347" s="258"/>
      <c r="D347" s="257"/>
      <c r="E347" s="257"/>
      <c r="F347" s="257"/>
      <c r="G347" s="258"/>
      <c r="H347" s="258"/>
      <c r="I347" s="258"/>
      <c r="J347" s="258"/>
      <c r="K347" s="258"/>
      <c r="L347" s="258"/>
      <c r="M347" s="258"/>
      <c r="N347" s="258"/>
    </row>
    <row r="348">
      <c r="A348" s="257"/>
      <c r="B348" s="257"/>
      <c r="C348" s="258"/>
      <c r="D348" s="257"/>
      <c r="E348" s="257"/>
      <c r="F348" s="257"/>
      <c r="G348" s="258"/>
      <c r="H348" s="258"/>
      <c r="I348" s="258"/>
      <c r="J348" s="258"/>
      <c r="K348" s="258"/>
      <c r="L348" s="258"/>
      <c r="M348" s="258"/>
      <c r="N348" s="258"/>
    </row>
    <row r="349">
      <c r="A349" s="257"/>
      <c r="B349" s="257"/>
      <c r="C349" s="258"/>
      <c r="D349" s="257"/>
      <c r="E349" s="257"/>
      <c r="F349" s="257"/>
      <c r="G349" s="258"/>
      <c r="H349" s="258"/>
      <c r="I349" s="258"/>
      <c r="J349" s="258"/>
      <c r="K349" s="258"/>
      <c r="L349" s="258"/>
      <c r="M349" s="258"/>
      <c r="N349" s="258"/>
    </row>
    <row r="350">
      <c r="A350" s="257"/>
      <c r="B350" s="257"/>
      <c r="C350" s="258"/>
      <c r="D350" s="257"/>
      <c r="E350" s="257"/>
      <c r="F350" s="257"/>
      <c r="G350" s="258"/>
      <c r="H350" s="258"/>
      <c r="I350" s="258"/>
      <c r="J350" s="258"/>
      <c r="K350" s="258"/>
      <c r="L350" s="258"/>
      <c r="M350" s="258"/>
      <c r="N350" s="258"/>
    </row>
    <row r="351">
      <c r="A351" s="257"/>
      <c r="B351" s="257"/>
      <c r="C351" s="258"/>
      <c r="D351" s="257"/>
      <c r="E351" s="257"/>
      <c r="F351" s="257"/>
      <c r="G351" s="258"/>
      <c r="H351" s="258"/>
      <c r="I351" s="258"/>
      <c r="J351" s="258"/>
      <c r="K351" s="258"/>
      <c r="L351" s="258"/>
      <c r="M351" s="258"/>
      <c r="N351" s="258"/>
    </row>
    <row r="352">
      <c r="A352" s="257"/>
      <c r="B352" s="257"/>
      <c r="C352" s="258"/>
      <c r="D352" s="257"/>
      <c r="E352" s="257"/>
      <c r="F352" s="257"/>
      <c r="G352" s="258"/>
      <c r="H352" s="258"/>
      <c r="I352" s="258"/>
      <c r="J352" s="258"/>
      <c r="K352" s="258"/>
      <c r="L352" s="258"/>
      <c r="M352" s="258"/>
      <c r="N352" s="258"/>
    </row>
    <row r="353">
      <c r="A353" s="257"/>
      <c r="B353" s="257"/>
      <c r="C353" s="258"/>
      <c r="D353" s="257"/>
      <c r="E353" s="257"/>
      <c r="F353" s="257"/>
      <c r="G353" s="258"/>
      <c r="H353" s="258"/>
      <c r="I353" s="258"/>
      <c r="J353" s="258"/>
      <c r="K353" s="258"/>
      <c r="L353" s="258"/>
      <c r="M353" s="258"/>
      <c r="N353" s="258"/>
    </row>
    <row r="354">
      <c r="A354" s="257"/>
      <c r="B354" s="257"/>
      <c r="C354" s="258"/>
      <c r="D354" s="257"/>
      <c r="E354" s="257"/>
      <c r="F354" s="257"/>
      <c r="G354" s="258"/>
      <c r="H354" s="258"/>
      <c r="I354" s="258"/>
      <c r="J354" s="258"/>
      <c r="K354" s="258"/>
      <c r="L354" s="258"/>
      <c r="M354" s="258"/>
      <c r="N354" s="258"/>
    </row>
    <row r="355">
      <c r="A355" s="257"/>
      <c r="B355" s="257"/>
      <c r="C355" s="258"/>
      <c r="D355" s="257"/>
      <c r="E355" s="257"/>
      <c r="F355" s="257"/>
      <c r="G355" s="258"/>
      <c r="H355" s="258"/>
      <c r="I355" s="258"/>
      <c r="J355" s="258"/>
      <c r="K355" s="258"/>
      <c r="L355" s="258"/>
      <c r="M355" s="258"/>
      <c r="N355" s="258"/>
    </row>
    <row r="356">
      <c r="A356" s="257"/>
      <c r="B356" s="257"/>
      <c r="C356" s="258"/>
      <c r="D356" s="257"/>
      <c r="E356" s="257"/>
      <c r="F356" s="257"/>
      <c r="G356" s="258"/>
      <c r="H356" s="258"/>
      <c r="I356" s="258"/>
      <c r="J356" s="258"/>
      <c r="K356" s="258"/>
      <c r="L356" s="258"/>
      <c r="M356" s="258"/>
      <c r="N356" s="258"/>
    </row>
    <row r="357">
      <c r="A357" s="257"/>
      <c r="B357" s="257"/>
      <c r="C357" s="258"/>
      <c r="D357" s="257"/>
      <c r="E357" s="257"/>
      <c r="F357" s="257"/>
      <c r="G357" s="258"/>
      <c r="H357" s="258"/>
      <c r="I357" s="258"/>
      <c r="J357" s="258"/>
      <c r="K357" s="258"/>
      <c r="L357" s="258"/>
      <c r="M357" s="258"/>
      <c r="N357" s="258"/>
    </row>
    <row r="358">
      <c r="A358" s="257"/>
      <c r="B358" s="257"/>
      <c r="C358" s="258"/>
      <c r="D358" s="257"/>
      <c r="E358" s="257"/>
      <c r="F358" s="257"/>
      <c r="G358" s="258"/>
      <c r="H358" s="258"/>
      <c r="I358" s="258"/>
      <c r="J358" s="258"/>
      <c r="K358" s="258"/>
      <c r="L358" s="258"/>
      <c r="M358" s="258"/>
      <c r="N358" s="258"/>
    </row>
    <row r="359">
      <c r="A359" s="257"/>
      <c r="B359" s="257"/>
      <c r="C359" s="258"/>
      <c r="D359" s="257"/>
      <c r="E359" s="257"/>
      <c r="F359" s="257"/>
      <c r="G359" s="258"/>
      <c r="H359" s="258"/>
      <c r="I359" s="258"/>
      <c r="J359" s="258"/>
      <c r="K359" s="258"/>
      <c r="L359" s="258"/>
      <c r="M359" s="258"/>
      <c r="N359" s="258"/>
    </row>
    <row r="360">
      <c r="A360" s="257"/>
      <c r="B360" s="257"/>
      <c r="C360" s="258"/>
      <c r="D360" s="257"/>
      <c r="E360" s="257"/>
      <c r="F360" s="257"/>
      <c r="G360" s="258"/>
      <c r="H360" s="258"/>
      <c r="I360" s="258"/>
      <c r="J360" s="258"/>
      <c r="K360" s="258"/>
      <c r="L360" s="258"/>
      <c r="M360" s="258"/>
      <c r="N360" s="258"/>
    </row>
    <row r="361">
      <c r="A361" s="257"/>
      <c r="B361" s="257"/>
      <c r="C361" s="258"/>
      <c r="D361" s="257"/>
      <c r="E361" s="257"/>
      <c r="F361" s="257"/>
      <c r="G361" s="258"/>
      <c r="H361" s="258"/>
      <c r="I361" s="258"/>
      <c r="J361" s="258"/>
      <c r="K361" s="258"/>
      <c r="L361" s="258"/>
      <c r="M361" s="258"/>
      <c r="N361" s="258"/>
    </row>
    <row r="362">
      <c r="A362" s="257"/>
      <c r="B362" s="257"/>
      <c r="C362" s="258"/>
      <c r="D362" s="257"/>
      <c r="E362" s="257"/>
      <c r="F362" s="257"/>
      <c r="G362" s="258"/>
      <c r="H362" s="258"/>
      <c r="I362" s="258"/>
      <c r="J362" s="258"/>
      <c r="K362" s="258"/>
      <c r="L362" s="258"/>
      <c r="M362" s="258"/>
      <c r="N362" s="258"/>
    </row>
    <row r="363">
      <c r="A363" s="257"/>
      <c r="B363" s="257"/>
      <c r="C363" s="258"/>
      <c r="D363" s="257"/>
      <c r="E363" s="257"/>
      <c r="F363" s="257"/>
      <c r="G363" s="258"/>
      <c r="H363" s="258"/>
      <c r="I363" s="258"/>
      <c r="J363" s="258"/>
      <c r="K363" s="258"/>
      <c r="L363" s="258"/>
      <c r="M363" s="258"/>
      <c r="N363" s="258"/>
    </row>
    <row r="364">
      <c r="A364" s="257"/>
      <c r="B364" s="257"/>
      <c r="C364" s="258"/>
      <c r="D364" s="257"/>
      <c r="E364" s="257"/>
      <c r="F364" s="257"/>
      <c r="G364" s="258"/>
      <c r="H364" s="258"/>
      <c r="I364" s="258"/>
      <c r="J364" s="258"/>
      <c r="K364" s="258"/>
      <c r="L364" s="258"/>
      <c r="M364" s="258"/>
      <c r="N364" s="258"/>
    </row>
    <row r="365">
      <c r="A365" s="257"/>
      <c r="B365" s="257"/>
      <c r="C365" s="258"/>
      <c r="D365" s="257"/>
      <c r="E365" s="257"/>
      <c r="F365" s="257"/>
      <c r="G365" s="258"/>
      <c r="H365" s="258"/>
      <c r="I365" s="258"/>
      <c r="J365" s="258"/>
      <c r="K365" s="258"/>
      <c r="L365" s="258"/>
      <c r="M365" s="258"/>
      <c r="N365" s="258"/>
    </row>
    <row r="366">
      <c r="A366" s="257"/>
      <c r="B366" s="257"/>
      <c r="C366" s="258"/>
      <c r="D366" s="257"/>
      <c r="E366" s="257"/>
      <c r="F366" s="257"/>
      <c r="G366" s="258"/>
      <c r="H366" s="258"/>
      <c r="I366" s="258"/>
      <c r="J366" s="258"/>
      <c r="K366" s="258"/>
      <c r="L366" s="258"/>
      <c r="M366" s="258"/>
      <c r="N366" s="258"/>
    </row>
    <row r="367">
      <c r="A367" s="257"/>
      <c r="B367" s="257"/>
      <c r="C367" s="258"/>
      <c r="D367" s="257"/>
      <c r="E367" s="257"/>
      <c r="F367" s="257"/>
      <c r="G367" s="258"/>
      <c r="H367" s="258"/>
      <c r="I367" s="258"/>
      <c r="J367" s="258"/>
      <c r="K367" s="258"/>
      <c r="L367" s="258"/>
      <c r="M367" s="258"/>
      <c r="N367" s="258"/>
    </row>
    <row r="368">
      <c r="A368" s="257"/>
      <c r="B368" s="257"/>
      <c r="C368" s="258"/>
      <c r="D368" s="257"/>
      <c r="E368" s="257"/>
      <c r="F368" s="257"/>
      <c r="G368" s="258"/>
      <c r="H368" s="258"/>
      <c r="I368" s="258"/>
      <c r="J368" s="258"/>
      <c r="K368" s="258"/>
      <c r="L368" s="258"/>
      <c r="M368" s="258"/>
      <c r="N368" s="258"/>
    </row>
    <row r="369">
      <c r="A369" s="257"/>
      <c r="B369" s="257"/>
      <c r="C369" s="258"/>
      <c r="D369" s="257"/>
      <c r="E369" s="257"/>
      <c r="F369" s="257"/>
      <c r="G369" s="258"/>
      <c r="H369" s="258"/>
      <c r="I369" s="258"/>
      <c r="J369" s="258"/>
      <c r="K369" s="258"/>
      <c r="L369" s="258"/>
      <c r="M369" s="258"/>
      <c r="N369" s="258"/>
    </row>
    <row r="370">
      <c r="A370" s="257"/>
      <c r="B370" s="257"/>
      <c r="C370" s="258"/>
      <c r="D370" s="257"/>
      <c r="E370" s="257"/>
      <c r="F370" s="257"/>
      <c r="G370" s="258"/>
      <c r="H370" s="258"/>
      <c r="I370" s="258"/>
      <c r="J370" s="258"/>
      <c r="K370" s="258"/>
      <c r="L370" s="258"/>
      <c r="M370" s="258"/>
      <c r="N370" s="258"/>
    </row>
    <row r="371">
      <c r="A371" s="257"/>
      <c r="B371" s="257"/>
      <c r="C371" s="258"/>
      <c r="D371" s="257"/>
      <c r="E371" s="257"/>
      <c r="F371" s="257"/>
      <c r="G371" s="258"/>
      <c r="H371" s="258"/>
      <c r="I371" s="258"/>
      <c r="J371" s="258"/>
      <c r="K371" s="258"/>
      <c r="L371" s="258"/>
      <c r="M371" s="258"/>
      <c r="N371" s="258"/>
    </row>
    <row r="372">
      <c r="A372" s="257"/>
      <c r="B372" s="257"/>
      <c r="C372" s="258"/>
      <c r="D372" s="257"/>
      <c r="E372" s="257"/>
      <c r="F372" s="257"/>
      <c r="G372" s="258"/>
      <c r="H372" s="258"/>
      <c r="I372" s="258"/>
      <c r="J372" s="258"/>
      <c r="K372" s="258"/>
      <c r="L372" s="258"/>
      <c r="M372" s="258"/>
      <c r="N372" s="258"/>
    </row>
    <row r="373">
      <c r="A373" s="257"/>
      <c r="B373" s="257"/>
      <c r="C373" s="258"/>
      <c r="D373" s="257"/>
      <c r="E373" s="257"/>
      <c r="F373" s="257"/>
      <c r="G373" s="258"/>
      <c r="H373" s="258"/>
      <c r="I373" s="258"/>
      <c r="J373" s="258"/>
      <c r="K373" s="258"/>
      <c r="L373" s="258"/>
      <c r="M373" s="258"/>
      <c r="N373" s="258"/>
    </row>
    <row r="374">
      <c r="A374" s="257"/>
      <c r="B374" s="257"/>
      <c r="C374" s="258"/>
      <c r="D374" s="257"/>
      <c r="E374" s="257"/>
      <c r="F374" s="257"/>
      <c r="G374" s="258"/>
      <c r="H374" s="258"/>
      <c r="I374" s="258"/>
      <c r="J374" s="258"/>
      <c r="K374" s="258"/>
      <c r="L374" s="258"/>
      <c r="M374" s="258"/>
      <c r="N374" s="258"/>
    </row>
    <row r="375">
      <c r="A375" s="257"/>
      <c r="B375" s="257"/>
      <c r="C375" s="258"/>
      <c r="D375" s="257"/>
      <c r="E375" s="257"/>
      <c r="F375" s="257"/>
      <c r="G375" s="258"/>
      <c r="H375" s="258"/>
      <c r="I375" s="258"/>
      <c r="J375" s="258"/>
      <c r="K375" s="258"/>
      <c r="L375" s="258"/>
      <c r="M375" s="258"/>
      <c r="N375" s="258"/>
    </row>
    <row r="376">
      <c r="A376" s="257"/>
      <c r="B376" s="257"/>
      <c r="C376" s="258"/>
      <c r="D376" s="257"/>
      <c r="E376" s="257"/>
      <c r="F376" s="257"/>
      <c r="G376" s="258"/>
      <c r="H376" s="258"/>
      <c r="I376" s="258"/>
      <c r="J376" s="258"/>
      <c r="K376" s="258"/>
      <c r="L376" s="258"/>
      <c r="M376" s="258"/>
      <c r="N376" s="258"/>
    </row>
    <row r="377">
      <c r="A377" s="257"/>
      <c r="B377" s="257"/>
      <c r="C377" s="258"/>
      <c r="D377" s="257"/>
      <c r="E377" s="257"/>
      <c r="F377" s="257"/>
      <c r="G377" s="258"/>
      <c r="H377" s="258"/>
      <c r="I377" s="258"/>
      <c r="J377" s="258"/>
      <c r="K377" s="258"/>
      <c r="L377" s="258"/>
      <c r="M377" s="258"/>
      <c r="N377" s="258"/>
    </row>
    <row r="378">
      <c r="A378" s="257"/>
      <c r="B378" s="257"/>
      <c r="C378" s="258"/>
      <c r="D378" s="257"/>
      <c r="E378" s="257"/>
      <c r="F378" s="257"/>
      <c r="G378" s="258"/>
      <c r="H378" s="258"/>
      <c r="I378" s="258"/>
      <c r="J378" s="258"/>
      <c r="K378" s="258"/>
      <c r="L378" s="258"/>
      <c r="M378" s="258"/>
      <c r="N378" s="258"/>
    </row>
    <row r="379">
      <c r="A379" s="257"/>
      <c r="B379" s="257"/>
      <c r="C379" s="258"/>
      <c r="D379" s="257"/>
      <c r="E379" s="257"/>
      <c r="F379" s="257"/>
      <c r="G379" s="258"/>
      <c r="H379" s="258"/>
      <c r="I379" s="258"/>
      <c r="J379" s="258"/>
      <c r="K379" s="258"/>
      <c r="L379" s="258"/>
      <c r="M379" s="258"/>
      <c r="N379" s="258"/>
    </row>
    <row r="380">
      <c r="A380" s="257"/>
      <c r="B380" s="257"/>
      <c r="C380" s="258"/>
      <c r="D380" s="257"/>
      <c r="E380" s="257"/>
      <c r="F380" s="257"/>
      <c r="G380" s="258"/>
      <c r="H380" s="258"/>
      <c r="I380" s="258"/>
      <c r="J380" s="258"/>
      <c r="K380" s="258"/>
      <c r="L380" s="258"/>
      <c r="M380" s="258"/>
      <c r="N380" s="258"/>
    </row>
    <row r="381">
      <c r="A381" s="257"/>
      <c r="B381" s="257"/>
      <c r="C381" s="258"/>
      <c r="D381" s="257"/>
      <c r="E381" s="257"/>
      <c r="F381" s="257"/>
      <c r="G381" s="258"/>
      <c r="H381" s="258"/>
      <c r="I381" s="258"/>
      <c r="J381" s="258"/>
      <c r="K381" s="258"/>
      <c r="L381" s="258"/>
      <c r="M381" s="258"/>
      <c r="N381" s="258"/>
    </row>
    <row r="382">
      <c r="A382" s="257"/>
      <c r="B382" s="257"/>
      <c r="C382" s="258"/>
      <c r="D382" s="257"/>
      <c r="E382" s="257"/>
      <c r="F382" s="257"/>
      <c r="G382" s="258"/>
      <c r="H382" s="258"/>
      <c r="I382" s="258"/>
      <c r="J382" s="258"/>
      <c r="K382" s="258"/>
      <c r="L382" s="258"/>
      <c r="M382" s="258"/>
      <c r="N382" s="258"/>
    </row>
    <row r="383">
      <c r="A383" s="257"/>
      <c r="B383" s="257"/>
      <c r="C383" s="258"/>
      <c r="D383" s="257"/>
      <c r="E383" s="257"/>
      <c r="F383" s="257"/>
      <c r="G383" s="258"/>
      <c r="H383" s="258"/>
      <c r="I383" s="258"/>
      <c r="J383" s="258"/>
      <c r="K383" s="258"/>
      <c r="L383" s="258"/>
      <c r="M383" s="258"/>
      <c r="N383" s="258"/>
    </row>
    <row r="384">
      <c r="A384" s="257"/>
      <c r="B384" s="257"/>
      <c r="C384" s="258"/>
      <c r="D384" s="257"/>
      <c r="E384" s="257"/>
      <c r="F384" s="257"/>
      <c r="G384" s="258"/>
      <c r="H384" s="258"/>
      <c r="I384" s="258"/>
      <c r="J384" s="258"/>
      <c r="K384" s="258"/>
      <c r="L384" s="258"/>
      <c r="M384" s="258"/>
      <c r="N384" s="258"/>
    </row>
    <row r="385">
      <c r="A385" s="257"/>
      <c r="B385" s="257"/>
      <c r="C385" s="258"/>
      <c r="D385" s="257"/>
      <c r="E385" s="257"/>
      <c r="F385" s="257"/>
      <c r="G385" s="258"/>
      <c r="H385" s="258"/>
      <c r="I385" s="258"/>
      <c r="J385" s="258"/>
      <c r="K385" s="258"/>
      <c r="L385" s="258"/>
      <c r="M385" s="258"/>
      <c r="N385" s="258"/>
    </row>
    <row r="386">
      <c r="A386" s="257"/>
      <c r="B386" s="257"/>
      <c r="C386" s="258"/>
      <c r="D386" s="257"/>
      <c r="E386" s="257"/>
      <c r="F386" s="257"/>
      <c r="G386" s="258"/>
      <c r="H386" s="258"/>
      <c r="I386" s="258"/>
      <c r="J386" s="258"/>
      <c r="K386" s="258"/>
      <c r="L386" s="258"/>
      <c r="M386" s="258"/>
      <c r="N386" s="258"/>
    </row>
    <row r="387">
      <c r="A387" s="257"/>
      <c r="B387" s="257"/>
      <c r="C387" s="258"/>
      <c r="D387" s="257"/>
      <c r="E387" s="257"/>
      <c r="F387" s="257"/>
      <c r="G387" s="258"/>
      <c r="H387" s="258"/>
      <c r="I387" s="258"/>
      <c r="J387" s="258"/>
      <c r="K387" s="258"/>
      <c r="L387" s="258"/>
      <c r="M387" s="258"/>
      <c r="N387" s="258"/>
    </row>
    <row r="388">
      <c r="A388" s="257"/>
      <c r="B388" s="257"/>
      <c r="C388" s="258"/>
      <c r="D388" s="257"/>
      <c r="E388" s="257"/>
      <c r="F388" s="257"/>
      <c r="G388" s="258"/>
      <c r="H388" s="258"/>
      <c r="I388" s="258"/>
      <c r="J388" s="258"/>
      <c r="K388" s="258"/>
      <c r="L388" s="258"/>
      <c r="M388" s="258"/>
      <c r="N388" s="258"/>
    </row>
    <row r="389">
      <c r="A389" s="257"/>
      <c r="B389" s="257"/>
      <c r="C389" s="258"/>
      <c r="D389" s="257"/>
      <c r="E389" s="257"/>
      <c r="F389" s="257"/>
      <c r="G389" s="258"/>
      <c r="H389" s="258"/>
      <c r="I389" s="258"/>
      <c r="J389" s="258"/>
      <c r="K389" s="258"/>
      <c r="L389" s="258"/>
      <c r="M389" s="258"/>
      <c r="N389" s="258"/>
    </row>
    <row r="390">
      <c r="A390" s="257"/>
      <c r="B390" s="257"/>
      <c r="C390" s="258"/>
      <c r="D390" s="257"/>
      <c r="E390" s="257"/>
      <c r="F390" s="257"/>
      <c r="G390" s="258"/>
      <c r="H390" s="258"/>
      <c r="I390" s="258"/>
      <c r="J390" s="258"/>
      <c r="K390" s="258"/>
      <c r="L390" s="258"/>
      <c r="M390" s="258"/>
      <c r="N390" s="258"/>
    </row>
    <row r="391">
      <c r="A391" s="257"/>
      <c r="B391" s="257"/>
      <c r="C391" s="258"/>
      <c r="D391" s="257"/>
      <c r="E391" s="257"/>
      <c r="F391" s="257"/>
      <c r="G391" s="258"/>
      <c r="H391" s="258"/>
      <c r="I391" s="258"/>
      <c r="J391" s="258"/>
      <c r="K391" s="258"/>
      <c r="L391" s="258"/>
      <c r="M391" s="258"/>
      <c r="N391" s="258"/>
    </row>
    <row r="392">
      <c r="A392" s="257"/>
      <c r="B392" s="257"/>
      <c r="C392" s="258"/>
      <c r="D392" s="257"/>
      <c r="E392" s="257"/>
      <c r="F392" s="257"/>
      <c r="G392" s="258"/>
      <c r="H392" s="258"/>
      <c r="I392" s="258"/>
      <c r="J392" s="258"/>
      <c r="K392" s="258"/>
      <c r="L392" s="258"/>
      <c r="M392" s="258"/>
      <c r="N392" s="258"/>
    </row>
    <row r="393">
      <c r="A393" s="257"/>
      <c r="B393" s="257"/>
      <c r="C393" s="258"/>
      <c r="D393" s="257"/>
      <c r="E393" s="257"/>
      <c r="F393" s="257"/>
      <c r="G393" s="258"/>
      <c r="H393" s="258"/>
      <c r="I393" s="258"/>
      <c r="J393" s="258"/>
      <c r="K393" s="258"/>
      <c r="L393" s="258"/>
      <c r="M393" s="258"/>
      <c r="N393" s="258"/>
    </row>
    <row r="394">
      <c r="A394" s="257"/>
      <c r="B394" s="257"/>
      <c r="C394" s="258"/>
      <c r="D394" s="257"/>
      <c r="E394" s="257"/>
      <c r="F394" s="257"/>
      <c r="G394" s="258"/>
      <c r="H394" s="258"/>
      <c r="I394" s="258"/>
      <c r="J394" s="258"/>
      <c r="K394" s="258"/>
      <c r="L394" s="258"/>
      <c r="M394" s="258"/>
      <c r="N394" s="258"/>
    </row>
    <row r="395">
      <c r="A395" s="257"/>
      <c r="B395" s="257"/>
      <c r="C395" s="258"/>
      <c r="D395" s="257"/>
      <c r="E395" s="257"/>
      <c r="F395" s="257"/>
      <c r="G395" s="258"/>
      <c r="H395" s="258"/>
      <c r="I395" s="258"/>
      <c r="J395" s="258"/>
      <c r="K395" s="258"/>
      <c r="L395" s="258"/>
      <c r="M395" s="258"/>
      <c r="N395" s="258"/>
    </row>
    <row r="396">
      <c r="A396" s="257"/>
      <c r="B396" s="257"/>
      <c r="C396" s="258"/>
      <c r="D396" s="257"/>
      <c r="E396" s="257"/>
      <c r="F396" s="257"/>
      <c r="G396" s="258"/>
      <c r="H396" s="258"/>
      <c r="I396" s="258"/>
      <c r="J396" s="258"/>
      <c r="K396" s="258"/>
      <c r="L396" s="258"/>
      <c r="M396" s="258"/>
      <c r="N396" s="258"/>
    </row>
    <row r="397">
      <c r="A397" s="257"/>
      <c r="B397" s="257"/>
      <c r="C397" s="258"/>
      <c r="D397" s="257"/>
      <c r="E397" s="257"/>
      <c r="F397" s="257"/>
      <c r="G397" s="258"/>
      <c r="H397" s="258"/>
      <c r="I397" s="258"/>
      <c r="J397" s="258"/>
      <c r="K397" s="258"/>
      <c r="L397" s="258"/>
      <c r="M397" s="258"/>
      <c r="N397" s="258"/>
    </row>
    <row r="398">
      <c r="A398" s="257"/>
      <c r="B398" s="257"/>
      <c r="C398" s="258"/>
      <c r="D398" s="257"/>
      <c r="E398" s="257"/>
      <c r="F398" s="257"/>
      <c r="G398" s="258"/>
      <c r="H398" s="258"/>
      <c r="I398" s="258"/>
      <c r="J398" s="258"/>
      <c r="K398" s="258"/>
      <c r="L398" s="258"/>
      <c r="M398" s="258"/>
      <c r="N398" s="258"/>
    </row>
    <row r="399">
      <c r="A399" s="257"/>
      <c r="B399" s="257"/>
      <c r="C399" s="258"/>
      <c r="D399" s="257"/>
      <c r="E399" s="257"/>
      <c r="F399" s="257"/>
      <c r="G399" s="258"/>
      <c r="H399" s="258"/>
      <c r="I399" s="258"/>
      <c r="J399" s="258"/>
      <c r="K399" s="258"/>
      <c r="L399" s="258"/>
      <c r="M399" s="258"/>
      <c r="N399" s="258"/>
    </row>
    <row r="400">
      <c r="A400" s="257"/>
      <c r="B400" s="257"/>
      <c r="C400" s="258"/>
      <c r="D400" s="257"/>
      <c r="E400" s="257"/>
      <c r="F400" s="257"/>
      <c r="G400" s="258"/>
      <c r="H400" s="258"/>
      <c r="I400" s="258"/>
      <c r="J400" s="258"/>
      <c r="K400" s="258"/>
      <c r="L400" s="258"/>
      <c r="M400" s="258"/>
      <c r="N400" s="258"/>
    </row>
    <row r="401">
      <c r="A401" s="257"/>
      <c r="B401" s="257"/>
      <c r="C401" s="258"/>
      <c r="D401" s="257"/>
      <c r="E401" s="257"/>
      <c r="F401" s="257"/>
      <c r="G401" s="258"/>
      <c r="H401" s="258"/>
      <c r="I401" s="258"/>
      <c r="J401" s="258"/>
      <c r="K401" s="258"/>
      <c r="L401" s="258"/>
      <c r="M401" s="258"/>
      <c r="N401" s="258"/>
    </row>
    <row r="402">
      <c r="A402" s="257"/>
      <c r="B402" s="257"/>
      <c r="C402" s="258"/>
      <c r="D402" s="257"/>
      <c r="E402" s="257"/>
      <c r="F402" s="257"/>
      <c r="G402" s="258"/>
      <c r="H402" s="258"/>
      <c r="I402" s="258"/>
      <c r="J402" s="258"/>
      <c r="K402" s="258"/>
      <c r="L402" s="258"/>
      <c r="M402" s="258"/>
      <c r="N402" s="258"/>
    </row>
    <row r="403">
      <c r="A403" s="257"/>
      <c r="B403" s="257"/>
      <c r="C403" s="258"/>
      <c r="D403" s="257"/>
      <c r="E403" s="257"/>
      <c r="F403" s="257"/>
      <c r="G403" s="258"/>
      <c r="H403" s="258"/>
      <c r="I403" s="258"/>
      <c r="J403" s="258"/>
      <c r="K403" s="258"/>
      <c r="L403" s="258"/>
      <c r="M403" s="258"/>
      <c r="N403" s="258"/>
    </row>
    <row r="404">
      <c r="A404" s="257"/>
      <c r="B404" s="257"/>
      <c r="C404" s="258"/>
      <c r="D404" s="257"/>
      <c r="E404" s="257"/>
      <c r="F404" s="257"/>
      <c r="G404" s="258"/>
      <c r="H404" s="258"/>
      <c r="I404" s="258"/>
      <c r="J404" s="258"/>
      <c r="K404" s="258"/>
      <c r="L404" s="258"/>
      <c r="M404" s="258"/>
      <c r="N404" s="258"/>
    </row>
    <row r="405">
      <c r="A405" s="257"/>
      <c r="B405" s="257"/>
      <c r="C405" s="258"/>
      <c r="D405" s="257"/>
      <c r="E405" s="257"/>
      <c r="F405" s="257"/>
      <c r="G405" s="258"/>
      <c r="H405" s="258"/>
      <c r="I405" s="258"/>
      <c r="J405" s="258"/>
      <c r="K405" s="258"/>
      <c r="L405" s="258"/>
      <c r="M405" s="258"/>
      <c r="N405" s="258"/>
    </row>
    <row r="406">
      <c r="A406" s="257"/>
      <c r="B406" s="257"/>
      <c r="C406" s="258"/>
      <c r="D406" s="257"/>
      <c r="E406" s="257"/>
      <c r="F406" s="257"/>
      <c r="G406" s="258"/>
      <c r="H406" s="258"/>
      <c r="I406" s="258"/>
      <c r="J406" s="258"/>
      <c r="K406" s="258"/>
      <c r="L406" s="258"/>
      <c r="M406" s="258"/>
      <c r="N406" s="258"/>
    </row>
    <row r="407">
      <c r="A407" s="257"/>
      <c r="B407" s="257"/>
      <c r="C407" s="258"/>
      <c r="D407" s="257"/>
      <c r="E407" s="257"/>
      <c r="F407" s="257"/>
      <c r="G407" s="258"/>
      <c r="H407" s="258"/>
      <c r="I407" s="258"/>
      <c r="J407" s="258"/>
      <c r="K407" s="258"/>
      <c r="L407" s="258"/>
      <c r="M407" s="258"/>
      <c r="N407" s="258"/>
    </row>
    <row r="408">
      <c r="A408" s="257"/>
      <c r="B408" s="257"/>
      <c r="C408" s="258"/>
      <c r="D408" s="257"/>
      <c r="E408" s="257"/>
      <c r="F408" s="257"/>
      <c r="G408" s="258"/>
      <c r="H408" s="258"/>
      <c r="I408" s="258"/>
      <c r="J408" s="258"/>
      <c r="K408" s="258"/>
      <c r="L408" s="258"/>
      <c r="M408" s="258"/>
      <c r="N408" s="258"/>
    </row>
    <row r="409">
      <c r="A409" s="257"/>
      <c r="B409" s="257"/>
      <c r="C409" s="258"/>
      <c r="D409" s="257"/>
      <c r="E409" s="257"/>
      <c r="F409" s="257"/>
      <c r="G409" s="258"/>
      <c r="H409" s="258"/>
      <c r="I409" s="258"/>
      <c r="J409" s="258"/>
      <c r="K409" s="258"/>
      <c r="L409" s="258"/>
      <c r="M409" s="258"/>
      <c r="N409" s="258"/>
    </row>
    <row r="410">
      <c r="A410" s="257"/>
      <c r="B410" s="257"/>
      <c r="C410" s="258"/>
      <c r="D410" s="257"/>
      <c r="E410" s="257"/>
      <c r="F410" s="257"/>
      <c r="G410" s="258"/>
      <c r="H410" s="258"/>
      <c r="I410" s="258"/>
      <c r="J410" s="258"/>
      <c r="K410" s="258"/>
      <c r="L410" s="258"/>
      <c r="M410" s="258"/>
      <c r="N410" s="258"/>
    </row>
    <row r="411">
      <c r="A411" s="257"/>
      <c r="B411" s="257"/>
      <c r="C411" s="258"/>
      <c r="D411" s="257"/>
      <c r="E411" s="257"/>
      <c r="F411" s="257"/>
      <c r="G411" s="258"/>
      <c r="H411" s="258"/>
      <c r="I411" s="258"/>
      <c r="J411" s="258"/>
      <c r="K411" s="258"/>
      <c r="L411" s="258"/>
      <c r="M411" s="258"/>
      <c r="N411" s="258"/>
    </row>
    <row r="412">
      <c r="A412" s="257"/>
      <c r="B412" s="257"/>
      <c r="C412" s="258"/>
      <c r="D412" s="257"/>
      <c r="E412" s="257"/>
      <c r="F412" s="257"/>
      <c r="G412" s="258"/>
      <c r="H412" s="258"/>
      <c r="I412" s="258"/>
      <c r="J412" s="258"/>
      <c r="K412" s="258"/>
      <c r="L412" s="258"/>
      <c r="M412" s="258"/>
      <c r="N412" s="258"/>
    </row>
    <row r="413">
      <c r="A413" s="257"/>
      <c r="B413" s="257"/>
      <c r="C413" s="258"/>
      <c r="D413" s="257"/>
      <c r="E413" s="257"/>
      <c r="F413" s="257"/>
      <c r="G413" s="258"/>
      <c r="H413" s="258"/>
      <c r="I413" s="258"/>
      <c r="J413" s="258"/>
      <c r="K413" s="258"/>
      <c r="L413" s="258"/>
      <c r="M413" s="258"/>
      <c r="N413" s="258"/>
    </row>
    <row r="414">
      <c r="A414" s="257"/>
      <c r="B414" s="257"/>
      <c r="C414" s="258"/>
      <c r="D414" s="257"/>
      <c r="E414" s="257"/>
      <c r="F414" s="257"/>
      <c r="G414" s="258"/>
      <c r="H414" s="258"/>
      <c r="I414" s="258"/>
      <c r="J414" s="258"/>
      <c r="K414" s="258"/>
      <c r="L414" s="258"/>
      <c r="M414" s="258"/>
      <c r="N414" s="258"/>
    </row>
    <row r="415">
      <c r="A415" s="257"/>
      <c r="B415" s="257"/>
      <c r="C415" s="258"/>
      <c r="D415" s="257"/>
      <c r="E415" s="257"/>
      <c r="F415" s="257"/>
      <c r="G415" s="258"/>
      <c r="H415" s="258"/>
      <c r="I415" s="258"/>
      <c r="J415" s="258"/>
      <c r="K415" s="258"/>
      <c r="L415" s="258"/>
      <c r="M415" s="258"/>
      <c r="N415" s="258"/>
    </row>
    <row r="416">
      <c r="A416" s="257"/>
      <c r="B416" s="257"/>
      <c r="C416" s="258"/>
      <c r="D416" s="257"/>
      <c r="E416" s="257"/>
      <c r="F416" s="257"/>
      <c r="G416" s="258"/>
      <c r="H416" s="258"/>
      <c r="I416" s="258"/>
      <c r="J416" s="258"/>
      <c r="K416" s="258"/>
      <c r="L416" s="258"/>
      <c r="M416" s="258"/>
      <c r="N416" s="258"/>
    </row>
    <row r="417">
      <c r="A417" s="257"/>
      <c r="B417" s="257"/>
      <c r="C417" s="258"/>
      <c r="D417" s="257"/>
      <c r="E417" s="257"/>
      <c r="F417" s="257"/>
      <c r="G417" s="258"/>
      <c r="H417" s="258"/>
      <c r="I417" s="258"/>
      <c r="J417" s="258"/>
      <c r="K417" s="258"/>
      <c r="L417" s="258"/>
      <c r="M417" s="258"/>
      <c r="N417" s="258"/>
    </row>
    <row r="418">
      <c r="A418" s="257"/>
      <c r="B418" s="257"/>
      <c r="C418" s="258"/>
      <c r="D418" s="257"/>
      <c r="E418" s="257"/>
      <c r="F418" s="257"/>
      <c r="G418" s="258"/>
      <c r="H418" s="258"/>
      <c r="I418" s="258"/>
      <c r="J418" s="258"/>
      <c r="K418" s="258"/>
      <c r="L418" s="258"/>
      <c r="M418" s="258"/>
      <c r="N418" s="258"/>
    </row>
    <row r="419">
      <c r="A419" s="257"/>
      <c r="B419" s="257"/>
      <c r="C419" s="258"/>
      <c r="D419" s="257"/>
      <c r="E419" s="257"/>
      <c r="F419" s="257"/>
      <c r="G419" s="258"/>
      <c r="H419" s="258"/>
      <c r="I419" s="258"/>
      <c r="J419" s="258"/>
      <c r="K419" s="258"/>
      <c r="L419" s="258"/>
      <c r="M419" s="258"/>
      <c r="N419" s="258"/>
    </row>
    <row r="420">
      <c r="A420" s="257"/>
      <c r="B420" s="257"/>
      <c r="C420" s="258"/>
      <c r="D420" s="257"/>
      <c r="E420" s="257"/>
      <c r="F420" s="257"/>
      <c r="G420" s="258"/>
      <c r="H420" s="258"/>
      <c r="I420" s="258"/>
      <c r="J420" s="258"/>
      <c r="K420" s="258"/>
      <c r="L420" s="258"/>
      <c r="M420" s="258"/>
      <c r="N420" s="258"/>
    </row>
    <row r="421">
      <c r="A421" s="257"/>
      <c r="B421" s="257"/>
      <c r="C421" s="258"/>
      <c r="D421" s="257"/>
      <c r="E421" s="257"/>
      <c r="F421" s="257"/>
      <c r="G421" s="258"/>
      <c r="H421" s="258"/>
      <c r="I421" s="258"/>
      <c r="J421" s="258"/>
      <c r="K421" s="258"/>
      <c r="L421" s="258"/>
      <c r="M421" s="258"/>
      <c r="N421" s="258"/>
    </row>
    <row r="422">
      <c r="A422" s="257"/>
      <c r="B422" s="257"/>
      <c r="C422" s="258"/>
      <c r="D422" s="257"/>
      <c r="E422" s="257"/>
      <c r="F422" s="257"/>
      <c r="G422" s="258"/>
      <c r="H422" s="258"/>
      <c r="I422" s="258"/>
      <c r="J422" s="258"/>
      <c r="K422" s="258"/>
      <c r="L422" s="258"/>
      <c r="M422" s="258"/>
      <c r="N422" s="258"/>
    </row>
    <row r="423">
      <c r="A423" s="257"/>
      <c r="B423" s="257"/>
      <c r="C423" s="258"/>
      <c r="D423" s="257"/>
      <c r="E423" s="257"/>
      <c r="F423" s="257"/>
      <c r="G423" s="258"/>
      <c r="H423" s="258"/>
      <c r="I423" s="258"/>
      <c r="J423" s="258"/>
      <c r="K423" s="258"/>
      <c r="L423" s="258"/>
      <c r="M423" s="258"/>
      <c r="N423" s="258"/>
    </row>
    <row r="424">
      <c r="A424" s="257"/>
      <c r="B424" s="257"/>
      <c r="C424" s="258"/>
      <c r="D424" s="257"/>
      <c r="E424" s="257"/>
      <c r="F424" s="257"/>
      <c r="G424" s="258"/>
      <c r="H424" s="258"/>
      <c r="I424" s="258"/>
      <c r="J424" s="258"/>
      <c r="K424" s="258"/>
      <c r="L424" s="258"/>
      <c r="M424" s="258"/>
      <c r="N424" s="258"/>
    </row>
    <row r="425">
      <c r="A425" s="257"/>
      <c r="B425" s="257"/>
      <c r="C425" s="258"/>
      <c r="D425" s="257"/>
      <c r="E425" s="257"/>
      <c r="F425" s="257"/>
      <c r="G425" s="258"/>
      <c r="H425" s="258"/>
      <c r="I425" s="258"/>
      <c r="J425" s="258"/>
      <c r="K425" s="258"/>
      <c r="L425" s="258"/>
      <c r="M425" s="258"/>
      <c r="N425" s="258"/>
    </row>
    <row r="426">
      <c r="A426" s="257"/>
      <c r="B426" s="257"/>
      <c r="C426" s="258"/>
      <c r="D426" s="257"/>
      <c r="E426" s="257"/>
      <c r="F426" s="257"/>
      <c r="G426" s="258"/>
      <c r="H426" s="258"/>
      <c r="I426" s="258"/>
      <c r="J426" s="258"/>
      <c r="K426" s="258"/>
      <c r="L426" s="258"/>
      <c r="M426" s="258"/>
      <c r="N426" s="258"/>
    </row>
    <row r="427">
      <c r="A427" s="257"/>
      <c r="B427" s="257"/>
      <c r="C427" s="258"/>
      <c r="D427" s="257"/>
      <c r="E427" s="257"/>
      <c r="F427" s="257"/>
      <c r="G427" s="258"/>
      <c r="H427" s="258"/>
      <c r="I427" s="258"/>
      <c r="J427" s="258"/>
      <c r="K427" s="258"/>
      <c r="L427" s="258"/>
      <c r="M427" s="258"/>
      <c r="N427" s="258"/>
    </row>
    <row r="428">
      <c r="A428" s="257"/>
      <c r="B428" s="257"/>
      <c r="C428" s="258"/>
      <c r="D428" s="257"/>
      <c r="E428" s="257"/>
      <c r="F428" s="257"/>
      <c r="G428" s="258"/>
      <c r="H428" s="258"/>
      <c r="I428" s="258"/>
      <c r="J428" s="258"/>
      <c r="K428" s="258"/>
      <c r="L428" s="258"/>
      <c r="M428" s="258"/>
      <c r="N428" s="258"/>
    </row>
    <row r="429">
      <c r="A429" s="257"/>
      <c r="B429" s="257"/>
      <c r="C429" s="258"/>
      <c r="D429" s="257"/>
      <c r="E429" s="257"/>
      <c r="F429" s="257"/>
      <c r="G429" s="258"/>
      <c r="H429" s="258"/>
      <c r="I429" s="258"/>
      <c r="J429" s="258"/>
      <c r="K429" s="258"/>
      <c r="L429" s="258"/>
      <c r="M429" s="258"/>
      <c r="N429" s="258"/>
    </row>
    <row r="430">
      <c r="A430" s="257"/>
      <c r="B430" s="257"/>
      <c r="C430" s="258"/>
      <c r="D430" s="257"/>
      <c r="E430" s="257"/>
      <c r="F430" s="257"/>
      <c r="G430" s="258"/>
      <c r="H430" s="258"/>
      <c r="I430" s="258"/>
      <c r="J430" s="258"/>
      <c r="K430" s="258"/>
      <c r="L430" s="258"/>
      <c r="M430" s="258"/>
      <c r="N430" s="258"/>
    </row>
    <row r="431">
      <c r="A431" s="257"/>
      <c r="B431" s="257"/>
      <c r="C431" s="258"/>
      <c r="D431" s="257"/>
      <c r="E431" s="257"/>
      <c r="F431" s="257"/>
      <c r="G431" s="258"/>
      <c r="H431" s="258"/>
      <c r="I431" s="258"/>
      <c r="J431" s="258"/>
      <c r="K431" s="258"/>
      <c r="L431" s="258"/>
      <c r="M431" s="258"/>
      <c r="N431" s="258"/>
    </row>
    <row r="432">
      <c r="A432" s="257"/>
      <c r="B432" s="257"/>
      <c r="C432" s="258"/>
      <c r="D432" s="257"/>
      <c r="E432" s="257"/>
      <c r="F432" s="257"/>
      <c r="G432" s="258"/>
      <c r="H432" s="258"/>
      <c r="I432" s="258"/>
      <c r="J432" s="258"/>
      <c r="K432" s="258"/>
      <c r="L432" s="258"/>
      <c r="M432" s="258"/>
      <c r="N432" s="258"/>
    </row>
    <row r="433">
      <c r="A433" s="257"/>
      <c r="B433" s="257"/>
      <c r="C433" s="258"/>
      <c r="D433" s="257"/>
      <c r="E433" s="257"/>
      <c r="F433" s="257"/>
      <c r="G433" s="258"/>
      <c r="H433" s="258"/>
      <c r="I433" s="258"/>
      <c r="J433" s="258"/>
      <c r="K433" s="258"/>
      <c r="L433" s="258"/>
      <c r="M433" s="258"/>
      <c r="N433" s="258"/>
    </row>
    <row r="434">
      <c r="A434" s="257"/>
      <c r="B434" s="257"/>
      <c r="C434" s="258"/>
      <c r="D434" s="257"/>
      <c r="E434" s="257"/>
      <c r="F434" s="257"/>
      <c r="G434" s="258"/>
      <c r="H434" s="258"/>
      <c r="I434" s="258"/>
      <c r="J434" s="258"/>
      <c r="K434" s="258"/>
      <c r="L434" s="258"/>
      <c r="M434" s="258"/>
      <c r="N434" s="258"/>
    </row>
    <row r="435">
      <c r="A435" s="257"/>
      <c r="B435" s="257"/>
      <c r="C435" s="258"/>
      <c r="D435" s="257"/>
      <c r="E435" s="257"/>
      <c r="F435" s="257"/>
      <c r="G435" s="258"/>
      <c r="H435" s="258"/>
      <c r="I435" s="258"/>
      <c r="J435" s="258"/>
      <c r="K435" s="258"/>
      <c r="L435" s="258"/>
      <c r="M435" s="258"/>
      <c r="N435" s="258"/>
    </row>
    <row r="436">
      <c r="A436" s="257"/>
      <c r="B436" s="257"/>
      <c r="C436" s="258"/>
      <c r="D436" s="257"/>
      <c r="E436" s="257"/>
      <c r="F436" s="257"/>
      <c r="G436" s="258"/>
      <c r="H436" s="258"/>
      <c r="I436" s="258"/>
      <c r="J436" s="258"/>
      <c r="K436" s="258"/>
      <c r="L436" s="258"/>
      <c r="M436" s="258"/>
      <c r="N436" s="258"/>
    </row>
    <row r="437">
      <c r="A437" s="257"/>
      <c r="B437" s="257"/>
      <c r="C437" s="258"/>
      <c r="D437" s="257"/>
      <c r="E437" s="257"/>
      <c r="F437" s="257"/>
      <c r="G437" s="258"/>
      <c r="H437" s="258"/>
      <c r="I437" s="258"/>
      <c r="J437" s="258"/>
      <c r="K437" s="258"/>
      <c r="L437" s="258"/>
      <c r="M437" s="258"/>
      <c r="N437" s="258"/>
    </row>
    <row r="438">
      <c r="A438" s="257"/>
      <c r="B438" s="257"/>
      <c r="C438" s="258"/>
      <c r="D438" s="257"/>
      <c r="E438" s="257"/>
      <c r="F438" s="257"/>
      <c r="G438" s="258"/>
      <c r="H438" s="258"/>
      <c r="I438" s="258"/>
      <c r="J438" s="258"/>
      <c r="K438" s="258"/>
      <c r="L438" s="258"/>
      <c r="M438" s="258"/>
      <c r="N438" s="258"/>
    </row>
    <row r="439">
      <c r="A439" s="257"/>
      <c r="B439" s="257"/>
      <c r="C439" s="258"/>
      <c r="D439" s="257"/>
      <c r="E439" s="257"/>
      <c r="F439" s="257"/>
      <c r="G439" s="258"/>
      <c r="H439" s="258"/>
      <c r="I439" s="258"/>
      <c r="J439" s="258"/>
      <c r="K439" s="258"/>
      <c r="L439" s="258"/>
      <c r="M439" s="258"/>
      <c r="N439" s="258"/>
    </row>
    <row r="440">
      <c r="A440" s="257"/>
      <c r="B440" s="257"/>
      <c r="C440" s="258"/>
      <c r="D440" s="257"/>
      <c r="E440" s="257"/>
      <c r="F440" s="257"/>
      <c r="G440" s="258"/>
      <c r="H440" s="258"/>
      <c r="I440" s="258"/>
      <c r="J440" s="258"/>
      <c r="K440" s="258"/>
      <c r="L440" s="258"/>
      <c r="M440" s="258"/>
      <c r="N440" s="258"/>
    </row>
    <row r="441">
      <c r="A441" s="257"/>
      <c r="B441" s="257"/>
      <c r="C441" s="258"/>
      <c r="D441" s="257"/>
      <c r="E441" s="257"/>
      <c r="F441" s="257"/>
      <c r="G441" s="258"/>
      <c r="H441" s="258"/>
      <c r="I441" s="258"/>
      <c r="J441" s="258"/>
      <c r="K441" s="258"/>
      <c r="L441" s="258"/>
      <c r="M441" s="258"/>
      <c r="N441" s="258"/>
    </row>
    <row r="442">
      <c r="A442" s="257"/>
      <c r="B442" s="257"/>
      <c r="C442" s="258"/>
      <c r="D442" s="257"/>
      <c r="E442" s="257"/>
      <c r="F442" s="257"/>
      <c r="G442" s="258"/>
      <c r="H442" s="258"/>
      <c r="I442" s="258"/>
      <c r="J442" s="258"/>
      <c r="K442" s="258"/>
      <c r="L442" s="258"/>
      <c r="M442" s="258"/>
      <c r="N442" s="258"/>
    </row>
    <row r="443">
      <c r="A443" s="257"/>
      <c r="B443" s="257"/>
      <c r="C443" s="258"/>
      <c r="D443" s="257"/>
      <c r="E443" s="257"/>
      <c r="F443" s="257"/>
      <c r="G443" s="258"/>
      <c r="H443" s="258"/>
      <c r="I443" s="258"/>
      <c r="J443" s="258"/>
      <c r="K443" s="258"/>
      <c r="L443" s="258"/>
      <c r="M443" s="258"/>
      <c r="N443" s="258"/>
    </row>
    <row r="444">
      <c r="A444" s="257"/>
      <c r="B444" s="257"/>
      <c r="C444" s="258"/>
      <c r="D444" s="257"/>
      <c r="E444" s="257"/>
      <c r="F444" s="257"/>
      <c r="G444" s="258"/>
      <c r="H444" s="258"/>
      <c r="I444" s="258"/>
      <c r="J444" s="258"/>
      <c r="K444" s="258"/>
      <c r="L444" s="258"/>
      <c r="M444" s="258"/>
      <c r="N444" s="258"/>
    </row>
    <row r="445">
      <c r="A445" s="257"/>
      <c r="B445" s="257"/>
      <c r="C445" s="258"/>
      <c r="D445" s="257"/>
      <c r="E445" s="257"/>
      <c r="F445" s="257"/>
      <c r="G445" s="258"/>
      <c r="H445" s="258"/>
      <c r="I445" s="258"/>
      <c r="J445" s="258"/>
      <c r="K445" s="258"/>
      <c r="L445" s="258"/>
      <c r="M445" s="258"/>
      <c r="N445" s="258"/>
    </row>
    <row r="446">
      <c r="A446" s="257"/>
      <c r="B446" s="257"/>
      <c r="C446" s="258"/>
      <c r="D446" s="257"/>
      <c r="E446" s="257"/>
      <c r="F446" s="257"/>
      <c r="G446" s="258"/>
      <c r="H446" s="258"/>
      <c r="I446" s="258"/>
      <c r="J446" s="258"/>
      <c r="K446" s="258"/>
      <c r="L446" s="258"/>
      <c r="M446" s="258"/>
      <c r="N446" s="258"/>
    </row>
    <row r="447">
      <c r="A447" s="257"/>
      <c r="B447" s="257"/>
      <c r="C447" s="258"/>
      <c r="D447" s="257"/>
      <c r="E447" s="257"/>
      <c r="F447" s="257"/>
      <c r="G447" s="258"/>
      <c r="H447" s="258"/>
      <c r="I447" s="258"/>
      <c r="J447" s="258"/>
      <c r="K447" s="258"/>
      <c r="L447" s="258"/>
      <c r="M447" s="258"/>
      <c r="N447" s="258"/>
    </row>
    <row r="448">
      <c r="A448" s="257"/>
      <c r="B448" s="257"/>
      <c r="C448" s="258"/>
      <c r="D448" s="257"/>
      <c r="E448" s="257"/>
      <c r="F448" s="257"/>
      <c r="G448" s="258"/>
      <c r="H448" s="258"/>
      <c r="I448" s="258"/>
      <c r="J448" s="258"/>
      <c r="K448" s="258"/>
      <c r="L448" s="258"/>
      <c r="M448" s="258"/>
      <c r="N448" s="258"/>
    </row>
    <row r="449">
      <c r="A449" s="257"/>
      <c r="B449" s="257"/>
      <c r="C449" s="258"/>
      <c r="D449" s="257"/>
      <c r="E449" s="257"/>
      <c r="F449" s="257"/>
      <c r="G449" s="258"/>
      <c r="H449" s="258"/>
      <c r="I449" s="258"/>
      <c r="J449" s="258"/>
      <c r="K449" s="258"/>
      <c r="L449" s="258"/>
      <c r="M449" s="258"/>
      <c r="N449" s="258"/>
    </row>
    <row r="450">
      <c r="A450" s="257"/>
      <c r="B450" s="257"/>
      <c r="C450" s="258"/>
      <c r="D450" s="257"/>
      <c r="E450" s="257"/>
      <c r="F450" s="257"/>
      <c r="G450" s="258"/>
      <c r="H450" s="258"/>
      <c r="I450" s="258"/>
      <c r="J450" s="258"/>
      <c r="K450" s="258"/>
      <c r="L450" s="258"/>
      <c r="M450" s="258"/>
      <c r="N450" s="258"/>
    </row>
    <row r="451">
      <c r="A451" s="257"/>
      <c r="B451" s="257"/>
      <c r="C451" s="258"/>
      <c r="D451" s="257"/>
      <c r="E451" s="257"/>
      <c r="F451" s="257"/>
      <c r="G451" s="258"/>
      <c r="H451" s="258"/>
      <c r="I451" s="258"/>
      <c r="J451" s="258"/>
      <c r="K451" s="258"/>
      <c r="L451" s="258"/>
      <c r="M451" s="258"/>
      <c r="N451" s="258"/>
    </row>
    <row r="452">
      <c r="A452" s="257"/>
      <c r="B452" s="257"/>
      <c r="C452" s="258"/>
      <c r="D452" s="257"/>
      <c r="E452" s="257"/>
      <c r="F452" s="257"/>
      <c r="G452" s="258"/>
      <c r="H452" s="258"/>
      <c r="I452" s="258"/>
      <c r="J452" s="258"/>
      <c r="K452" s="258"/>
      <c r="L452" s="258"/>
      <c r="M452" s="258"/>
      <c r="N452" s="258"/>
    </row>
    <row r="453">
      <c r="A453" s="257"/>
      <c r="B453" s="257"/>
      <c r="C453" s="258"/>
      <c r="D453" s="257"/>
      <c r="E453" s="257"/>
      <c r="F453" s="257"/>
      <c r="G453" s="258"/>
      <c r="H453" s="258"/>
      <c r="I453" s="258"/>
      <c r="J453" s="258"/>
      <c r="K453" s="258"/>
      <c r="L453" s="258"/>
      <c r="M453" s="258"/>
      <c r="N453" s="258"/>
    </row>
    <row r="454">
      <c r="A454" s="257"/>
      <c r="B454" s="257"/>
      <c r="C454" s="258"/>
      <c r="D454" s="257"/>
      <c r="E454" s="257"/>
      <c r="F454" s="257"/>
      <c r="G454" s="258"/>
      <c r="H454" s="258"/>
      <c r="I454" s="258"/>
      <c r="J454" s="258"/>
      <c r="K454" s="258"/>
      <c r="L454" s="258"/>
      <c r="M454" s="258"/>
      <c r="N454" s="258"/>
    </row>
    <row r="455">
      <c r="A455" s="257"/>
      <c r="B455" s="257"/>
      <c r="C455" s="258"/>
      <c r="D455" s="257"/>
      <c r="E455" s="257"/>
      <c r="F455" s="257"/>
      <c r="G455" s="258"/>
      <c r="H455" s="258"/>
      <c r="I455" s="258"/>
      <c r="J455" s="258"/>
      <c r="K455" s="258"/>
      <c r="L455" s="258"/>
      <c r="M455" s="258"/>
      <c r="N455" s="258"/>
    </row>
    <row r="456">
      <c r="A456" s="257"/>
      <c r="B456" s="257"/>
      <c r="C456" s="258"/>
      <c r="D456" s="257"/>
      <c r="E456" s="257"/>
      <c r="F456" s="257"/>
      <c r="G456" s="258"/>
      <c r="H456" s="258"/>
      <c r="I456" s="258"/>
      <c r="J456" s="258"/>
      <c r="K456" s="258"/>
      <c r="L456" s="258"/>
      <c r="M456" s="258"/>
      <c r="N456" s="258"/>
    </row>
    <row r="457">
      <c r="A457" s="257"/>
      <c r="B457" s="257"/>
      <c r="C457" s="258"/>
      <c r="D457" s="257"/>
      <c r="E457" s="257"/>
      <c r="F457" s="257"/>
      <c r="G457" s="258"/>
      <c r="H457" s="258"/>
      <c r="I457" s="258"/>
      <c r="J457" s="258"/>
      <c r="K457" s="258"/>
      <c r="L457" s="258"/>
      <c r="M457" s="258"/>
      <c r="N457" s="258"/>
    </row>
    <row r="458">
      <c r="A458" s="257"/>
      <c r="B458" s="257"/>
      <c r="C458" s="258"/>
      <c r="D458" s="257"/>
      <c r="E458" s="257"/>
      <c r="F458" s="257"/>
      <c r="G458" s="258"/>
      <c r="H458" s="258"/>
      <c r="I458" s="258"/>
      <c r="J458" s="258"/>
      <c r="K458" s="258"/>
      <c r="L458" s="258"/>
      <c r="M458" s="258"/>
      <c r="N458" s="258"/>
    </row>
    <row r="459">
      <c r="A459" s="257"/>
      <c r="B459" s="257"/>
      <c r="C459" s="258"/>
      <c r="D459" s="257"/>
      <c r="E459" s="257"/>
      <c r="F459" s="257"/>
      <c r="G459" s="258"/>
      <c r="H459" s="258"/>
      <c r="I459" s="258"/>
      <c r="J459" s="258"/>
      <c r="K459" s="258"/>
      <c r="L459" s="258"/>
      <c r="M459" s="258"/>
      <c r="N459" s="258"/>
    </row>
    <row r="460">
      <c r="A460" s="257"/>
      <c r="B460" s="257"/>
      <c r="C460" s="258"/>
      <c r="D460" s="257"/>
      <c r="E460" s="257"/>
      <c r="F460" s="257"/>
      <c r="G460" s="258"/>
      <c r="H460" s="258"/>
      <c r="I460" s="258"/>
      <c r="J460" s="258"/>
      <c r="K460" s="258"/>
      <c r="L460" s="258"/>
      <c r="M460" s="258"/>
      <c r="N460" s="258"/>
    </row>
    <row r="461">
      <c r="A461" s="257"/>
      <c r="B461" s="257"/>
      <c r="C461" s="258"/>
      <c r="D461" s="257"/>
      <c r="E461" s="257"/>
      <c r="F461" s="257"/>
      <c r="G461" s="258"/>
      <c r="H461" s="258"/>
      <c r="I461" s="258"/>
      <c r="J461" s="258"/>
      <c r="K461" s="258"/>
      <c r="L461" s="258"/>
      <c r="M461" s="258"/>
      <c r="N461" s="258"/>
    </row>
    <row r="462">
      <c r="A462" s="257"/>
      <c r="B462" s="257"/>
      <c r="C462" s="258"/>
      <c r="D462" s="257"/>
      <c r="E462" s="257"/>
      <c r="F462" s="257"/>
      <c r="G462" s="258"/>
      <c r="H462" s="258"/>
      <c r="I462" s="258"/>
      <c r="J462" s="258"/>
      <c r="K462" s="258"/>
      <c r="L462" s="258"/>
      <c r="M462" s="258"/>
      <c r="N462" s="258"/>
    </row>
    <row r="463">
      <c r="A463" s="257"/>
      <c r="B463" s="257"/>
      <c r="C463" s="258"/>
      <c r="D463" s="257"/>
      <c r="E463" s="257"/>
      <c r="F463" s="257"/>
      <c r="G463" s="258"/>
      <c r="H463" s="258"/>
      <c r="I463" s="258"/>
      <c r="J463" s="258"/>
      <c r="K463" s="258"/>
      <c r="L463" s="258"/>
      <c r="M463" s="258"/>
      <c r="N463" s="258"/>
    </row>
    <row r="464">
      <c r="A464" s="257"/>
      <c r="B464" s="257"/>
      <c r="C464" s="258"/>
      <c r="D464" s="257"/>
      <c r="E464" s="257"/>
      <c r="F464" s="257"/>
      <c r="G464" s="258"/>
      <c r="H464" s="258"/>
      <c r="I464" s="258"/>
      <c r="J464" s="258"/>
      <c r="K464" s="258"/>
      <c r="L464" s="258"/>
      <c r="M464" s="258"/>
      <c r="N464" s="258"/>
    </row>
    <row r="465">
      <c r="A465" s="257"/>
      <c r="B465" s="257"/>
      <c r="C465" s="258"/>
      <c r="D465" s="257"/>
      <c r="E465" s="257"/>
      <c r="F465" s="257"/>
      <c r="G465" s="258"/>
      <c r="H465" s="258"/>
      <c r="I465" s="258"/>
      <c r="J465" s="258"/>
      <c r="K465" s="258"/>
      <c r="L465" s="258"/>
      <c r="M465" s="258"/>
      <c r="N465" s="258"/>
    </row>
    <row r="466">
      <c r="A466" s="257"/>
      <c r="B466" s="257"/>
      <c r="C466" s="258"/>
      <c r="D466" s="257"/>
      <c r="E466" s="257"/>
      <c r="F466" s="257"/>
      <c r="G466" s="258"/>
      <c r="H466" s="258"/>
      <c r="I466" s="258"/>
      <c r="J466" s="258"/>
      <c r="K466" s="258"/>
      <c r="L466" s="258"/>
      <c r="M466" s="258"/>
      <c r="N466" s="258"/>
    </row>
    <row r="467">
      <c r="A467" s="257"/>
      <c r="B467" s="257"/>
      <c r="C467" s="258"/>
      <c r="D467" s="257"/>
      <c r="E467" s="257"/>
      <c r="F467" s="257"/>
      <c r="G467" s="258"/>
      <c r="H467" s="258"/>
      <c r="I467" s="258"/>
      <c r="J467" s="258"/>
      <c r="K467" s="258"/>
      <c r="L467" s="258"/>
      <c r="M467" s="258"/>
      <c r="N467" s="258"/>
    </row>
    <row r="468">
      <c r="A468" s="257"/>
      <c r="B468" s="257"/>
      <c r="C468" s="258"/>
      <c r="D468" s="257"/>
      <c r="E468" s="257"/>
      <c r="F468" s="257"/>
      <c r="G468" s="258"/>
      <c r="H468" s="258"/>
      <c r="I468" s="258"/>
      <c r="J468" s="258"/>
      <c r="K468" s="258"/>
      <c r="L468" s="258"/>
      <c r="M468" s="258"/>
      <c r="N468" s="258"/>
    </row>
    <row r="469">
      <c r="A469" s="257"/>
      <c r="B469" s="257"/>
      <c r="C469" s="258"/>
      <c r="D469" s="257"/>
      <c r="E469" s="257"/>
      <c r="F469" s="257"/>
      <c r="G469" s="258"/>
      <c r="H469" s="258"/>
      <c r="I469" s="258"/>
      <c r="J469" s="258"/>
      <c r="K469" s="258"/>
      <c r="L469" s="258"/>
      <c r="M469" s="258"/>
      <c r="N469" s="258"/>
    </row>
    <row r="470">
      <c r="A470" s="257"/>
      <c r="B470" s="257"/>
      <c r="C470" s="258"/>
      <c r="D470" s="257"/>
      <c r="E470" s="257"/>
      <c r="F470" s="257"/>
      <c r="G470" s="258"/>
      <c r="H470" s="258"/>
      <c r="I470" s="258"/>
      <c r="J470" s="258"/>
      <c r="K470" s="258"/>
      <c r="L470" s="258"/>
      <c r="M470" s="258"/>
      <c r="N470" s="258"/>
    </row>
    <row r="471">
      <c r="A471" s="257"/>
      <c r="B471" s="257"/>
      <c r="C471" s="258"/>
      <c r="D471" s="257"/>
      <c r="E471" s="257"/>
      <c r="F471" s="257"/>
      <c r="G471" s="258"/>
      <c r="H471" s="258"/>
      <c r="I471" s="258"/>
      <c r="J471" s="258"/>
      <c r="K471" s="258"/>
      <c r="L471" s="258"/>
      <c r="M471" s="258"/>
      <c r="N471" s="258"/>
    </row>
    <row r="472">
      <c r="A472" s="257"/>
      <c r="B472" s="257"/>
      <c r="C472" s="258"/>
      <c r="D472" s="257"/>
      <c r="E472" s="257"/>
      <c r="F472" s="257"/>
      <c r="G472" s="258"/>
      <c r="H472" s="258"/>
      <c r="I472" s="258"/>
      <c r="J472" s="258"/>
      <c r="K472" s="258"/>
      <c r="L472" s="258"/>
      <c r="M472" s="258"/>
      <c r="N472" s="258"/>
    </row>
    <row r="473">
      <c r="A473" s="257"/>
      <c r="B473" s="257"/>
      <c r="C473" s="258"/>
      <c r="D473" s="257"/>
      <c r="E473" s="257"/>
      <c r="F473" s="257"/>
      <c r="G473" s="258"/>
      <c r="H473" s="258"/>
      <c r="I473" s="258"/>
      <c r="J473" s="258"/>
      <c r="K473" s="258"/>
      <c r="L473" s="258"/>
      <c r="M473" s="258"/>
      <c r="N473" s="258"/>
    </row>
    <row r="474">
      <c r="A474" s="257"/>
      <c r="B474" s="257"/>
      <c r="C474" s="258"/>
      <c r="D474" s="257"/>
      <c r="E474" s="257"/>
      <c r="F474" s="257"/>
      <c r="G474" s="258"/>
      <c r="H474" s="258"/>
      <c r="I474" s="258"/>
      <c r="J474" s="258"/>
      <c r="K474" s="258"/>
      <c r="L474" s="258"/>
      <c r="M474" s="258"/>
      <c r="N474" s="258"/>
    </row>
    <row r="475">
      <c r="A475" s="257"/>
      <c r="B475" s="257"/>
      <c r="C475" s="258"/>
      <c r="D475" s="257"/>
      <c r="E475" s="257"/>
      <c r="F475" s="257"/>
      <c r="G475" s="258"/>
      <c r="H475" s="258"/>
      <c r="I475" s="258"/>
      <c r="J475" s="258"/>
      <c r="K475" s="258"/>
      <c r="L475" s="258"/>
      <c r="M475" s="258"/>
      <c r="N475" s="258"/>
    </row>
    <row r="476">
      <c r="A476" s="257"/>
      <c r="B476" s="257"/>
      <c r="C476" s="258"/>
      <c r="D476" s="257"/>
      <c r="E476" s="257"/>
      <c r="F476" s="257"/>
      <c r="G476" s="258"/>
      <c r="H476" s="258"/>
      <c r="I476" s="258"/>
      <c r="J476" s="258"/>
      <c r="K476" s="258"/>
      <c r="L476" s="258"/>
      <c r="M476" s="258"/>
      <c r="N476" s="258"/>
    </row>
    <row r="477">
      <c r="A477" s="257"/>
      <c r="B477" s="257"/>
      <c r="C477" s="258"/>
      <c r="D477" s="257"/>
      <c r="E477" s="257"/>
      <c r="F477" s="257"/>
      <c r="G477" s="258"/>
      <c r="H477" s="258"/>
      <c r="I477" s="258"/>
      <c r="J477" s="258"/>
      <c r="K477" s="258"/>
      <c r="L477" s="258"/>
      <c r="M477" s="258"/>
      <c r="N477" s="258"/>
    </row>
    <row r="478">
      <c r="A478" s="257"/>
      <c r="B478" s="257"/>
      <c r="C478" s="258"/>
      <c r="D478" s="257"/>
      <c r="E478" s="257"/>
      <c r="F478" s="257"/>
      <c r="G478" s="258"/>
      <c r="H478" s="258"/>
      <c r="I478" s="258"/>
      <c r="J478" s="258"/>
      <c r="K478" s="258"/>
      <c r="L478" s="258"/>
      <c r="M478" s="258"/>
      <c r="N478" s="258"/>
    </row>
    <row r="479">
      <c r="A479" s="257"/>
      <c r="B479" s="257"/>
      <c r="C479" s="258"/>
      <c r="D479" s="257"/>
      <c r="E479" s="257"/>
      <c r="F479" s="257"/>
      <c r="G479" s="258"/>
      <c r="H479" s="258"/>
      <c r="I479" s="258"/>
      <c r="J479" s="258"/>
      <c r="K479" s="258"/>
      <c r="L479" s="258"/>
      <c r="M479" s="258"/>
      <c r="N479" s="258"/>
    </row>
    <row r="480">
      <c r="A480" s="257"/>
      <c r="B480" s="257"/>
      <c r="C480" s="258"/>
      <c r="D480" s="257"/>
      <c r="E480" s="257"/>
      <c r="F480" s="257"/>
      <c r="G480" s="258"/>
      <c r="H480" s="258"/>
      <c r="I480" s="258"/>
      <c r="J480" s="258"/>
      <c r="K480" s="258"/>
      <c r="L480" s="258"/>
      <c r="M480" s="258"/>
      <c r="N480" s="258"/>
    </row>
    <row r="481">
      <c r="A481" s="257"/>
      <c r="B481" s="257"/>
      <c r="C481" s="258"/>
      <c r="D481" s="257"/>
      <c r="E481" s="257"/>
      <c r="F481" s="257"/>
      <c r="G481" s="258"/>
      <c r="H481" s="258"/>
      <c r="I481" s="258"/>
      <c r="J481" s="258"/>
      <c r="K481" s="258"/>
      <c r="L481" s="258"/>
      <c r="M481" s="258"/>
      <c r="N481" s="258"/>
    </row>
    <row r="482">
      <c r="A482" s="257"/>
      <c r="B482" s="257"/>
      <c r="C482" s="258"/>
      <c r="D482" s="257"/>
      <c r="E482" s="257"/>
      <c r="F482" s="257"/>
      <c r="G482" s="258"/>
      <c r="H482" s="258"/>
      <c r="I482" s="258"/>
      <c r="J482" s="258"/>
      <c r="K482" s="258"/>
      <c r="L482" s="258"/>
      <c r="M482" s="258"/>
      <c r="N482" s="258"/>
    </row>
    <row r="483">
      <c r="A483" s="257"/>
      <c r="B483" s="257"/>
      <c r="C483" s="258"/>
      <c r="D483" s="257"/>
      <c r="E483" s="257"/>
      <c r="F483" s="257"/>
      <c r="G483" s="258"/>
      <c r="H483" s="258"/>
      <c r="I483" s="258"/>
      <c r="J483" s="258"/>
      <c r="K483" s="258"/>
      <c r="L483" s="258"/>
      <c r="M483" s="258"/>
      <c r="N483" s="258"/>
    </row>
    <row r="484">
      <c r="A484" s="257"/>
      <c r="B484" s="257"/>
      <c r="C484" s="258"/>
      <c r="D484" s="257"/>
      <c r="E484" s="257"/>
      <c r="F484" s="257"/>
      <c r="G484" s="258"/>
      <c r="H484" s="258"/>
      <c r="I484" s="258"/>
      <c r="J484" s="258"/>
      <c r="K484" s="258"/>
      <c r="L484" s="258"/>
      <c r="M484" s="258"/>
      <c r="N484" s="258"/>
    </row>
    <row r="485">
      <c r="A485" s="257"/>
      <c r="B485" s="257"/>
      <c r="C485" s="258"/>
      <c r="D485" s="257"/>
      <c r="E485" s="257"/>
      <c r="F485" s="257"/>
      <c r="G485" s="258"/>
      <c r="H485" s="258"/>
      <c r="I485" s="258"/>
      <c r="J485" s="258"/>
      <c r="K485" s="258"/>
      <c r="L485" s="258"/>
      <c r="M485" s="258"/>
      <c r="N485" s="258"/>
    </row>
    <row r="486">
      <c r="A486" s="257"/>
      <c r="B486" s="257"/>
      <c r="C486" s="258"/>
      <c r="D486" s="257"/>
      <c r="E486" s="257"/>
      <c r="F486" s="257"/>
      <c r="G486" s="258"/>
      <c r="H486" s="258"/>
      <c r="I486" s="258"/>
      <c r="J486" s="258"/>
      <c r="K486" s="258"/>
      <c r="L486" s="258"/>
      <c r="M486" s="258"/>
      <c r="N486" s="258"/>
    </row>
    <row r="487">
      <c r="A487" s="257"/>
      <c r="B487" s="257"/>
      <c r="C487" s="258"/>
      <c r="D487" s="257"/>
      <c r="E487" s="257"/>
      <c r="F487" s="257"/>
      <c r="G487" s="258"/>
      <c r="H487" s="258"/>
      <c r="I487" s="258"/>
      <c r="J487" s="258"/>
      <c r="K487" s="258"/>
      <c r="L487" s="258"/>
      <c r="M487" s="258"/>
      <c r="N487" s="258"/>
    </row>
    <row r="488">
      <c r="A488" s="257"/>
      <c r="B488" s="257"/>
      <c r="C488" s="258"/>
      <c r="D488" s="257"/>
      <c r="E488" s="257"/>
      <c r="F488" s="257"/>
      <c r="G488" s="258"/>
      <c r="H488" s="258"/>
      <c r="I488" s="258"/>
      <c r="J488" s="258"/>
      <c r="K488" s="258"/>
      <c r="L488" s="258"/>
      <c r="M488" s="258"/>
      <c r="N488" s="258"/>
    </row>
    <row r="489">
      <c r="A489" s="257"/>
      <c r="B489" s="257"/>
      <c r="C489" s="258"/>
      <c r="D489" s="257"/>
      <c r="E489" s="257"/>
      <c r="F489" s="257"/>
      <c r="G489" s="258"/>
      <c r="H489" s="258"/>
      <c r="I489" s="258"/>
      <c r="J489" s="258"/>
      <c r="K489" s="258"/>
      <c r="L489" s="258"/>
      <c r="M489" s="258"/>
      <c r="N489" s="258"/>
    </row>
    <row r="490">
      <c r="A490" s="257"/>
      <c r="B490" s="257"/>
      <c r="C490" s="258"/>
      <c r="D490" s="257"/>
      <c r="E490" s="257"/>
      <c r="F490" s="257"/>
      <c r="G490" s="258"/>
      <c r="H490" s="258"/>
      <c r="I490" s="258"/>
      <c r="J490" s="258"/>
      <c r="K490" s="258"/>
      <c r="L490" s="258"/>
      <c r="M490" s="258"/>
      <c r="N490" s="258"/>
    </row>
    <row r="491">
      <c r="A491" s="257"/>
      <c r="B491" s="257"/>
      <c r="C491" s="258"/>
      <c r="D491" s="257"/>
      <c r="E491" s="257"/>
      <c r="F491" s="257"/>
      <c r="G491" s="258"/>
      <c r="H491" s="258"/>
      <c r="I491" s="258"/>
      <c r="J491" s="258"/>
      <c r="K491" s="258"/>
      <c r="L491" s="258"/>
      <c r="M491" s="258"/>
      <c r="N491" s="258"/>
    </row>
    <row r="492">
      <c r="A492" s="257"/>
      <c r="B492" s="257"/>
      <c r="C492" s="258"/>
      <c r="D492" s="257"/>
      <c r="E492" s="257"/>
      <c r="F492" s="257"/>
      <c r="G492" s="258"/>
      <c r="H492" s="258"/>
      <c r="I492" s="258"/>
      <c r="J492" s="258"/>
      <c r="K492" s="258"/>
      <c r="L492" s="258"/>
      <c r="M492" s="258"/>
      <c r="N492" s="258"/>
    </row>
    <row r="493">
      <c r="A493" s="257"/>
      <c r="B493" s="257"/>
      <c r="C493" s="258"/>
      <c r="D493" s="257"/>
      <c r="E493" s="257"/>
      <c r="F493" s="257"/>
      <c r="G493" s="258"/>
      <c r="H493" s="258"/>
      <c r="I493" s="258"/>
      <c r="J493" s="258"/>
      <c r="K493" s="258"/>
      <c r="L493" s="258"/>
      <c r="M493" s="258"/>
      <c r="N493" s="258"/>
    </row>
    <row r="494">
      <c r="A494" s="257"/>
      <c r="B494" s="257"/>
      <c r="C494" s="258"/>
      <c r="D494" s="257"/>
      <c r="E494" s="257"/>
      <c r="F494" s="257"/>
      <c r="G494" s="258"/>
      <c r="H494" s="258"/>
      <c r="I494" s="258"/>
      <c r="J494" s="258"/>
      <c r="K494" s="258"/>
      <c r="L494" s="258"/>
      <c r="M494" s="258"/>
      <c r="N494" s="258"/>
    </row>
    <row r="495">
      <c r="A495" s="257"/>
      <c r="B495" s="257"/>
      <c r="C495" s="258"/>
      <c r="D495" s="257"/>
      <c r="E495" s="257"/>
      <c r="F495" s="257"/>
      <c r="G495" s="258"/>
      <c r="H495" s="258"/>
      <c r="I495" s="258"/>
      <c r="J495" s="258"/>
      <c r="K495" s="258"/>
      <c r="L495" s="258"/>
      <c r="M495" s="258"/>
      <c r="N495" s="258"/>
    </row>
    <row r="496">
      <c r="A496" s="257"/>
      <c r="B496" s="257"/>
      <c r="C496" s="258"/>
      <c r="D496" s="257"/>
      <c r="E496" s="257"/>
      <c r="F496" s="257"/>
      <c r="G496" s="258"/>
      <c r="H496" s="258"/>
      <c r="I496" s="258"/>
      <c r="J496" s="258"/>
      <c r="K496" s="258"/>
      <c r="L496" s="258"/>
      <c r="M496" s="258"/>
      <c r="N496" s="258"/>
    </row>
    <row r="497">
      <c r="A497" s="257"/>
      <c r="B497" s="257"/>
      <c r="C497" s="258"/>
      <c r="D497" s="257"/>
      <c r="E497" s="257"/>
      <c r="F497" s="257"/>
      <c r="G497" s="258"/>
      <c r="H497" s="258"/>
      <c r="I497" s="258"/>
      <c r="J497" s="258"/>
      <c r="K497" s="258"/>
      <c r="L497" s="258"/>
      <c r="M497" s="258"/>
      <c r="N497" s="258"/>
    </row>
    <row r="498">
      <c r="A498" s="257"/>
      <c r="B498" s="257"/>
      <c r="C498" s="258"/>
      <c r="D498" s="257"/>
      <c r="E498" s="257"/>
      <c r="F498" s="257"/>
      <c r="G498" s="258"/>
      <c r="H498" s="258"/>
      <c r="I498" s="258"/>
      <c r="J498" s="258"/>
      <c r="K498" s="258"/>
      <c r="L498" s="258"/>
      <c r="M498" s="258"/>
      <c r="N498" s="258"/>
    </row>
    <row r="499">
      <c r="A499" s="257"/>
      <c r="B499" s="257"/>
      <c r="C499" s="258"/>
      <c r="D499" s="257"/>
      <c r="E499" s="257"/>
      <c r="F499" s="257"/>
      <c r="G499" s="258"/>
      <c r="H499" s="258"/>
      <c r="I499" s="258"/>
      <c r="J499" s="258"/>
      <c r="K499" s="258"/>
      <c r="L499" s="258"/>
      <c r="M499" s="258"/>
      <c r="N499" s="258"/>
    </row>
    <row r="500">
      <c r="A500" s="257"/>
      <c r="B500" s="257"/>
      <c r="C500" s="258"/>
      <c r="D500" s="257"/>
      <c r="E500" s="257"/>
      <c r="F500" s="257"/>
      <c r="G500" s="258"/>
      <c r="H500" s="258"/>
      <c r="I500" s="258"/>
      <c r="J500" s="258"/>
      <c r="K500" s="258"/>
      <c r="L500" s="258"/>
      <c r="M500" s="258"/>
      <c r="N500" s="258"/>
    </row>
    <row r="501">
      <c r="A501" s="257"/>
      <c r="B501" s="257"/>
      <c r="C501" s="258"/>
      <c r="D501" s="257"/>
      <c r="E501" s="257"/>
      <c r="F501" s="257"/>
      <c r="G501" s="258"/>
      <c r="H501" s="258"/>
      <c r="I501" s="258"/>
      <c r="J501" s="258"/>
      <c r="K501" s="258"/>
      <c r="L501" s="258"/>
      <c r="M501" s="258"/>
      <c r="N501" s="258"/>
    </row>
    <row r="502">
      <c r="A502" s="257"/>
      <c r="B502" s="257"/>
      <c r="C502" s="258"/>
      <c r="D502" s="257"/>
      <c r="E502" s="257"/>
      <c r="F502" s="257"/>
      <c r="G502" s="258"/>
      <c r="H502" s="258"/>
      <c r="I502" s="258"/>
      <c r="J502" s="258"/>
      <c r="K502" s="258"/>
      <c r="L502" s="258"/>
      <c r="M502" s="258"/>
      <c r="N502" s="258"/>
    </row>
    <row r="503">
      <c r="A503" s="257"/>
      <c r="B503" s="257"/>
      <c r="C503" s="258"/>
      <c r="D503" s="257"/>
      <c r="E503" s="257"/>
      <c r="F503" s="257"/>
      <c r="G503" s="258"/>
      <c r="H503" s="258"/>
      <c r="I503" s="258"/>
      <c r="J503" s="258"/>
      <c r="K503" s="258"/>
      <c r="L503" s="258"/>
      <c r="M503" s="258"/>
      <c r="N503" s="258"/>
    </row>
    <row r="504">
      <c r="A504" s="257"/>
      <c r="B504" s="257"/>
      <c r="C504" s="258"/>
      <c r="D504" s="257"/>
      <c r="E504" s="257"/>
      <c r="F504" s="257"/>
      <c r="G504" s="258"/>
      <c r="H504" s="258"/>
      <c r="I504" s="258"/>
      <c r="J504" s="258"/>
      <c r="K504" s="258"/>
      <c r="L504" s="258"/>
      <c r="M504" s="258"/>
      <c r="N504" s="258"/>
    </row>
    <row r="505">
      <c r="A505" s="257"/>
      <c r="B505" s="257"/>
      <c r="C505" s="258"/>
      <c r="D505" s="257"/>
      <c r="E505" s="257"/>
      <c r="F505" s="257"/>
      <c r="G505" s="258"/>
      <c r="H505" s="258"/>
      <c r="I505" s="258"/>
      <c r="J505" s="258"/>
      <c r="K505" s="258"/>
      <c r="L505" s="258"/>
      <c r="M505" s="258"/>
      <c r="N505" s="258"/>
    </row>
    <row r="506">
      <c r="A506" s="257"/>
      <c r="B506" s="257"/>
      <c r="C506" s="258"/>
      <c r="D506" s="257"/>
      <c r="E506" s="257"/>
      <c r="F506" s="257"/>
      <c r="G506" s="258"/>
      <c r="H506" s="258"/>
      <c r="I506" s="258"/>
      <c r="J506" s="258"/>
      <c r="K506" s="258"/>
      <c r="L506" s="258"/>
      <c r="M506" s="258"/>
      <c r="N506" s="258"/>
    </row>
    <row r="507">
      <c r="A507" s="257"/>
      <c r="B507" s="257"/>
      <c r="C507" s="258"/>
      <c r="D507" s="257"/>
      <c r="E507" s="257"/>
      <c r="F507" s="257"/>
      <c r="G507" s="258"/>
      <c r="H507" s="258"/>
      <c r="I507" s="258"/>
      <c r="J507" s="258"/>
      <c r="K507" s="258"/>
      <c r="L507" s="258"/>
      <c r="M507" s="258"/>
      <c r="N507" s="258"/>
    </row>
    <row r="508">
      <c r="A508" s="257"/>
      <c r="B508" s="257"/>
      <c r="C508" s="258"/>
      <c r="D508" s="257"/>
      <c r="E508" s="257"/>
      <c r="F508" s="257"/>
      <c r="G508" s="258"/>
      <c r="H508" s="258"/>
      <c r="I508" s="258"/>
      <c r="J508" s="258"/>
      <c r="K508" s="258"/>
      <c r="L508" s="258"/>
      <c r="M508" s="258"/>
      <c r="N508" s="258"/>
    </row>
    <row r="509">
      <c r="A509" s="257"/>
      <c r="B509" s="257"/>
      <c r="C509" s="258"/>
      <c r="D509" s="257"/>
      <c r="E509" s="257"/>
      <c r="F509" s="257"/>
      <c r="G509" s="258"/>
      <c r="H509" s="258"/>
      <c r="I509" s="258"/>
      <c r="J509" s="258"/>
      <c r="K509" s="258"/>
      <c r="L509" s="258"/>
      <c r="M509" s="258"/>
      <c r="N509" s="258"/>
    </row>
    <row r="510">
      <c r="A510" s="257"/>
      <c r="B510" s="257"/>
      <c r="C510" s="258"/>
      <c r="D510" s="257"/>
      <c r="E510" s="257"/>
      <c r="F510" s="257"/>
      <c r="G510" s="258"/>
      <c r="H510" s="258"/>
      <c r="I510" s="258"/>
      <c r="J510" s="258"/>
      <c r="K510" s="258"/>
      <c r="L510" s="258"/>
      <c r="M510" s="258"/>
      <c r="N510" s="258"/>
    </row>
    <row r="511">
      <c r="A511" s="257"/>
      <c r="B511" s="257"/>
      <c r="C511" s="258"/>
      <c r="D511" s="257"/>
      <c r="E511" s="257"/>
      <c r="F511" s="257"/>
      <c r="G511" s="258"/>
      <c r="H511" s="258"/>
      <c r="I511" s="258"/>
      <c r="J511" s="258"/>
      <c r="K511" s="258"/>
      <c r="L511" s="258"/>
      <c r="M511" s="258"/>
      <c r="N511" s="258"/>
    </row>
    <row r="512">
      <c r="A512" s="257"/>
      <c r="B512" s="257"/>
      <c r="C512" s="258"/>
      <c r="D512" s="257"/>
      <c r="E512" s="257"/>
      <c r="F512" s="257"/>
      <c r="G512" s="258"/>
      <c r="H512" s="258"/>
      <c r="I512" s="258"/>
      <c r="J512" s="258"/>
      <c r="K512" s="258"/>
      <c r="L512" s="258"/>
      <c r="M512" s="258"/>
      <c r="N512" s="258"/>
    </row>
    <row r="513">
      <c r="A513" s="257"/>
      <c r="B513" s="257"/>
      <c r="C513" s="258"/>
      <c r="D513" s="257"/>
      <c r="E513" s="257"/>
      <c r="F513" s="257"/>
      <c r="G513" s="258"/>
      <c r="H513" s="258"/>
      <c r="I513" s="258"/>
      <c r="J513" s="258"/>
      <c r="K513" s="258"/>
      <c r="L513" s="258"/>
      <c r="M513" s="258"/>
      <c r="N513" s="258"/>
    </row>
    <row r="514">
      <c r="A514" s="257"/>
      <c r="B514" s="257"/>
      <c r="C514" s="258"/>
      <c r="D514" s="257"/>
      <c r="E514" s="257"/>
      <c r="F514" s="257"/>
      <c r="G514" s="258"/>
      <c r="H514" s="258"/>
      <c r="I514" s="258"/>
      <c r="J514" s="258"/>
      <c r="K514" s="258"/>
      <c r="L514" s="258"/>
      <c r="M514" s="258"/>
      <c r="N514" s="258"/>
    </row>
    <row r="515">
      <c r="A515" s="257"/>
      <c r="B515" s="257"/>
      <c r="C515" s="258"/>
      <c r="D515" s="257"/>
      <c r="E515" s="257"/>
      <c r="F515" s="257"/>
      <c r="G515" s="258"/>
      <c r="H515" s="258"/>
      <c r="I515" s="258"/>
      <c r="J515" s="258"/>
      <c r="K515" s="258"/>
      <c r="L515" s="258"/>
      <c r="M515" s="258"/>
      <c r="N515" s="258"/>
    </row>
    <row r="516">
      <c r="A516" s="257"/>
      <c r="B516" s="257"/>
      <c r="C516" s="258"/>
      <c r="D516" s="257"/>
      <c r="E516" s="257"/>
      <c r="F516" s="257"/>
      <c r="G516" s="258"/>
      <c r="H516" s="258"/>
      <c r="I516" s="258"/>
      <c r="J516" s="258"/>
      <c r="K516" s="258"/>
      <c r="L516" s="258"/>
      <c r="M516" s="258"/>
      <c r="N516" s="258"/>
    </row>
    <row r="517">
      <c r="A517" s="257"/>
      <c r="B517" s="257"/>
      <c r="C517" s="258"/>
      <c r="D517" s="257"/>
      <c r="E517" s="257"/>
      <c r="F517" s="257"/>
      <c r="G517" s="258"/>
      <c r="H517" s="258"/>
      <c r="I517" s="258"/>
      <c r="J517" s="258"/>
      <c r="K517" s="258"/>
      <c r="L517" s="258"/>
      <c r="M517" s="258"/>
      <c r="N517" s="258"/>
    </row>
    <row r="518">
      <c r="A518" s="257"/>
      <c r="B518" s="257"/>
      <c r="C518" s="258"/>
      <c r="D518" s="257"/>
      <c r="E518" s="257"/>
      <c r="F518" s="257"/>
      <c r="G518" s="258"/>
      <c r="H518" s="258"/>
      <c r="I518" s="258"/>
      <c r="J518" s="258"/>
      <c r="K518" s="258"/>
      <c r="L518" s="258"/>
      <c r="M518" s="258"/>
      <c r="N518" s="258"/>
    </row>
    <row r="519">
      <c r="A519" s="257"/>
      <c r="B519" s="257"/>
      <c r="C519" s="258"/>
      <c r="D519" s="257"/>
      <c r="E519" s="257"/>
      <c r="F519" s="257"/>
      <c r="G519" s="258"/>
      <c r="H519" s="258"/>
      <c r="I519" s="258"/>
      <c r="J519" s="258"/>
      <c r="K519" s="258"/>
      <c r="L519" s="258"/>
      <c r="M519" s="258"/>
      <c r="N519" s="258"/>
    </row>
    <row r="520">
      <c r="A520" s="257"/>
      <c r="B520" s="257"/>
      <c r="C520" s="258"/>
      <c r="D520" s="257"/>
      <c r="E520" s="257"/>
      <c r="F520" s="257"/>
      <c r="G520" s="258"/>
      <c r="H520" s="258"/>
      <c r="I520" s="258"/>
      <c r="J520" s="258"/>
      <c r="K520" s="258"/>
      <c r="L520" s="258"/>
      <c r="M520" s="258"/>
      <c r="N520" s="258"/>
    </row>
    <row r="521">
      <c r="A521" s="257"/>
      <c r="B521" s="257"/>
      <c r="C521" s="258"/>
      <c r="D521" s="257"/>
      <c r="E521" s="257"/>
      <c r="F521" s="257"/>
      <c r="G521" s="258"/>
      <c r="H521" s="258"/>
      <c r="I521" s="258"/>
      <c r="J521" s="258"/>
      <c r="K521" s="258"/>
      <c r="L521" s="258"/>
      <c r="M521" s="258"/>
      <c r="N521" s="258"/>
    </row>
    <row r="522">
      <c r="A522" s="257"/>
      <c r="B522" s="257"/>
      <c r="C522" s="258"/>
      <c r="D522" s="257"/>
      <c r="E522" s="257"/>
      <c r="F522" s="257"/>
      <c r="G522" s="258"/>
      <c r="H522" s="258"/>
      <c r="I522" s="258"/>
      <c r="J522" s="258"/>
      <c r="K522" s="258"/>
      <c r="L522" s="258"/>
      <c r="M522" s="258"/>
      <c r="N522" s="258"/>
    </row>
    <row r="523">
      <c r="A523" s="257"/>
      <c r="B523" s="257"/>
      <c r="C523" s="258"/>
      <c r="D523" s="257"/>
      <c r="E523" s="257"/>
      <c r="F523" s="257"/>
      <c r="G523" s="258"/>
      <c r="H523" s="258"/>
      <c r="I523" s="258"/>
      <c r="J523" s="258"/>
      <c r="K523" s="258"/>
      <c r="L523" s="258"/>
      <c r="M523" s="258"/>
      <c r="N523" s="258"/>
    </row>
    <row r="524">
      <c r="A524" s="257"/>
      <c r="B524" s="257"/>
      <c r="C524" s="258"/>
      <c r="D524" s="257"/>
      <c r="E524" s="257"/>
      <c r="F524" s="257"/>
      <c r="G524" s="258"/>
      <c r="H524" s="258"/>
      <c r="I524" s="258"/>
      <c r="J524" s="258"/>
      <c r="K524" s="258"/>
      <c r="L524" s="258"/>
      <c r="M524" s="258"/>
      <c r="N524" s="258"/>
    </row>
    <row r="525">
      <c r="A525" s="257"/>
      <c r="B525" s="257"/>
      <c r="C525" s="258"/>
      <c r="D525" s="257"/>
      <c r="E525" s="257"/>
      <c r="F525" s="257"/>
      <c r="G525" s="258"/>
      <c r="H525" s="258"/>
      <c r="I525" s="258"/>
      <c r="J525" s="258"/>
      <c r="K525" s="258"/>
      <c r="L525" s="258"/>
      <c r="M525" s="258"/>
      <c r="N525" s="258"/>
    </row>
    <row r="526">
      <c r="A526" s="257"/>
      <c r="B526" s="257"/>
      <c r="C526" s="258"/>
      <c r="D526" s="257"/>
      <c r="E526" s="257"/>
      <c r="F526" s="257"/>
      <c r="G526" s="258"/>
      <c r="H526" s="258"/>
      <c r="I526" s="258"/>
      <c r="J526" s="258"/>
      <c r="K526" s="258"/>
      <c r="L526" s="258"/>
      <c r="M526" s="258"/>
      <c r="N526" s="258"/>
    </row>
    <row r="527">
      <c r="A527" s="257"/>
      <c r="B527" s="257"/>
      <c r="C527" s="258"/>
      <c r="D527" s="257"/>
      <c r="E527" s="257"/>
      <c r="F527" s="257"/>
      <c r="G527" s="258"/>
      <c r="H527" s="258"/>
      <c r="I527" s="258"/>
      <c r="J527" s="258"/>
      <c r="K527" s="258"/>
      <c r="L527" s="258"/>
      <c r="M527" s="258"/>
      <c r="N527" s="258"/>
    </row>
    <row r="528">
      <c r="A528" s="257"/>
      <c r="B528" s="257"/>
      <c r="C528" s="258"/>
      <c r="D528" s="257"/>
      <c r="E528" s="257"/>
      <c r="F528" s="257"/>
      <c r="G528" s="258"/>
      <c r="H528" s="258"/>
      <c r="I528" s="258"/>
      <c r="J528" s="258"/>
      <c r="K528" s="258"/>
      <c r="L528" s="258"/>
      <c r="M528" s="258"/>
      <c r="N528" s="258"/>
    </row>
    <row r="529">
      <c r="A529" s="257"/>
      <c r="B529" s="257"/>
      <c r="C529" s="258"/>
      <c r="D529" s="257"/>
      <c r="E529" s="257"/>
      <c r="F529" s="257"/>
      <c r="G529" s="258"/>
      <c r="H529" s="258"/>
      <c r="I529" s="258"/>
      <c r="J529" s="258"/>
      <c r="K529" s="258"/>
      <c r="L529" s="258"/>
      <c r="M529" s="258"/>
      <c r="N529" s="258"/>
    </row>
    <row r="530">
      <c r="A530" s="257"/>
      <c r="B530" s="257"/>
      <c r="C530" s="258"/>
      <c r="D530" s="257"/>
      <c r="E530" s="257"/>
      <c r="F530" s="257"/>
      <c r="G530" s="258"/>
      <c r="H530" s="258"/>
      <c r="I530" s="258"/>
      <c r="J530" s="258"/>
      <c r="K530" s="258"/>
      <c r="L530" s="258"/>
      <c r="M530" s="258"/>
      <c r="N530" s="258"/>
    </row>
    <row r="531">
      <c r="A531" s="257"/>
      <c r="B531" s="257"/>
      <c r="C531" s="258"/>
      <c r="D531" s="257"/>
      <c r="E531" s="257"/>
      <c r="F531" s="257"/>
      <c r="G531" s="258"/>
      <c r="H531" s="258"/>
      <c r="I531" s="258"/>
      <c r="J531" s="258"/>
      <c r="K531" s="258"/>
      <c r="L531" s="258"/>
      <c r="M531" s="258"/>
      <c r="N531" s="258"/>
    </row>
    <row r="532">
      <c r="A532" s="257"/>
      <c r="B532" s="257"/>
      <c r="C532" s="258"/>
      <c r="D532" s="257"/>
      <c r="E532" s="257"/>
      <c r="F532" s="257"/>
      <c r="G532" s="258"/>
      <c r="H532" s="258"/>
      <c r="I532" s="258"/>
      <c r="J532" s="258"/>
      <c r="K532" s="258"/>
      <c r="L532" s="258"/>
      <c r="M532" s="258"/>
      <c r="N532" s="258"/>
    </row>
    <row r="533">
      <c r="A533" s="257"/>
      <c r="B533" s="257"/>
      <c r="C533" s="258"/>
      <c r="D533" s="257"/>
      <c r="E533" s="257"/>
      <c r="F533" s="257"/>
      <c r="G533" s="258"/>
      <c r="H533" s="258"/>
      <c r="I533" s="258"/>
      <c r="J533" s="258"/>
      <c r="K533" s="258"/>
      <c r="L533" s="258"/>
      <c r="M533" s="258"/>
      <c r="N533" s="258"/>
    </row>
    <row r="534">
      <c r="A534" s="257"/>
      <c r="B534" s="257"/>
      <c r="C534" s="258"/>
      <c r="D534" s="257"/>
      <c r="E534" s="257"/>
      <c r="F534" s="257"/>
      <c r="G534" s="258"/>
      <c r="H534" s="258"/>
      <c r="I534" s="258"/>
      <c r="J534" s="258"/>
      <c r="K534" s="258"/>
      <c r="L534" s="258"/>
      <c r="M534" s="258"/>
      <c r="N534" s="258"/>
    </row>
    <row r="535">
      <c r="A535" s="257"/>
      <c r="B535" s="257"/>
      <c r="C535" s="258"/>
      <c r="D535" s="257"/>
      <c r="E535" s="257"/>
      <c r="F535" s="257"/>
      <c r="G535" s="258"/>
      <c r="H535" s="258"/>
      <c r="I535" s="258"/>
      <c r="J535" s="258"/>
      <c r="K535" s="258"/>
      <c r="L535" s="258"/>
      <c r="M535" s="258"/>
      <c r="N535" s="258"/>
    </row>
    <row r="536">
      <c r="A536" s="257"/>
      <c r="B536" s="257"/>
      <c r="C536" s="258"/>
      <c r="D536" s="257"/>
      <c r="E536" s="257"/>
      <c r="F536" s="257"/>
      <c r="G536" s="258"/>
      <c r="H536" s="258"/>
      <c r="I536" s="258"/>
      <c r="J536" s="258"/>
      <c r="K536" s="258"/>
      <c r="L536" s="258"/>
      <c r="M536" s="258"/>
      <c r="N536" s="258"/>
    </row>
    <row r="537">
      <c r="A537" s="257"/>
      <c r="B537" s="257"/>
      <c r="C537" s="258"/>
      <c r="D537" s="257"/>
      <c r="E537" s="257"/>
      <c r="F537" s="257"/>
      <c r="G537" s="258"/>
      <c r="H537" s="258"/>
      <c r="I537" s="258"/>
      <c r="J537" s="258"/>
      <c r="K537" s="258"/>
      <c r="L537" s="258"/>
      <c r="M537" s="258"/>
      <c r="N537" s="258"/>
    </row>
    <row r="538">
      <c r="A538" s="257"/>
      <c r="B538" s="257"/>
      <c r="C538" s="258"/>
      <c r="D538" s="257"/>
      <c r="E538" s="257"/>
      <c r="F538" s="257"/>
      <c r="G538" s="258"/>
      <c r="H538" s="258"/>
      <c r="I538" s="258"/>
      <c r="J538" s="258"/>
      <c r="K538" s="258"/>
      <c r="L538" s="258"/>
      <c r="M538" s="258"/>
      <c r="N538" s="258"/>
    </row>
    <row r="539">
      <c r="A539" s="257"/>
      <c r="B539" s="257"/>
      <c r="C539" s="258"/>
      <c r="D539" s="257"/>
      <c r="E539" s="257"/>
      <c r="F539" s="257"/>
      <c r="G539" s="258"/>
      <c r="H539" s="258"/>
      <c r="I539" s="258"/>
      <c r="J539" s="258"/>
      <c r="K539" s="258"/>
      <c r="L539" s="258"/>
      <c r="M539" s="258"/>
      <c r="N539" s="258"/>
    </row>
    <row r="540">
      <c r="A540" s="257"/>
      <c r="B540" s="257"/>
      <c r="C540" s="258"/>
      <c r="D540" s="257"/>
      <c r="E540" s="257"/>
      <c r="F540" s="257"/>
      <c r="G540" s="258"/>
      <c r="H540" s="258"/>
      <c r="I540" s="258"/>
      <c r="J540" s="258"/>
      <c r="K540" s="258"/>
      <c r="L540" s="258"/>
      <c r="M540" s="258"/>
      <c r="N540" s="258"/>
    </row>
    <row r="541">
      <c r="A541" s="257"/>
      <c r="B541" s="257"/>
      <c r="C541" s="258"/>
      <c r="D541" s="257"/>
      <c r="E541" s="257"/>
      <c r="F541" s="257"/>
      <c r="G541" s="258"/>
      <c r="H541" s="258"/>
      <c r="I541" s="258"/>
      <c r="J541" s="258"/>
      <c r="K541" s="258"/>
      <c r="L541" s="258"/>
      <c r="M541" s="258"/>
      <c r="N541" s="258"/>
    </row>
    <row r="542">
      <c r="A542" s="257"/>
      <c r="B542" s="257"/>
      <c r="C542" s="258"/>
      <c r="D542" s="257"/>
      <c r="E542" s="257"/>
      <c r="F542" s="257"/>
      <c r="G542" s="258"/>
      <c r="H542" s="258"/>
      <c r="I542" s="258"/>
      <c r="J542" s="258"/>
      <c r="K542" s="258"/>
      <c r="L542" s="258"/>
      <c r="M542" s="258"/>
      <c r="N542" s="258"/>
    </row>
    <row r="543">
      <c r="A543" s="257"/>
      <c r="B543" s="257"/>
      <c r="C543" s="258"/>
      <c r="D543" s="257"/>
      <c r="E543" s="257"/>
      <c r="F543" s="257"/>
      <c r="G543" s="258"/>
      <c r="H543" s="258"/>
      <c r="I543" s="258"/>
      <c r="J543" s="258"/>
      <c r="K543" s="258"/>
      <c r="L543" s="258"/>
      <c r="M543" s="258"/>
      <c r="N543" s="258"/>
    </row>
    <row r="544">
      <c r="A544" s="257"/>
      <c r="B544" s="257"/>
      <c r="C544" s="258"/>
      <c r="D544" s="257"/>
      <c r="E544" s="257"/>
      <c r="F544" s="257"/>
      <c r="G544" s="258"/>
      <c r="H544" s="258"/>
      <c r="I544" s="258"/>
      <c r="J544" s="258"/>
      <c r="K544" s="258"/>
      <c r="L544" s="258"/>
      <c r="M544" s="258"/>
      <c r="N544" s="258"/>
    </row>
    <row r="545">
      <c r="A545" s="257"/>
      <c r="B545" s="257"/>
      <c r="C545" s="258"/>
      <c r="D545" s="257"/>
      <c r="E545" s="257"/>
      <c r="F545" s="257"/>
      <c r="G545" s="258"/>
      <c r="H545" s="258"/>
      <c r="I545" s="258"/>
      <c r="J545" s="258"/>
      <c r="K545" s="258"/>
      <c r="L545" s="258"/>
      <c r="M545" s="258"/>
      <c r="N545" s="258"/>
    </row>
    <row r="546">
      <c r="A546" s="257"/>
      <c r="B546" s="257"/>
      <c r="C546" s="258"/>
      <c r="D546" s="257"/>
      <c r="E546" s="257"/>
      <c r="F546" s="257"/>
      <c r="G546" s="258"/>
      <c r="H546" s="258"/>
      <c r="I546" s="258"/>
      <c r="J546" s="258"/>
      <c r="K546" s="258"/>
      <c r="L546" s="258"/>
      <c r="M546" s="258"/>
      <c r="N546" s="258"/>
    </row>
    <row r="547">
      <c r="A547" s="257"/>
      <c r="B547" s="257"/>
      <c r="C547" s="258"/>
      <c r="D547" s="257"/>
      <c r="E547" s="257"/>
      <c r="F547" s="257"/>
      <c r="G547" s="258"/>
      <c r="H547" s="258"/>
      <c r="I547" s="258"/>
      <c r="J547" s="258"/>
      <c r="K547" s="258"/>
      <c r="L547" s="258"/>
      <c r="M547" s="258"/>
      <c r="N547" s="258"/>
    </row>
    <row r="548">
      <c r="A548" s="257"/>
      <c r="B548" s="257"/>
      <c r="C548" s="258"/>
      <c r="D548" s="257"/>
      <c r="E548" s="257"/>
      <c r="F548" s="257"/>
      <c r="G548" s="258"/>
      <c r="H548" s="258"/>
      <c r="I548" s="258"/>
      <c r="J548" s="258"/>
      <c r="K548" s="258"/>
      <c r="L548" s="258"/>
      <c r="M548" s="258"/>
      <c r="N548" s="258"/>
    </row>
    <row r="549">
      <c r="A549" s="257"/>
      <c r="B549" s="257"/>
      <c r="C549" s="258"/>
      <c r="D549" s="257"/>
      <c r="E549" s="257"/>
      <c r="F549" s="257"/>
      <c r="G549" s="258"/>
      <c r="H549" s="258"/>
      <c r="I549" s="258"/>
      <c r="J549" s="258"/>
      <c r="K549" s="258"/>
      <c r="L549" s="258"/>
      <c r="M549" s="258"/>
      <c r="N549" s="258"/>
    </row>
    <row r="550">
      <c r="A550" s="257"/>
      <c r="B550" s="257"/>
      <c r="C550" s="258"/>
      <c r="D550" s="257"/>
      <c r="E550" s="257"/>
      <c r="F550" s="257"/>
      <c r="G550" s="258"/>
      <c r="H550" s="258"/>
      <c r="I550" s="258"/>
      <c r="J550" s="258"/>
      <c r="K550" s="258"/>
      <c r="L550" s="258"/>
      <c r="M550" s="258"/>
      <c r="N550" s="258"/>
    </row>
    <row r="551">
      <c r="A551" s="257"/>
      <c r="B551" s="257"/>
      <c r="C551" s="258"/>
      <c r="D551" s="257"/>
      <c r="E551" s="257"/>
      <c r="F551" s="257"/>
      <c r="G551" s="258"/>
      <c r="H551" s="258"/>
      <c r="I551" s="258"/>
      <c r="J551" s="258"/>
      <c r="K551" s="258"/>
      <c r="L551" s="258"/>
      <c r="M551" s="258"/>
      <c r="N551" s="258"/>
    </row>
    <row r="552">
      <c r="A552" s="257"/>
      <c r="B552" s="257"/>
      <c r="C552" s="258"/>
      <c r="D552" s="257"/>
      <c r="E552" s="257"/>
      <c r="F552" s="257"/>
      <c r="G552" s="258"/>
      <c r="H552" s="258"/>
      <c r="I552" s="258"/>
      <c r="J552" s="258"/>
      <c r="K552" s="258"/>
      <c r="L552" s="258"/>
      <c r="M552" s="258"/>
      <c r="N552" s="258"/>
    </row>
    <row r="553">
      <c r="A553" s="257"/>
      <c r="B553" s="257"/>
      <c r="C553" s="258"/>
      <c r="D553" s="257"/>
      <c r="E553" s="257"/>
      <c r="F553" s="257"/>
      <c r="G553" s="258"/>
      <c r="H553" s="258"/>
      <c r="I553" s="258"/>
      <c r="J553" s="258"/>
      <c r="K553" s="258"/>
      <c r="L553" s="258"/>
      <c r="M553" s="258"/>
      <c r="N553" s="258"/>
    </row>
    <row r="554">
      <c r="A554" s="257"/>
      <c r="B554" s="257"/>
      <c r="C554" s="258"/>
      <c r="D554" s="257"/>
      <c r="E554" s="257"/>
      <c r="F554" s="257"/>
      <c r="G554" s="258"/>
      <c r="H554" s="258"/>
      <c r="I554" s="258"/>
      <c r="J554" s="258"/>
      <c r="K554" s="258"/>
      <c r="L554" s="258"/>
      <c r="M554" s="258"/>
      <c r="N554" s="258"/>
    </row>
    <row r="555">
      <c r="A555" s="257"/>
      <c r="B555" s="257"/>
      <c r="C555" s="258"/>
      <c r="D555" s="257"/>
      <c r="E555" s="257"/>
      <c r="F555" s="257"/>
      <c r="G555" s="258"/>
      <c r="H555" s="258"/>
      <c r="I555" s="258"/>
      <c r="J555" s="258"/>
      <c r="K555" s="258"/>
      <c r="L555" s="258"/>
      <c r="M555" s="258"/>
      <c r="N555" s="258"/>
    </row>
    <row r="556">
      <c r="A556" s="257"/>
      <c r="B556" s="257"/>
      <c r="C556" s="258"/>
      <c r="D556" s="257"/>
      <c r="E556" s="257"/>
      <c r="F556" s="257"/>
      <c r="G556" s="258"/>
      <c r="H556" s="258"/>
      <c r="I556" s="258"/>
      <c r="J556" s="258"/>
      <c r="K556" s="258"/>
      <c r="L556" s="258"/>
      <c r="M556" s="258"/>
      <c r="N556" s="258"/>
    </row>
    <row r="557">
      <c r="A557" s="257"/>
      <c r="B557" s="257"/>
      <c r="C557" s="258"/>
      <c r="D557" s="257"/>
      <c r="E557" s="257"/>
      <c r="F557" s="257"/>
      <c r="G557" s="258"/>
      <c r="H557" s="258"/>
      <c r="I557" s="258"/>
      <c r="J557" s="258"/>
      <c r="K557" s="258"/>
      <c r="L557" s="258"/>
      <c r="M557" s="258"/>
      <c r="N557" s="258"/>
    </row>
    <row r="558">
      <c r="A558" s="257"/>
      <c r="B558" s="257"/>
      <c r="C558" s="258"/>
      <c r="D558" s="257"/>
      <c r="E558" s="257"/>
      <c r="F558" s="257"/>
      <c r="G558" s="258"/>
      <c r="H558" s="258"/>
      <c r="I558" s="258"/>
      <c r="J558" s="258"/>
      <c r="K558" s="258"/>
      <c r="L558" s="258"/>
      <c r="M558" s="258"/>
      <c r="N558" s="258"/>
    </row>
    <row r="559">
      <c r="A559" s="257"/>
      <c r="B559" s="257"/>
      <c r="C559" s="258"/>
      <c r="D559" s="257"/>
      <c r="E559" s="257"/>
      <c r="F559" s="257"/>
      <c r="G559" s="258"/>
      <c r="H559" s="258"/>
      <c r="I559" s="258"/>
      <c r="J559" s="258"/>
      <c r="K559" s="258"/>
      <c r="L559" s="258"/>
      <c r="M559" s="258"/>
      <c r="N559" s="258"/>
    </row>
    <row r="560">
      <c r="A560" s="257"/>
      <c r="B560" s="257"/>
      <c r="C560" s="258"/>
      <c r="D560" s="257"/>
      <c r="E560" s="257"/>
      <c r="F560" s="257"/>
      <c r="G560" s="258"/>
      <c r="H560" s="258"/>
      <c r="I560" s="258"/>
      <c r="J560" s="258"/>
      <c r="K560" s="258"/>
      <c r="L560" s="258"/>
      <c r="M560" s="258"/>
      <c r="N560" s="258"/>
    </row>
    <row r="561">
      <c r="A561" s="257"/>
      <c r="B561" s="257"/>
      <c r="C561" s="258"/>
      <c r="D561" s="257"/>
      <c r="E561" s="257"/>
      <c r="F561" s="257"/>
      <c r="G561" s="258"/>
      <c r="H561" s="258"/>
      <c r="I561" s="258"/>
      <c r="J561" s="258"/>
      <c r="K561" s="258"/>
      <c r="L561" s="258"/>
      <c r="M561" s="258"/>
      <c r="N561" s="258"/>
    </row>
    <row r="562">
      <c r="A562" s="257"/>
      <c r="B562" s="257"/>
      <c r="C562" s="258"/>
      <c r="D562" s="257"/>
      <c r="E562" s="257"/>
      <c r="F562" s="257"/>
      <c r="G562" s="258"/>
      <c r="H562" s="258"/>
      <c r="I562" s="258"/>
      <c r="J562" s="258"/>
      <c r="K562" s="258"/>
      <c r="L562" s="258"/>
      <c r="M562" s="258"/>
      <c r="N562" s="258"/>
    </row>
    <row r="563">
      <c r="A563" s="257"/>
      <c r="B563" s="257"/>
      <c r="C563" s="258"/>
      <c r="D563" s="257"/>
      <c r="E563" s="257"/>
      <c r="F563" s="257"/>
      <c r="G563" s="258"/>
      <c r="H563" s="258"/>
      <c r="I563" s="258"/>
      <c r="J563" s="258"/>
      <c r="K563" s="258"/>
      <c r="L563" s="258"/>
      <c r="M563" s="258"/>
      <c r="N563" s="258"/>
    </row>
    <row r="564">
      <c r="A564" s="257"/>
      <c r="B564" s="257"/>
      <c r="C564" s="258"/>
      <c r="D564" s="257"/>
      <c r="E564" s="257"/>
      <c r="F564" s="257"/>
      <c r="G564" s="258"/>
      <c r="H564" s="258"/>
      <c r="I564" s="258"/>
      <c r="J564" s="258"/>
      <c r="K564" s="258"/>
      <c r="L564" s="258"/>
      <c r="M564" s="258"/>
      <c r="N564" s="258"/>
    </row>
    <row r="565">
      <c r="A565" s="257"/>
      <c r="B565" s="257"/>
      <c r="C565" s="258"/>
      <c r="D565" s="257"/>
      <c r="E565" s="257"/>
      <c r="F565" s="257"/>
      <c r="G565" s="258"/>
      <c r="H565" s="258"/>
      <c r="I565" s="258"/>
      <c r="J565" s="258"/>
      <c r="K565" s="258"/>
      <c r="L565" s="258"/>
      <c r="M565" s="258"/>
      <c r="N565" s="258"/>
    </row>
    <row r="566">
      <c r="A566" s="257"/>
      <c r="B566" s="257"/>
      <c r="C566" s="258"/>
      <c r="D566" s="257"/>
      <c r="E566" s="257"/>
      <c r="F566" s="257"/>
      <c r="G566" s="258"/>
      <c r="H566" s="258"/>
      <c r="I566" s="258"/>
      <c r="J566" s="258"/>
      <c r="K566" s="258"/>
      <c r="L566" s="258"/>
      <c r="M566" s="258"/>
      <c r="N566" s="258"/>
    </row>
    <row r="567">
      <c r="A567" s="257"/>
      <c r="B567" s="257"/>
      <c r="C567" s="258"/>
      <c r="D567" s="257"/>
      <c r="E567" s="257"/>
      <c r="F567" s="257"/>
      <c r="G567" s="258"/>
      <c r="H567" s="258"/>
      <c r="I567" s="258"/>
      <c r="J567" s="258"/>
      <c r="K567" s="258"/>
      <c r="L567" s="258"/>
      <c r="M567" s="258"/>
      <c r="N567" s="258"/>
    </row>
    <row r="568">
      <c r="A568" s="257"/>
      <c r="B568" s="257"/>
      <c r="C568" s="258"/>
      <c r="D568" s="257"/>
      <c r="E568" s="257"/>
      <c r="F568" s="257"/>
      <c r="G568" s="258"/>
      <c r="H568" s="258"/>
      <c r="I568" s="258"/>
      <c r="J568" s="258"/>
      <c r="K568" s="258"/>
      <c r="L568" s="258"/>
      <c r="M568" s="258"/>
      <c r="N568" s="258"/>
    </row>
    <row r="569">
      <c r="A569" s="257"/>
      <c r="B569" s="257"/>
      <c r="C569" s="258"/>
      <c r="D569" s="257"/>
      <c r="E569" s="257"/>
      <c r="F569" s="257"/>
      <c r="G569" s="258"/>
      <c r="H569" s="258"/>
      <c r="I569" s="258"/>
      <c r="J569" s="258"/>
      <c r="K569" s="258"/>
      <c r="L569" s="258"/>
      <c r="M569" s="258"/>
      <c r="N569" s="258"/>
    </row>
    <row r="570">
      <c r="A570" s="257"/>
      <c r="B570" s="257"/>
      <c r="C570" s="258"/>
      <c r="D570" s="257"/>
      <c r="E570" s="257"/>
      <c r="F570" s="257"/>
      <c r="G570" s="258"/>
      <c r="H570" s="258"/>
      <c r="I570" s="258"/>
      <c r="J570" s="258"/>
      <c r="K570" s="258"/>
      <c r="L570" s="258"/>
      <c r="M570" s="258"/>
      <c r="N570" s="258"/>
    </row>
    <row r="571">
      <c r="A571" s="257"/>
      <c r="B571" s="257"/>
      <c r="C571" s="258"/>
      <c r="D571" s="257"/>
      <c r="E571" s="257"/>
      <c r="F571" s="257"/>
      <c r="G571" s="258"/>
      <c r="H571" s="258"/>
      <c r="I571" s="258"/>
      <c r="J571" s="258"/>
      <c r="K571" s="258"/>
      <c r="L571" s="258"/>
      <c r="M571" s="258"/>
      <c r="N571" s="258"/>
    </row>
    <row r="572">
      <c r="A572" s="257"/>
      <c r="B572" s="257"/>
      <c r="C572" s="258"/>
      <c r="D572" s="257"/>
      <c r="E572" s="257"/>
      <c r="F572" s="257"/>
      <c r="G572" s="258"/>
      <c r="H572" s="258"/>
      <c r="I572" s="258"/>
      <c r="J572" s="258"/>
      <c r="K572" s="258"/>
      <c r="L572" s="258"/>
      <c r="M572" s="258"/>
      <c r="N572" s="258"/>
    </row>
    <row r="573">
      <c r="A573" s="257"/>
      <c r="B573" s="257"/>
      <c r="C573" s="258"/>
      <c r="D573" s="257"/>
      <c r="E573" s="257"/>
      <c r="F573" s="257"/>
      <c r="G573" s="258"/>
      <c r="H573" s="258"/>
      <c r="I573" s="258"/>
      <c r="J573" s="258"/>
      <c r="K573" s="258"/>
      <c r="L573" s="258"/>
      <c r="M573" s="258"/>
      <c r="N573" s="258"/>
    </row>
    <row r="574">
      <c r="A574" s="257"/>
      <c r="B574" s="257"/>
      <c r="C574" s="258"/>
      <c r="D574" s="257"/>
      <c r="E574" s="257"/>
      <c r="F574" s="257"/>
      <c r="G574" s="258"/>
      <c r="H574" s="258"/>
      <c r="I574" s="258"/>
      <c r="J574" s="258"/>
      <c r="K574" s="258"/>
      <c r="L574" s="258"/>
      <c r="M574" s="258"/>
      <c r="N574" s="258"/>
    </row>
    <row r="575">
      <c r="A575" s="257"/>
      <c r="B575" s="257"/>
      <c r="C575" s="258"/>
      <c r="D575" s="257"/>
      <c r="E575" s="257"/>
      <c r="F575" s="257"/>
      <c r="G575" s="258"/>
      <c r="H575" s="258"/>
      <c r="I575" s="258"/>
      <c r="J575" s="258"/>
      <c r="K575" s="258"/>
      <c r="L575" s="258"/>
      <c r="M575" s="258"/>
      <c r="N575" s="258"/>
    </row>
    <row r="576">
      <c r="A576" s="257"/>
      <c r="B576" s="257"/>
      <c r="C576" s="258"/>
      <c r="D576" s="257"/>
      <c r="E576" s="257"/>
      <c r="F576" s="257"/>
      <c r="G576" s="258"/>
      <c r="H576" s="258"/>
      <c r="I576" s="258"/>
      <c r="J576" s="258"/>
      <c r="K576" s="258"/>
      <c r="L576" s="258"/>
      <c r="M576" s="258"/>
      <c r="N576" s="258"/>
    </row>
    <row r="577">
      <c r="A577" s="257"/>
      <c r="B577" s="257"/>
      <c r="C577" s="258"/>
      <c r="D577" s="257"/>
      <c r="E577" s="257"/>
      <c r="F577" s="257"/>
      <c r="G577" s="258"/>
      <c r="H577" s="258"/>
      <c r="I577" s="258"/>
      <c r="J577" s="258"/>
      <c r="K577" s="258"/>
      <c r="L577" s="258"/>
      <c r="M577" s="258"/>
      <c r="N577" s="258"/>
    </row>
    <row r="578">
      <c r="A578" s="257"/>
      <c r="B578" s="257"/>
      <c r="C578" s="258"/>
      <c r="D578" s="257"/>
      <c r="E578" s="257"/>
      <c r="F578" s="257"/>
      <c r="G578" s="258"/>
      <c r="H578" s="258"/>
      <c r="I578" s="258"/>
      <c r="J578" s="258"/>
      <c r="K578" s="258"/>
      <c r="L578" s="258"/>
      <c r="M578" s="258"/>
      <c r="N578" s="258"/>
    </row>
    <row r="579">
      <c r="A579" s="257"/>
      <c r="B579" s="257"/>
      <c r="C579" s="258"/>
      <c r="D579" s="257"/>
      <c r="E579" s="257"/>
      <c r="F579" s="257"/>
      <c r="G579" s="258"/>
      <c r="H579" s="258"/>
      <c r="I579" s="258"/>
      <c r="J579" s="258"/>
      <c r="K579" s="258"/>
      <c r="L579" s="258"/>
      <c r="M579" s="258"/>
      <c r="N579" s="258"/>
    </row>
    <row r="580">
      <c r="A580" s="257"/>
      <c r="B580" s="257"/>
      <c r="C580" s="258"/>
      <c r="D580" s="257"/>
      <c r="E580" s="257"/>
      <c r="F580" s="257"/>
      <c r="G580" s="258"/>
      <c r="H580" s="258"/>
      <c r="I580" s="258"/>
      <c r="J580" s="258"/>
      <c r="K580" s="258"/>
      <c r="L580" s="258"/>
      <c r="M580" s="258"/>
      <c r="N580" s="258"/>
    </row>
    <row r="581">
      <c r="A581" s="257"/>
      <c r="B581" s="257"/>
      <c r="C581" s="258"/>
      <c r="D581" s="257"/>
      <c r="E581" s="257"/>
      <c r="F581" s="257"/>
      <c r="G581" s="258"/>
      <c r="H581" s="258"/>
      <c r="I581" s="258"/>
      <c r="J581" s="258"/>
      <c r="K581" s="258"/>
      <c r="L581" s="258"/>
      <c r="M581" s="258"/>
      <c r="N581" s="258"/>
    </row>
    <row r="582">
      <c r="A582" s="257"/>
      <c r="B582" s="257"/>
      <c r="C582" s="258"/>
      <c r="D582" s="257"/>
      <c r="E582" s="257"/>
      <c r="F582" s="257"/>
      <c r="G582" s="258"/>
      <c r="H582" s="258"/>
      <c r="I582" s="258"/>
      <c r="J582" s="258"/>
      <c r="K582" s="258"/>
      <c r="L582" s="258"/>
      <c r="M582" s="258"/>
      <c r="N582" s="258"/>
    </row>
    <row r="583">
      <c r="A583" s="257"/>
      <c r="B583" s="257"/>
      <c r="C583" s="258"/>
      <c r="D583" s="257"/>
      <c r="E583" s="257"/>
      <c r="F583" s="257"/>
      <c r="G583" s="258"/>
      <c r="H583" s="258"/>
      <c r="I583" s="258"/>
      <c r="J583" s="258"/>
      <c r="K583" s="258"/>
      <c r="L583" s="258"/>
      <c r="M583" s="258"/>
      <c r="N583" s="258"/>
    </row>
    <row r="584">
      <c r="A584" s="257"/>
      <c r="B584" s="257"/>
      <c r="C584" s="258"/>
      <c r="D584" s="257"/>
      <c r="E584" s="257"/>
      <c r="F584" s="257"/>
      <c r="G584" s="258"/>
      <c r="H584" s="258"/>
      <c r="I584" s="258"/>
      <c r="J584" s="258"/>
      <c r="K584" s="258"/>
      <c r="L584" s="258"/>
      <c r="M584" s="258"/>
      <c r="N584" s="258"/>
    </row>
    <row r="585">
      <c r="A585" s="257"/>
      <c r="B585" s="257"/>
      <c r="C585" s="258"/>
      <c r="D585" s="257"/>
      <c r="E585" s="257"/>
      <c r="F585" s="257"/>
      <c r="G585" s="258"/>
      <c r="H585" s="258"/>
      <c r="I585" s="258"/>
      <c r="J585" s="258"/>
      <c r="K585" s="258"/>
      <c r="L585" s="258"/>
      <c r="M585" s="258"/>
      <c r="N585" s="258"/>
    </row>
    <row r="586">
      <c r="A586" s="257"/>
      <c r="B586" s="257"/>
      <c r="C586" s="258"/>
      <c r="D586" s="257"/>
      <c r="E586" s="257"/>
      <c r="F586" s="257"/>
      <c r="G586" s="258"/>
      <c r="H586" s="258"/>
      <c r="I586" s="258"/>
      <c r="J586" s="258"/>
      <c r="K586" s="258"/>
      <c r="L586" s="258"/>
      <c r="M586" s="258"/>
      <c r="N586" s="258"/>
    </row>
    <row r="587">
      <c r="A587" s="257"/>
      <c r="B587" s="257"/>
      <c r="C587" s="258"/>
      <c r="D587" s="257"/>
      <c r="E587" s="257"/>
      <c r="F587" s="257"/>
      <c r="G587" s="258"/>
      <c r="H587" s="258"/>
      <c r="I587" s="258"/>
      <c r="J587" s="258"/>
      <c r="K587" s="258"/>
      <c r="L587" s="258"/>
      <c r="M587" s="258"/>
      <c r="N587" s="258"/>
    </row>
    <row r="588">
      <c r="A588" s="257"/>
      <c r="B588" s="257"/>
      <c r="C588" s="258"/>
      <c r="D588" s="257"/>
      <c r="E588" s="257"/>
      <c r="F588" s="257"/>
      <c r="G588" s="258"/>
      <c r="H588" s="258"/>
      <c r="I588" s="258"/>
      <c r="J588" s="258"/>
      <c r="K588" s="258"/>
      <c r="L588" s="258"/>
      <c r="M588" s="258"/>
      <c r="N588" s="258"/>
    </row>
    <row r="589">
      <c r="A589" s="257"/>
      <c r="B589" s="257"/>
      <c r="C589" s="258"/>
      <c r="D589" s="257"/>
      <c r="E589" s="257"/>
      <c r="F589" s="257"/>
      <c r="G589" s="258"/>
      <c r="H589" s="258"/>
      <c r="I589" s="258"/>
      <c r="J589" s="258"/>
      <c r="K589" s="258"/>
      <c r="L589" s="258"/>
      <c r="M589" s="258"/>
      <c r="N589" s="258"/>
    </row>
    <row r="590">
      <c r="A590" s="257"/>
      <c r="B590" s="257"/>
      <c r="C590" s="258"/>
      <c r="D590" s="257"/>
      <c r="E590" s="257"/>
      <c r="F590" s="257"/>
      <c r="G590" s="258"/>
      <c r="H590" s="258"/>
      <c r="I590" s="258"/>
      <c r="J590" s="258"/>
      <c r="K590" s="258"/>
      <c r="L590" s="258"/>
      <c r="M590" s="258"/>
      <c r="N590" s="258"/>
    </row>
    <row r="591">
      <c r="A591" s="257"/>
      <c r="B591" s="257"/>
      <c r="C591" s="258"/>
      <c r="D591" s="257"/>
      <c r="E591" s="257"/>
      <c r="F591" s="257"/>
      <c r="G591" s="258"/>
      <c r="H591" s="258"/>
      <c r="I591" s="258"/>
      <c r="J591" s="258"/>
      <c r="K591" s="258"/>
      <c r="L591" s="258"/>
      <c r="M591" s="258"/>
      <c r="N591" s="258"/>
    </row>
    <row r="592">
      <c r="A592" s="257"/>
      <c r="B592" s="257"/>
      <c r="C592" s="258"/>
      <c r="D592" s="257"/>
      <c r="E592" s="257"/>
      <c r="F592" s="257"/>
      <c r="G592" s="258"/>
      <c r="H592" s="258"/>
      <c r="I592" s="258"/>
      <c r="J592" s="258"/>
      <c r="K592" s="258"/>
      <c r="L592" s="258"/>
      <c r="M592" s="258"/>
      <c r="N592" s="258"/>
    </row>
    <row r="593">
      <c r="A593" s="257"/>
      <c r="B593" s="257"/>
      <c r="C593" s="258"/>
      <c r="D593" s="257"/>
      <c r="E593" s="257"/>
      <c r="F593" s="257"/>
      <c r="G593" s="258"/>
      <c r="H593" s="258"/>
      <c r="I593" s="258"/>
      <c r="J593" s="258"/>
      <c r="K593" s="258"/>
      <c r="L593" s="258"/>
      <c r="M593" s="258"/>
      <c r="N593" s="258"/>
    </row>
    <row r="594">
      <c r="A594" s="257"/>
      <c r="B594" s="257"/>
      <c r="C594" s="258"/>
      <c r="D594" s="257"/>
      <c r="E594" s="257"/>
      <c r="F594" s="257"/>
      <c r="G594" s="258"/>
      <c r="H594" s="258"/>
      <c r="I594" s="258"/>
      <c r="J594" s="258"/>
      <c r="K594" s="258"/>
      <c r="L594" s="258"/>
      <c r="M594" s="258"/>
      <c r="N594" s="258"/>
    </row>
    <row r="595">
      <c r="A595" s="257"/>
      <c r="B595" s="257"/>
      <c r="C595" s="258"/>
      <c r="D595" s="257"/>
      <c r="E595" s="257"/>
      <c r="F595" s="257"/>
      <c r="G595" s="258"/>
      <c r="H595" s="258"/>
      <c r="I595" s="258"/>
      <c r="J595" s="258"/>
      <c r="K595" s="258"/>
      <c r="L595" s="258"/>
      <c r="M595" s="258"/>
      <c r="N595" s="258"/>
    </row>
    <row r="596">
      <c r="A596" s="257"/>
      <c r="B596" s="257"/>
      <c r="C596" s="258"/>
      <c r="D596" s="257"/>
      <c r="E596" s="257"/>
      <c r="F596" s="257"/>
      <c r="G596" s="258"/>
      <c r="H596" s="258"/>
      <c r="I596" s="258"/>
      <c r="J596" s="258"/>
      <c r="K596" s="258"/>
      <c r="L596" s="258"/>
      <c r="M596" s="258"/>
      <c r="N596" s="258"/>
    </row>
    <row r="597">
      <c r="A597" s="257"/>
      <c r="B597" s="257"/>
      <c r="C597" s="258"/>
      <c r="D597" s="257"/>
      <c r="E597" s="257"/>
      <c r="F597" s="257"/>
      <c r="G597" s="258"/>
      <c r="H597" s="258"/>
      <c r="I597" s="258"/>
      <c r="J597" s="258"/>
      <c r="K597" s="258"/>
      <c r="L597" s="258"/>
      <c r="M597" s="258"/>
      <c r="N597" s="258"/>
    </row>
    <row r="598">
      <c r="A598" s="257"/>
      <c r="B598" s="257"/>
      <c r="C598" s="258"/>
      <c r="D598" s="257"/>
      <c r="E598" s="257"/>
      <c r="F598" s="257"/>
      <c r="G598" s="258"/>
      <c r="H598" s="258"/>
      <c r="I598" s="258"/>
      <c r="J598" s="258"/>
      <c r="K598" s="258"/>
      <c r="L598" s="258"/>
      <c r="M598" s="258"/>
      <c r="N598" s="258"/>
    </row>
    <row r="599">
      <c r="A599" s="257"/>
      <c r="B599" s="257"/>
      <c r="C599" s="258"/>
      <c r="D599" s="257"/>
      <c r="E599" s="257"/>
      <c r="F599" s="257"/>
      <c r="G599" s="258"/>
      <c r="H599" s="258"/>
      <c r="I599" s="258"/>
      <c r="J599" s="258"/>
      <c r="K599" s="258"/>
      <c r="L599" s="258"/>
      <c r="M599" s="258"/>
      <c r="N599" s="258"/>
    </row>
    <row r="600">
      <c r="A600" s="257"/>
      <c r="B600" s="257"/>
      <c r="C600" s="258"/>
      <c r="D600" s="257"/>
      <c r="E600" s="257"/>
      <c r="F600" s="257"/>
      <c r="G600" s="258"/>
      <c r="H600" s="258"/>
      <c r="I600" s="258"/>
      <c r="J600" s="258"/>
      <c r="K600" s="258"/>
      <c r="L600" s="258"/>
      <c r="M600" s="258"/>
      <c r="N600" s="258"/>
    </row>
    <row r="601">
      <c r="A601" s="257"/>
      <c r="B601" s="257"/>
      <c r="C601" s="258"/>
      <c r="D601" s="257"/>
      <c r="E601" s="257"/>
      <c r="F601" s="257"/>
      <c r="G601" s="258"/>
      <c r="H601" s="258"/>
      <c r="I601" s="258"/>
      <c r="J601" s="258"/>
      <c r="K601" s="258"/>
      <c r="L601" s="258"/>
      <c r="M601" s="258"/>
      <c r="N601" s="258"/>
    </row>
    <row r="602">
      <c r="A602" s="257"/>
      <c r="B602" s="257"/>
      <c r="C602" s="258"/>
      <c r="D602" s="257"/>
      <c r="E602" s="257"/>
      <c r="F602" s="257"/>
      <c r="G602" s="258"/>
      <c r="H602" s="258"/>
      <c r="I602" s="258"/>
      <c r="J602" s="258"/>
      <c r="K602" s="258"/>
      <c r="L602" s="258"/>
      <c r="M602" s="258"/>
      <c r="N602" s="258"/>
    </row>
    <row r="603">
      <c r="A603" s="257"/>
      <c r="B603" s="257"/>
      <c r="C603" s="258"/>
      <c r="D603" s="257"/>
      <c r="E603" s="257"/>
      <c r="F603" s="257"/>
      <c r="G603" s="258"/>
      <c r="H603" s="258"/>
      <c r="I603" s="258"/>
      <c r="J603" s="258"/>
      <c r="K603" s="258"/>
      <c r="L603" s="258"/>
      <c r="M603" s="258"/>
      <c r="N603" s="258"/>
    </row>
    <row r="604">
      <c r="A604" s="257"/>
      <c r="B604" s="257"/>
      <c r="C604" s="258"/>
      <c r="D604" s="257"/>
      <c r="E604" s="257"/>
      <c r="F604" s="257"/>
      <c r="G604" s="258"/>
      <c r="H604" s="258"/>
      <c r="I604" s="258"/>
      <c r="J604" s="258"/>
      <c r="K604" s="258"/>
      <c r="L604" s="258"/>
      <c r="M604" s="258"/>
      <c r="N604" s="258"/>
    </row>
    <row r="605">
      <c r="A605" s="257"/>
      <c r="B605" s="257"/>
      <c r="C605" s="258"/>
      <c r="D605" s="257"/>
      <c r="E605" s="257"/>
      <c r="F605" s="257"/>
      <c r="G605" s="258"/>
      <c r="H605" s="258"/>
      <c r="I605" s="258"/>
      <c r="J605" s="258"/>
      <c r="K605" s="258"/>
      <c r="L605" s="258"/>
      <c r="M605" s="258"/>
      <c r="N605" s="258"/>
    </row>
    <row r="606">
      <c r="A606" s="257"/>
      <c r="B606" s="257"/>
      <c r="C606" s="258"/>
      <c r="D606" s="257"/>
      <c r="E606" s="257"/>
      <c r="F606" s="257"/>
      <c r="G606" s="258"/>
      <c r="H606" s="258"/>
      <c r="I606" s="258"/>
      <c r="J606" s="258"/>
      <c r="K606" s="258"/>
      <c r="L606" s="258"/>
      <c r="M606" s="258"/>
      <c r="N606" s="258"/>
    </row>
    <row r="607">
      <c r="A607" s="257"/>
      <c r="B607" s="257"/>
      <c r="C607" s="258"/>
      <c r="D607" s="257"/>
      <c r="E607" s="257"/>
      <c r="F607" s="257"/>
      <c r="G607" s="258"/>
      <c r="H607" s="258"/>
      <c r="I607" s="258"/>
      <c r="J607" s="258"/>
      <c r="K607" s="258"/>
      <c r="L607" s="258"/>
      <c r="M607" s="258"/>
      <c r="N607" s="258"/>
    </row>
    <row r="608">
      <c r="A608" s="257"/>
      <c r="B608" s="257"/>
      <c r="C608" s="258"/>
      <c r="D608" s="257"/>
      <c r="E608" s="257"/>
      <c r="F608" s="257"/>
      <c r="G608" s="258"/>
      <c r="H608" s="258"/>
      <c r="I608" s="258"/>
      <c r="J608" s="258"/>
      <c r="K608" s="258"/>
      <c r="L608" s="258"/>
      <c r="M608" s="258"/>
      <c r="N608" s="258"/>
    </row>
    <row r="609">
      <c r="A609" s="257"/>
      <c r="B609" s="257"/>
      <c r="C609" s="258"/>
      <c r="D609" s="257"/>
      <c r="E609" s="257"/>
      <c r="F609" s="257"/>
      <c r="G609" s="258"/>
      <c r="H609" s="258"/>
      <c r="I609" s="258"/>
      <c r="J609" s="258"/>
      <c r="K609" s="258"/>
      <c r="L609" s="258"/>
      <c r="M609" s="258"/>
      <c r="N609" s="258"/>
    </row>
    <row r="610">
      <c r="A610" s="257"/>
      <c r="B610" s="257"/>
      <c r="C610" s="258"/>
      <c r="D610" s="257"/>
      <c r="E610" s="257"/>
      <c r="F610" s="257"/>
      <c r="G610" s="258"/>
      <c r="H610" s="258"/>
      <c r="I610" s="258"/>
      <c r="J610" s="258"/>
      <c r="K610" s="258"/>
      <c r="L610" s="258"/>
      <c r="M610" s="258"/>
      <c r="N610" s="258"/>
    </row>
    <row r="611">
      <c r="A611" s="257"/>
      <c r="B611" s="257"/>
      <c r="C611" s="258"/>
      <c r="D611" s="257"/>
      <c r="E611" s="257"/>
      <c r="F611" s="257"/>
      <c r="G611" s="258"/>
      <c r="H611" s="258"/>
      <c r="I611" s="258"/>
      <c r="J611" s="258"/>
      <c r="K611" s="258"/>
      <c r="L611" s="258"/>
      <c r="M611" s="258"/>
      <c r="N611" s="258"/>
    </row>
    <row r="612">
      <c r="A612" s="257"/>
      <c r="B612" s="257"/>
      <c r="C612" s="258"/>
      <c r="D612" s="257"/>
      <c r="E612" s="257"/>
      <c r="F612" s="257"/>
      <c r="G612" s="258"/>
      <c r="H612" s="258"/>
      <c r="I612" s="258"/>
      <c r="J612" s="258"/>
      <c r="K612" s="258"/>
      <c r="L612" s="258"/>
      <c r="M612" s="258"/>
      <c r="N612" s="258"/>
    </row>
    <row r="613">
      <c r="A613" s="257"/>
      <c r="B613" s="257"/>
      <c r="C613" s="258"/>
      <c r="D613" s="257"/>
      <c r="E613" s="257"/>
      <c r="F613" s="257"/>
      <c r="G613" s="258"/>
      <c r="H613" s="258"/>
      <c r="I613" s="258"/>
      <c r="J613" s="258"/>
      <c r="K613" s="258"/>
      <c r="L613" s="258"/>
      <c r="M613" s="258"/>
      <c r="N613" s="258"/>
    </row>
    <row r="614">
      <c r="A614" s="257"/>
      <c r="B614" s="257"/>
      <c r="C614" s="258"/>
      <c r="D614" s="257"/>
      <c r="E614" s="257"/>
      <c r="F614" s="257"/>
      <c r="G614" s="258"/>
      <c r="H614" s="258"/>
      <c r="I614" s="258"/>
      <c r="J614" s="258"/>
      <c r="K614" s="258"/>
      <c r="L614" s="258"/>
      <c r="M614" s="258"/>
      <c r="N614" s="258"/>
    </row>
    <row r="615">
      <c r="A615" s="257"/>
      <c r="B615" s="257"/>
      <c r="C615" s="258"/>
      <c r="D615" s="257"/>
      <c r="E615" s="257"/>
      <c r="F615" s="257"/>
      <c r="G615" s="258"/>
      <c r="H615" s="258"/>
      <c r="I615" s="258"/>
      <c r="J615" s="258"/>
      <c r="K615" s="258"/>
      <c r="L615" s="258"/>
      <c r="M615" s="258"/>
      <c r="N615" s="258"/>
    </row>
    <row r="616">
      <c r="A616" s="257"/>
      <c r="B616" s="257"/>
      <c r="C616" s="258"/>
      <c r="D616" s="257"/>
      <c r="E616" s="257"/>
      <c r="F616" s="257"/>
      <c r="G616" s="258"/>
      <c r="H616" s="258"/>
      <c r="I616" s="258"/>
      <c r="J616" s="258"/>
      <c r="K616" s="258"/>
      <c r="L616" s="258"/>
      <c r="M616" s="258"/>
      <c r="N616" s="258"/>
    </row>
    <row r="617">
      <c r="A617" s="257"/>
      <c r="B617" s="257"/>
      <c r="C617" s="258"/>
      <c r="D617" s="257"/>
      <c r="E617" s="257"/>
      <c r="F617" s="257"/>
      <c r="G617" s="258"/>
      <c r="H617" s="258"/>
      <c r="I617" s="258"/>
      <c r="J617" s="258"/>
      <c r="K617" s="258"/>
      <c r="L617" s="258"/>
      <c r="M617" s="258"/>
      <c r="N617" s="258"/>
    </row>
    <row r="618">
      <c r="A618" s="257"/>
      <c r="B618" s="257"/>
      <c r="C618" s="258"/>
      <c r="D618" s="257"/>
      <c r="E618" s="257"/>
      <c r="F618" s="257"/>
      <c r="G618" s="258"/>
      <c r="H618" s="258"/>
      <c r="I618" s="258"/>
      <c r="J618" s="258"/>
      <c r="K618" s="258"/>
      <c r="L618" s="258"/>
      <c r="M618" s="258"/>
      <c r="N618" s="258"/>
    </row>
    <row r="619">
      <c r="A619" s="257"/>
      <c r="B619" s="257"/>
      <c r="C619" s="258"/>
      <c r="D619" s="257"/>
      <c r="E619" s="257"/>
      <c r="F619" s="257"/>
      <c r="G619" s="258"/>
      <c r="H619" s="258"/>
      <c r="I619" s="258"/>
      <c r="J619" s="258"/>
      <c r="K619" s="258"/>
      <c r="L619" s="258"/>
      <c r="M619" s="258"/>
      <c r="N619" s="258"/>
    </row>
    <row r="620">
      <c r="A620" s="257"/>
      <c r="B620" s="257"/>
      <c r="C620" s="258"/>
      <c r="D620" s="257"/>
      <c r="E620" s="257"/>
      <c r="F620" s="257"/>
      <c r="G620" s="258"/>
      <c r="H620" s="258"/>
      <c r="I620" s="258"/>
      <c r="J620" s="258"/>
      <c r="K620" s="258"/>
      <c r="L620" s="258"/>
      <c r="M620" s="258"/>
      <c r="N620" s="258"/>
    </row>
    <row r="621">
      <c r="A621" s="257"/>
      <c r="B621" s="257"/>
      <c r="C621" s="258"/>
      <c r="D621" s="257"/>
      <c r="E621" s="257"/>
      <c r="F621" s="257"/>
      <c r="G621" s="258"/>
      <c r="H621" s="258"/>
      <c r="I621" s="258"/>
      <c r="J621" s="258"/>
      <c r="K621" s="258"/>
      <c r="L621" s="258"/>
      <c r="M621" s="258"/>
      <c r="N621" s="258"/>
    </row>
    <row r="622">
      <c r="A622" s="257"/>
      <c r="B622" s="257"/>
      <c r="C622" s="258"/>
      <c r="D622" s="257"/>
      <c r="E622" s="257"/>
      <c r="F622" s="257"/>
      <c r="G622" s="258"/>
      <c r="H622" s="258"/>
      <c r="I622" s="258"/>
      <c r="J622" s="258"/>
      <c r="K622" s="258"/>
      <c r="L622" s="258"/>
      <c r="M622" s="258"/>
      <c r="N622" s="258"/>
    </row>
    <row r="623">
      <c r="A623" s="257"/>
      <c r="B623" s="257"/>
      <c r="C623" s="258"/>
      <c r="D623" s="257"/>
      <c r="E623" s="257"/>
      <c r="F623" s="257"/>
      <c r="G623" s="258"/>
      <c r="H623" s="258"/>
      <c r="I623" s="258"/>
      <c r="J623" s="258"/>
      <c r="K623" s="258"/>
      <c r="L623" s="258"/>
      <c r="M623" s="258"/>
      <c r="N623" s="258"/>
    </row>
    <row r="624">
      <c r="A624" s="257"/>
      <c r="B624" s="257"/>
      <c r="C624" s="258"/>
      <c r="D624" s="257"/>
      <c r="E624" s="257"/>
      <c r="F624" s="257"/>
      <c r="G624" s="258"/>
      <c r="H624" s="258"/>
      <c r="I624" s="258"/>
      <c r="J624" s="258"/>
      <c r="K624" s="258"/>
      <c r="L624" s="258"/>
      <c r="M624" s="258"/>
      <c r="N624" s="258"/>
    </row>
    <row r="625">
      <c r="A625" s="257"/>
      <c r="B625" s="257"/>
      <c r="C625" s="258"/>
      <c r="D625" s="257"/>
      <c r="E625" s="257"/>
      <c r="F625" s="257"/>
      <c r="G625" s="258"/>
      <c r="H625" s="258"/>
      <c r="I625" s="258"/>
      <c r="J625" s="258"/>
      <c r="K625" s="258"/>
      <c r="L625" s="258"/>
      <c r="M625" s="258"/>
      <c r="N625" s="258"/>
    </row>
    <row r="626">
      <c r="A626" s="257"/>
      <c r="B626" s="257"/>
      <c r="C626" s="258"/>
      <c r="D626" s="257"/>
      <c r="E626" s="257"/>
      <c r="F626" s="257"/>
      <c r="G626" s="258"/>
      <c r="H626" s="258"/>
      <c r="I626" s="258"/>
      <c r="J626" s="258"/>
      <c r="K626" s="258"/>
      <c r="L626" s="258"/>
      <c r="M626" s="258"/>
      <c r="N626" s="258"/>
    </row>
    <row r="627">
      <c r="A627" s="257"/>
      <c r="B627" s="257"/>
      <c r="C627" s="258"/>
      <c r="D627" s="257"/>
      <c r="E627" s="257"/>
      <c r="F627" s="257"/>
      <c r="G627" s="258"/>
      <c r="H627" s="258"/>
      <c r="I627" s="258"/>
      <c r="J627" s="258"/>
      <c r="K627" s="258"/>
      <c r="L627" s="258"/>
      <c r="M627" s="258"/>
      <c r="N627" s="258"/>
    </row>
    <row r="628">
      <c r="A628" s="257"/>
      <c r="B628" s="257"/>
      <c r="C628" s="258"/>
      <c r="D628" s="257"/>
      <c r="E628" s="257"/>
      <c r="F628" s="257"/>
      <c r="G628" s="258"/>
      <c r="H628" s="258"/>
      <c r="I628" s="258"/>
      <c r="J628" s="258"/>
      <c r="K628" s="258"/>
      <c r="L628" s="258"/>
      <c r="M628" s="258"/>
      <c r="N628" s="258"/>
    </row>
    <row r="629">
      <c r="A629" s="257"/>
      <c r="B629" s="257"/>
      <c r="C629" s="258"/>
      <c r="D629" s="257"/>
      <c r="E629" s="257"/>
      <c r="F629" s="257"/>
      <c r="G629" s="258"/>
      <c r="H629" s="258"/>
      <c r="I629" s="258"/>
      <c r="J629" s="258"/>
      <c r="K629" s="258"/>
      <c r="L629" s="258"/>
      <c r="M629" s="258"/>
      <c r="N629" s="258"/>
    </row>
    <row r="630">
      <c r="A630" s="257"/>
      <c r="B630" s="257"/>
      <c r="C630" s="258"/>
      <c r="D630" s="257"/>
      <c r="E630" s="257"/>
      <c r="F630" s="257"/>
      <c r="G630" s="258"/>
      <c r="H630" s="258"/>
      <c r="I630" s="258"/>
      <c r="J630" s="258"/>
      <c r="K630" s="258"/>
      <c r="L630" s="258"/>
      <c r="M630" s="258"/>
      <c r="N630" s="258"/>
    </row>
    <row r="631">
      <c r="A631" s="257"/>
      <c r="B631" s="257"/>
      <c r="C631" s="258"/>
      <c r="D631" s="257"/>
      <c r="E631" s="257"/>
      <c r="F631" s="257"/>
      <c r="G631" s="258"/>
      <c r="H631" s="258"/>
      <c r="I631" s="258"/>
      <c r="J631" s="258"/>
      <c r="K631" s="258"/>
      <c r="L631" s="258"/>
      <c r="M631" s="258"/>
      <c r="N631" s="258"/>
    </row>
    <row r="632">
      <c r="A632" s="257"/>
      <c r="B632" s="257"/>
      <c r="C632" s="258"/>
      <c r="D632" s="257"/>
      <c r="E632" s="257"/>
      <c r="F632" s="257"/>
      <c r="G632" s="258"/>
      <c r="H632" s="258"/>
      <c r="I632" s="258"/>
      <c r="J632" s="258"/>
      <c r="K632" s="258"/>
      <c r="L632" s="258"/>
      <c r="M632" s="258"/>
      <c r="N632" s="258"/>
    </row>
    <row r="633">
      <c r="A633" s="257"/>
      <c r="B633" s="257"/>
      <c r="C633" s="258"/>
      <c r="D633" s="257"/>
      <c r="E633" s="257"/>
      <c r="F633" s="257"/>
      <c r="G633" s="258"/>
      <c r="H633" s="258"/>
      <c r="I633" s="258"/>
      <c r="J633" s="258"/>
      <c r="K633" s="258"/>
      <c r="L633" s="258"/>
      <c r="M633" s="258"/>
      <c r="N633" s="258"/>
    </row>
    <row r="634">
      <c r="A634" s="257"/>
      <c r="B634" s="257"/>
      <c r="C634" s="258"/>
      <c r="D634" s="257"/>
      <c r="E634" s="257"/>
      <c r="F634" s="257"/>
      <c r="G634" s="258"/>
      <c r="H634" s="258"/>
      <c r="I634" s="258"/>
      <c r="J634" s="258"/>
      <c r="K634" s="258"/>
      <c r="L634" s="258"/>
      <c r="M634" s="258"/>
      <c r="N634" s="258"/>
    </row>
    <row r="635">
      <c r="A635" s="257"/>
      <c r="B635" s="257"/>
      <c r="C635" s="258"/>
      <c r="D635" s="257"/>
      <c r="E635" s="257"/>
      <c r="F635" s="257"/>
      <c r="G635" s="258"/>
      <c r="H635" s="258"/>
      <c r="I635" s="258"/>
      <c r="J635" s="258"/>
      <c r="K635" s="258"/>
      <c r="L635" s="258"/>
      <c r="M635" s="258"/>
      <c r="N635" s="258"/>
    </row>
    <row r="636">
      <c r="A636" s="257"/>
      <c r="B636" s="257"/>
      <c r="C636" s="258"/>
      <c r="D636" s="257"/>
      <c r="E636" s="257"/>
      <c r="F636" s="257"/>
      <c r="G636" s="258"/>
      <c r="H636" s="258"/>
      <c r="I636" s="258"/>
      <c r="J636" s="258"/>
      <c r="K636" s="258"/>
      <c r="L636" s="258"/>
      <c r="M636" s="258"/>
      <c r="N636" s="258"/>
    </row>
    <row r="637">
      <c r="A637" s="257"/>
      <c r="B637" s="257"/>
      <c r="C637" s="258"/>
      <c r="D637" s="257"/>
      <c r="E637" s="257"/>
      <c r="F637" s="257"/>
      <c r="G637" s="258"/>
      <c r="H637" s="258"/>
      <c r="I637" s="258"/>
      <c r="J637" s="258"/>
      <c r="K637" s="258"/>
      <c r="L637" s="258"/>
      <c r="M637" s="258"/>
      <c r="N637" s="258"/>
    </row>
    <row r="638">
      <c r="A638" s="257"/>
      <c r="B638" s="257"/>
      <c r="C638" s="258"/>
      <c r="D638" s="257"/>
      <c r="E638" s="257"/>
      <c r="F638" s="257"/>
      <c r="G638" s="258"/>
      <c r="H638" s="258"/>
      <c r="I638" s="258"/>
      <c r="J638" s="258"/>
      <c r="K638" s="258"/>
      <c r="L638" s="258"/>
      <c r="M638" s="258"/>
      <c r="N638" s="258"/>
    </row>
    <row r="639">
      <c r="A639" s="257"/>
      <c r="B639" s="257"/>
      <c r="C639" s="258"/>
      <c r="D639" s="257"/>
      <c r="E639" s="257"/>
      <c r="F639" s="257"/>
      <c r="G639" s="258"/>
      <c r="H639" s="258"/>
      <c r="I639" s="258"/>
      <c r="J639" s="258"/>
      <c r="K639" s="258"/>
      <c r="L639" s="258"/>
      <c r="M639" s="258"/>
      <c r="N639" s="258"/>
    </row>
    <row r="640">
      <c r="A640" s="257"/>
      <c r="B640" s="257"/>
      <c r="C640" s="258"/>
      <c r="D640" s="257"/>
      <c r="E640" s="257"/>
      <c r="F640" s="257"/>
      <c r="G640" s="258"/>
      <c r="H640" s="258"/>
      <c r="I640" s="258"/>
      <c r="J640" s="258"/>
      <c r="K640" s="258"/>
      <c r="L640" s="258"/>
      <c r="M640" s="258"/>
      <c r="N640" s="258"/>
    </row>
    <row r="641">
      <c r="A641" s="257"/>
      <c r="B641" s="257"/>
      <c r="C641" s="258"/>
      <c r="D641" s="257"/>
      <c r="E641" s="257"/>
      <c r="F641" s="257"/>
      <c r="G641" s="258"/>
      <c r="H641" s="258"/>
      <c r="I641" s="258"/>
      <c r="J641" s="258"/>
      <c r="K641" s="258"/>
      <c r="L641" s="258"/>
      <c r="M641" s="258"/>
      <c r="N641" s="258"/>
    </row>
    <row r="642">
      <c r="A642" s="257"/>
      <c r="B642" s="257"/>
      <c r="C642" s="258"/>
      <c r="D642" s="257"/>
      <c r="E642" s="257"/>
      <c r="F642" s="257"/>
      <c r="G642" s="258"/>
      <c r="H642" s="258"/>
      <c r="I642" s="258"/>
      <c r="J642" s="258"/>
      <c r="K642" s="258"/>
      <c r="L642" s="258"/>
      <c r="M642" s="258"/>
      <c r="N642" s="258"/>
    </row>
    <row r="643">
      <c r="A643" s="257"/>
      <c r="B643" s="257"/>
      <c r="C643" s="258"/>
      <c r="D643" s="257"/>
      <c r="E643" s="257"/>
      <c r="F643" s="257"/>
      <c r="G643" s="258"/>
      <c r="H643" s="258"/>
      <c r="I643" s="258"/>
      <c r="J643" s="258"/>
      <c r="K643" s="258"/>
      <c r="L643" s="258"/>
      <c r="M643" s="258"/>
      <c r="N643" s="258"/>
    </row>
    <row r="644">
      <c r="A644" s="257"/>
      <c r="B644" s="257"/>
      <c r="C644" s="258"/>
      <c r="D644" s="257"/>
      <c r="E644" s="257"/>
      <c r="F644" s="257"/>
      <c r="G644" s="258"/>
      <c r="H644" s="258"/>
      <c r="I644" s="258"/>
      <c r="J644" s="258"/>
      <c r="K644" s="258"/>
      <c r="L644" s="258"/>
      <c r="M644" s="258"/>
      <c r="N644" s="258"/>
    </row>
    <row r="645">
      <c r="A645" s="257"/>
      <c r="B645" s="257"/>
      <c r="C645" s="258"/>
      <c r="D645" s="257"/>
      <c r="E645" s="257"/>
      <c r="F645" s="257"/>
      <c r="G645" s="258"/>
      <c r="H645" s="258"/>
      <c r="I645" s="258"/>
      <c r="J645" s="258"/>
      <c r="K645" s="258"/>
      <c r="L645" s="258"/>
      <c r="M645" s="258"/>
      <c r="N645" s="258"/>
    </row>
    <row r="646">
      <c r="A646" s="257"/>
      <c r="B646" s="257"/>
      <c r="C646" s="258"/>
      <c r="D646" s="257"/>
      <c r="E646" s="257"/>
      <c r="F646" s="257"/>
      <c r="G646" s="258"/>
      <c r="H646" s="258"/>
      <c r="I646" s="258"/>
      <c r="J646" s="258"/>
      <c r="K646" s="258"/>
      <c r="L646" s="258"/>
      <c r="M646" s="258"/>
      <c r="N646" s="258"/>
    </row>
    <row r="647">
      <c r="A647" s="257"/>
      <c r="B647" s="257"/>
      <c r="C647" s="258"/>
      <c r="D647" s="257"/>
      <c r="E647" s="257"/>
      <c r="F647" s="257"/>
      <c r="G647" s="258"/>
      <c r="H647" s="258"/>
      <c r="I647" s="258"/>
      <c r="J647" s="258"/>
      <c r="K647" s="258"/>
      <c r="L647" s="258"/>
      <c r="M647" s="258"/>
      <c r="N647" s="258"/>
    </row>
    <row r="648">
      <c r="A648" s="257"/>
      <c r="B648" s="257"/>
      <c r="C648" s="258"/>
      <c r="D648" s="257"/>
      <c r="E648" s="257"/>
      <c r="F648" s="257"/>
      <c r="G648" s="258"/>
      <c r="H648" s="258"/>
      <c r="I648" s="258"/>
      <c r="J648" s="258"/>
      <c r="K648" s="258"/>
      <c r="L648" s="258"/>
      <c r="M648" s="258"/>
      <c r="N648" s="258"/>
    </row>
    <row r="649">
      <c r="A649" s="257"/>
      <c r="B649" s="257"/>
      <c r="C649" s="258"/>
      <c r="D649" s="257"/>
      <c r="E649" s="257"/>
      <c r="F649" s="257"/>
      <c r="G649" s="258"/>
      <c r="H649" s="258"/>
      <c r="I649" s="258"/>
      <c r="J649" s="258"/>
      <c r="K649" s="258"/>
      <c r="L649" s="258"/>
      <c r="M649" s="258"/>
      <c r="N649" s="258"/>
    </row>
    <row r="650">
      <c r="A650" s="257"/>
      <c r="B650" s="257"/>
      <c r="C650" s="258"/>
      <c r="D650" s="257"/>
      <c r="E650" s="257"/>
      <c r="F650" s="257"/>
      <c r="G650" s="258"/>
      <c r="H650" s="258"/>
      <c r="I650" s="258"/>
      <c r="J650" s="258"/>
      <c r="K650" s="258"/>
      <c r="L650" s="258"/>
      <c r="M650" s="258"/>
      <c r="N650" s="258"/>
    </row>
    <row r="651">
      <c r="A651" s="257"/>
      <c r="B651" s="257"/>
      <c r="C651" s="258"/>
      <c r="D651" s="257"/>
      <c r="E651" s="257"/>
      <c r="F651" s="257"/>
      <c r="G651" s="258"/>
      <c r="H651" s="258"/>
      <c r="I651" s="258"/>
      <c r="J651" s="258"/>
      <c r="K651" s="258"/>
      <c r="L651" s="258"/>
      <c r="M651" s="258"/>
      <c r="N651" s="258"/>
    </row>
    <row r="652">
      <c r="A652" s="257"/>
      <c r="B652" s="257"/>
      <c r="C652" s="258"/>
      <c r="D652" s="257"/>
      <c r="E652" s="257"/>
      <c r="F652" s="257"/>
      <c r="G652" s="258"/>
      <c r="H652" s="258"/>
      <c r="I652" s="258"/>
      <c r="J652" s="258"/>
      <c r="K652" s="258"/>
      <c r="L652" s="258"/>
      <c r="M652" s="258"/>
      <c r="N652" s="258"/>
    </row>
    <row r="653">
      <c r="A653" s="257"/>
      <c r="B653" s="257"/>
      <c r="C653" s="258"/>
      <c r="D653" s="257"/>
      <c r="E653" s="257"/>
      <c r="F653" s="257"/>
      <c r="G653" s="258"/>
      <c r="H653" s="258"/>
      <c r="I653" s="258"/>
      <c r="J653" s="258"/>
      <c r="K653" s="258"/>
      <c r="L653" s="258"/>
      <c r="M653" s="258"/>
      <c r="N653" s="258"/>
    </row>
    <row r="654">
      <c r="A654" s="257"/>
      <c r="B654" s="257"/>
      <c r="C654" s="258"/>
      <c r="D654" s="257"/>
      <c r="E654" s="257"/>
      <c r="F654" s="257"/>
      <c r="G654" s="258"/>
      <c r="H654" s="258"/>
      <c r="I654" s="258"/>
      <c r="J654" s="258"/>
      <c r="K654" s="258"/>
      <c r="L654" s="258"/>
      <c r="M654" s="258"/>
      <c r="N654" s="258"/>
    </row>
    <row r="655">
      <c r="A655" s="257"/>
      <c r="B655" s="257"/>
      <c r="C655" s="258"/>
      <c r="D655" s="257"/>
      <c r="E655" s="257"/>
      <c r="F655" s="257"/>
      <c r="G655" s="258"/>
      <c r="H655" s="258"/>
      <c r="I655" s="258"/>
      <c r="J655" s="258"/>
      <c r="K655" s="258"/>
      <c r="L655" s="258"/>
      <c r="M655" s="258"/>
      <c r="N655" s="258"/>
    </row>
    <row r="656">
      <c r="A656" s="257"/>
      <c r="B656" s="257"/>
      <c r="C656" s="258"/>
      <c r="D656" s="257"/>
      <c r="E656" s="257"/>
      <c r="F656" s="257"/>
      <c r="G656" s="258"/>
      <c r="H656" s="258"/>
      <c r="I656" s="258"/>
      <c r="J656" s="258"/>
      <c r="K656" s="258"/>
      <c r="L656" s="258"/>
      <c r="M656" s="258"/>
      <c r="N656" s="258"/>
    </row>
    <row r="657">
      <c r="A657" s="257"/>
      <c r="B657" s="257"/>
      <c r="C657" s="258"/>
      <c r="D657" s="257"/>
      <c r="E657" s="257"/>
      <c r="F657" s="257"/>
      <c r="G657" s="258"/>
      <c r="H657" s="258"/>
      <c r="I657" s="258"/>
      <c r="J657" s="258"/>
      <c r="K657" s="258"/>
      <c r="L657" s="258"/>
      <c r="M657" s="258"/>
      <c r="N657" s="258"/>
    </row>
    <row r="658">
      <c r="A658" s="257"/>
      <c r="B658" s="257"/>
      <c r="C658" s="258"/>
      <c r="D658" s="257"/>
      <c r="E658" s="257"/>
      <c r="F658" s="257"/>
      <c r="G658" s="258"/>
      <c r="H658" s="258"/>
      <c r="I658" s="258"/>
      <c r="J658" s="258"/>
      <c r="K658" s="258"/>
      <c r="L658" s="258"/>
      <c r="M658" s="258"/>
      <c r="N658" s="258"/>
    </row>
    <row r="659">
      <c r="A659" s="257"/>
      <c r="B659" s="257"/>
      <c r="C659" s="258"/>
      <c r="D659" s="257"/>
      <c r="E659" s="257"/>
      <c r="F659" s="257"/>
      <c r="G659" s="258"/>
      <c r="H659" s="258"/>
      <c r="I659" s="258"/>
      <c r="J659" s="258"/>
      <c r="K659" s="258"/>
      <c r="L659" s="258"/>
      <c r="M659" s="258"/>
      <c r="N659" s="258"/>
    </row>
    <row r="660">
      <c r="A660" s="257"/>
      <c r="B660" s="257"/>
      <c r="C660" s="258"/>
      <c r="D660" s="257"/>
      <c r="E660" s="257"/>
      <c r="F660" s="257"/>
      <c r="G660" s="258"/>
      <c r="H660" s="258"/>
      <c r="I660" s="258"/>
      <c r="J660" s="258"/>
      <c r="K660" s="258"/>
      <c r="L660" s="258"/>
      <c r="M660" s="258"/>
      <c r="N660" s="258"/>
    </row>
    <row r="661">
      <c r="A661" s="257"/>
      <c r="B661" s="257"/>
      <c r="C661" s="258"/>
      <c r="D661" s="257"/>
      <c r="E661" s="257"/>
      <c r="F661" s="257"/>
      <c r="G661" s="258"/>
      <c r="H661" s="258"/>
      <c r="I661" s="258"/>
      <c r="J661" s="258"/>
      <c r="K661" s="258"/>
      <c r="L661" s="258"/>
      <c r="M661" s="258"/>
      <c r="N661" s="258"/>
    </row>
    <row r="662">
      <c r="A662" s="257"/>
      <c r="B662" s="257"/>
      <c r="C662" s="258"/>
      <c r="D662" s="257"/>
      <c r="E662" s="257"/>
      <c r="F662" s="257"/>
      <c r="G662" s="258"/>
      <c r="H662" s="258"/>
      <c r="I662" s="258"/>
      <c r="J662" s="258"/>
      <c r="K662" s="258"/>
      <c r="L662" s="258"/>
      <c r="M662" s="258"/>
      <c r="N662" s="258"/>
    </row>
    <row r="663">
      <c r="A663" s="257"/>
      <c r="B663" s="257"/>
      <c r="C663" s="258"/>
      <c r="D663" s="257"/>
      <c r="E663" s="257"/>
      <c r="F663" s="257"/>
      <c r="G663" s="258"/>
      <c r="H663" s="258"/>
      <c r="I663" s="258"/>
      <c r="J663" s="258"/>
      <c r="K663" s="258"/>
      <c r="L663" s="258"/>
      <c r="M663" s="258"/>
      <c r="N663" s="258"/>
    </row>
    <row r="664">
      <c r="A664" s="257"/>
      <c r="B664" s="257"/>
      <c r="C664" s="258"/>
      <c r="D664" s="257"/>
      <c r="E664" s="257"/>
      <c r="F664" s="257"/>
      <c r="G664" s="258"/>
      <c r="H664" s="258"/>
      <c r="I664" s="258"/>
      <c r="J664" s="258"/>
      <c r="K664" s="258"/>
      <c r="L664" s="258"/>
      <c r="M664" s="258"/>
      <c r="N664" s="258"/>
    </row>
    <row r="665">
      <c r="A665" s="257"/>
      <c r="B665" s="257"/>
      <c r="C665" s="258"/>
      <c r="D665" s="257"/>
      <c r="E665" s="257"/>
      <c r="F665" s="257"/>
      <c r="G665" s="258"/>
      <c r="H665" s="258"/>
      <c r="I665" s="258"/>
      <c r="J665" s="258"/>
      <c r="K665" s="258"/>
      <c r="L665" s="258"/>
      <c r="M665" s="258"/>
      <c r="N665" s="258"/>
    </row>
    <row r="666">
      <c r="A666" s="257"/>
      <c r="B666" s="257"/>
      <c r="C666" s="258"/>
      <c r="D666" s="257"/>
      <c r="E666" s="257"/>
      <c r="F666" s="257"/>
      <c r="G666" s="258"/>
      <c r="H666" s="258"/>
      <c r="I666" s="258"/>
      <c r="J666" s="258"/>
      <c r="K666" s="258"/>
      <c r="L666" s="258"/>
      <c r="M666" s="258"/>
      <c r="N666" s="258"/>
    </row>
    <row r="667">
      <c r="A667" s="257"/>
      <c r="B667" s="257"/>
      <c r="C667" s="258"/>
      <c r="D667" s="257"/>
      <c r="E667" s="257"/>
      <c r="F667" s="257"/>
      <c r="G667" s="258"/>
      <c r="H667" s="258"/>
      <c r="I667" s="258"/>
      <c r="J667" s="258"/>
      <c r="K667" s="258"/>
      <c r="L667" s="258"/>
      <c r="M667" s="258"/>
      <c r="N667" s="258"/>
    </row>
    <row r="668">
      <c r="A668" s="257"/>
      <c r="B668" s="257"/>
      <c r="C668" s="258"/>
      <c r="D668" s="257"/>
      <c r="E668" s="257"/>
      <c r="F668" s="257"/>
      <c r="G668" s="258"/>
      <c r="H668" s="258"/>
      <c r="I668" s="258"/>
      <c r="J668" s="258"/>
      <c r="K668" s="258"/>
      <c r="L668" s="258"/>
      <c r="M668" s="258"/>
      <c r="N668" s="258"/>
    </row>
    <row r="669">
      <c r="A669" s="257"/>
      <c r="B669" s="257"/>
      <c r="C669" s="258"/>
      <c r="D669" s="257"/>
      <c r="E669" s="257"/>
      <c r="F669" s="257"/>
      <c r="G669" s="258"/>
      <c r="H669" s="258"/>
      <c r="I669" s="258"/>
      <c r="J669" s="258"/>
      <c r="K669" s="258"/>
      <c r="L669" s="258"/>
      <c r="M669" s="258"/>
      <c r="N669" s="258"/>
    </row>
    <row r="670">
      <c r="A670" s="257"/>
      <c r="B670" s="257"/>
      <c r="C670" s="258"/>
      <c r="D670" s="257"/>
      <c r="E670" s="257"/>
      <c r="F670" s="257"/>
      <c r="G670" s="258"/>
      <c r="H670" s="258"/>
      <c r="I670" s="258"/>
      <c r="J670" s="258"/>
      <c r="K670" s="258"/>
      <c r="L670" s="258"/>
      <c r="M670" s="258"/>
      <c r="N670" s="258"/>
    </row>
    <row r="671">
      <c r="A671" s="257"/>
      <c r="B671" s="257"/>
      <c r="C671" s="258"/>
      <c r="D671" s="257"/>
      <c r="E671" s="257"/>
      <c r="F671" s="257"/>
      <c r="G671" s="258"/>
      <c r="H671" s="258"/>
      <c r="I671" s="258"/>
      <c r="J671" s="258"/>
      <c r="K671" s="258"/>
      <c r="L671" s="258"/>
      <c r="M671" s="258"/>
      <c r="N671" s="258"/>
    </row>
    <row r="672">
      <c r="A672" s="257"/>
      <c r="B672" s="257"/>
      <c r="C672" s="258"/>
      <c r="D672" s="257"/>
      <c r="E672" s="257"/>
      <c r="F672" s="257"/>
      <c r="G672" s="258"/>
      <c r="H672" s="258"/>
      <c r="I672" s="258"/>
      <c r="J672" s="258"/>
      <c r="K672" s="258"/>
      <c r="L672" s="258"/>
      <c r="M672" s="258"/>
      <c r="N672" s="258"/>
    </row>
    <row r="673">
      <c r="A673" s="257"/>
      <c r="B673" s="257"/>
      <c r="C673" s="258"/>
      <c r="D673" s="257"/>
      <c r="E673" s="257"/>
      <c r="F673" s="257"/>
      <c r="G673" s="258"/>
      <c r="H673" s="258"/>
      <c r="I673" s="258"/>
      <c r="J673" s="258"/>
      <c r="K673" s="258"/>
      <c r="L673" s="258"/>
      <c r="M673" s="258"/>
      <c r="N673" s="258"/>
    </row>
    <row r="674">
      <c r="A674" s="257"/>
      <c r="B674" s="257"/>
      <c r="C674" s="258"/>
      <c r="D674" s="257"/>
      <c r="E674" s="257"/>
      <c r="F674" s="257"/>
      <c r="G674" s="258"/>
      <c r="H674" s="258"/>
      <c r="I674" s="258"/>
      <c r="J674" s="258"/>
      <c r="K674" s="258"/>
      <c r="L674" s="258"/>
      <c r="M674" s="258"/>
      <c r="N674" s="258"/>
    </row>
    <row r="675">
      <c r="A675" s="257"/>
      <c r="B675" s="257"/>
      <c r="C675" s="258"/>
      <c r="D675" s="257"/>
      <c r="E675" s="257"/>
      <c r="F675" s="257"/>
      <c r="G675" s="258"/>
      <c r="H675" s="258"/>
      <c r="I675" s="258"/>
      <c r="J675" s="258"/>
      <c r="K675" s="258"/>
      <c r="L675" s="258"/>
      <c r="M675" s="258"/>
      <c r="N675" s="258"/>
    </row>
    <row r="676">
      <c r="A676" s="257"/>
      <c r="B676" s="257"/>
      <c r="C676" s="258"/>
      <c r="D676" s="257"/>
      <c r="E676" s="257"/>
      <c r="F676" s="257"/>
      <c r="G676" s="258"/>
      <c r="H676" s="258"/>
      <c r="I676" s="258"/>
      <c r="J676" s="258"/>
      <c r="K676" s="258"/>
      <c r="L676" s="258"/>
      <c r="M676" s="258"/>
      <c r="N676" s="258"/>
    </row>
    <row r="677">
      <c r="A677" s="257"/>
      <c r="B677" s="257"/>
      <c r="C677" s="258"/>
      <c r="D677" s="257"/>
      <c r="E677" s="257"/>
      <c r="F677" s="257"/>
      <c r="G677" s="258"/>
      <c r="H677" s="258"/>
      <c r="I677" s="258"/>
      <c r="J677" s="258"/>
      <c r="K677" s="258"/>
      <c r="L677" s="258"/>
      <c r="M677" s="258"/>
      <c r="N677" s="258"/>
    </row>
    <row r="678">
      <c r="A678" s="257"/>
      <c r="B678" s="257"/>
      <c r="C678" s="258"/>
      <c r="D678" s="257"/>
      <c r="E678" s="257"/>
      <c r="F678" s="257"/>
      <c r="G678" s="258"/>
      <c r="H678" s="258"/>
      <c r="I678" s="258"/>
      <c r="J678" s="258"/>
      <c r="K678" s="258"/>
      <c r="L678" s="258"/>
      <c r="M678" s="258"/>
      <c r="N678" s="258"/>
    </row>
    <row r="679">
      <c r="A679" s="257"/>
      <c r="B679" s="257"/>
      <c r="C679" s="258"/>
      <c r="D679" s="257"/>
      <c r="E679" s="257"/>
      <c r="F679" s="257"/>
      <c r="G679" s="258"/>
      <c r="H679" s="258"/>
      <c r="I679" s="258"/>
      <c r="J679" s="258"/>
      <c r="K679" s="258"/>
      <c r="L679" s="258"/>
      <c r="M679" s="258"/>
      <c r="N679" s="258"/>
    </row>
    <row r="680">
      <c r="A680" s="257"/>
      <c r="B680" s="257"/>
      <c r="C680" s="258"/>
      <c r="D680" s="257"/>
      <c r="E680" s="257"/>
      <c r="F680" s="257"/>
      <c r="G680" s="258"/>
      <c r="H680" s="258"/>
      <c r="I680" s="258"/>
      <c r="J680" s="258"/>
      <c r="K680" s="258"/>
      <c r="L680" s="258"/>
      <c r="M680" s="258"/>
      <c r="N680" s="258"/>
    </row>
    <row r="681">
      <c r="A681" s="257"/>
      <c r="B681" s="257"/>
      <c r="C681" s="258"/>
      <c r="D681" s="257"/>
      <c r="E681" s="257"/>
      <c r="F681" s="257"/>
      <c r="G681" s="258"/>
      <c r="H681" s="258"/>
      <c r="I681" s="258"/>
      <c r="J681" s="258"/>
      <c r="K681" s="258"/>
      <c r="L681" s="258"/>
      <c r="M681" s="258"/>
      <c r="N681" s="258"/>
    </row>
    <row r="682">
      <c r="A682" s="257"/>
      <c r="B682" s="257"/>
      <c r="C682" s="258"/>
      <c r="D682" s="257"/>
      <c r="E682" s="257"/>
      <c r="F682" s="257"/>
      <c r="G682" s="258"/>
      <c r="H682" s="258"/>
      <c r="I682" s="258"/>
      <c r="J682" s="258"/>
      <c r="K682" s="258"/>
      <c r="L682" s="258"/>
      <c r="M682" s="258"/>
      <c r="N682" s="258"/>
    </row>
    <row r="683">
      <c r="A683" s="257"/>
      <c r="B683" s="257"/>
      <c r="C683" s="258"/>
      <c r="D683" s="257"/>
      <c r="E683" s="257"/>
      <c r="F683" s="257"/>
      <c r="G683" s="258"/>
      <c r="H683" s="258"/>
      <c r="I683" s="258"/>
      <c r="J683" s="258"/>
      <c r="K683" s="258"/>
      <c r="L683" s="258"/>
      <c r="M683" s="258"/>
      <c r="N683" s="258"/>
    </row>
    <row r="684">
      <c r="A684" s="257"/>
      <c r="B684" s="257"/>
      <c r="C684" s="258"/>
      <c r="D684" s="257"/>
      <c r="E684" s="257"/>
      <c r="F684" s="257"/>
      <c r="G684" s="258"/>
      <c r="H684" s="258"/>
      <c r="I684" s="258"/>
      <c r="J684" s="258"/>
      <c r="K684" s="258"/>
      <c r="L684" s="258"/>
      <c r="M684" s="258"/>
      <c r="N684" s="258"/>
    </row>
    <row r="685">
      <c r="A685" s="257"/>
      <c r="B685" s="257"/>
      <c r="C685" s="258"/>
      <c r="D685" s="257"/>
      <c r="E685" s="257"/>
      <c r="F685" s="257"/>
      <c r="G685" s="258"/>
      <c r="H685" s="258"/>
      <c r="I685" s="258"/>
      <c r="J685" s="258"/>
      <c r="K685" s="258"/>
      <c r="L685" s="258"/>
      <c r="M685" s="258"/>
      <c r="N685" s="258"/>
    </row>
    <row r="686">
      <c r="A686" s="257"/>
      <c r="B686" s="257"/>
      <c r="C686" s="258"/>
      <c r="D686" s="257"/>
      <c r="E686" s="257"/>
      <c r="F686" s="257"/>
      <c r="G686" s="258"/>
      <c r="H686" s="258"/>
      <c r="I686" s="258"/>
      <c r="J686" s="258"/>
      <c r="K686" s="258"/>
      <c r="L686" s="258"/>
      <c r="M686" s="258"/>
      <c r="N686" s="258"/>
    </row>
    <row r="687">
      <c r="A687" s="257"/>
      <c r="B687" s="257"/>
      <c r="C687" s="258"/>
      <c r="D687" s="257"/>
      <c r="E687" s="257"/>
      <c r="F687" s="257"/>
      <c r="G687" s="258"/>
      <c r="H687" s="258"/>
      <c r="I687" s="258"/>
      <c r="J687" s="258"/>
      <c r="K687" s="258"/>
      <c r="L687" s="258"/>
      <c r="M687" s="258"/>
      <c r="N687" s="258"/>
    </row>
    <row r="688">
      <c r="A688" s="257"/>
      <c r="B688" s="257"/>
      <c r="C688" s="258"/>
      <c r="D688" s="257"/>
      <c r="E688" s="257"/>
      <c r="F688" s="257"/>
      <c r="G688" s="258"/>
      <c r="H688" s="258"/>
      <c r="I688" s="258"/>
      <c r="J688" s="258"/>
      <c r="K688" s="258"/>
      <c r="L688" s="258"/>
      <c r="M688" s="258"/>
      <c r="N688" s="258"/>
    </row>
    <row r="689">
      <c r="A689" s="257"/>
      <c r="B689" s="257"/>
      <c r="C689" s="258"/>
      <c r="D689" s="257"/>
      <c r="E689" s="257"/>
      <c r="F689" s="257"/>
      <c r="G689" s="258"/>
      <c r="H689" s="258"/>
      <c r="I689" s="258"/>
      <c r="J689" s="258"/>
      <c r="K689" s="258"/>
      <c r="L689" s="258"/>
      <c r="M689" s="258"/>
      <c r="N689" s="258"/>
    </row>
    <row r="690">
      <c r="A690" s="257"/>
      <c r="B690" s="257"/>
      <c r="C690" s="258"/>
      <c r="D690" s="257"/>
      <c r="E690" s="257"/>
      <c r="F690" s="257"/>
      <c r="G690" s="258"/>
      <c r="H690" s="258"/>
      <c r="I690" s="258"/>
      <c r="J690" s="258"/>
      <c r="K690" s="258"/>
      <c r="L690" s="258"/>
      <c r="M690" s="258"/>
      <c r="N690" s="258"/>
    </row>
    <row r="691">
      <c r="A691" s="257"/>
      <c r="B691" s="257"/>
      <c r="C691" s="258"/>
      <c r="D691" s="257"/>
      <c r="E691" s="257"/>
      <c r="F691" s="257"/>
      <c r="G691" s="258"/>
      <c r="H691" s="258"/>
      <c r="I691" s="258"/>
      <c r="J691" s="258"/>
      <c r="K691" s="258"/>
      <c r="L691" s="258"/>
      <c r="M691" s="258"/>
      <c r="N691" s="258"/>
    </row>
    <row r="692">
      <c r="A692" s="257"/>
      <c r="B692" s="257"/>
      <c r="C692" s="258"/>
      <c r="D692" s="257"/>
      <c r="E692" s="257"/>
      <c r="F692" s="257"/>
      <c r="G692" s="258"/>
      <c r="H692" s="258"/>
      <c r="I692" s="258"/>
      <c r="J692" s="258"/>
      <c r="K692" s="258"/>
      <c r="L692" s="258"/>
      <c r="M692" s="258"/>
      <c r="N692" s="258"/>
    </row>
    <row r="693">
      <c r="A693" s="257"/>
      <c r="B693" s="257"/>
      <c r="C693" s="258"/>
      <c r="D693" s="257"/>
      <c r="E693" s="257"/>
      <c r="F693" s="257"/>
      <c r="G693" s="258"/>
      <c r="H693" s="258"/>
      <c r="I693" s="258"/>
      <c r="J693" s="258"/>
      <c r="K693" s="258"/>
      <c r="L693" s="258"/>
      <c r="M693" s="258"/>
      <c r="N693" s="258"/>
    </row>
    <row r="694">
      <c r="A694" s="257"/>
      <c r="B694" s="257"/>
      <c r="C694" s="258"/>
      <c r="D694" s="257"/>
      <c r="E694" s="257"/>
      <c r="F694" s="257"/>
      <c r="G694" s="258"/>
      <c r="H694" s="258"/>
      <c r="I694" s="258"/>
      <c r="J694" s="258"/>
      <c r="K694" s="258"/>
      <c r="L694" s="258"/>
      <c r="M694" s="258"/>
      <c r="N694" s="258"/>
    </row>
    <row r="695">
      <c r="A695" s="257"/>
      <c r="B695" s="257"/>
      <c r="C695" s="258"/>
      <c r="D695" s="257"/>
      <c r="E695" s="257"/>
      <c r="F695" s="257"/>
      <c r="G695" s="258"/>
      <c r="H695" s="258"/>
      <c r="I695" s="258"/>
      <c r="J695" s="258"/>
      <c r="K695" s="258"/>
      <c r="L695" s="258"/>
      <c r="M695" s="258"/>
      <c r="N695" s="258"/>
    </row>
    <row r="696">
      <c r="A696" s="257"/>
      <c r="B696" s="257"/>
      <c r="C696" s="258"/>
      <c r="D696" s="257"/>
      <c r="E696" s="257"/>
      <c r="F696" s="257"/>
      <c r="G696" s="258"/>
      <c r="H696" s="258"/>
      <c r="I696" s="258"/>
      <c r="J696" s="258"/>
      <c r="K696" s="258"/>
      <c r="L696" s="258"/>
      <c r="M696" s="258"/>
      <c r="N696" s="258"/>
    </row>
    <row r="697">
      <c r="A697" s="257"/>
      <c r="B697" s="257"/>
      <c r="C697" s="258"/>
      <c r="D697" s="257"/>
      <c r="E697" s="257"/>
      <c r="F697" s="257"/>
      <c r="G697" s="258"/>
      <c r="H697" s="258"/>
      <c r="I697" s="258"/>
      <c r="J697" s="258"/>
      <c r="K697" s="258"/>
      <c r="L697" s="258"/>
      <c r="M697" s="258"/>
      <c r="N697" s="258"/>
    </row>
    <row r="698">
      <c r="A698" s="257"/>
      <c r="B698" s="257"/>
      <c r="C698" s="258"/>
      <c r="D698" s="257"/>
      <c r="E698" s="257"/>
      <c r="F698" s="257"/>
      <c r="G698" s="258"/>
      <c r="H698" s="258"/>
      <c r="I698" s="258"/>
      <c r="J698" s="258"/>
      <c r="K698" s="258"/>
      <c r="L698" s="258"/>
      <c r="M698" s="258"/>
      <c r="N698" s="258"/>
    </row>
    <row r="699">
      <c r="A699" s="257"/>
      <c r="B699" s="257"/>
      <c r="C699" s="258"/>
      <c r="D699" s="257"/>
      <c r="E699" s="257"/>
      <c r="F699" s="257"/>
      <c r="G699" s="258"/>
      <c r="H699" s="258"/>
      <c r="I699" s="258"/>
      <c r="J699" s="258"/>
      <c r="K699" s="258"/>
      <c r="L699" s="258"/>
      <c r="M699" s="258"/>
      <c r="N699" s="258"/>
    </row>
    <row r="700">
      <c r="A700" s="257"/>
      <c r="B700" s="257"/>
      <c r="C700" s="258"/>
      <c r="D700" s="257"/>
      <c r="E700" s="257"/>
      <c r="F700" s="257"/>
      <c r="G700" s="258"/>
      <c r="H700" s="258"/>
      <c r="I700" s="258"/>
      <c r="J700" s="258"/>
      <c r="K700" s="258"/>
      <c r="L700" s="258"/>
      <c r="M700" s="258"/>
      <c r="N700" s="258"/>
    </row>
    <row r="701">
      <c r="A701" s="257"/>
      <c r="B701" s="257"/>
      <c r="C701" s="258"/>
      <c r="D701" s="257"/>
      <c r="E701" s="257"/>
      <c r="F701" s="257"/>
      <c r="G701" s="258"/>
      <c r="H701" s="258"/>
      <c r="I701" s="258"/>
      <c r="J701" s="258"/>
      <c r="K701" s="258"/>
      <c r="L701" s="258"/>
      <c r="M701" s="258"/>
      <c r="N701" s="258"/>
    </row>
    <row r="702">
      <c r="A702" s="257"/>
      <c r="B702" s="257"/>
      <c r="C702" s="258"/>
      <c r="D702" s="257"/>
      <c r="E702" s="257"/>
      <c r="F702" s="257"/>
      <c r="G702" s="258"/>
      <c r="H702" s="258"/>
      <c r="I702" s="258"/>
      <c r="J702" s="258"/>
      <c r="K702" s="258"/>
      <c r="L702" s="258"/>
      <c r="M702" s="258"/>
      <c r="N702" s="258"/>
    </row>
    <row r="703">
      <c r="A703" s="257"/>
      <c r="B703" s="257"/>
      <c r="C703" s="258"/>
      <c r="D703" s="257"/>
      <c r="E703" s="257"/>
      <c r="F703" s="257"/>
      <c r="G703" s="258"/>
      <c r="H703" s="258"/>
      <c r="I703" s="258"/>
      <c r="J703" s="258"/>
      <c r="K703" s="258"/>
      <c r="L703" s="258"/>
      <c r="M703" s="258"/>
      <c r="N703" s="258"/>
    </row>
    <row r="704">
      <c r="A704" s="257"/>
      <c r="B704" s="257"/>
      <c r="C704" s="258"/>
      <c r="D704" s="257"/>
      <c r="E704" s="257"/>
      <c r="F704" s="257"/>
      <c r="G704" s="258"/>
      <c r="H704" s="258"/>
      <c r="I704" s="258"/>
      <c r="J704" s="258"/>
      <c r="K704" s="258"/>
      <c r="L704" s="258"/>
      <c r="M704" s="258"/>
      <c r="N704" s="258"/>
    </row>
    <row r="705">
      <c r="A705" s="257"/>
      <c r="B705" s="257"/>
      <c r="C705" s="258"/>
      <c r="D705" s="257"/>
      <c r="E705" s="257"/>
      <c r="F705" s="257"/>
      <c r="G705" s="258"/>
      <c r="H705" s="258"/>
      <c r="I705" s="258"/>
      <c r="J705" s="258"/>
      <c r="K705" s="258"/>
      <c r="L705" s="258"/>
      <c r="M705" s="258"/>
      <c r="N705" s="258"/>
    </row>
    <row r="706">
      <c r="A706" s="257"/>
      <c r="B706" s="257"/>
      <c r="C706" s="258"/>
      <c r="D706" s="257"/>
      <c r="E706" s="257"/>
      <c r="F706" s="257"/>
      <c r="G706" s="258"/>
      <c r="H706" s="258"/>
      <c r="I706" s="258"/>
      <c r="J706" s="258"/>
      <c r="K706" s="258"/>
      <c r="L706" s="258"/>
      <c r="M706" s="258"/>
      <c r="N706" s="258"/>
    </row>
    <row r="707">
      <c r="A707" s="257"/>
      <c r="B707" s="257"/>
      <c r="C707" s="258"/>
      <c r="D707" s="257"/>
      <c r="E707" s="257"/>
      <c r="F707" s="257"/>
      <c r="G707" s="258"/>
      <c r="H707" s="258"/>
      <c r="I707" s="258"/>
      <c r="J707" s="258"/>
      <c r="K707" s="258"/>
      <c r="L707" s="258"/>
      <c r="M707" s="258"/>
      <c r="N707" s="258"/>
    </row>
    <row r="708">
      <c r="A708" s="257"/>
      <c r="B708" s="257"/>
      <c r="C708" s="258"/>
      <c r="D708" s="257"/>
      <c r="E708" s="257"/>
      <c r="F708" s="257"/>
      <c r="G708" s="258"/>
      <c r="H708" s="258"/>
      <c r="I708" s="258"/>
      <c r="J708" s="258"/>
      <c r="K708" s="258"/>
      <c r="L708" s="258"/>
      <c r="M708" s="258"/>
      <c r="N708" s="258"/>
    </row>
    <row r="709">
      <c r="A709" s="257"/>
      <c r="B709" s="257"/>
      <c r="C709" s="258"/>
      <c r="D709" s="257"/>
      <c r="E709" s="257"/>
      <c r="F709" s="257"/>
      <c r="G709" s="258"/>
      <c r="H709" s="258"/>
      <c r="I709" s="258"/>
      <c r="J709" s="258"/>
      <c r="K709" s="258"/>
      <c r="L709" s="258"/>
      <c r="M709" s="258"/>
      <c r="N709" s="258"/>
    </row>
    <row r="710">
      <c r="A710" s="257"/>
      <c r="B710" s="257"/>
      <c r="C710" s="258"/>
      <c r="D710" s="257"/>
      <c r="E710" s="257"/>
      <c r="F710" s="257"/>
      <c r="G710" s="258"/>
      <c r="H710" s="258"/>
      <c r="I710" s="258"/>
      <c r="J710" s="258"/>
      <c r="K710" s="258"/>
      <c r="L710" s="258"/>
      <c r="M710" s="258"/>
      <c r="N710" s="258"/>
    </row>
    <row r="711">
      <c r="A711" s="257"/>
      <c r="B711" s="257"/>
      <c r="C711" s="258"/>
      <c r="D711" s="257"/>
      <c r="E711" s="257"/>
      <c r="F711" s="257"/>
      <c r="G711" s="258"/>
      <c r="H711" s="258"/>
      <c r="I711" s="258"/>
      <c r="J711" s="258"/>
      <c r="K711" s="258"/>
      <c r="L711" s="258"/>
      <c r="M711" s="258"/>
      <c r="N711" s="258"/>
    </row>
    <row r="712">
      <c r="A712" s="257"/>
      <c r="B712" s="257"/>
      <c r="C712" s="258"/>
      <c r="D712" s="257"/>
      <c r="E712" s="257"/>
      <c r="F712" s="257"/>
      <c r="G712" s="258"/>
      <c r="H712" s="258"/>
      <c r="I712" s="258"/>
      <c r="J712" s="258"/>
      <c r="K712" s="258"/>
      <c r="L712" s="258"/>
      <c r="M712" s="258"/>
      <c r="N712" s="258"/>
    </row>
    <row r="713">
      <c r="A713" s="257"/>
      <c r="B713" s="257"/>
      <c r="C713" s="258"/>
      <c r="D713" s="257"/>
      <c r="E713" s="257"/>
      <c r="F713" s="257"/>
      <c r="G713" s="258"/>
      <c r="H713" s="258"/>
      <c r="I713" s="258"/>
      <c r="J713" s="258"/>
      <c r="K713" s="258"/>
      <c r="L713" s="258"/>
      <c r="M713" s="258"/>
      <c r="N713" s="258"/>
    </row>
    <row r="714">
      <c r="A714" s="257"/>
      <c r="B714" s="257"/>
      <c r="C714" s="258"/>
      <c r="D714" s="257"/>
      <c r="E714" s="257"/>
      <c r="F714" s="257"/>
      <c r="G714" s="258"/>
      <c r="H714" s="258"/>
      <c r="I714" s="258"/>
      <c r="J714" s="258"/>
      <c r="K714" s="258"/>
      <c r="L714" s="258"/>
      <c r="M714" s="258"/>
      <c r="N714" s="258"/>
    </row>
    <row r="715">
      <c r="A715" s="257"/>
      <c r="B715" s="257"/>
      <c r="C715" s="258"/>
      <c r="D715" s="257"/>
      <c r="E715" s="257"/>
      <c r="F715" s="257"/>
      <c r="G715" s="258"/>
      <c r="H715" s="258"/>
      <c r="I715" s="258"/>
      <c r="J715" s="258"/>
      <c r="K715" s="258"/>
      <c r="L715" s="258"/>
      <c r="M715" s="258"/>
      <c r="N715" s="258"/>
    </row>
    <row r="716">
      <c r="A716" s="257"/>
      <c r="B716" s="257"/>
      <c r="C716" s="258"/>
      <c r="D716" s="257"/>
      <c r="E716" s="257"/>
      <c r="F716" s="257"/>
      <c r="G716" s="258"/>
      <c r="H716" s="258"/>
      <c r="I716" s="258"/>
      <c r="J716" s="258"/>
      <c r="K716" s="258"/>
      <c r="L716" s="258"/>
      <c r="M716" s="258"/>
      <c r="N716" s="258"/>
    </row>
    <row r="717">
      <c r="A717" s="257"/>
      <c r="B717" s="257"/>
      <c r="C717" s="258"/>
      <c r="D717" s="257"/>
      <c r="E717" s="257"/>
      <c r="F717" s="257"/>
      <c r="G717" s="258"/>
      <c r="H717" s="258"/>
      <c r="I717" s="258"/>
      <c r="J717" s="258"/>
      <c r="K717" s="258"/>
      <c r="L717" s="258"/>
      <c r="M717" s="258"/>
      <c r="N717" s="258"/>
    </row>
    <row r="718">
      <c r="A718" s="257"/>
      <c r="B718" s="257"/>
      <c r="C718" s="258"/>
      <c r="D718" s="257"/>
      <c r="E718" s="257"/>
      <c r="F718" s="257"/>
      <c r="G718" s="258"/>
      <c r="H718" s="258"/>
      <c r="I718" s="258"/>
      <c r="J718" s="258"/>
      <c r="K718" s="258"/>
      <c r="L718" s="258"/>
      <c r="M718" s="258"/>
      <c r="N718" s="258"/>
    </row>
    <row r="719">
      <c r="A719" s="257"/>
      <c r="B719" s="257"/>
      <c r="C719" s="258"/>
      <c r="D719" s="257"/>
      <c r="E719" s="257"/>
      <c r="F719" s="257"/>
      <c r="G719" s="258"/>
      <c r="H719" s="258"/>
      <c r="I719" s="258"/>
      <c r="J719" s="258"/>
      <c r="K719" s="258"/>
      <c r="L719" s="258"/>
      <c r="M719" s="258"/>
      <c r="N719" s="258"/>
    </row>
    <row r="720">
      <c r="A720" s="257"/>
      <c r="B720" s="257"/>
      <c r="C720" s="258"/>
      <c r="D720" s="257"/>
      <c r="E720" s="257"/>
      <c r="F720" s="257"/>
      <c r="G720" s="258"/>
      <c r="H720" s="258"/>
      <c r="I720" s="258"/>
      <c r="J720" s="258"/>
      <c r="K720" s="258"/>
      <c r="L720" s="258"/>
      <c r="M720" s="258"/>
      <c r="N720" s="258"/>
    </row>
    <row r="721">
      <c r="A721" s="257"/>
      <c r="B721" s="257"/>
      <c r="C721" s="258"/>
      <c r="D721" s="257"/>
      <c r="E721" s="257"/>
      <c r="F721" s="257"/>
      <c r="G721" s="258"/>
      <c r="H721" s="258"/>
      <c r="I721" s="258"/>
      <c r="J721" s="258"/>
      <c r="K721" s="258"/>
      <c r="L721" s="258"/>
      <c r="M721" s="258"/>
      <c r="N721" s="258"/>
    </row>
    <row r="722">
      <c r="A722" s="257"/>
      <c r="B722" s="257"/>
      <c r="C722" s="258"/>
      <c r="D722" s="257"/>
      <c r="E722" s="257"/>
      <c r="F722" s="257"/>
      <c r="G722" s="258"/>
      <c r="H722" s="258"/>
      <c r="I722" s="258"/>
      <c r="J722" s="258"/>
      <c r="K722" s="258"/>
      <c r="L722" s="258"/>
      <c r="M722" s="258"/>
      <c r="N722" s="258"/>
    </row>
    <row r="723">
      <c r="A723" s="257"/>
      <c r="B723" s="257"/>
      <c r="C723" s="258"/>
      <c r="D723" s="257"/>
      <c r="E723" s="257"/>
      <c r="F723" s="257"/>
      <c r="G723" s="258"/>
      <c r="H723" s="258"/>
      <c r="I723" s="258"/>
      <c r="J723" s="258"/>
      <c r="K723" s="258"/>
      <c r="L723" s="258"/>
      <c r="M723" s="258"/>
      <c r="N723" s="258"/>
    </row>
    <row r="724">
      <c r="A724" s="257"/>
      <c r="B724" s="257"/>
      <c r="C724" s="258"/>
      <c r="D724" s="257"/>
      <c r="E724" s="257"/>
      <c r="F724" s="257"/>
      <c r="G724" s="258"/>
      <c r="H724" s="258"/>
      <c r="I724" s="258"/>
      <c r="J724" s="258"/>
      <c r="K724" s="258"/>
      <c r="L724" s="258"/>
      <c r="M724" s="258"/>
      <c r="N724" s="258"/>
    </row>
    <row r="725">
      <c r="A725" s="257"/>
      <c r="B725" s="257"/>
      <c r="C725" s="258"/>
      <c r="D725" s="257"/>
      <c r="E725" s="257"/>
      <c r="F725" s="257"/>
      <c r="G725" s="258"/>
      <c r="H725" s="258"/>
      <c r="I725" s="258"/>
      <c r="J725" s="258"/>
      <c r="K725" s="258"/>
      <c r="L725" s="258"/>
      <c r="M725" s="258"/>
      <c r="N725" s="258"/>
    </row>
    <row r="726">
      <c r="A726" s="257"/>
      <c r="B726" s="257"/>
      <c r="C726" s="258"/>
      <c r="D726" s="257"/>
      <c r="E726" s="257"/>
      <c r="F726" s="257"/>
      <c r="G726" s="258"/>
      <c r="H726" s="258"/>
      <c r="I726" s="258"/>
      <c r="J726" s="258"/>
      <c r="K726" s="258"/>
      <c r="L726" s="258"/>
      <c r="M726" s="258"/>
      <c r="N726" s="258"/>
    </row>
    <row r="727">
      <c r="A727" s="257"/>
      <c r="B727" s="257"/>
      <c r="C727" s="258"/>
      <c r="D727" s="257"/>
      <c r="E727" s="257"/>
      <c r="F727" s="257"/>
      <c r="G727" s="258"/>
      <c r="H727" s="258"/>
      <c r="I727" s="258"/>
      <c r="J727" s="258"/>
      <c r="K727" s="258"/>
      <c r="L727" s="258"/>
      <c r="M727" s="258"/>
      <c r="N727" s="258"/>
    </row>
    <row r="728">
      <c r="A728" s="257"/>
      <c r="B728" s="257"/>
      <c r="C728" s="258"/>
      <c r="D728" s="257"/>
      <c r="E728" s="257"/>
      <c r="F728" s="257"/>
      <c r="G728" s="258"/>
      <c r="H728" s="258"/>
      <c r="I728" s="258"/>
      <c r="J728" s="258"/>
      <c r="K728" s="258"/>
      <c r="L728" s="258"/>
      <c r="M728" s="258"/>
      <c r="N728" s="258"/>
    </row>
    <row r="729">
      <c r="A729" s="257"/>
      <c r="B729" s="257"/>
      <c r="C729" s="258"/>
      <c r="D729" s="257"/>
      <c r="E729" s="257"/>
      <c r="F729" s="257"/>
      <c r="G729" s="258"/>
      <c r="H729" s="258"/>
      <c r="I729" s="258"/>
      <c r="J729" s="258"/>
      <c r="K729" s="258"/>
      <c r="L729" s="258"/>
      <c r="M729" s="258"/>
      <c r="N729" s="258"/>
    </row>
    <row r="730">
      <c r="A730" s="257"/>
      <c r="B730" s="257"/>
      <c r="C730" s="258"/>
      <c r="D730" s="257"/>
      <c r="E730" s="257"/>
      <c r="F730" s="257"/>
      <c r="G730" s="258"/>
      <c r="H730" s="258"/>
      <c r="I730" s="258"/>
      <c r="J730" s="258"/>
      <c r="K730" s="258"/>
      <c r="L730" s="258"/>
      <c r="M730" s="258"/>
      <c r="N730" s="258"/>
    </row>
    <row r="731">
      <c r="A731" s="257"/>
      <c r="B731" s="257"/>
      <c r="C731" s="258"/>
      <c r="D731" s="257"/>
      <c r="E731" s="257"/>
      <c r="F731" s="257"/>
      <c r="G731" s="258"/>
      <c r="H731" s="258"/>
      <c r="I731" s="258"/>
      <c r="J731" s="258"/>
      <c r="K731" s="258"/>
      <c r="L731" s="258"/>
      <c r="M731" s="258"/>
      <c r="N731" s="258"/>
    </row>
    <row r="732">
      <c r="A732" s="257"/>
      <c r="B732" s="257"/>
      <c r="C732" s="258"/>
      <c r="D732" s="257"/>
      <c r="E732" s="257"/>
      <c r="F732" s="257"/>
      <c r="G732" s="258"/>
      <c r="H732" s="258"/>
      <c r="I732" s="258"/>
      <c r="J732" s="258"/>
      <c r="K732" s="258"/>
      <c r="L732" s="258"/>
      <c r="M732" s="258"/>
      <c r="N732" s="258"/>
    </row>
    <row r="733">
      <c r="A733" s="257"/>
      <c r="B733" s="257"/>
      <c r="C733" s="258"/>
      <c r="D733" s="257"/>
      <c r="E733" s="257"/>
      <c r="F733" s="257"/>
      <c r="G733" s="258"/>
      <c r="H733" s="258"/>
      <c r="I733" s="258"/>
      <c r="J733" s="258"/>
      <c r="K733" s="258"/>
      <c r="L733" s="258"/>
      <c r="M733" s="258"/>
      <c r="N733" s="258"/>
    </row>
    <row r="734">
      <c r="A734" s="257"/>
      <c r="B734" s="257"/>
      <c r="C734" s="258"/>
      <c r="D734" s="257"/>
      <c r="E734" s="257"/>
      <c r="F734" s="257"/>
      <c r="G734" s="258"/>
      <c r="H734" s="258"/>
      <c r="I734" s="258"/>
      <c r="J734" s="258"/>
      <c r="K734" s="258"/>
      <c r="L734" s="258"/>
      <c r="M734" s="258"/>
      <c r="N734" s="258"/>
    </row>
    <row r="735">
      <c r="A735" s="257"/>
      <c r="B735" s="257"/>
      <c r="C735" s="258"/>
      <c r="D735" s="257"/>
      <c r="E735" s="257"/>
      <c r="F735" s="257"/>
      <c r="G735" s="258"/>
      <c r="H735" s="258"/>
      <c r="I735" s="258"/>
      <c r="J735" s="258"/>
      <c r="K735" s="258"/>
      <c r="L735" s="258"/>
      <c r="M735" s="258"/>
      <c r="N735" s="258"/>
    </row>
    <row r="736">
      <c r="A736" s="257"/>
      <c r="B736" s="257"/>
      <c r="C736" s="258"/>
      <c r="D736" s="257"/>
      <c r="E736" s="257"/>
      <c r="F736" s="257"/>
      <c r="G736" s="258"/>
      <c r="H736" s="258"/>
      <c r="I736" s="258"/>
      <c r="J736" s="258"/>
      <c r="K736" s="258"/>
      <c r="L736" s="258"/>
      <c r="M736" s="258"/>
      <c r="N736" s="258"/>
    </row>
    <row r="737">
      <c r="A737" s="257"/>
      <c r="B737" s="257"/>
      <c r="C737" s="258"/>
      <c r="D737" s="257"/>
      <c r="E737" s="257"/>
      <c r="F737" s="257"/>
      <c r="G737" s="258"/>
      <c r="H737" s="258"/>
      <c r="I737" s="258"/>
      <c r="J737" s="258"/>
      <c r="K737" s="258"/>
      <c r="L737" s="258"/>
      <c r="M737" s="258"/>
      <c r="N737" s="258"/>
    </row>
    <row r="738">
      <c r="A738" s="257"/>
      <c r="B738" s="257"/>
      <c r="C738" s="258"/>
      <c r="D738" s="257"/>
      <c r="E738" s="257"/>
      <c r="F738" s="257"/>
      <c r="G738" s="258"/>
      <c r="H738" s="258"/>
      <c r="I738" s="258"/>
      <c r="J738" s="258"/>
      <c r="K738" s="258"/>
      <c r="L738" s="258"/>
      <c r="M738" s="258"/>
      <c r="N738" s="258"/>
    </row>
    <row r="739">
      <c r="A739" s="257"/>
      <c r="B739" s="257"/>
      <c r="C739" s="258"/>
      <c r="D739" s="257"/>
      <c r="E739" s="257"/>
      <c r="F739" s="257"/>
      <c r="G739" s="258"/>
      <c r="H739" s="258"/>
      <c r="I739" s="258"/>
      <c r="J739" s="258"/>
      <c r="K739" s="258"/>
      <c r="L739" s="258"/>
      <c r="M739" s="258"/>
      <c r="N739" s="258"/>
    </row>
    <row r="740">
      <c r="A740" s="257"/>
      <c r="B740" s="257"/>
      <c r="C740" s="258"/>
      <c r="D740" s="257"/>
      <c r="E740" s="257"/>
      <c r="F740" s="257"/>
      <c r="G740" s="258"/>
      <c r="H740" s="258"/>
      <c r="I740" s="258"/>
      <c r="J740" s="258"/>
      <c r="K740" s="258"/>
      <c r="L740" s="258"/>
      <c r="M740" s="258"/>
      <c r="N740" s="258"/>
    </row>
    <row r="741">
      <c r="A741" s="257"/>
      <c r="B741" s="257"/>
      <c r="C741" s="258"/>
      <c r="D741" s="257"/>
      <c r="E741" s="257"/>
      <c r="F741" s="257"/>
      <c r="G741" s="258"/>
      <c r="H741" s="258"/>
      <c r="I741" s="258"/>
      <c r="J741" s="258"/>
      <c r="K741" s="258"/>
      <c r="L741" s="258"/>
      <c r="M741" s="258"/>
      <c r="N741" s="258"/>
    </row>
    <row r="742">
      <c r="A742" s="257"/>
      <c r="B742" s="257"/>
      <c r="C742" s="258"/>
      <c r="D742" s="257"/>
      <c r="E742" s="257"/>
      <c r="F742" s="257"/>
      <c r="G742" s="258"/>
      <c r="H742" s="258"/>
      <c r="I742" s="258"/>
      <c r="J742" s="258"/>
      <c r="K742" s="258"/>
      <c r="L742" s="258"/>
      <c r="M742" s="258"/>
      <c r="N742" s="258"/>
    </row>
    <row r="743">
      <c r="A743" s="257"/>
      <c r="B743" s="257"/>
      <c r="C743" s="258"/>
      <c r="D743" s="257"/>
      <c r="E743" s="257"/>
      <c r="F743" s="257"/>
      <c r="G743" s="258"/>
      <c r="H743" s="258"/>
      <c r="I743" s="258"/>
      <c r="J743" s="258"/>
      <c r="K743" s="258"/>
      <c r="L743" s="258"/>
      <c r="M743" s="258"/>
      <c r="N743" s="258"/>
    </row>
    <row r="744">
      <c r="A744" s="257"/>
      <c r="B744" s="257"/>
      <c r="C744" s="258"/>
      <c r="D744" s="257"/>
      <c r="E744" s="257"/>
      <c r="F744" s="257"/>
      <c r="G744" s="258"/>
      <c r="H744" s="258"/>
      <c r="I744" s="258"/>
      <c r="J744" s="258"/>
      <c r="K744" s="258"/>
      <c r="L744" s="258"/>
      <c r="M744" s="258"/>
      <c r="N744" s="258"/>
    </row>
    <row r="745">
      <c r="A745" s="257"/>
      <c r="B745" s="257"/>
      <c r="C745" s="258"/>
      <c r="D745" s="257"/>
      <c r="E745" s="257"/>
      <c r="F745" s="257"/>
      <c r="G745" s="258"/>
      <c r="H745" s="258"/>
      <c r="I745" s="258"/>
      <c r="J745" s="258"/>
      <c r="K745" s="258"/>
      <c r="L745" s="258"/>
      <c r="M745" s="258"/>
      <c r="N745" s="258"/>
    </row>
    <row r="746">
      <c r="A746" s="257"/>
      <c r="B746" s="257"/>
      <c r="C746" s="258"/>
      <c r="D746" s="257"/>
      <c r="E746" s="257"/>
      <c r="F746" s="257"/>
      <c r="G746" s="258"/>
      <c r="H746" s="258"/>
      <c r="I746" s="258"/>
      <c r="J746" s="258"/>
      <c r="K746" s="258"/>
      <c r="L746" s="258"/>
      <c r="M746" s="258"/>
      <c r="N746" s="258"/>
    </row>
    <row r="747">
      <c r="A747" s="257"/>
      <c r="B747" s="257"/>
      <c r="C747" s="258"/>
      <c r="D747" s="257"/>
      <c r="E747" s="257"/>
      <c r="F747" s="257"/>
      <c r="G747" s="258"/>
      <c r="H747" s="258"/>
      <c r="I747" s="258"/>
      <c r="J747" s="258"/>
      <c r="K747" s="258"/>
      <c r="L747" s="258"/>
      <c r="M747" s="258"/>
      <c r="N747" s="258"/>
    </row>
    <row r="748">
      <c r="A748" s="257"/>
      <c r="B748" s="257"/>
      <c r="C748" s="258"/>
      <c r="D748" s="257"/>
      <c r="E748" s="257"/>
      <c r="F748" s="257"/>
      <c r="G748" s="258"/>
      <c r="H748" s="258"/>
      <c r="I748" s="258"/>
      <c r="J748" s="258"/>
      <c r="K748" s="258"/>
      <c r="L748" s="258"/>
      <c r="M748" s="258"/>
      <c r="N748" s="258"/>
    </row>
    <row r="749">
      <c r="A749" s="257"/>
      <c r="B749" s="257"/>
      <c r="C749" s="258"/>
      <c r="D749" s="257"/>
      <c r="E749" s="257"/>
      <c r="F749" s="257"/>
      <c r="G749" s="258"/>
      <c r="H749" s="258"/>
      <c r="I749" s="258"/>
      <c r="J749" s="258"/>
      <c r="K749" s="258"/>
      <c r="L749" s="258"/>
      <c r="M749" s="258"/>
      <c r="N749" s="258"/>
    </row>
    <row r="750">
      <c r="A750" s="257"/>
      <c r="B750" s="257"/>
      <c r="C750" s="258"/>
      <c r="D750" s="257"/>
      <c r="E750" s="257"/>
      <c r="F750" s="257"/>
      <c r="G750" s="258"/>
      <c r="H750" s="258"/>
      <c r="I750" s="258"/>
      <c r="J750" s="258"/>
      <c r="K750" s="258"/>
      <c r="L750" s="258"/>
      <c r="M750" s="258"/>
      <c r="N750" s="258"/>
    </row>
    <row r="751">
      <c r="A751" s="257"/>
      <c r="B751" s="257"/>
      <c r="C751" s="258"/>
      <c r="D751" s="257"/>
      <c r="E751" s="257"/>
      <c r="F751" s="257"/>
      <c r="G751" s="258"/>
      <c r="H751" s="258"/>
      <c r="I751" s="258"/>
      <c r="J751" s="258"/>
      <c r="K751" s="258"/>
      <c r="L751" s="258"/>
      <c r="M751" s="258"/>
      <c r="N751" s="258"/>
    </row>
    <row r="752">
      <c r="A752" s="257"/>
      <c r="B752" s="257"/>
      <c r="C752" s="258"/>
      <c r="D752" s="257"/>
      <c r="E752" s="257"/>
      <c r="F752" s="257"/>
      <c r="G752" s="258"/>
      <c r="H752" s="258"/>
      <c r="I752" s="258"/>
      <c r="J752" s="258"/>
      <c r="K752" s="258"/>
      <c r="L752" s="258"/>
      <c r="M752" s="258"/>
      <c r="N752" s="258"/>
    </row>
    <row r="753">
      <c r="A753" s="257"/>
      <c r="B753" s="257"/>
      <c r="C753" s="258"/>
      <c r="D753" s="257"/>
      <c r="E753" s="257"/>
      <c r="F753" s="257"/>
      <c r="G753" s="258"/>
      <c r="H753" s="258"/>
      <c r="I753" s="258"/>
      <c r="J753" s="258"/>
      <c r="K753" s="258"/>
      <c r="L753" s="258"/>
      <c r="M753" s="258"/>
      <c r="N753" s="258"/>
    </row>
    <row r="754">
      <c r="A754" s="257"/>
      <c r="B754" s="257"/>
      <c r="C754" s="258"/>
      <c r="D754" s="257"/>
      <c r="E754" s="257"/>
      <c r="F754" s="257"/>
      <c r="G754" s="258"/>
      <c r="H754" s="258"/>
      <c r="I754" s="258"/>
      <c r="J754" s="258"/>
      <c r="K754" s="258"/>
      <c r="L754" s="258"/>
      <c r="M754" s="258"/>
      <c r="N754" s="258"/>
    </row>
    <row r="755">
      <c r="A755" s="257"/>
      <c r="B755" s="257"/>
      <c r="C755" s="258"/>
      <c r="D755" s="257"/>
      <c r="E755" s="257"/>
      <c r="F755" s="257"/>
      <c r="G755" s="258"/>
      <c r="H755" s="258"/>
      <c r="I755" s="258"/>
      <c r="J755" s="258"/>
      <c r="K755" s="258"/>
      <c r="L755" s="258"/>
      <c r="M755" s="258"/>
      <c r="N755" s="258"/>
    </row>
    <row r="756">
      <c r="A756" s="257"/>
      <c r="B756" s="257"/>
      <c r="C756" s="258"/>
      <c r="D756" s="257"/>
      <c r="E756" s="257"/>
      <c r="F756" s="257"/>
      <c r="G756" s="258"/>
      <c r="H756" s="258"/>
      <c r="I756" s="258"/>
      <c r="J756" s="258"/>
      <c r="K756" s="258"/>
      <c r="L756" s="258"/>
      <c r="M756" s="258"/>
      <c r="N756" s="258"/>
    </row>
    <row r="757">
      <c r="A757" s="257"/>
      <c r="B757" s="257"/>
      <c r="C757" s="258"/>
      <c r="D757" s="257"/>
      <c r="E757" s="257"/>
      <c r="F757" s="257"/>
      <c r="G757" s="258"/>
      <c r="H757" s="258"/>
      <c r="I757" s="258"/>
      <c r="J757" s="258"/>
      <c r="K757" s="258"/>
      <c r="L757" s="258"/>
      <c r="M757" s="258"/>
      <c r="N757" s="258"/>
    </row>
    <row r="758">
      <c r="A758" s="257"/>
      <c r="B758" s="257"/>
      <c r="C758" s="258"/>
      <c r="D758" s="257"/>
      <c r="E758" s="257"/>
      <c r="F758" s="257"/>
      <c r="G758" s="258"/>
      <c r="H758" s="258"/>
      <c r="I758" s="258"/>
      <c r="J758" s="258"/>
      <c r="K758" s="258"/>
      <c r="L758" s="258"/>
      <c r="M758" s="258"/>
      <c r="N758" s="258"/>
    </row>
    <row r="759">
      <c r="A759" s="257"/>
      <c r="B759" s="257"/>
      <c r="C759" s="258"/>
      <c r="D759" s="257"/>
      <c r="E759" s="257"/>
      <c r="F759" s="257"/>
      <c r="G759" s="258"/>
      <c r="H759" s="258"/>
      <c r="I759" s="258"/>
      <c r="J759" s="258"/>
      <c r="K759" s="258"/>
      <c r="L759" s="258"/>
      <c r="M759" s="258"/>
      <c r="N759" s="258"/>
    </row>
    <row r="760">
      <c r="A760" s="257"/>
      <c r="B760" s="257"/>
      <c r="C760" s="258"/>
      <c r="D760" s="257"/>
      <c r="E760" s="257"/>
      <c r="F760" s="257"/>
      <c r="G760" s="258"/>
      <c r="H760" s="258"/>
      <c r="I760" s="258"/>
      <c r="J760" s="258"/>
      <c r="K760" s="258"/>
      <c r="L760" s="258"/>
      <c r="M760" s="258"/>
      <c r="N760" s="258"/>
    </row>
    <row r="761">
      <c r="A761" s="257"/>
      <c r="B761" s="257"/>
      <c r="C761" s="258"/>
      <c r="D761" s="257"/>
      <c r="E761" s="257"/>
      <c r="F761" s="257"/>
      <c r="G761" s="258"/>
      <c r="H761" s="258"/>
      <c r="I761" s="258"/>
      <c r="J761" s="258"/>
      <c r="K761" s="258"/>
      <c r="L761" s="258"/>
      <c r="M761" s="258"/>
      <c r="N761" s="258"/>
    </row>
    <row r="762">
      <c r="A762" s="257"/>
      <c r="B762" s="257"/>
      <c r="C762" s="258"/>
      <c r="D762" s="257"/>
      <c r="E762" s="257"/>
      <c r="F762" s="257"/>
      <c r="G762" s="258"/>
      <c r="H762" s="258"/>
      <c r="I762" s="258"/>
      <c r="J762" s="258"/>
      <c r="K762" s="258"/>
      <c r="L762" s="258"/>
      <c r="M762" s="258"/>
      <c r="N762" s="258"/>
    </row>
    <row r="763">
      <c r="A763" s="257"/>
      <c r="B763" s="257"/>
      <c r="C763" s="258"/>
      <c r="D763" s="257"/>
      <c r="E763" s="257"/>
      <c r="F763" s="257"/>
      <c r="G763" s="258"/>
      <c r="H763" s="258"/>
      <c r="I763" s="258"/>
      <c r="J763" s="258"/>
      <c r="K763" s="258"/>
      <c r="L763" s="258"/>
      <c r="M763" s="258"/>
      <c r="N763" s="258"/>
    </row>
    <row r="764">
      <c r="A764" s="257"/>
      <c r="B764" s="257"/>
      <c r="C764" s="258"/>
      <c r="D764" s="257"/>
      <c r="E764" s="257"/>
      <c r="F764" s="257"/>
      <c r="G764" s="258"/>
      <c r="H764" s="258"/>
      <c r="I764" s="258"/>
      <c r="J764" s="258"/>
      <c r="K764" s="258"/>
      <c r="L764" s="258"/>
      <c r="M764" s="258"/>
      <c r="N764" s="258"/>
    </row>
    <row r="765">
      <c r="A765" s="257"/>
      <c r="B765" s="257"/>
      <c r="C765" s="258"/>
      <c r="D765" s="257"/>
      <c r="E765" s="257"/>
      <c r="F765" s="257"/>
      <c r="G765" s="258"/>
      <c r="H765" s="258"/>
      <c r="I765" s="258"/>
      <c r="J765" s="258"/>
      <c r="K765" s="258"/>
      <c r="L765" s="258"/>
      <c r="M765" s="258"/>
      <c r="N765" s="258"/>
    </row>
    <row r="766">
      <c r="A766" s="257"/>
      <c r="B766" s="257"/>
      <c r="C766" s="258"/>
      <c r="D766" s="257"/>
      <c r="E766" s="257"/>
      <c r="F766" s="257"/>
      <c r="G766" s="258"/>
      <c r="H766" s="258"/>
      <c r="I766" s="258"/>
      <c r="J766" s="258"/>
      <c r="K766" s="258"/>
      <c r="L766" s="258"/>
      <c r="M766" s="258"/>
      <c r="N766" s="258"/>
    </row>
    <row r="767">
      <c r="A767" s="257"/>
      <c r="B767" s="257"/>
      <c r="C767" s="258"/>
      <c r="D767" s="257"/>
      <c r="E767" s="257"/>
      <c r="F767" s="257"/>
      <c r="G767" s="258"/>
      <c r="H767" s="258"/>
      <c r="I767" s="258"/>
      <c r="J767" s="258"/>
      <c r="K767" s="258"/>
      <c r="L767" s="258"/>
      <c r="M767" s="258"/>
      <c r="N767" s="258"/>
    </row>
    <row r="768">
      <c r="A768" s="257"/>
      <c r="B768" s="257"/>
      <c r="C768" s="258"/>
      <c r="D768" s="257"/>
      <c r="E768" s="257"/>
      <c r="F768" s="257"/>
      <c r="G768" s="258"/>
      <c r="H768" s="258"/>
      <c r="I768" s="258"/>
      <c r="J768" s="258"/>
      <c r="K768" s="258"/>
      <c r="L768" s="258"/>
      <c r="M768" s="258"/>
      <c r="N768" s="258"/>
    </row>
    <row r="769">
      <c r="A769" s="257"/>
      <c r="B769" s="257"/>
      <c r="C769" s="258"/>
      <c r="D769" s="257"/>
      <c r="E769" s="257"/>
      <c r="F769" s="257"/>
      <c r="G769" s="258"/>
      <c r="H769" s="258"/>
      <c r="I769" s="258"/>
      <c r="J769" s="258"/>
      <c r="K769" s="258"/>
      <c r="L769" s="258"/>
      <c r="M769" s="258"/>
      <c r="N769" s="258"/>
    </row>
    <row r="770">
      <c r="A770" s="257"/>
      <c r="B770" s="257"/>
      <c r="C770" s="258"/>
      <c r="D770" s="257"/>
      <c r="E770" s="257"/>
      <c r="F770" s="257"/>
      <c r="G770" s="258"/>
      <c r="H770" s="258"/>
      <c r="I770" s="258"/>
      <c r="J770" s="258"/>
      <c r="K770" s="258"/>
      <c r="L770" s="258"/>
      <c r="M770" s="258"/>
      <c r="N770" s="258"/>
    </row>
    <row r="771">
      <c r="A771" s="257"/>
      <c r="B771" s="257"/>
      <c r="C771" s="258"/>
      <c r="D771" s="257"/>
      <c r="E771" s="257"/>
      <c r="F771" s="257"/>
      <c r="G771" s="258"/>
      <c r="H771" s="258"/>
      <c r="I771" s="258"/>
      <c r="J771" s="258"/>
      <c r="K771" s="258"/>
      <c r="L771" s="258"/>
      <c r="M771" s="258"/>
      <c r="N771" s="258"/>
    </row>
    <row r="772">
      <c r="A772" s="257"/>
      <c r="B772" s="257"/>
      <c r="C772" s="258"/>
      <c r="D772" s="257"/>
      <c r="E772" s="257"/>
      <c r="F772" s="257"/>
      <c r="G772" s="258"/>
      <c r="H772" s="258"/>
      <c r="I772" s="258"/>
      <c r="J772" s="258"/>
      <c r="K772" s="258"/>
      <c r="L772" s="258"/>
      <c r="M772" s="258"/>
      <c r="N772" s="258"/>
    </row>
    <row r="773">
      <c r="A773" s="257"/>
      <c r="B773" s="257"/>
      <c r="C773" s="258"/>
      <c r="D773" s="257"/>
      <c r="E773" s="257"/>
      <c r="F773" s="257"/>
      <c r="G773" s="258"/>
      <c r="H773" s="258"/>
      <c r="I773" s="258"/>
      <c r="J773" s="258"/>
      <c r="K773" s="258"/>
      <c r="L773" s="258"/>
      <c r="M773" s="258"/>
      <c r="N773" s="258"/>
    </row>
    <row r="774">
      <c r="A774" s="257"/>
      <c r="B774" s="257"/>
      <c r="C774" s="258"/>
      <c r="D774" s="257"/>
      <c r="E774" s="257"/>
      <c r="F774" s="257"/>
      <c r="G774" s="258"/>
      <c r="H774" s="258"/>
      <c r="I774" s="258"/>
      <c r="J774" s="258"/>
      <c r="K774" s="258"/>
      <c r="L774" s="258"/>
      <c r="M774" s="258"/>
      <c r="N774" s="258"/>
    </row>
    <row r="775">
      <c r="A775" s="257"/>
      <c r="B775" s="257"/>
      <c r="C775" s="258"/>
      <c r="D775" s="257"/>
      <c r="E775" s="257"/>
      <c r="F775" s="257"/>
      <c r="G775" s="258"/>
      <c r="H775" s="258"/>
      <c r="I775" s="258"/>
      <c r="J775" s="258"/>
      <c r="K775" s="258"/>
      <c r="L775" s="258"/>
      <c r="M775" s="258"/>
      <c r="N775" s="258"/>
    </row>
    <row r="776">
      <c r="A776" s="257"/>
      <c r="B776" s="257"/>
      <c r="C776" s="258"/>
      <c r="D776" s="257"/>
      <c r="E776" s="257"/>
      <c r="F776" s="257"/>
      <c r="G776" s="258"/>
      <c r="H776" s="258"/>
      <c r="I776" s="258"/>
      <c r="J776" s="258"/>
      <c r="K776" s="258"/>
      <c r="L776" s="258"/>
      <c r="M776" s="258"/>
      <c r="N776" s="258"/>
    </row>
    <row r="777">
      <c r="A777" s="257"/>
      <c r="B777" s="257"/>
      <c r="C777" s="258"/>
      <c r="D777" s="257"/>
      <c r="E777" s="257"/>
      <c r="F777" s="257"/>
      <c r="G777" s="258"/>
      <c r="H777" s="258"/>
      <c r="I777" s="258"/>
      <c r="J777" s="258"/>
      <c r="K777" s="258"/>
      <c r="L777" s="258"/>
      <c r="M777" s="258"/>
      <c r="N777" s="258"/>
    </row>
    <row r="778">
      <c r="A778" s="257"/>
      <c r="B778" s="257"/>
      <c r="C778" s="258"/>
      <c r="D778" s="257"/>
      <c r="E778" s="257"/>
      <c r="F778" s="257"/>
      <c r="G778" s="258"/>
      <c r="H778" s="258"/>
      <c r="I778" s="258"/>
      <c r="J778" s="258"/>
      <c r="K778" s="258"/>
      <c r="L778" s="258"/>
      <c r="M778" s="258"/>
      <c r="N778" s="258"/>
    </row>
    <row r="779">
      <c r="A779" s="257"/>
      <c r="B779" s="257"/>
      <c r="C779" s="258"/>
      <c r="D779" s="257"/>
      <c r="E779" s="257"/>
      <c r="F779" s="257"/>
      <c r="G779" s="258"/>
      <c r="H779" s="258"/>
      <c r="I779" s="258"/>
      <c r="J779" s="258"/>
      <c r="K779" s="258"/>
      <c r="L779" s="258"/>
      <c r="M779" s="258"/>
      <c r="N779" s="258"/>
    </row>
    <row r="780">
      <c r="A780" s="257"/>
      <c r="B780" s="257"/>
      <c r="C780" s="258"/>
      <c r="D780" s="257"/>
      <c r="E780" s="257"/>
      <c r="F780" s="257"/>
      <c r="G780" s="258"/>
      <c r="H780" s="258"/>
      <c r="I780" s="258"/>
      <c r="J780" s="258"/>
      <c r="K780" s="258"/>
      <c r="L780" s="258"/>
      <c r="M780" s="258"/>
      <c r="N780" s="258"/>
    </row>
    <row r="781">
      <c r="A781" s="257"/>
      <c r="B781" s="257"/>
      <c r="C781" s="258"/>
      <c r="D781" s="257"/>
      <c r="E781" s="257"/>
      <c r="F781" s="257"/>
      <c r="G781" s="258"/>
      <c r="H781" s="258"/>
      <c r="I781" s="258"/>
      <c r="J781" s="258"/>
      <c r="K781" s="258"/>
      <c r="L781" s="258"/>
      <c r="M781" s="258"/>
      <c r="N781" s="258"/>
    </row>
    <row r="782">
      <c r="A782" s="257"/>
      <c r="B782" s="257"/>
      <c r="C782" s="258"/>
      <c r="D782" s="257"/>
      <c r="E782" s="257"/>
      <c r="F782" s="257"/>
      <c r="G782" s="258"/>
      <c r="H782" s="258"/>
      <c r="I782" s="258"/>
      <c r="J782" s="258"/>
      <c r="K782" s="258"/>
      <c r="L782" s="258"/>
      <c r="M782" s="258"/>
      <c r="N782" s="258"/>
    </row>
    <row r="783">
      <c r="A783" s="257"/>
      <c r="B783" s="257"/>
      <c r="C783" s="258"/>
      <c r="D783" s="257"/>
      <c r="E783" s="257"/>
      <c r="F783" s="257"/>
      <c r="G783" s="258"/>
      <c r="H783" s="258"/>
      <c r="I783" s="258"/>
      <c r="J783" s="258"/>
      <c r="K783" s="258"/>
      <c r="L783" s="258"/>
      <c r="M783" s="258"/>
      <c r="N783" s="258"/>
    </row>
    <row r="784">
      <c r="A784" s="257"/>
      <c r="B784" s="257"/>
      <c r="C784" s="258"/>
      <c r="D784" s="257"/>
      <c r="E784" s="257"/>
      <c r="F784" s="257"/>
      <c r="G784" s="258"/>
      <c r="H784" s="258"/>
      <c r="I784" s="258"/>
      <c r="J784" s="258"/>
      <c r="K784" s="258"/>
      <c r="L784" s="258"/>
      <c r="M784" s="258"/>
      <c r="N784" s="258"/>
    </row>
    <row r="785">
      <c r="A785" s="257"/>
      <c r="B785" s="257"/>
      <c r="C785" s="258"/>
      <c r="D785" s="257"/>
      <c r="E785" s="257"/>
      <c r="F785" s="257"/>
      <c r="G785" s="258"/>
      <c r="H785" s="258"/>
      <c r="I785" s="258"/>
      <c r="J785" s="258"/>
      <c r="K785" s="258"/>
      <c r="L785" s="258"/>
      <c r="M785" s="258"/>
      <c r="N785" s="258"/>
    </row>
    <row r="786">
      <c r="A786" s="257"/>
      <c r="B786" s="257"/>
      <c r="C786" s="258"/>
      <c r="D786" s="257"/>
      <c r="E786" s="257"/>
      <c r="F786" s="257"/>
      <c r="G786" s="258"/>
      <c r="H786" s="258"/>
      <c r="I786" s="258"/>
      <c r="J786" s="258"/>
      <c r="K786" s="258"/>
      <c r="L786" s="258"/>
      <c r="M786" s="258"/>
      <c r="N786" s="258"/>
    </row>
    <row r="787">
      <c r="A787" s="257"/>
      <c r="B787" s="257"/>
      <c r="C787" s="258"/>
      <c r="D787" s="257"/>
      <c r="E787" s="257"/>
      <c r="F787" s="257"/>
      <c r="G787" s="258"/>
      <c r="H787" s="258"/>
      <c r="I787" s="258"/>
      <c r="J787" s="258"/>
      <c r="K787" s="258"/>
      <c r="L787" s="258"/>
      <c r="M787" s="258"/>
      <c r="N787" s="258"/>
    </row>
    <row r="788">
      <c r="A788" s="257"/>
      <c r="B788" s="257"/>
      <c r="C788" s="258"/>
      <c r="D788" s="257"/>
      <c r="E788" s="257"/>
      <c r="F788" s="257"/>
      <c r="G788" s="258"/>
      <c r="H788" s="258"/>
      <c r="I788" s="258"/>
      <c r="J788" s="258"/>
      <c r="K788" s="258"/>
      <c r="L788" s="258"/>
      <c r="M788" s="258"/>
      <c r="N788" s="258"/>
    </row>
    <row r="789">
      <c r="A789" s="257"/>
      <c r="B789" s="257"/>
      <c r="C789" s="258"/>
      <c r="D789" s="257"/>
      <c r="E789" s="257"/>
      <c r="F789" s="257"/>
      <c r="G789" s="258"/>
      <c r="H789" s="258"/>
      <c r="I789" s="258"/>
      <c r="J789" s="258"/>
      <c r="K789" s="258"/>
      <c r="L789" s="258"/>
      <c r="M789" s="258"/>
      <c r="N789" s="258"/>
    </row>
    <row r="790">
      <c r="A790" s="257"/>
      <c r="B790" s="257"/>
      <c r="C790" s="258"/>
      <c r="D790" s="257"/>
      <c r="E790" s="257"/>
      <c r="F790" s="257"/>
      <c r="G790" s="258"/>
      <c r="H790" s="258"/>
      <c r="I790" s="258"/>
      <c r="J790" s="258"/>
      <c r="K790" s="258"/>
      <c r="L790" s="258"/>
      <c r="M790" s="258"/>
      <c r="N790" s="258"/>
    </row>
    <row r="791">
      <c r="A791" s="257"/>
      <c r="B791" s="257"/>
      <c r="C791" s="258"/>
      <c r="D791" s="257"/>
      <c r="E791" s="257"/>
      <c r="F791" s="257"/>
      <c r="G791" s="258"/>
      <c r="H791" s="258"/>
      <c r="I791" s="258"/>
      <c r="J791" s="258"/>
      <c r="K791" s="258"/>
      <c r="L791" s="258"/>
      <c r="M791" s="258"/>
      <c r="N791" s="258"/>
    </row>
    <row r="792">
      <c r="A792" s="257"/>
      <c r="B792" s="257"/>
      <c r="C792" s="258"/>
      <c r="D792" s="257"/>
      <c r="E792" s="257"/>
      <c r="F792" s="257"/>
      <c r="G792" s="258"/>
      <c r="H792" s="258"/>
      <c r="I792" s="258"/>
      <c r="J792" s="258"/>
      <c r="K792" s="258"/>
      <c r="L792" s="258"/>
      <c r="M792" s="258"/>
      <c r="N792" s="258"/>
    </row>
    <row r="793">
      <c r="A793" s="257"/>
      <c r="B793" s="257"/>
      <c r="C793" s="258"/>
      <c r="D793" s="257"/>
      <c r="E793" s="257"/>
      <c r="F793" s="257"/>
      <c r="G793" s="258"/>
      <c r="H793" s="258"/>
      <c r="I793" s="258"/>
      <c r="J793" s="258"/>
      <c r="K793" s="258"/>
      <c r="L793" s="258"/>
      <c r="M793" s="258"/>
      <c r="N793" s="258"/>
    </row>
    <row r="794">
      <c r="A794" s="257"/>
      <c r="B794" s="257"/>
      <c r="C794" s="258"/>
      <c r="D794" s="257"/>
      <c r="E794" s="257"/>
      <c r="F794" s="257"/>
      <c r="G794" s="258"/>
      <c r="H794" s="258"/>
      <c r="I794" s="258"/>
      <c r="J794" s="258"/>
      <c r="K794" s="258"/>
      <c r="L794" s="258"/>
      <c r="M794" s="258"/>
      <c r="N794" s="258"/>
    </row>
    <row r="795">
      <c r="A795" s="257"/>
      <c r="B795" s="257"/>
      <c r="C795" s="258"/>
      <c r="D795" s="257"/>
      <c r="E795" s="257"/>
      <c r="F795" s="257"/>
      <c r="G795" s="258"/>
      <c r="H795" s="258"/>
      <c r="I795" s="258"/>
      <c r="J795" s="258"/>
      <c r="K795" s="258"/>
      <c r="L795" s="258"/>
      <c r="M795" s="258"/>
      <c r="N795" s="258"/>
    </row>
    <row r="796">
      <c r="A796" s="257"/>
      <c r="B796" s="257"/>
      <c r="C796" s="258"/>
      <c r="D796" s="257"/>
      <c r="E796" s="257"/>
      <c r="F796" s="257"/>
      <c r="G796" s="258"/>
      <c r="H796" s="258"/>
      <c r="I796" s="258"/>
      <c r="J796" s="258"/>
      <c r="K796" s="258"/>
      <c r="L796" s="258"/>
      <c r="M796" s="258"/>
      <c r="N796" s="258"/>
    </row>
    <row r="797">
      <c r="A797" s="257"/>
      <c r="B797" s="257"/>
      <c r="C797" s="258"/>
      <c r="D797" s="257"/>
      <c r="E797" s="257"/>
      <c r="F797" s="257"/>
      <c r="G797" s="258"/>
      <c r="H797" s="258"/>
      <c r="I797" s="258"/>
      <c r="J797" s="258"/>
      <c r="K797" s="258"/>
      <c r="L797" s="258"/>
      <c r="M797" s="258"/>
      <c r="N797" s="258"/>
    </row>
    <row r="798">
      <c r="A798" s="257"/>
      <c r="B798" s="257"/>
      <c r="C798" s="258"/>
      <c r="D798" s="257"/>
      <c r="E798" s="257"/>
      <c r="F798" s="257"/>
      <c r="G798" s="258"/>
      <c r="H798" s="258"/>
      <c r="I798" s="258"/>
      <c r="J798" s="258"/>
      <c r="K798" s="258"/>
      <c r="L798" s="258"/>
      <c r="M798" s="258"/>
      <c r="N798" s="258"/>
    </row>
    <row r="799">
      <c r="A799" s="257"/>
      <c r="B799" s="257"/>
      <c r="C799" s="258"/>
      <c r="D799" s="257"/>
      <c r="E799" s="257"/>
      <c r="F799" s="257"/>
      <c r="G799" s="258"/>
      <c r="H799" s="258"/>
      <c r="I799" s="258"/>
      <c r="J799" s="258"/>
      <c r="K799" s="258"/>
      <c r="L799" s="258"/>
      <c r="M799" s="258"/>
      <c r="N799" s="258"/>
    </row>
    <row r="800">
      <c r="A800" s="257"/>
      <c r="B800" s="257"/>
      <c r="C800" s="258"/>
      <c r="D800" s="257"/>
      <c r="E800" s="257"/>
      <c r="F800" s="257"/>
      <c r="G800" s="258"/>
      <c r="H800" s="258"/>
      <c r="I800" s="258"/>
      <c r="J800" s="258"/>
      <c r="K800" s="258"/>
      <c r="L800" s="258"/>
      <c r="M800" s="258"/>
      <c r="N800" s="258"/>
    </row>
    <row r="801">
      <c r="A801" s="257"/>
      <c r="B801" s="257"/>
      <c r="C801" s="258"/>
      <c r="D801" s="257"/>
      <c r="E801" s="257"/>
      <c r="F801" s="257"/>
      <c r="G801" s="258"/>
      <c r="H801" s="258"/>
      <c r="I801" s="258"/>
      <c r="J801" s="258"/>
      <c r="K801" s="258"/>
      <c r="L801" s="258"/>
      <c r="M801" s="258"/>
      <c r="N801" s="258"/>
    </row>
    <row r="802">
      <c r="A802" s="257"/>
      <c r="B802" s="257"/>
      <c r="C802" s="258"/>
      <c r="D802" s="257"/>
      <c r="E802" s="257"/>
      <c r="F802" s="257"/>
      <c r="G802" s="258"/>
      <c r="H802" s="258"/>
      <c r="I802" s="258"/>
      <c r="J802" s="258"/>
      <c r="K802" s="258"/>
      <c r="L802" s="258"/>
      <c r="M802" s="258"/>
      <c r="N802" s="258"/>
    </row>
    <row r="803">
      <c r="A803" s="257"/>
      <c r="B803" s="257"/>
      <c r="C803" s="258"/>
      <c r="D803" s="257"/>
      <c r="E803" s="257"/>
      <c r="F803" s="257"/>
      <c r="G803" s="258"/>
      <c r="H803" s="258"/>
      <c r="I803" s="258"/>
      <c r="J803" s="258"/>
      <c r="K803" s="258"/>
      <c r="L803" s="258"/>
      <c r="M803" s="258"/>
      <c r="N803" s="258"/>
    </row>
    <row r="804">
      <c r="A804" s="257"/>
      <c r="B804" s="257"/>
      <c r="C804" s="258"/>
      <c r="D804" s="257"/>
      <c r="E804" s="257"/>
      <c r="F804" s="257"/>
      <c r="G804" s="258"/>
      <c r="H804" s="258"/>
      <c r="I804" s="258"/>
      <c r="J804" s="258"/>
      <c r="K804" s="258"/>
      <c r="L804" s="258"/>
      <c r="M804" s="258"/>
      <c r="N804" s="258"/>
    </row>
    <row r="805">
      <c r="A805" s="257"/>
      <c r="B805" s="257"/>
      <c r="C805" s="258"/>
      <c r="D805" s="257"/>
      <c r="E805" s="257"/>
      <c r="F805" s="257"/>
      <c r="G805" s="258"/>
      <c r="H805" s="258"/>
      <c r="I805" s="258"/>
      <c r="J805" s="258"/>
      <c r="K805" s="258"/>
      <c r="L805" s="258"/>
      <c r="M805" s="258"/>
      <c r="N805" s="258"/>
    </row>
    <row r="806">
      <c r="A806" s="257"/>
      <c r="B806" s="257"/>
      <c r="C806" s="258"/>
      <c r="D806" s="257"/>
      <c r="E806" s="257"/>
      <c r="F806" s="257"/>
      <c r="G806" s="258"/>
      <c r="H806" s="258"/>
      <c r="I806" s="258"/>
      <c r="J806" s="258"/>
      <c r="K806" s="258"/>
      <c r="L806" s="258"/>
      <c r="M806" s="258"/>
      <c r="N806" s="258"/>
    </row>
    <row r="807">
      <c r="A807" s="257"/>
      <c r="B807" s="257"/>
      <c r="C807" s="258"/>
      <c r="D807" s="257"/>
      <c r="E807" s="257"/>
      <c r="F807" s="257"/>
      <c r="G807" s="258"/>
      <c r="H807" s="258"/>
      <c r="I807" s="258"/>
      <c r="J807" s="258"/>
      <c r="K807" s="258"/>
      <c r="L807" s="258"/>
      <c r="M807" s="258"/>
      <c r="N807" s="258"/>
    </row>
    <row r="808">
      <c r="A808" s="257"/>
      <c r="B808" s="257"/>
      <c r="C808" s="258"/>
      <c r="D808" s="257"/>
      <c r="E808" s="257"/>
      <c r="F808" s="257"/>
      <c r="G808" s="258"/>
      <c r="H808" s="258"/>
      <c r="I808" s="258"/>
      <c r="J808" s="258"/>
      <c r="K808" s="258"/>
      <c r="L808" s="258"/>
      <c r="M808" s="258"/>
      <c r="N808" s="258"/>
    </row>
    <row r="809">
      <c r="A809" s="257"/>
      <c r="B809" s="257"/>
      <c r="C809" s="258"/>
      <c r="D809" s="257"/>
      <c r="E809" s="257"/>
      <c r="F809" s="257"/>
      <c r="G809" s="258"/>
      <c r="H809" s="258"/>
      <c r="I809" s="258"/>
      <c r="J809" s="258"/>
      <c r="K809" s="258"/>
      <c r="L809" s="258"/>
      <c r="M809" s="258"/>
      <c r="N809" s="258"/>
    </row>
    <row r="810">
      <c r="A810" s="257"/>
      <c r="B810" s="257"/>
      <c r="C810" s="258"/>
      <c r="D810" s="257"/>
      <c r="E810" s="257"/>
      <c r="F810" s="257"/>
      <c r="G810" s="258"/>
      <c r="H810" s="258"/>
      <c r="I810" s="258"/>
      <c r="J810" s="258"/>
      <c r="K810" s="258"/>
      <c r="L810" s="258"/>
      <c r="M810" s="258"/>
      <c r="N810" s="258"/>
    </row>
    <row r="811">
      <c r="A811" s="257"/>
      <c r="B811" s="257"/>
      <c r="C811" s="258"/>
      <c r="D811" s="257"/>
      <c r="E811" s="257"/>
      <c r="F811" s="257"/>
      <c r="G811" s="258"/>
      <c r="H811" s="258"/>
      <c r="I811" s="258"/>
      <c r="J811" s="258"/>
      <c r="K811" s="258"/>
      <c r="L811" s="258"/>
      <c r="M811" s="258"/>
      <c r="N811" s="258"/>
    </row>
    <row r="812">
      <c r="A812" s="257"/>
      <c r="B812" s="257"/>
      <c r="C812" s="258"/>
      <c r="D812" s="257"/>
      <c r="E812" s="257"/>
      <c r="F812" s="257"/>
      <c r="G812" s="258"/>
      <c r="H812" s="258"/>
      <c r="I812" s="258"/>
      <c r="J812" s="258"/>
      <c r="K812" s="258"/>
      <c r="L812" s="258"/>
      <c r="M812" s="258"/>
      <c r="N812" s="258"/>
    </row>
    <row r="813">
      <c r="A813" s="257"/>
      <c r="B813" s="257"/>
      <c r="C813" s="258"/>
      <c r="D813" s="257"/>
      <c r="E813" s="257"/>
      <c r="F813" s="257"/>
      <c r="G813" s="258"/>
      <c r="H813" s="258"/>
      <c r="I813" s="258"/>
      <c r="J813" s="258"/>
      <c r="K813" s="258"/>
      <c r="L813" s="258"/>
      <c r="M813" s="258"/>
      <c r="N813" s="258"/>
    </row>
    <row r="814">
      <c r="A814" s="257"/>
      <c r="B814" s="257"/>
      <c r="C814" s="258"/>
      <c r="D814" s="257"/>
      <c r="E814" s="257"/>
      <c r="F814" s="257"/>
      <c r="G814" s="258"/>
      <c r="H814" s="258"/>
      <c r="I814" s="258"/>
      <c r="J814" s="258"/>
      <c r="K814" s="258"/>
      <c r="L814" s="258"/>
      <c r="M814" s="258"/>
      <c r="N814" s="258"/>
    </row>
    <row r="815">
      <c r="A815" s="257"/>
      <c r="B815" s="257"/>
      <c r="C815" s="258"/>
      <c r="D815" s="257"/>
      <c r="E815" s="257"/>
      <c r="F815" s="257"/>
      <c r="G815" s="258"/>
      <c r="H815" s="258"/>
      <c r="I815" s="258"/>
      <c r="J815" s="258"/>
      <c r="K815" s="258"/>
      <c r="L815" s="258"/>
      <c r="M815" s="258"/>
      <c r="N815" s="258"/>
    </row>
    <row r="816">
      <c r="A816" s="257"/>
      <c r="B816" s="257"/>
      <c r="C816" s="258"/>
      <c r="D816" s="257"/>
      <c r="E816" s="257"/>
      <c r="F816" s="257"/>
      <c r="G816" s="258"/>
      <c r="H816" s="258"/>
      <c r="I816" s="258"/>
      <c r="J816" s="258"/>
      <c r="K816" s="258"/>
      <c r="L816" s="258"/>
      <c r="M816" s="258"/>
      <c r="N816" s="258"/>
    </row>
    <row r="817">
      <c r="A817" s="257"/>
      <c r="B817" s="257"/>
      <c r="C817" s="258"/>
      <c r="D817" s="257"/>
      <c r="E817" s="257"/>
      <c r="F817" s="257"/>
      <c r="G817" s="258"/>
      <c r="H817" s="258"/>
      <c r="I817" s="258"/>
      <c r="J817" s="258"/>
      <c r="K817" s="258"/>
      <c r="L817" s="258"/>
      <c r="M817" s="258"/>
      <c r="N817" s="258"/>
    </row>
    <row r="818">
      <c r="A818" s="257"/>
      <c r="B818" s="257"/>
      <c r="C818" s="258"/>
      <c r="D818" s="257"/>
      <c r="E818" s="257"/>
      <c r="F818" s="257"/>
      <c r="G818" s="258"/>
      <c r="H818" s="258"/>
      <c r="I818" s="258"/>
      <c r="J818" s="258"/>
      <c r="K818" s="258"/>
      <c r="L818" s="258"/>
      <c r="M818" s="258"/>
      <c r="N818" s="258"/>
    </row>
    <row r="819">
      <c r="A819" s="257"/>
      <c r="B819" s="257"/>
      <c r="C819" s="258"/>
      <c r="D819" s="257"/>
      <c r="E819" s="257"/>
      <c r="F819" s="257"/>
      <c r="G819" s="258"/>
      <c r="H819" s="258"/>
      <c r="I819" s="258"/>
      <c r="J819" s="258"/>
      <c r="K819" s="258"/>
      <c r="L819" s="258"/>
      <c r="M819" s="258"/>
      <c r="N819" s="258"/>
    </row>
    <row r="820">
      <c r="A820" s="257"/>
      <c r="B820" s="257"/>
      <c r="C820" s="258"/>
      <c r="D820" s="257"/>
      <c r="E820" s="257"/>
      <c r="F820" s="257"/>
      <c r="G820" s="258"/>
      <c r="H820" s="258"/>
      <c r="I820" s="258"/>
      <c r="J820" s="258"/>
      <c r="K820" s="258"/>
      <c r="L820" s="258"/>
      <c r="M820" s="258"/>
      <c r="N820" s="258"/>
    </row>
    <row r="821">
      <c r="A821" s="257"/>
      <c r="B821" s="257"/>
      <c r="C821" s="258"/>
      <c r="D821" s="257"/>
      <c r="E821" s="257"/>
      <c r="F821" s="257"/>
      <c r="G821" s="258"/>
      <c r="H821" s="258"/>
      <c r="I821" s="258"/>
      <c r="J821" s="258"/>
      <c r="K821" s="258"/>
      <c r="L821" s="258"/>
      <c r="M821" s="258"/>
      <c r="N821" s="258"/>
    </row>
    <row r="822">
      <c r="A822" s="257"/>
      <c r="B822" s="257"/>
      <c r="C822" s="258"/>
      <c r="D822" s="257"/>
      <c r="E822" s="257"/>
      <c r="F822" s="257"/>
      <c r="G822" s="258"/>
      <c r="H822" s="258"/>
      <c r="I822" s="258"/>
      <c r="J822" s="258"/>
      <c r="K822" s="258"/>
      <c r="L822" s="258"/>
      <c r="M822" s="258"/>
      <c r="N822" s="258"/>
    </row>
    <row r="823">
      <c r="A823" s="257"/>
      <c r="B823" s="257"/>
      <c r="C823" s="258"/>
      <c r="D823" s="257"/>
      <c r="E823" s="257"/>
      <c r="F823" s="257"/>
      <c r="G823" s="258"/>
      <c r="H823" s="258"/>
      <c r="I823" s="258"/>
      <c r="J823" s="258"/>
      <c r="K823" s="258"/>
      <c r="L823" s="258"/>
      <c r="M823" s="258"/>
      <c r="N823" s="258"/>
    </row>
    <row r="824">
      <c r="A824" s="257"/>
      <c r="B824" s="257"/>
      <c r="C824" s="258"/>
      <c r="D824" s="257"/>
      <c r="E824" s="257"/>
      <c r="F824" s="257"/>
      <c r="G824" s="258"/>
      <c r="H824" s="258"/>
      <c r="I824" s="258"/>
      <c r="J824" s="258"/>
      <c r="K824" s="258"/>
      <c r="L824" s="258"/>
      <c r="M824" s="258"/>
      <c r="N824" s="258"/>
    </row>
    <row r="825">
      <c r="A825" s="257"/>
      <c r="B825" s="257"/>
      <c r="C825" s="258"/>
      <c r="D825" s="257"/>
      <c r="E825" s="257"/>
      <c r="F825" s="257"/>
      <c r="G825" s="258"/>
      <c r="H825" s="258"/>
      <c r="I825" s="258"/>
      <c r="J825" s="258"/>
      <c r="K825" s="258"/>
      <c r="L825" s="258"/>
      <c r="M825" s="258"/>
      <c r="N825" s="258"/>
    </row>
    <row r="826">
      <c r="A826" s="257"/>
      <c r="B826" s="257"/>
      <c r="C826" s="258"/>
      <c r="D826" s="257"/>
      <c r="E826" s="257"/>
      <c r="F826" s="257"/>
      <c r="G826" s="258"/>
      <c r="H826" s="258"/>
      <c r="I826" s="258"/>
      <c r="J826" s="258"/>
      <c r="K826" s="258"/>
      <c r="L826" s="258"/>
      <c r="M826" s="258"/>
      <c r="N826" s="258"/>
    </row>
    <row r="827">
      <c r="A827" s="257"/>
      <c r="B827" s="257"/>
      <c r="C827" s="258"/>
      <c r="D827" s="257"/>
      <c r="E827" s="257"/>
      <c r="F827" s="257"/>
      <c r="G827" s="258"/>
      <c r="H827" s="258"/>
      <c r="I827" s="258"/>
      <c r="J827" s="258"/>
      <c r="K827" s="258"/>
      <c r="L827" s="258"/>
      <c r="M827" s="258"/>
      <c r="N827" s="258"/>
    </row>
    <row r="828">
      <c r="A828" s="257"/>
      <c r="B828" s="257"/>
      <c r="C828" s="258"/>
      <c r="D828" s="257"/>
      <c r="E828" s="257"/>
      <c r="F828" s="257"/>
      <c r="G828" s="258"/>
      <c r="H828" s="258"/>
      <c r="I828" s="258"/>
      <c r="J828" s="258"/>
      <c r="K828" s="258"/>
      <c r="L828" s="258"/>
      <c r="M828" s="258"/>
      <c r="N828" s="258"/>
    </row>
    <row r="829">
      <c r="A829" s="257"/>
      <c r="B829" s="257"/>
      <c r="C829" s="258"/>
      <c r="D829" s="257"/>
      <c r="E829" s="257"/>
      <c r="F829" s="257"/>
      <c r="G829" s="258"/>
      <c r="H829" s="258"/>
      <c r="I829" s="258"/>
      <c r="J829" s="258"/>
      <c r="K829" s="258"/>
      <c r="L829" s="258"/>
      <c r="M829" s="258"/>
      <c r="N829" s="258"/>
    </row>
    <row r="830">
      <c r="A830" s="257"/>
      <c r="B830" s="257"/>
      <c r="C830" s="258"/>
      <c r="D830" s="257"/>
      <c r="E830" s="257"/>
      <c r="F830" s="257"/>
      <c r="G830" s="258"/>
      <c r="H830" s="258"/>
      <c r="I830" s="258"/>
      <c r="J830" s="258"/>
      <c r="K830" s="258"/>
      <c r="L830" s="258"/>
      <c r="M830" s="258"/>
      <c r="N830" s="258"/>
    </row>
    <row r="831">
      <c r="A831" s="257"/>
      <c r="B831" s="257"/>
      <c r="C831" s="258"/>
      <c r="D831" s="257"/>
      <c r="E831" s="257"/>
      <c r="F831" s="257"/>
      <c r="G831" s="258"/>
      <c r="H831" s="258"/>
      <c r="I831" s="258"/>
      <c r="J831" s="258"/>
      <c r="K831" s="258"/>
      <c r="L831" s="258"/>
      <c r="M831" s="258"/>
      <c r="N831" s="258"/>
    </row>
    <row r="832">
      <c r="A832" s="257"/>
      <c r="B832" s="257"/>
      <c r="C832" s="258"/>
      <c r="D832" s="257"/>
      <c r="E832" s="257"/>
      <c r="F832" s="257"/>
      <c r="G832" s="258"/>
      <c r="H832" s="258"/>
      <c r="I832" s="258"/>
      <c r="J832" s="258"/>
      <c r="K832" s="258"/>
      <c r="L832" s="258"/>
      <c r="M832" s="258"/>
      <c r="N832" s="258"/>
    </row>
    <row r="833">
      <c r="A833" s="257"/>
      <c r="B833" s="257"/>
      <c r="C833" s="258"/>
      <c r="D833" s="257"/>
      <c r="E833" s="257"/>
      <c r="F833" s="257"/>
      <c r="G833" s="258"/>
      <c r="H833" s="258"/>
      <c r="I833" s="258"/>
      <c r="J833" s="258"/>
      <c r="K833" s="258"/>
      <c r="L833" s="258"/>
      <c r="M833" s="258"/>
      <c r="N833" s="258"/>
    </row>
    <row r="834">
      <c r="A834" s="257"/>
      <c r="B834" s="257"/>
      <c r="C834" s="258"/>
      <c r="D834" s="257"/>
      <c r="E834" s="257"/>
      <c r="F834" s="257"/>
      <c r="G834" s="258"/>
      <c r="H834" s="258"/>
      <c r="I834" s="258"/>
      <c r="J834" s="258"/>
      <c r="K834" s="258"/>
      <c r="L834" s="258"/>
      <c r="M834" s="258"/>
      <c r="N834" s="258"/>
    </row>
    <row r="835">
      <c r="A835" s="257"/>
      <c r="B835" s="257"/>
      <c r="C835" s="258"/>
      <c r="D835" s="257"/>
      <c r="E835" s="257"/>
      <c r="F835" s="257"/>
      <c r="G835" s="258"/>
      <c r="H835" s="258"/>
      <c r="I835" s="258"/>
      <c r="J835" s="258"/>
      <c r="K835" s="258"/>
      <c r="L835" s="258"/>
      <c r="M835" s="258"/>
      <c r="N835" s="258"/>
    </row>
    <row r="836">
      <c r="A836" s="257"/>
      <c r="B836" s="257"/>
      <c r="C836" s="258"/>
      <c r="D836" s="257"/>
      <c r="E836" s="257"/>
      <c r="F836" s="257"/>
      <c r="G836" s="258"/>
      <c r="H836" s="258"/>
      <c r="I836" s="258"/>
      <c r="J836" s="258"/>
      <c r="K836" s="258"/>
      <c r="L836" s="258"/>
      <c r="M836" s="258"/>
      <c r="N836" s="258"/>
    </row>
    <row r="837">
      <c r="A837" s="257"/>
      <c r="B837" s="257"/>
      <c r="C837" s="258"/>
      <c r="D837" s="257"/>
      <c r="E837" s="257"/>
      <c r="F837" s="257"/>
      <c r="G837" s="258"/>
      <c r="H837" s="258"/>
      <c r="I837" s="258"/>
      <c r="J837" s="258"/>
      <c r="K837" s="258"/>
      <c r="L837" s="258"/>
      <c r="M837" s="258"/>
      <c r="N837" s="258"/>
    </row>
    <row r="838">
      <c r="A838" s="257"/>
      <c r="B838" s="257"/>
      <c r="C838" s="258"/>
      <c r="D838" s="257"/>
      <c r="E838" s="257"/>
      <c r="F838" s="257"/>
      <c r="G838" s="258"/>
      <c r="H838" s="258"/>
      <c r="I838" s="258"/>
      <c r="J838" s="258"/>
      <c r="K838" s="258"/>
      <c r="L838" s="258"/>
      <c r="M838" s="258"/>
      <c r="N838" s="258"/>
    </row>
    <row r="839">
      <c r="A839" s="257"/>
      <c r="B839" s="257"/>
      <c r="C839" s="258"/>
      <c r="D839" s="257"/>
      <c r="E839" s="257"/>
      <c r="F839" s="257"/>
      <c r="G839" s="258"/>
      <c r="H839" s="258"/>
      <c r="I839" s="258"/>
      <c r="J839" s="258"/>
      <c r="K839" s="258"/>
      <c r="L839" s="258"/>
      <c r="M839" s="258"/>
      <c r="N839" s="258"/>
    </row>
    <row r="840">
      <c r="A840" s="257"/>
      <c r="B840" s="257"/>
      <c r="C840" s="258"/>
      <c r="D840" s="257"/>
      <c r="E840" s="257"/>
      <c r="F840" s="257"/>
      <c r="G840" s="258"/>
      <c r="H840" s="258"/>
      <c r="I840" s="258"/>
      <c r="J840" s="258"/>
      <c r="K840" s="258"/>
      <c r="L840" s="258"/>
      <c r="M840" s="258"/>
      <c r="N840" s="258"/>
    </row>
    <row r="841">
      <c r="A841" s="257"/>
      <c r="B841" s="257"/>
      <c r="C841" s="258"/>
      <c r="D841" s="257"/>
      <c r="E841" s="257"/>
      <c r="F841" s="257"/>
      <c r="G841" s="258"/>
      <c r="H841" s="258"/>
      <c r="I841" s="258"/>
      <c r="J841" s="258"/>
      <c r="K841" s="258"/>
      <c r="L841" s="258"/>
      <c r="M841" s="258"/>
      <c r="N841" s="258"/>
    </row>
    <row r="842">
      <c r="A842" s="257"/>
      <c r="B842" s="257"/>
      <c r="C842" s="258"/>
      <c r="D842" s="257"/>
      <c r="E842" s="257"/>
      <c r="F842" s="257"/>
      <c r="G842" s="258"/>
      <c r="H842" s="258"/>
      <c r="I842" s="258"/>
      <c r="J842" s="258"/>
      <c r="K842" s="258"/>
      <c r="L842" s="258"/>
      <c r="M842" s="258"/>
      <c r="N842" s="258"/>
    </row>
    <row r="843">
      <c r="A843" s="257"/>
      <c r="B843" s="257"/>
      <c r="C843" s="258"/>
      <c r="D843" s="257"/>
      <c r="E843" s="257"/>
      <c r="F843" s="257"/>
      <c r="G843" s="258"/>
      <c r="H843" s="258"/>
      <c r="I843" s="258"/>
      <c r="J843" s="258"/>
      <c r="K843" s="258"/>
      <c r="L843" s="258"/>
      <c r="M843" s="258"/>
      <c r="N843" s="258"/>
    </row>
    <row r="844">
      <c r="A844" s="257"/>
      <c r="B844" s="257"/>
      <c r="C844" s="258"/>
      <c r="D844" s="257"/>
      <c r="E844" s="257"/>
      <c r="F844" s="257"/>
      <c r="G844" s="258"/>
      <c r="H844" s="258"/>
      <c r="I844" s="258"/>
      <c r="J844" s="258"/>
      <c r="K844" s="258"/>
      <c r="L844" s="258"/>
      <c r="M844" s="258"/>
      <c r="N844" s="258"/>
    </row>
    <row r="845">
      <c r="A845" s="257"/>
      <c r="B845" s="257"/>
      <c r="C845" s="258"/>
      <c r="D845" s="257"/>
      <c r="E845" s="257"/>
      <c r="F845" s="257"/>
      <c r="G845" s="258"/>
      <c r="H845" s="258"/>
      <c r="I845" s="258"/>
      <c r="J845" s="258"/>
      <c r="K845" s="258"/>
      <c r="L845" s="258"/>
      <c r="M845" s="258"/>
      <c r="N845" s="258"/>
    </row>
    <row r="846">
      <c r="A846" s="257"/>
      <c r="B846" s="257"/>
      <c r="C846" s="258"/>
      <c r="D846" s="257"/>
      <c r="E846" s="257"/>
      <c r="F846" s="257"/>
      <c r="G846" s="258"/>
      <c r="H846" s="258"/>
      <c r="I846" s="258"/>
      <c r="J846" s="258"/>
      <c r="K846" s="258"/>
      <c r="L846" s="258"/>
      <c r="M846" s="258"/>
      <c r="N846" s="258"/>
    </row>
    <row r="847">
      <c r="A847" s="257"/>
      <c r="B847" s="257"/>
      <c r="C847" s="258"/>
      <c r="D847" s="257"/>
      <c r="E847" s="257"/>
      <c r="F847" s="257"/>
      <c r="G847" s="258"/>
      <c r="H847" s="258"/>
      <c r="I847" s="258"/>
      <c r="J847" s="258"/>
      <c r="K847" s="258"/>
      <c r="L847" s="258"/>
      <c r="M847" s="258"/>
      <c r="N847" s="258"/>
    </row>
    <row r="848">
      <c r="A848" s="257"/>
      <c r="B848" s="257"/>
      <c r="C848" s="258"/>
      <c r="D848" s="257"/>
      <c r="E848" s="257"/>
      <c r="F848" s="257"/>
      <c r="G848" s="258"/>
      <c r="H848" s="258"/>
      <c r="I848" s="258"/>
      <c r="J848" s="258"/>
      <c r="K848" s="258"/>
      <c r="L848" s="258"/>
      <c r="M848" s="258"/>
      <c r="N848" s="258"/>
    </row>
    <row r="849">
      <c r="A849" s="257"/>
      <c r="B849" s="257"/>
      <c r="C849" s="258"/>
      <c r="D849" s="257"/>
      <c r="E849" s="257"/>
      <c r="F849" s="257"/>
      <c r="G849" s="258"/>
      <c r="H849" s="258"/>
      <c r="I849" s="258"/>
      <c r="J849" s="258"/>
      <c r="K849" s="258"/>
      <c r="L849" s="258"/>
      <c r="M849" s="258"/>
      <c r="N849" s="258"/>
    </row>
    <row r="850">
      <c r="A850" s="257"/>
      <c r="B850" s="257"/>
      <c r="C850" s="258"/>
      <c r="D850" s="257"/>
      <c r="E850" s="257"/>
      <c r="F850" s="257"/>
      <c r="G850" s="258"/>
      <c r="H850" s="258"/>
      <c r="I850" s="258"/>
      <c r="J850" s="258"/>
      <c r="K850" s="258"/>
      <c r="L850" s="258"/>
      <c r="M850" s="258"/>
      <c r="N850" s="258"/>
    </row>
    <row r="851">
      <c r="A851" s="257"/>
      <c r="B851" s="257"/>
      <c r="C851" s="258"/>
      <c r="D851" s="257"/>
      <c r="E851" s="257"/>
      <c r="F851" s="257"/>
      <c r="G851" s="258"/>
      <c r="H851" s="258"/>
      <c r="I851" s="258"/>
      <c r="J851" s="258"/>
      <c r="K851" s="258"/>
      <c r="L851" s="258"/>
      <c r="M851" s="258"/>
      <c r="N851" s="258"/>
    </row>
    <row r="852">
      <c r="A852" s="257"/>
      <c r="B852" s="257"/>
      <c r="C852" s="258"/>
      <c r="D852" s="257"/>
      <c r="E852" s="257"/>
      <c r="F852" s="257"/>
      <c r="G852" s="258"/>
      <c r="H852" s="258"/>
      <c r="I852" s="258"/>
      <c r="J852" s="258"/>
      <c r="K852" s="258"/>
      <c r="L852" s="258"/>
      <c r="M852" s="258"/>
      <c r="N852" s="258"/>
    </row>
    <row r="853">
      <c r="A853" s="257"/>
      <c r="B853" s="257"/>
      <c r="C853" s="258"/>
      <c r="D853" s="257"/>
      <c r="E853" s="257"/>
      <c r="F853" s="257"/>
      <c r="G853" s="258"/>
      <c r="H853" s="258"/>
      <c r="I853" s="258"/>
      <c r="J853" s="258"/>
      <c r="K853" s="258"/>
      <c r="L853" s="258"/>
      <c r="M853" s="258"/>
      <c r="N853" s="258"/>
    </row>
    <row r="854">
      <c r="A854" s="257"/>
      <c r="B854" s="257"/>
      <c r="C854" s="258"/>
      <c r="D854" s="257"/>
      <c r="E854" s="257"/>
      <c r="F854" s="257"/>
      <c r="G854" s="258"/>
      <c r="H854" s="258"/>
      <c r="I854" s="258"/>
      <c r="J854" s="258"/>
      <c r="K854" s="258"/>
      <c r="L854" s="258"/>
      <c r="M854" s="258"/>
      <c r="N854" s="258"/>
    </row>
    <row r="855">
      <c r="A855" s="257"/>
      <c r="B855" s="257"/>
      <c r="C855" s="258"/>
      <c r="D855" s="257"/>
      <c r="E855" s="257"/>
      <c r="F855" s="257"/>
      <c r="G855" s="258"/>
      <c r="H855" s="258"/>
      <c r="I855" s="258"/>
      <c r="J855" s="258"/>
      <c r="K855" s="258"/>
      <c r="L855" s="258"/>
      <c r="M855" s="258"/>
      <c r="N855" s="258"/>
    </row>
    <row r="856">
      <c r="A856" s="257"/>
      <c r="B856" s="257"/>
      <c r="C856" s="258"/>
      <c r="D856" s="257"/>
      <c r="E856" s="257"/>
      <c r="F856" s="257"/>
      <c r="G856" s="258"/>
      <c r="H856" s="258"/>
      <c r="I856" s="258"/>
      <c r="J856" s="258"/>
      <c r="K856" s="258"/>
      <c r="L856" s="258"/>
      <c r="M856" s="258"/>
      <c r="N856" s="258"/>
    </row>
    <row r="857">
      <c r="A857" s="257"/>
      <c r="B857" s="257"/>
      <c r="C857" s="258"/>
      <c r="D857" s="257"/>
      <c r="E857" s="257"/>
      <c r="F857" s="257"/>
      <c r="G857" s="258"/>
      <c r="H857" s="258"/>
      <c r="I857" s="258"/>
      <c r="J857" s="258"/>
      <c r="K857" s="258"/>
      <c r="L857" s="258"/>
      <c r="M857" s="258"/>
      <c r="N857" s="258"/>
    </row>
    <row r="858">
      <c r="A858" s="257"/>
      <c r="B858" s="257"/>
      <c r="C858" s="258"/>
      <c r="D858" s="257"/>
      <c r="E858" s="257"/>
      <c r="F858" s="257"/>
      <c r="G858" s="258"/>
      <c r="H858" s="258"/>
      <c r="I858" s="258"/>
      <c r="J858" s="258"/>
      <c r="K858" s="258"/>
      <c r="L858" s="258"/>
      <c r="M858" s="258"/>
      <c r="N858" s="258"/>
    </row>
    <row r="859">
      <c r="A859" s="257"/>
      <c r="B859" s="257"/>
      <c r="C859" s="258"/>
      <c r="D859" s="257"/>
      <c r="E859" s="257"/>
      <c r="F859" s="257"/>
      <c r="G859" s="258"/>
      <c r="H859" s="258"/>
      <c r="I859" s="258"/>
      <c r="J859" s="258"/>
      <c r="K859" s="258"/>
      <c r="L859" s="258"/>
      <c r="M859" s="258"/>
      <c r="N859" s="258"/>
    </row>
    <row r="860">
      <c r="A860" s="257"/>
      <c r="B860" s="257"/>
      <c r="C860" s="258"/>
      <c r="D860" s="257"/>
      <c r="E860" s="257"/>
      <c r="F860" s="257"/>
      <c r="G860" s="258"/>
      <c r="H860" s="258"/>
      <c r="I860" s="258"/>
      <c r="J860" s="258"/>
      <c r="K860" s="258"/>
      <c r="L860" s="258"/>
      <c r="M860" s="258"/>
      <c r="N860" s="258"/>
    </row>
    <row r="861">
      <c r="A861" s="257"/>
      <c r="B861" s="257"/>
      <c r="C861" s="258"/>
      <c r="D861" s="257"/>
      <c r="E861" s="257"/>
      <c r="F861" s="257"/>
      <c r="G861" s="258"/>
      <c r="H861" s="258"/>
      <c r="I861" s="258"/>
      <c r="J861" s="258"/>
      <c r="K861" s="258"/>
      <c r="L861" s="258"/>
      <c r="M861" s="258"/>
      <c r="N861" s="258"/>
    </row>
    <row r="862">
      <c r="A862" s="257"/>
      <c r="B862" s="257"/>
      <c r="C862" s="258"/>
      <c r="D862" s="257"/>
      <c r="E862" s="257"/>
      <c r="F862" s="257"/>
      <c r="G862" s="258"/>
      <c r="H862" s="258"/>
      <c r="I862" s="258"/>
      <c r="J862" s="258"/>
      <c r="K862" s="258"/>
      <c r="L862" s="258"/>
      <c r="M862" s="258"/>
      <c r="N862" s="258"/>
    </row>
    <row r="863">
      <c r="A863" s="257"/>
      <c r="B863" s="257"/>
      <c r="C863" s="258"/>
      <c r="D863" s="257"/>
      <c r="E863" s="257"/>
      <c r="F863" s="257"/>
      <c r="G863" s="258"/>
      <c r="H863" s="258"/>
      <c r="I863" s="258"/>
      <c r="J863" s="258"/>
      <c r="K863" s="258"/>
      <c r="L863" s="258"/>
      <c r="M863" s="258"/>
      <c r="N863" s="258"/>
    </row>
    <row r="864">
      <c r="A864" s="257"/>
      <c r="B864" s="257"/>
      <c r="C864" s="258"/>
      <c r="D864" s="257"/>
      <c r="E864" s="257"/>
      <c r="F864" s="257"/>
      <c r="G864" s="258"/>
      <c r="H864" s="258"/>
      <c r="I864" s="258"/>
      <c r="J864" s="258"/>
      <c r="K864" s="258"/>
      <c r="L864" s="258"/>
      <c r="M864" s="258"/>
      <c r="N864" s="258"/>
    </row>
    <row r="865">
      <c r="A865" s="257"/>
      <c r="B865" s="257"/>
      <c r="C865" s="258"/>
      <c r="D865" s="257"/>
      <c r="E865" s="257"/>
      <c r="F865" s="257"/>
      <c r="G865" s="258"/>
      <c r="H865" s="258"/>
      <c r="I865" s="258"/>
      <c r="J865" s="258"/>
      <c r="K865" s="258"/>
      <c r="L865" s="258"/>
      <c r="M865" s="258"/>
      <c r="N865" s="258"/>
    </row>
    <row r="866">
      <c r="A866" s="257"/>
      <c r="B866" s="257"/>
      <c r="C866" s="258"/>
      <c r="D866" s="257"/>
      <c r="E866" s="257"/>
      <c r="F866" s="257"/>
      <c r="G866" s="258"/>
      <c r="H866" s="258"/>
      <c r="I866" s="258"/>
      <c r="J866" s="258"/>
      <c r="K866" s="258"/>
      <c r="L866" s="258"/>
      <c r="M866" s="258"/>
      <c r="N866" s="258"/>
    </row>
    <row r="867">
      <c r="A867" s="257"/>
      <c r="B867" s="257"/>
      <c r="C867" s="258"/>
      <c r="D867" s="257"/>
      <c r="E867" s="257"/>
      <c r="F867" s="257"/>
      <c r="G867" s="258"/>
      <c r="H867" s="258"/>
      <c r="I867" s="258"/>
      <c r="J867" s="258"/>
      <c r="K867" s="258"/>
      <c r="L867" s="258"/>
      <c r="M867" s="258"/>
      <c r="N867" s="258"/>
    </row>
    <row r="868">
      <c r="A868" s="257"/>
      <c r="B868" s="257"/>
      <c r="C868" s="258"/>
      <c r="D868" s="257"/>
      <c r="E868" s="257"/>
      <c r="F868" s="257"/>
      <c r="G868" s="258"/>
      <c r="H868" s="258"/>
      <c r="I868" s="258"/>
      <c r="J868" s="258"/>
      <c r="K868" s="258"/>
      <c r="L868" s="258"/>
      <c r="M868" s="258"/>
      <c r="N868" s="258"/>
    </row>
    <row r="869">
      <c r="A869" s="257"/>
      <c r="B869" s="257"/>
      <c r="C869" s="258"/>
      <c r="D869" s="257"/>
      <c r="E869" s="257"/>
      <c r="F869" s="257"/>
      <c r="G869" s="258"/>
      <c r="H869" s="258"/>
      <c r="I869" s="258"/>
      <c r="J869" s="258"/>
      <c r="K869" s="258"/>
      <c r="L869" s="258"/>
      <c r="M869" s="258"/>
      <c r="N869" s="258"/>
    </row>
    <row r="870">
      <c r="A870" s="257"/>
      <c r="B870" s="257"/>
      <c r="C870" s="258"/>
      <c r="D870" s="257"/>
      <c r="E870" s="257"/>
      <c r="F870" s="257"/>
      <c r="G870" s="258"/>
      <c r="H870" s="258"/>
      <c r="I870" s="258"/>
      <c r="J870" s="258"/>
      <c r="K870" s="258"/>
      <c r="L870" s="258"/>
      <c r="M870" s="258"/>
      <c r="N870" s="258"/>
    </row>
    <row r="871">
      <c r="A871" s="257"/>
      <c r="B871" s="257"/>
      <c r="C871" s="258"/>
      <c r="D871" s="257"/>
      <c r="E871" s="257"/>
      <c r="F871" s="257"/>
      <c r="G871" s="258"/>
      <c r="H871" s="258"/>
      <c r="I871" s="258"/>
      <c r="J871" s="258"/>
      <c r="K871" s="258"/>
      <c r="L871" s="258"/>
      <c r="M871" s="258"/>
      <c r="N871" s="258"/>
    </row>
    <row r="872">
      <c r="A872" s="257"/>
      <c r="B872" s="257"/>
      <c r="C872" s="258"/>
      <c r="D872" s="257"/>
      <c r="E872" s="257"/>
      <c r="F872" s="257"/>
      <c r="G872" s="258"/>
      <c r="H872" s="258"/>
      <c r="I872" s="258"/>
      <c r="J872" s="258"/>
      <c r="K872" s="258"/>
      <c r="L872" s="258"/>
      <c r="M872" s="258"/>
      <c r="N872" s="258"/>
    </row>
    <row r="873">
      <c r="A873" s="257"/>
      <c r="B873" s="257"/>
      <c r="C873" s="258"/>
      <c r="D873" s="257"/>
      <c r="E873" s="257"/>
      <c r="F873" s="257"/>
      <c r="G873" s="258"/>
      <c r="H873" s="258"/>
      <c r="I873" s="258"/>
      <c r="J873" s="258"/>
      <c r="K873" s="258"/>
      <c r="L873" s="258"/>
      <c r="M873" s="258"/>
      <c r="N873" s="258"/>
    </row>
    <row r="874">
      <c r="A874" s="257"/>
      <c r="B874" s="257"/>
      <c r="C874" s="258"/>
      <c r="D874" s="257"/>
      <c r="E874" s="257"/>
      <c r="F874" s="257"/>
      <c r="G874" s="258"/>
      <c r="H874" s="258"/>
      <c r="I874" s="258"/>
      <c r="J874" s="258"/>
      <c r="K874" s="258"/>
      <c r="L874" s="258"/>
      <c r="M874" s="258"/>
      <c r="N874" s="258"/>
    </row>
    <row r="875">
      <c r="A875" s="257"/>
      <c r="B875" s="257"/>
      <c r="C875" s="258"/>
      <c r="D875" s="257"/>
      <c r="E875" s="257"/>
      <c r="F875" s="257"/>
      <c r="G875" s="258"/>
      <c r="H875" s="258"/>
      <c r="I875" s="258"/>
      <c r="J875" s="258"/>
      <c r="K875" s="258"/>
      <c r="L875" s="258"/>
      <c r="M875" s="258"/>
      <c r="N875" s="258"/>
    </row>
    <row r="876">
      <c r="A876" s="257"/>
      <c r="B876" s="257"/>
      <c r="C876" s="258"/>
      <c r="D876" s="257"/>
      <c r="E876" s="257"/>
      <c r="F876" s="257"/>
      <c r="G876" s="258"/>
      <c r="H876" s="258"/>
      <c r="I876" s="258"/>
      <c r="J876" s="258"/>
      <c r="K876" s="258"/>
      <c r="L876" s="258"/>
      <c r="M876" s="258"/>
      <c r="N876" s="258"/>
    </row>
    <row r="877">
      <c r="A877" s="257"/>
      <c r="B877" s="257"/>
      <c r="C877" s="258"/>
      <c r="D877" s="257"/>
      <c r="E877" s="257"/>
      <c r="F877" s="257"/>
      <c r="G877" s="258"/>
      <c r="H877" s="258"/>
      <c r="I877" s="258"/>
      <c r="J877" s="258"/>
      <c r="K877" s="258"/>
      <c r="L877" s="258"/>
      <c r="M877" s="258"/>
      <c r="N877" s="258"/>
    </row>
    <row r="878">
      <c r="A878" s="257"/>
      <c r="B878" s="257"/>
      <c r="C878" s="258"/>
      <c r="D878" s="257"/>
      <c r="E878" s="257"/>
      <c r="F878" s="257"/>
      <c r="G878" s="258"/>
      <c r="H878" s="258"/>
      <c r="I878" s="258"/>
      <c r="J878" s="258"/>
      <c r="K878" s="258"/>
      <c r="L878" s="258"/>
      <c r="M878" s="258"/>
      <c r="N878" s="258"/>
    </row>
    <row r="879">
      <c r="A879" s="257"/>
      <c r="B879" s="257"/>
      <c r="C879" s="258"/>
      <c r="D879" s="257"/>
      <c r="E879" s="257"/>
      <c r="F879" s="257"/>
      <c r="G879" s="258"/>
      <c r="H879" s="258"/>
      <c r="I879" s="258"/>
      <c r="J879" s="258"/>
      <c r="K879" s="258"/>
      <c r="L879" s="258"/>
      <c r="M879" s="258"/>
      <c r="N879" s="258"/>
    </row>
    <row r="880">
      <c r="A880" s="257"/>
      <c r="B880" s="257"/>
      <c r="C880" s="258"/>
      <c r="D880" s="257"/>
      <c r="E880" s="257"/>
      <c r="F880" s="257"/>
      <c r="G880" s="258"/>
      <c r="H880" s="258"/>
      <c r="I880" s="258"/>
      <c r="J880" s="258"/>
      <c r="K880" s="258"/>
      <c r="L880" s="258"/>
      <c r="M880" s="258"/>
      <c r="N880" s="258"/>
    </row>
    <row r="881">
      <c r="A881" s="257"/>
      <c r="B881" s="257"/>
      <c r="C881" s="258"/>
      <c r="D881" s="257"/>
      <c r="E881" s="257"/>
      <c r="F881" s="257"/>
      <c r="G881" s="258"/>
      <c r="H881" s="258"/>
      <c r="I881" s="258"/>
      <c r="J881" s="258"/>
      <c r="K881" s="258"/>
      <c r="L881" s="258"/>
      <c r="M881" s="258"/>
      <c r="N881" s="258"/>
    </row>
    <row r="882">
      <c r="A882" s="257"/>
      <c r="B882" s="257"/>
      <c r="C882" s="258"/>
      <c r="D882" s="257"/>
      <c r="E882" s="257"/>
      <c r="F882" s="257"/>
      <c r="G882" s="258"/>
      <c r="H882" s="258"/>
      <c r="I882" s="258"/>
      <c r="J882" s="258"/>
      <c r="K882" s="258"/>
      <c r="L882" s="258"/>
      <c r="M882" s="258"/>
      <c r="N882" s="258"/>
    </row>
    <row r="883">
      <c r="A883" s="257"/>
      <c r="B883" s="257"/>
      <c r="C883" s="258"/>
      <c r="D883" s="257"/>
      <c r="E883" s="257"/>
      <c r="F883" s="257"/>
      <c r="G883" s="258"/>
      <c r="H883" s="258"/>
      <c r="I883" s="258"/>
      <c r="J883" s="258"/>
      <c r="K883" s="258"/>
      <c r="L883" s="258"/>
      <c r="M883" s="258"/>
      <c r="N883" s="258"/>
    </row>
    <row r="884">
      <c r="A884" s="257"/>
      <c r="B884" s="257"/>
      <c r="C884" s="258"/>
      <c r="D884" s="257"/>
      <c r="E884" s="257"/>
      <c r="F884" s="257"/>
      <c r="G884" s="258"/>
      <c r="H884" s="258"/>
      <c r="I884" s="258"/>
      <c r="J884" s="258"/>
      <c r="K884" s="258"/>
      <c r="L884" s="258"/>
      <c r="M884" s="258"/>
      <c r="N884" s="258"/>
    </row>
    <row r="885">
      <c r="A885" s="257"/>
      <c r="B885" s="257"/>
      <c r="C885" s="258"/>
      <c r="D885" s="257"/>
      <c r="E885" s="257"/>
      <c r="F885" s="257"/>
      <c r="G885" s="258"/>
      <c r="H885" s="258"/>
      <c r="I885" s="258"/>
      <c r="J885" s="258"/>
      <c r="K885" s="258"/>
      <c r="L885" s="258"/>
      <c r="M885" s="258"/>
      <c r="N885" s="258"/>
    </row>
    <row r="886">
      <c r="A886" s="257"/>
      <c r="B886" s="257"/>
      <c r="C886" s="258"/>
      <c r="D886" s="257"/>
      <c r="E886" s="257"/>
      <c r="F886" s="257"/>
      <c r="G886" s="258"/>
      <c r="H886" s="258"/>
      <c r="I886" s="258"/>
      <c r="J886" s="258"/>
      <c r="K886" s="258"/>
      <c r="L886" s="258"/>
      <c r="M886" s="258"/>
      <c r="N886" s="258"/>
    </row>
    <row r="887">
      <c r="A887" s="257"/>
      <c r="B887" s="257"/>
      <c r="C887" s="258"/>
      <c r="D887" s="257"/>
      <c r="E887" s="257"/>
      <c r="F887" s="257"/>
      <c r="G887" s="258"/>
      <c r="H887" s="258"/>
      <c r="I887" s="258"/>
      <c r="J887" s="258"/>
      <c r="K887" s="258"/>
      <c r="L887" s="258"/>
      <c r="M887" s="258"/>
      <c r="N887" s="258"/>
    </row>
    <row r="888">
      <c r="A888" s="257"/>
      <c r="B888" s="257"/>
      <c r="C888" s="258"/>
      <c r="D888" s="257"/>
      <c r="E888" s="257"/>
      <c r="F888" s="257"/>
      <c r="G888" s="258"/>
      <c r="H888" s="258"/>
      <c r="I888" s="258"/>
      <c r="J888" s="258"/>
      <c r="K888" s="258"/>
      <c r="L888" s="258"/>
      <c r="M888" s="258"/>
      <c r="N888" s="258"/>
    </row>
    <row r="889">
      <c r="A889" s="257"/>
      <c r="B889" s="257"/>
      <c r="C889" s="258"/>
      <c r="D889" s="257"/>
      <c r="E889" s="257"/>
      <c r="F889" s="257"/>
      <c r="G889" s="258"/>
      <c r="H889" s="258"/>
      <c r="I889" s="258"/>
      <c r="J889" s="258"/>
      <c r="K889" s="258"/>
      <c r="L889" s="258"/>
      <c r="M889" s="258"/>
      <c r="N889" s="258"/>
    </row>
    <row r="890">
      <c r="A890" s="257"/>
      <c r="B890" s="257"/>
      <c r="C890" s="258"/>
      <c r="D890" s="257"/>
      <c r="E890" s="257"/>
      <c r="F890" s="257"/>
      <c r="G890" s="258"/>
      <c r="H890" s="258"/>
      <c r="I890" s="258"/>
      <c r="J890" s="258"/>
      <c r="K890" s="258"/>
      <c r="L890" s="258"/>
      <c r="M890" s="258"/>
      <c r="N890" s="258"/>
    </row>
    <row r="891">
      <c r="A891" s="257"/>
      <c r="B891" s="257"/>
      <c r="C891" s="258"/>
      <c r="D891" s="257"/>
      <c r="E891" s="257"/>
      <c r="F891" s="257"/>
      <c r="G891" s="258"/>
      <c r="H891" s="258"/>
      <c r="I891" s="258"/>
      <c r="J891" s="258"/>
      <c r="K891" s="258"/>
      <c r="L891" s="258"/>
      <c r="M891" s="258"/>
      <c r="N891" s="258"/>
    </row>
    <row r="892">
      <c r="A892" s="257"/>
      <c r="B892" s="257"/>
      <c r="C892" s="258"/>
      <c r="D892" s="257"/>
      <c r="E892" s="257"/>
      <c r="F892" s="257"/>
      <c r="G892" s="258"/>
      <c r="H892" s="258"/>
      <c r="I892" s="258"/>
      <c r="J892" s="258"/>
      <c r="K892" s="258"/>
      <c r="L892" s="258"/>
      <c r="M892" s="258"/>
      <c r="N892" s="258"/>
    </row>
    <row r="893">
      <c r="A893" s="257"/>
      <c r="B893" s="257"/>
      <c r="C893" s="258"/>
      <c r="D893" s="257"/>
      <c r="E893" s="257"/>
      <c r="F893" s="257"/>
      <c r="G893" s="258"/>
      <c r="H893" s="258"/>
      <c r="I893" s="258"/>
      <c r="J893" s="258"/>
      <c r="K893" s="258"/>
      <c r="L893" s="258"/>
      <c r="M893" s="258"/>
      <c r="N893" s="258"/>
    </row>
    <row r="894">
      <c r="A894" s="257"/>
      <c r="B894" s="257"/>
      <c r="C894" s="258"/>
      <c r="D894" s="257"/>
      <c r="E894" s="257"/>
      <c r="F894" s="257"/>
      <c r="G894" s="258"/>
      <c r="H894" s="258"/>
      <c r="I894" s="258"/>
      <c r="J894" s="258"/>
      <c r="K894" s="258"/>
      <c r="L894" s="258"/>
      <c r="M894" s="258"/>
      <c r="N894" s="258"/>
    </row>
    <row r="895">
      <c r="A895" s="257"/>
      <c r="B895" s="257"/>
      <c r="C895" s="258"/>
      <c r="D895" s="257"/>
      <c r="E895" s="257"/>
      <c r="F895" s="257"/>
      <c r="G895" s="258"/>
      <c r="H895" s="258"/>
      <c r="I895" s="258"/>
      <c r="J895" s="258"/>
      <c r="K895" s="258"/>
      <c r="L895" s="258"/>
      <c r="M895" s="258"/>
      <c r="N895" s="258"/>
    </row>
    <row r="896">
      <c r="A896" s="257"/>
      <c r="B896" s="257"/>
      <c r="C896" s="258"/>
      <c r="D896" s="257"/>
      <c r="E896" s="257"/>
      <c r="F896" s="257"/>
      <c r="G896" s="258"/>
      <c r="H896" s="258"/>
      <c r="I896" s="258"/>
      <c r="J896" s="258"/>
      <c r="K896" s="258"/>
      <c r="L896" s="258"/>
      <c r="M896" s="258"/>
      <c r="N896" s="258"/>
    </row>
    <row r="897">
      <c r="A897" s="257"/>
      <c r="B897" s="257"/>
      <c r="C897" s="258"/>
      <c r="D897" s="257"/>
      <c r="E897" s="257"/>
      <c r="F897" s="257"/>
      <c r="G897" s="258"/>
      <c r="H897" s="258"/>
      <c r="I897" s="258"/>
      <c r="J897" s="258"/>
      <c r="K897" s="258"/>
      <c r="L897" s="258"/>
      <c r="M897" s="258"/>
      <c r="N897" s="258"/>
    </row>
    <row r="898">
      <c r="A898" s="257"/>
      <c r="B898" s="257"/>
      <c r="C898" s="258"/>
      <c r="D898" s="257"/>
      <c r="E898" s="257"/>
      <c r="F898" s="257"/>
      <c r="G898" s="258"/>
      <c r="H898" s="258"/>
      <c r="I898" s="258"/>
      <c r="J898" s="258"/>
      <c r="K898" s="258"/>
      <c r="L898" s="258"/>
      <c r="M898" s="258"/>
      <c r="N898" s="258"/>
    </row>
    <row r="899">
      <c r="A899" s="257"/>
      <c r="B899" s="257"/>
      <c r="C899" s="258"/>
      <c r="D899" s="257"/>
      <c r="E899" s="257"/>
      <c r="F899" s="257"/>
      <c r="G899" s="258"/>
      <c r="H899" s="258"/>
      <c r="I899" s="258"/>
      <c r="J899" s="258"/>
      <c r="K899" s="258"/>
      <c r="L899" s="258"/>
      <c r="M899" s="258"/>
      <c r="N899" s="258"/>
    </row>
    <row r="900">
      <c r="A900" s="257"/>
      <c r="B900" s="257"/>
      <c r="C900" s="258"/>
      <c r="D900" s="257"/>
      <c r="E900" s="257"/>
      <c r="F900" s="257"/>
      <c r="G900" s="258"/>
      <c r="H900" s="258"/>
      <c r="I900" s="258"/>
      <c r="J900" s="258"/>
      <c r="K900" s="258"/>
      <c r="L900" s="258"/>
      <c r="M900" s="258"/>
      <c r="N900" s="258"/>
    </row>
    <row r="901">
      <c r="A901" s="257"/>
      <c r="B901" s="257"/>
      <c r="C901" s="258"/>
      <c r="D901" s="257"/>
      <c r="E901" s="257"/>
      <c r="F901" s="257"/>
      <c r="G901" s="258"/>
      <c r="H901" s="258"/>
      <c r="I901" s="258"/>
      <c r="J901" s="258"/>
      <c r="K901" s="258"/>
      <c r="L901" s="258"/>
      <c r="M901" s="258"/>
      <c r="N901" s="258"/>
    </row>
    <row r="902">
      <c r="A902" s="257"/>
      <c r="B902" s="257"/>
      <c r="C902" s="258"/>
      <c r="D902" s="257"/>
      <c r="E902" s="257"/>
      <c r="F902" s="257"/>
      <c r="G902" s="258"/>
      <c r="H902" s="258"/>
      <c r="I902" s="258"/>
      <c r="J902" s="258"/>
      <c r="K902" s="258"/>
      <c r="L902" s="258"/>
      <c r="M902" s="258"/>
      <c r="N902" s="258"/>
    </row>
    <row r="903">
      <c r="A903" s="257"/>
      <c r="B903" s="257"/>
      <c r="C903" s="258"/>
      <c r="D903" s="257"/>
      <c r="E903" s="257"/>
      <c r="F903" s="257"/>
      <c r="G903" s="258"/>
      <c r="H903" s="258"/>
      <c r="I903" s="258"/>
      <c r="J903" s="258"/>
      <c r="K903" s="258"/>
      <c r="L903" s="258"/>
      <c r="M903" s="258"/>
      <c r="N903" s="258"/>
    </row>
    <row r="904">
      <c r="A904" s="257"/>
      <c r="B904" s="257"/>
      <c r="C904" s="258"/>
      <c r="D904" s="257"/>
      <c r="E904" s="257"/>
      <c r="F904" s="257"/>
      <c r="G904" s="258"/>
      <c r="H904" s="258"/>
      <c r="I904" s="258"/>
      <c r="J904" s="258"/>
      <c r="K904" s="258"/>
      <c r="L904" s="258"/>
      <c r="M904" s="258"/>
      <c r="N904" s="258"/>
    </row>
    <row r="905">
      <c r="A905" s="257"/>
      <c r="B905" s="257"/>
      <c r="C905" s="258"/>
      <c r="D905" s="257"/>
      <c r="E905" s="257"/>
      <c r="F905" s="257"/>
      <c r="G905" s="258"/>
      <c r="H905" s="258"/>
      <c r="I905" s="258"/>
      <c r="J905" s="258"/>
      <c r="K905" s="258"/>
      <c r="L905" s="258"/>
      <c r="M905" s="258"/>
      <c r="N905" s="258"/>
    </row>
    <row r="906">
      <c r="A906" s="257"/>
      <c r="B906" s="257"/>
      <c r="C906" s="258"/>
      <c r="D906" s="257"/>
      <c r="E906" s="257"/>
      <c r="F906" s="257"/>
      <c r="G906" s="258"/>
      <c r="H906" s="258"/>
      <c r="I906" s="258"/>
      <c r="J906" s="258"/>
      <c r="K906" s="258"/>
      <c r="L906" s="258"/>
      <c r="M906" s="258"/>
      <c r="N906" s="258"/>
    </row>
    <row r="907">
      <c r="A907" s="257"/>
      <c r="B907" s="257"/>
      <c r="C907" s="258"/>
      <c r="D907" s="257"/>
      <c r="E907" s="257"/>
      <c r="F907" s="257"/>
      <c r="G907" s="258"/>
      <c r="H907" s="258"/>
      <c r="I907" s="258"/>
      <c r="J907" s="258"/>
      <c r="K907" s="258"/>
      <c r="L907" s="258"/>
      <c r="M907" s="258"/>
      <c r="N907" s="258"/>
    </row>
    <row r="908">
      <c r="A908" s="257"/>
      <c r="B908" s="257"/>
      <c r="C908" s="258"/>
      <c r="D908" s="257"/>
      <c r="E908" s="257"/>
      <c r="F908" s="257"/>
      <c r="G908" s="258"/>
      <c r="H908" s="258"/>
      <c r="I908" s="258"/>
      <c r="J908" s="258"/>
      <c r="K908" s="258"/>
      <c r="L908" s="258"/>
      <c r="M908" s="258"/>
      <c r="N908" s="258"/>
    </row>
    <row r="909">
      <c r="A909" s="257"/>
      <c r="B909" s="257"/>
      <c r="C909" s="258"/>
      <c r="D909" s="257"/>
      <c r="E909" s="257"/>
      <c r="F909" s="257"/>
      <c r="G909" s="258"/>
      <c r="H909" s="258"/>
      <c r="I909" s="258"/>
      <c r="J909" s="258"/>
      <c r="K909" s="258"/>
      <c r="L909" s="258"/>
      <c r="M909" s="258"/>
      <c r="N909" s="258"/>
    </row>
    <row r="910">
      <c r="A910" s="257"/>
      <c r="B910" s="257"/>
      <c r="C910" s="258"/>
      <c r="D910" s="257"/>
      <c r="E910" s="257"/>
      <c r="F910" s="257"/>
      <c r="G910" s="258"/>
      <c r="H910" s="258"/>
      <c r="I910" s="258"/>
      <c r="J910" s="258"/>
      <c r="K910" s="258"/>
      <c r="L910" s="258"/>
      <c r="M910" s="258"/>
      <c r="N910" s="258"/>
    </row>
    <row r="911">
      <c r="A911" s="257"/>
      <c r="B911" s="257"/>
      <c r="C911" s="258"/>
      <c r="D911" s="257"/>
      <c r="E911" s="257"/>
      <c r="F911" s="257"/>
      <c r="G911" s="258"/>
      <c r="H911" s="258"/>
      <c r="I911" s="258"/>
      <c r="J911" s="258"/>
      <c r="K911" s="258"/>
      <c r="L911" s="258"/>
      <c r="M911" s="258"/>
      <c r="N911" s="258"/>
    </row>
    <row r="912">
      <c r="A912" s="257"/>
      <c r="B912" s="257"/>
      <c r="C912" s="258"/>
      <c r="D912" s="257"/>
      <c r="E912" s="257"/>
      <c r="F912" s="257"/>
      <c r="G912" s="258"/>
      <c r="H912" s="258"/>
      <c r="I912" s="258"/>
      <c r="J912" s="258"/>
      <c r="K912" s="258"/>
      <c r="L912" s="258"/>
      <c r="M912" s="258"/>
      <c r="N912" s="258"/>
    </row>
    <row r="913">
      <c r="A913" s="257"/>
      <c r="B913" s="257"/>
      <c r="C913" s="258"/>
      <c r="D913" s="257"/>
      <c r="E913" s="257"/>
      <c r="F913" s="257"/>
      <c r="G913" s="258"/>
      <c r="H913" s="258"/>
      <c r="I913" s="258"/>
      <c r="J913" s="258"/>
      <c r="K913" s="258"/>
      <c r="L913" s="258"/>
      <c r="M913" s="258"/>
      <c r="N913" s="258"/>
    </row>
    <row r="914">
      <c r="A914" s="257"/>
      <c r="B914" s="257"/>
      <c r="C914" s="258"/>
      <c r="D914" s="257"/>
      <c r="E914" s="257"/>
      <c r="F914" s="257"/>
      <c r="G914" s="258"/>
      <c r="H914" s="258"/>
      <c r="I914" s="258"/>
      <c r="J914" s="258"/>
      <c r="K914" s="258"/>
      <c r="L914" s="258"/>
      <c r="M914" s="258"/>
      <c r="N914" s="258"/>
    </row>
    <row r="915">
      <c r="A915" s="257"/>
      <c r="B915" s="257"/>
      <c r="C915" s="258"/>
      <c r="D915" s="257"/>
      <c r="E915" s="257"/>
      <c r="F915" s="257"/>
      <c r="G915" s="258"/>
      <c r="H915" s="258"/>
      <c r="I915" s="258"/>
      <c r="J915" s="258"/>
      <c r="K915" s="258"/>
      <c r="L915" s="258"/>
      <c r="M915" s="258"/>
      <c r="N915" s="258"/>
    </row>
    <row r="916">
      <c r="A916" s="257"/>
      <c r="B916" s="257"/>
      <c r="C916" s="258"/>
      <c r="D916" s="257"/>
      <c r="E916" s="257"/>
      <c r="F916" s="257"/>
      <c r="G916" s="258"/>
      <c r="H916" s="258"/>
      <c r="I916" s="258"/>
      <c r="J916" s="258"/>
      <c r="K916" s="258"/>
      <c r="L916" s="258"/>
      <c r="M916" s="258"/>
      <c r="N916" s="258"/>
    </row>
    <row r="917">
      <c r="A917" s="257"/>
      <c r="B917" s="257"/>
      <c r="C917" s="258"/>
      <c r="D917" s="257"/>
      <c r="E917" s="257"/>
      <c r="F917" s="257"/>
      <c r="G917" s="258"/>
      <c r="H917" s="258"/>
      <c r="I917" s="258"/>
      <c r="J917" s="258"/>
      <c r="K917" s="258"/>
      <c r="L917" s="258"/>
      <c r="M917" s="258"/>
      <c r="N917" s="258"/>
    </row>
    <row r="918">
      <c r="A918" s="257"/>
      <c r="B918" s="257"/>
      <c r="C918" s="258"/>
      <c r="D918" s="257"/>
      <c r="E918" s="257"/>
      <c r="F918" s="257"/>
      <c r="G918" s="258"/>
      <c r="H918" s="258"/>
      <c r="I918" s="258"/>
      <c r="J918" s="258"/>
      <c r="K918" s="258"/>
      <c r="L918" s="258"/>
      <c r="M918" s="258"/>
      <c r="N918" s="258"/>
    </row>
    <row r="919">
      <c r="A919" s="257"/>
      <c r="B919" s="257"/>
      <c r="C919" s="258"/>
      <c r="D919" s="257"/>
      <c r="E919" s="257"/>
      <c r="F919" s="257"/>
      <c r="G919" s="258"/>
      <c r="H919" s="258"/>
      <c r="I919" s="258"/>
      <c r="J919" s="258"/>
      <c r="K919" s="258"/>
      <c r="L919" s="258"/>
      <c r="M919" s="258"/>
      <c r="N919" s="258"/>
    </row>
    <row r="920">
      <c r="A920" s="257"/>
      <c r="B920" s="257"/>
      <c r="C920" s="258"/>
      <c r="D920" s="257"/>
      <c r="E920" s="257"/>
      <c r="F920" s="257"/>
      <c r="G920" s="258"/>
      <c r="H920" s="258"/>
      <c r="I920" s="258"/>
      <c r="J920" s="258"/>
      <c r="K920" s="258"/>
      <c r="L920" s="258"/>
      <c r="M920" s="258"/>
      <c r="N920" s="258"/>
    </row>
    <row r="921">
      <c r="A921" s="257"/>
      <c r="B921" s="257"/>
      <c r="C921" s="258"/>
      <c r="D921" s="257"/>
      <c r="E921" s="257"/>
      <c r="F921" s="257"/>
      <c r="G921" s="258"/>
      <c r="H921" s="258"/>
      <c r="I921" s="258"/>
      <c r="J921" s="258"/>
      <c r="K921" s="258"/>
      <c r="L921" s="258"/>
      <c r="M921" s="258"/>
      <c r="N921" s="258"/>
    </row>
    <row r="922">
      <c r="A922" s="257"/>
      <c r="B922" s="257"/>
      <c r="C922" s="258"/>
      <c r="D922" s="257"/>
      <c r="E922" s="257"/>
      <c r="F922" s="257"/>
      <c r="G922" s="258"/>
      <c r="H922" s="258"/>
      <c r="I922" s="258"/>
      <c r="J922" s="258"/>
      <c r="K922" s="258"/>
      <c r="L922" s="258"/>
      <c r="M922" s="258"/>
      <c r="N922" s="258"/>
    </row>
    <row r="923">
      <c r="A923" s="257"/>
      <c r="B923" s="257"/>
      <c r="C923" s="258"/>
      <c r="D923" s="257"/>
      <c r="E923" s="257"/>
      <c r="F923" s="257"/>
      <c r="G923" s="258"/>
      <c r="H923" s="258"/>
      <c r="I923" s="258"/>
      <c r="J923" s="258"/>
      <c r="K923" s="258"/>
      <c r="L923" s="258"/>
      <c r="M923" s="258"/>
      <c r="N923" s="258"/>
    </row>
    <row r="924">
      <c r="A924" s="257"/>
      <c r="B924" s="257"/>
      <c r="C924" s="258"/>
      <c r="D924" s="257"/>
      <c r="E924" s="257"/>
      <c r="F924" s="257"/>
      <c r="G924" s="258"/>
      <c r="H924" s="258"/>
      <c r="I924" s="258"/>
      <c r="J924" s="258"/>
      <c r="K924" s="258"/>
      <c r="L924" s="258"/>
      <c r="M924" s="258"/>
      <c r="N924" s="258"/>
    </row>
    <row r="925">
      <c r="A925" s="257"/>
      <c r="B925" s="257"/>
      <c r="C925" s="258"/>
      <c r="D925" s="257"/>
      <c r="E925" s="257"/>
      <c r="F925" s="257"/>
      <c r="G925" s="258"/>
      <c r="H925" s="258"/>
      <c r="I925" s="258"/>
      <c r="J925" s="258"/>
      <c r="K925" s="258"/>
      <c r="L925" s="258"/>
      <c r="M925" s="258"/>
      <c r="N925" s="258"/>
    </row>
    <row r="926">
      <c r="A926" s="257"/>
      <c r="B926" s="257"/>
      <c r="C926" s="258"/>
      <c r="D926" s="257"/>
      <c r="E926" s="257"/>
      <c r="F926" s="257"/>
      <c r="G926" s="258"/>
      <c r="H926" s="258"/>
      <c r="I926" s="258"/>
      <c r="J926" s="258"/>
      <c r="K926" s="258"/>
      <c r="L926" s="258"/>
      <c r="M926" s="258"/>
      <c r="N926" s="258"/>
    </row>
    <row r="927">
      <c r="A927" s="257"/>
      <c r="B927" s="257"/>
      <c r="C927" s="258"/>
      <c r="D927" s="257"/>
      <c r="E927" s="257"/>
      <c r="F927" s="257"/>
      <c r="G927" s="258"/>
      <c r="H927" s="258"/>
      <c r="I927" s="258"/>
      <c r="J927" s="258"/>
      <c r="K927" s="258"/>
      <c r="L927" s="258"/>
      <c r="M927" s="258"/>
      <c r="N927" s="258"/>
    </row>
    <row r="928">
      <c r="A928" s="257"/>
      <c r="B928" s="257"/>
      <c r="C928" s="258"/>
      <c r="D928" s="257"/>
      <c r="E928" s="257"/>
      <c r="F928" s="257"/>
      <c r="G928" s="258"/>
      <c r="H928" s="258"/>
      <c r="I928" s="258"/>
      <c r="J928" s="258"/>
      <c r="K928" s="258"/>
      <c r="L928" s="258"/>
      <c r="M928" s="258"/>
      <c r="N928" s="258"/>
    </row>
    <row r="929">
      <c r="A929" s="257"/>
      <c r="B929" s="257"/>
      <c r="C929" s="258"/>
      <c r="D929" s="257"/>
      <c r="E929" s="257"/>
      <c r="F929" s="257"/>
      <c r="G929" s="258"/>
      <c r="H929" s="258"/>
      <c r="I929" s="258"/>
      <c r="J929" s="258"/>
      <c r="K929" s="258"/>
      <c r="L929" s="258"/>
      <c r="M929" s="258"/>
      <c r="N929" s="258"/>
    </row>
    <row r="930">
      <c r="A930" s="257"/>
      <c r="B930" s="257"/>
      <c r="C930" s="258"/>
      <c r="D930" s="257"/>
      <c r="E930" s="257"/>
      <c r="F930" s="257"/>
      <c r="G930" s="258"/>
      <c r="H930" s="258"/>
      <c r="I930" s="258"/>
      <c r="J930" s="258"/>
      <c r="K930" s="258"/>
      <c r="L930" s="258"/>
      <c r="M930" s="258"/>
      <c r="N930" s="258"/>
    </row>
    <row r="931">
      <c r="A931" s="257"/>
      <c r="B931" s="257"/>
      <c r="C931" s="258"/>
      <c r="D931" s="257"/>
      <c r="E931" s="257"/>
      <c r="F931" s="257"/>
      <c r="G931" s="258"/>
      <c r="H931" s="258"/>
      <c r="I931" s="258"/>
      <c r="J931" s="258"/>
      <c r="K931" s="258"/>
      <c r="L931" s="258"/>
      <c r="M931" s="258"/>
      <c r="N931" s="258"/>
    </row>
    <row r="932">
      <c r="A932" s="257"/>
      <c r="B932" s="257"/>
      <c r="C932" s="258"/>
      <c r="D932" s="257"/>
      <c r="E932" s="257"/>
      <c r="F932" s="257"/>
      <c r="G932" s="258"/>
      <c r="H932" s="258"/>
      <c r="I932" s="258"/>
      <c r="J932" s="258"/>
      <c r="K932" s="258"/>
      <c r="L932" s="258"/>
      <c r="M932" s="258"/>
      <c r="N932" s="258"/>
    </row>
    <row r="933">
      <c r="A933" s="257"/>
      <c r="B933" s="257"/>
      <c r="C933" s="258"/>
      <c r="D933" s="257"/>
      <c r="E933" s="257"/>
      <c r="F933" s="257"/>
      <c r="G933" s="258"/>
      <c r="H933" s="258"/>
      <c r="I933" s="258"/>
      <c r="J933" s="258"/>
      <c r="K933" s="258"/>
      <c r="L933" s="258"/>
      <c r="M933" s="258"/>
      <c r="N933" s="258"/>
    </row>
    <row r="934">
      <c r="A934" s="257"/>
      <c r="B934" s="257"/>
      <c r="C934" s="258"/>
      <c r="D934" s="257"/>
      <c r="E934" s="257"/>
      <c r="F934" s="257"/>
      <c r="G934" s="258"/>
      <c r="H934" s="258"/>
      <c r="I934" s="258"/>
      <c r="J934" s="258"/>
      <c r="K934" s="258"/>
      <c r="L934" s="258"/>
      <c r="M934" s="258"/>
      <c r="N934" s="258"/>
    </row>
    <row r="935">
      <c r="A935" s="257"/>
      <c r="B935" s="257"/>
      <c r="C935" s="258"/>
      <c r="D935" s="257"/>
      <c r="E935" s="257"/>
      <c r="F935" s="257"/>
      <c r="G935" s="258"/>
      <c r="H935" s="258"/>
      <c r="I935" s="258"/>
      <c r="J935" s="258"/>
      <c r="K935" s="258"/>
      <c r="L935" s="258"/>
      <c r="M935" s="258"/>
      <c r="N935" s="258"/>
    </row>
    <row r="936">
      <c r="A936" s="257"/>
      <c r="B936" s="257"/>
      <c r="C936" s="258"/>
      <c r="D936" s="257"/>
      <c r="E936" s="257"/>
      <c r="F936" s="257"/>
      <c r="G936" s="258"/>
      <c r="H936" s="258"/>
      <c r="I936" s="258"/>
      <c r="J936" s="258"/>
      <c r="K936" s="258"/>
      <c r="L936" s="258"/>
      <c r="M936" s="258"/>
      <c r="N936" s="258"/>
    </row>
    <row r="937">
      <c r="A937" s="257"/>
      <c r="B937" s="257"/>
      <c r="C937" s="258"/>
      <c r="D937" s="257"/>
      <c r="E937" s="257"/>
      <c r="F937" s="257"/>
      <c r="G937" s="258"/>
      <c r="H937" s="258"/>
      <c r="I937" s="258"/>
      <c r="J937" s="258"/>
      <c r="K937" s="258"/>
      <c r="L937" s="258"/>
      <c r="M937" s="258"/>
      <c r="N937" s="258"/>
    </row>
    <row r="938">
      <c r="A938" s="257"/>
      <c r="B938" s="257"/>
      <c r="C938" s="258"/>
      <c r="D938" s="257"/>
      <c r="E938" s="257"/>
      <c r="F938" s="257"/>
      <c r="G938" s="258"/>
      <c r="H938" s="258"/>
      <c r="I938" s="258"/>
      <c r="J938" s="258"/>
      <c r="K938" s="258"/>
      <c r="L938" s="258"/>
      <c r="M938" s="258"/>
      <c r="N938" s="258"/>
    </row>
    <row r="939">
      <c r="A939" s="257"/>
      <c r="B939" s="257"/>
      <c r="C939" s="258"/>
      <c r="D939" s="257"/>
      <c r="E939" s="257"/>
      <c r="F939" s="257"/>
      <c r="G939" s="258"/>
      <c r="H939" s="258"/>
      <c r="I939" s="258"/>
      <c r="J939" s="258"/>
      <c r="K939" s="258"/>
      <c r="L939" s="258"/>
      <c r="M939" s="258"/>
      <c r="N939" s="258"/>
    </row>
    <row r="940">
      <c r="A940" s="257"/>
      <c r="B940" s="257"/>
      <c r="C940" s="258"/>
      <c r="D940" s="257"/>
      <c r="E940" s="257"/>
      <c r="F940" s="257"/>
      <c r="G940" s="258"/>
      <c r="H940" s="258"/>
      <c r="I940" s="258"/>
      <c r="J940" s="258"/>
      <c r="K940" s="258"/>
      <c r="L940" s="258"/>
      <c r="M940" s="258"/>
      <c r="N940" s="258"/>
    </row>
    <row r="941">
      <c r="A941" s="257"/>
      <c r="B941" s="257"/>
      <c r="C941" s="258"/>
      <c r="D941" s="257"/>
      <c r="E941" s="257"/>
      <c r="F941" s="257"/>
      <c r="G941" s="258"/>
      <c r="H941" s="258"/>
      <c r="I941" s="258"/>
      <c r="J941" s="258"/>
      <c r="K941" s="258"/>
      <c r="L941" s="258"/>
      <c r="M941" s="258"/>
      <c r="N941" s="258"/>
    </row>
    <row r="942">
      <c r="A942" s="257"/>
      <c r="B942" s="257"/>
      <c r="C942" s="258"/>
      <c r="D942" s="257"/>
      <c r="E942" s="257"/>
      <c r="F942" s="257"/>
      <c r="G942" s="258"/>
      <c r="H942" s="258"/>
      <c r="I942" s="258"/>
      <c r="J942" s="258"/>
      <c r="K942" s="258"/>
      <c r="L942" s="258"/>
      <c r="M942" s="258"/>
      <c r="N942" s="258"/>
    </row>
    <row r="943">
      <c r="A943" s="257"/>
      <c r="B943" s="257"/>
      <c r="C943" s="258"/>
      <c r="D943" s="257"/>
      <c r="E943" s="257"/>
      <c r="F943" s="257"/>
      <c r="G943" s="258"/>
      <c r="H943" s="258"/>
      <c r="I943" s="258"/>
      <c r="J943" s="258"/>
      <c r="K943" s="258"/>
      <c r="L943" s="258"/>
      <c r="M943" s="258"/>
      <c r="N943" s="258"/>
    </row>
    <row r="944">
      <c r="A944" s="257"/>
      <c r="B944" s="257"/>
      <c r="C944" s="258"/>
      <c r="D944" s="257"/>
      <c r="E944" s="257"/>
      <c r="F944" s="257"/>
      <c r="G944" s="258"/>
      <c r="H944" s="258"/>
      <c r="I944" s="258"/>
      <c r="J944" s="258"/>
      <c r="K944" s="258"/>
      <c r="L944" s="258"/>
      <c r="M944" s="258"/>
      <c r="N944" s="258"/>
    </row>
    <row r="945">
      <c r="A945" s="257"/>
      <c r="B945" s="257"/>
      <c r="C945" s="258"/>
      <c r="D945" s="257"/>
      <c r="E945" s="257"/>
      <c r="F945" s="257"/>
      <c r="G945" s="258"/>
      <c r="H945" s="258"/>
      <c r="I945" s="258"/>
      <c r="J945" s="258"/>
      <c r="K945" s="258"/>
      <c r="L945" s="258"/>
      <c r="M945" s="258"/>
      <c r="N945" s="258"/>
    </row>
    <row r="946">
      <c r="A946" s="257"/>
      <c r="B946" s="257"/>
      <c r="C946" s="258"/>
      <c r="D946" s="257"/>
      <c r="E946" s="257"/>
      <c r="F946" s="257"/>
      <c r="G946" s="258"/>
      <c r="H946" s="258"/>
      <c r="I946" s="258"/>
      <c r="J946" s="258"/>
      <c r="K946" s="258"/>
      <c r="L946" s="258"/>
      <c r="M946" s="258"/>
      <c r="N946" s="258"/>
    </row>
    <row r="947">
      <c r="A947" s="257"/>
      <c r="B947" s="257"/>
      <c r="C947" s="258"/>
      <c r="D947" s="257"/>
      <c r="E947" s="257"/>
      <c r="F947" s="257"/>
      <c r="G947" s="258"/>
      <c r="H947" s="258"/>
      <c r="I947" s="258"/>
      <c r="J947" s="258"/>
      <c r="K947" s="258"/>
      <c r="L947" s="258"/>
      <c r="M947" s="258"/>
      <c r="N947" s="258"/>
    </row>
    <row r="948">
      <c r="A948" s="257"/>
      <c r="B948" s="257"/>
      <c r="C948" s="258"/>
      <c r="D948" s="257"/>
      <c r="E948" s="257"/>
      <c r="F948" s="257"/>
      <c r="G948" s="258"/>
      <c r="H948" s="258"/>
      <c r="I948" s="258"/>
      <c r="J948" s="258"/>
      <c r="K948" s="258"/>
      <c r="L948" s="258"/>
      <c r="M948" s="258"/>
      <c r="N948" s="258"/>
    </row>
    <row r="949">
      <c r="A949" s="257"/>
      <c r="B949" s="257"/>
      <c r="C949" s="258"/>
      <c r="D949" s="257"/>
      <c r="E949" s="257"/>
      <c r="F949" s="257"/>
      <c r="G949" s="258"/>
      <c r="H949" s="258"/>
      <c r="I949" s="258"/>
      <c r="J949" s="258"/>
      <c r="K949" s="258"/>
      <c r="L949" s="258"/>
      <c r="M949" s="258"/>
      <c r="N949" s="258"/>
    </row>
    <row r="950">
      <c r="A950" s="257"/>
      <c r="B950" s="257"/>
      <c r="C950" s="258"/>
      <c r="D950" s="257"/>
      <c r="E950" s="257"/>
      <c r="F950" s="257"/>
      <c r="G950" s="258"/>
      <c r="H950" s="258"/>
      <c r="I950" s="258"/>
      <c r="J950" s="258"/>
      <c r="K950" s="258"/>
      <c r="L950" s="258"/>
      <c r="M950" s="258"/>
      <c r="N950" s="258"/>
    </row>
    <row r="951">
      <c r="A951" s="257"/>
      <c r="B951" s="257"/>
      <c r="C951" s="258"/>
      <c r="D951" s="257"/>
      <c r="E951" s="257"/>
      <c r="F951" s="257"/>
      <c r="G951" s="258"/>
      <c r="H951" s="258"/>
      <c r="I951" s="258"/>
      <c r="J951" s="258"/>
      <c r="K951" s="258"/>
      <c r="L951" s="258"/>
      <c r="M951" s="258"/>
      <c r="N951" s="258"/>
    </row>
    <row r="952">
      <c r="A952" s="257"/>
      <c r="B952" s="257"/>
      <c r="C952" s="258"/>
      <c r="D952" s="257"/>
      <c r="E952" s="257"/>
      <c r="F952" s="257"/>
      <c r="G952" s="258"/>
      <c r="H952" s="258"/>
      <c r="I952" s="258"/>
      <c r="J952" s="258"/>
      <c r="K952" s="258"/>
      <c r="L952" s="258"/>
      <c r="M952" s="258"/>
      <c r="N952" s="258"/>
    </row>
    <row r="953">
      <c r="A953" s="257"/>
      <c r="B953" s="257"/>
      <c r="C953" s="258"/>
      <c r="D953" s="257"/>
      <c r="E953" s="257"/>
      <c r="F953" s="257"/>
      <c r="G953" s="258"/>
      <c r="H953" s="258"/>
      <c r="I953" s="258"/>
      <c r="J953" s="258"/>
      <c r="K953" s="258"/>
      <c r="L953" s="258"/>
      <c r="M953" s="258"/>
      <c r="N953" s="258"/>
    </row>
    <row r="954">
      <c r="A954" s="257"/>
      <c r="B954" s="257"/>
      <c r="C954" s="258"/>
      <c r="D954" s="257"/>
      <c r="E954" s="257"/>
      <c r="F954" s="257"/>
      <c r="G954" s="258"/>
      <c r="H954" s="258"/>
      <c r="I954" s="258"/>
      <c r="J954" s="258"/>
      <c r="K954" s="258"/>
      <c r="L954" s="258"/>
      <c r="M954" s="258"/>
      <c r="N954" s="258"/>
    </row>
    <row r="955">
      <c r="A955" s="257"/>
      <c r="B955" s="257"/>
      <c r="C955" s="258"/>
      <c r="D955" s="257"/>
      <c r="E955" s="257"/>
      <c r="F955" s="257"/>
      <c r="G955" s="258"/>
      <c r="H955" s="258"/>
      <c r="I955" s="258"/>
      <c r="J955" s="258"/>
      <c r="K955" s="258"/>
      <c r="L955" s="258"/>
      <c r="M955" s="258"/>
      <c r="N955" s="258"/>
    </row>
    <row r="956">
      <c r="A956" s="257"/>
      <c r="B956" s="257"/>
      <c r="C956" s="258"/>
      <c r="D956" s="257"/>
      <c r="E956" s="257"/>
      <c r="F956" s="257"/>
      <c r="G956" s="258"/>
      <c r="H956" s="258"/>
      <c r="I956" s="258"/>
      <c r="J956" s="258"/>
      <c r="K956" s="258"/>
      <c r="L956" s="258"/>
      <c r="M956" s="258"/>
      <c r="N956" s="258"/>
    </row>
    <row r="957">
      <c r="A957" s="257"/>
      <c r="B957" s="257"/>
      <c r="C957" s="258"/>
      <c r="D957" s="257"/>
      <c r="E957" s="257"/>
      <c r="F957" s="257"/>
      <c r="G957" s="258"/>
      <c r="H957" s="258"/>
      <c r="I957" s="258"/>
      <c r="J957" s="258"/>
      <c r="K957" s="258"/>
      <c r="L957" s="258"/>
      <c r="M957" s="258"/>
      <c r="N957" s="258"/>
    </row>
    <row r="958">
      <c r="A958" s="257"/>
      <c r="B958" s="257"/>
      <c r="C958" s="258"/>
      <c r="D958" s="257"/>
      <c r="E958" s="257"/>
      <c r="F958" s="257"/>
      <c r="G958" s="258"/>
      <c r="H958" s="258"/>
      <c r="I958" s="258"/>
      <c r="J958" s="258"/>
      <c r="K958" s="258"/>
      <c r="L958" s="258"/>
      <c r="M958" s="258"/>
      <c r="N958" s="258"/>
    </row>
    <row r="959">
      <c r="A959" s="257"/>
      <c r="B959" s="257"/>
      <c r="C959" s="258"/>
      <c r="D959" s="257"/>
      <c r="E959" s="257"/>
      <c r="F959" s="257"/>
      <c r="G959" s="258"/>
      <c r="H959" s="258"/>
      <c r="I959" s="258"/>
      <c r="J959" s="258"/>
      <c r="K959" s="258"/>
      <c r="L959" s="258"/>
      <c r="M959" s="258"/>
      <c r="N959" s="258"/>
    </row>
    <row r="960">
      <c r="A960" s="257"/>
      <c r="B960" s="257"/>
      <c r="C960" s="258"/>
      <c r="D960" s="257"/>
      <c r="E960" s="257"/>
      <c r="F960" s="257"/>
      <c r="G960" s="258"/>
      <c r="H960" s="258"/>
      <c r="I960" s="258"/>
      <c r="J960" s="258"/>
      <c r="K960" s="258"/>
      <c r="L960" s="258"/>
      <c r="M960" s="258"/>
      <c r="N960" s="258"/>
    </row>
    <row r="961">
      <c r="A961" s="257"/>
      <c r="B961" s="257"/>
      <c r="C961" s="258"/>
      <c r="D961" s="257"/>
      <c r="E961" s="257"/>
      <c r="F961" s="257"/>
      <c r="G961" s="258"/>
      <c r="H961" s="258"/>
      <c r="I961" s="258"/>
      <c r="J961" s="258"/>
      <c r="K961" s="258"/>
      <c r="L961" s="258"/>
      <c r="M961" s="258"/>
      <c r="N961" s="258"/>
    </row>
    <row r="962">
      <c r="A962" s="257"/>
      <c r="B962" s="257"/>
      <c r="C962" s="258"/>
      <c r="D962" s="257"/>
      <c r="E962" s="257"/>
      <c r="F962" s="257"/>
      <c r="G962" s="258"/>
      <c r="H962" s="258"/>
      <c r="I962" s="258"/>
      <c r="J962" s="258"/>
      <c r="K962" s="258"/>
      <c r="L962" s="258"/>
      <c r="M962" s="258"/>
      <c r="N962" s="258"/>
    </row>
    <row r="963">
      <c r="A963" s="257"/>
      <c r="B963" s="257"/>
      <c r="C963" s="258"/>
      <c r="D963" s="257"/>
      <c r="E963" s="257"/>
      <c r="F963" s="257"/>
      <c r="G963" s="258"/>
      <c r="H963" s="258"/>
      <c r="I963" s="258"/>
      <c r="J963" s="258"/>
      <c r="K963" s="258"/>
      <c r="L963" s="258"/>
      <c r="M963" s="258"/>
      <c r="N963" s="258"/>
    </row>
    <row r="964">
      <c r="A964" s="257"/>
      <c r="B964" s="257"/>
      <c r="C964" s="258"/>
      <c r="D964" s="257"/>
      <c r="E964" s="257"/>
      <c r="F964" s="257"/>
      <c r="G964" s="258"/>
      <c r="H964" s="258"/>
      <c r="I964" s="258"/>
      <c r="J964" s="258"/>
      <c r="K964" s="258"/>
      <c r="L964" s="258"/>
      <c r="M964" s="258"/>
      <c r="N964" s="258"/>
    </row>
    <row r="965">
      <c r="A965" s="257"/>
      <c r="B965" s="257"/>
      <c r="C965" s="258"/>
      <c r="D965" s="257"/>
      <c r="E965" s="257"/>
      <c r="F965" s="257"/>
      <c r="G965" s="258"/>
      <c r="H965" s="258"/>
      <c r="I965" s="258"/>
      <c r="J965" s="258"/>
      <c r="K965" s="258"/>
      <c r="L965" s="258"/>
      <c r="M965" s="258"/>
      <c r="N965" s="258"/>
    </row>
    <row r="966">
      <c r="A966" s="257"/>
      <c r="B966" s="257"/>
      <c r="C966" s="258"/>
      <c r="D966" s="257"/>
      <c r="E966" s="257"/>
      <c r="F966" s="257"/>
      <c r="G966" s="258"/>
      <c r="H966" s="258"/>
      <c r="I966" s="258"/>
      <c r="J966" s="258"/>
      <c r="K966" s="258"/>
      <c r="L966" s="258"/>
      <c r="M966" s="258"/>
      <c r="N966" s="258"/>
    </row>
    <row r="967">
      <c r="A967" s="257"/>
      <c r="B967" s="257"/>
      <c r="C967" s="258"/>
      <c r="D967" s="257"/>
      <c r="E967" s="257"/>
      <c r="F967" s="257"/>
      <c r="G967" s="258"/>
      <c r="H967" s="258"/>
      <c r="I967" s="258"/>
      <c r="J967" s="258"/>
      <c r="K967" s="258"/>
      <c r="L967" s="258"/>
      <c r="M967" s="258"/>
      <c r="N967" s="258"/>
    </row>
    <row r="968">
      <c r="A968" s="257"/>
      <c r="B968" s="257"/>
      <c r="C968" s="258"/>
      <c r="D968" s="257"/>
      <c r="E968" s="257"/>
      <c r="F968" s="257"/>
      <c r="G968" s="258"/>
      <c r="H968" s="258"/>
      <c r="I968" s="258"/>
      <c r="J968" s="258"/>
      <c r="K968" s="258"/>
      <c r="L968" s="258"/>
      <c r="M968" s="258"/>
      <c r="N968" s="258"/>
    </row>
    <row r="969">
      <c r="A969" s="257"/>
      <c r="B969" s="257"/>
      <c r="C969" s="258"/>
      <c r="D969" s="257"/>
      <c r="E969" s="257"/>
      <c r="F969" s="257"/>
      <c r="G969" s="258"/>
      <c r="H969" s="258"/>
      <c r="I969" s="258"/>
      <c r="J969" s="258"/>
      <c r="K969" s="258"/>
      <c r="L969" s="258"/>
      <c r="M969" s="258"/>
      <c r="N969" s="258"/>
    </row>
    <row r="970">
      <c r="A970" s="257"/>
      <c r="B970" s="257"/>
      <c r="C970" s="258"/>
      <c r="D970" s="257"/>
      <c r="E970" s="257"/>
      <c r="F970" s="257"/>
      <c r="G970" s="258"/>
      <c r="H970" s="258"/>
      <c r="I970" s="258"/>
      <c r="J970" s="258"/>
      <c r="K970" s="258"/>
      <c r="L970" s="258"/>
      <c r="M970" s="258"/>
      <c r="N970" s="258"/>
    </row>
    <row r="971">
      <c r="A971" s="257"/>
      <c r="B971" s="257"/>
      <c r="C971" s="258"/>
      <c r="D971" s="257"/>
      <c r="E971" s="257"/>
      <c r="F971" s="257"/>
      <c r="G971" s="258"/>
      <c r="H971" s="258"/>
      <c r="I971" s="258"/>
      <c r="J971" s="258"/>
      <c r="K971" s="258"/>
      <c r="L971" s="258"/>
      <c r="M971" s="258"/>
      <c r="N971" s="258"/>
    </row>
    <row r="972">
      <c r="A972" s="257"/>
      <c r="B972" s="257"/>
      <c r="C972" s="258"/>
      <c r="D972" s="257"/>
      <c r="E972" s="257"/>
      <c r="F972" s="257"/>
      <c r="G972" s="258"/>
      <c r="H972" s="258"/>
      <c r="I972" s="258"/>
      <c r="J972" s="258"/>
      <c r="K972" s="258"/>
      <c r="L972" s="258"/>
      <c r="M972" s="258"/>
      <c r="N972" s="258"/>
    </row>
    <row r="973">
      <c r="A973" s="257"/>
      <c r="B973" s="257"/>
      <c r="C973" s="258"/>
      <c r="D973" s="257"/>
      <c r="E973" s="257"/>
      <c r="F973" s="257"/>
      <c r="G973" s="258"/>
      <c r="H973" s="258"/>
      <c r="I973" s="258"/>
      <c r="J973" s="258"/>
      <c r="K973" s="258"/>
      <c r="L973" s="258"/>
      <c r="M973" s="258"/>
      <c r="N973" s="258"/>
    </row>
    <row r="974">
      <c r="A974" s="257"/>
      <c r="B974" s="257"/>
      <c r="C974" s="258"/>
      <c r="D974" s="257"/>
      <c r="E974" s="257"/>
      <c r="F974" s="257"/>
      <c r="G974" s="258"/>
      <c r="H974" s="258"/>
      <c r="I974" s="258"/>
      <c r="J974" s="258"/>
      <c r="K974" s="258"/>
      <c r="L974" s="258"/>
      <c r="M974" s="258"/>
      <c r="N974" s="258"/>
    </row>
    <row r="975">
      <c r="A975" s="257"/>
      <c r="B975" s="257"/>
      <c r="C975" s="258"/>
      <c r="D975" s="257"/>
      <c r="E975" s="257"/>
      <c r="F975" s="257"/>
      <c r="G975" s="258"/>
      <c r="H975" s="258"/>
      <c r="I975" s="258"/>
      <c r="J975" s="258"/>
      <c r="K975" s="258"/>
      <c r="L975" s="258"/>
      <c r="M975" s="258"/>
      <c r="N975" s="258"/>
    </row>
    <row r="976">
      <c r="A976" s="257"/>
      <c r="B976" s="257"/>
      <c r="C976" s="258"/>
      <c r="D976" s="257"/>
      <c r="E976" s="257"/>
      <c r="F976" s="257"/>
      <c r="G976" s="258"/>
      <c r="H976" s="258"/>
      <c r="I976" s="258"/>
      <c r="J976" s="258"/>
      <c r="K976" s="258"/>
      <c r="L976" s="258"/>
      <c r="M976" s="258"/>
      <c r="N976" s="258"/>
    </row>
    <row r="977">
      <c r="A977" s="257"/>
      <c r="B977" s="257"/>
      <c r="C977" s="258"/>
      <c r="D977" s="257"/>
      <c r="E977" s="257"/>
      <c r="F977" s="257"/>
      <c r="G977" s="258"/>
      <c r="H977" s="258"/>
      <c r="I977" s="258"/>
      <c r="J977" s="258"/>
      <c r="K977" s="258"/>
      <c r="L977" s="258"/>
      <c r="M977" s="258"/>
      <c r="N977" s="258"/>
    </row>
    <row r="978">
      <c r="A978" s="257"/>
      <c r="B978" s="257"/>
      <c r="C978" s="258"/>
      <c r="D978" s="257"/>
      <c r="E978" s="257"/>
      <c r="F978" s="257"/>
      <c r="G978" s="258"/>
      <c r="H978" s="258"/>
      <c r="I978" s="258"/>
      <c r="J978" s="258"/>
      <c r="K978" s="258"/>
      <c r="L978" s="258"/>
      <c r="M978" s="258"/>
      <c r="N978" s="258"/>
    </row>
    <row r="979">
      <c r="A979" s="257"/>
      <c r="B979" s="257"/>
      <c r="C979" s="258"/>
      <c r="D979" s="257"/>
      <c r="E979" s="257"/>
      <c r="F979" s="257"/>
      <c r="G979" s="258"/>
      <c r="H979" s="258"/>
      <c r="I979" s="258"/>
      <c r="J979" s="258"/>
      <c r="K979" s="258"/>
      <c r="L979" s="258"/>
      <c r="M979" s="258"/>
      <c r="N979" s="258"/>
    </row>
    <row r="980">
      <c r="A980" s="257"/>
      <c r="B980" s="257"/>
      <c r="C980" s="258"/>
      <c r="D980" s="257"/>
      <c r="E980" s="257"/>
      <c r="F980" s="257"/>
      <c r="G980" s="258"/>
      <c r="H980" s="258"/>
      <c r="I980" s="258"/>
      <c r="J980" s="258"/>
      <c r="K980" s="258"/>
      <c r="L980" s="258"/>
      <c r="M980" s="258"/>
      <c r="N980" s="258"/>
    </row>
    <row r="981">
      <c r="A981" s="257"/>
      <c r="B981" s="257"/>
      <c r="C981" s="258"/>
      <c r="D981" s="257"/>
      <c r="E981" s="257"/>
      <c r="F981" s="257"/>
      <c r="G981" s="258"/>
      <c r="H981" s="258"/>
      <c r="I981" s="258"/>
      <c r="J981" s="258"/>
      <c r="K981" s="258"/>
      <c r="L981" s="258"/>
      <c r="M981" s="258"/>
      <c r="N981" s="258"/>
    </row>
    <row r="982">
      <c r="A982" s="257"/>
      <c r="B982" s="257"/>
      <c r="C982" s="258"/>
      <c r="D982" s="257"/>
      <c r="E982" s="257"/>
      <c r="F982" s="257"/>
      <c r="G982" s="258"/>
      <c r="H982" s="258"/>
      <c r="I982" s="258"/>
      <c r="J982" s="258"/>
      <c r="K982" s="258"/>
      <c r="L982" s="258"/>
      <c r="M982" s="258"/>
      <c r="N982" s="258"/>
    </row>
    <row r="983">
      <c r="A983" s="257"/>
      <c r="B983" s="257"/>
      <c r="C983" s="258"/>
      <c r="D983" s="257"/>
      <c r="E983" s="257"/>
      <c r="F983" s="257"/>
      <c r="G983" s="258"/>
      <c r="H983" s="258"/>
      <c r="I983" s="258"/>
      <c r="J983" s="258"/>
      <c r="K983" s="258"/>
      <c r="L983" s="258"/>
      <c r="M983" s="258"/>
      <c r="N983" s="258"/>
    </row>
    <row r="984">
      <c r="A984" s="257"/>
      <c r="B984" s="257"/>
      <c r="C984" s="258"/>
      <c r="D984" s="257"/>
      <c r="E984" s="257"/>
      <c r="F984" s="257"/>
      <c r="G984" s="258"/>
      <c r="H984" s="258"/>
      <c r="I984" s="258"/>
      <c r="J984" s="258"/>
      <c r="K984" s="258"/>
      <c r="L984" s="258"/>
      <c r="M984" s="258"/>
      <c r="N984" s="258"/>
    </row>
    <row r="985">
      <c r="A985" s="257"/>
      <c r="B985" s="257"/>
      <c r="C985" s="258"/>
      <c r="D985" s="257"/>
      <c r="E985" s="257"/>
      <c r="F985" s="257"/>
      <c r="G985" s="258"/>
      <c r="H985" s="258"/>
      <c r="I985" s="258"/>
      <c r="J985" s="258"/>
      <c r="K985" s="258"/>
      <c r="L985" s="258"/>
      <c r="M985" s="258"/>
      <c r="N985" s="258"/>
    </row>
    <row r="986">
      <c r="A986" s="257"/>
      <c r="B986" s="257"/>
      <c r="C986" s="258"/>
      <c r="D986" s="257"/>
      <c r="E986" s="257"/>
      <c r="F986" s="257"/>
      <c r="G986" s="258"/>
      <c r="H986" s="258"/>
      <c r="I986" s="258"/>
      <c r="J986" s="258"/>
      <c r="K986" s="258"/>
      <c r="L986" s="258"/>
      <c r="M986" s="258"/>
      <c r="N986" s="258"/>
    </row>
    <row r="987">
      <c r="A987" s="257"/>
      <c r="B987" s="257"/>
      <c r="C987" s="258"/>
      <c r="D987" s="257"/>
      <c r="E987" s="257"/>
      <c r="F987" s="257"/>
      <c r="G987" s="258"/>
      <c r="H987" s="258"/>
      <c r="I987" s="258"/>
      <c r="J987" s="258"/>
      <c r="K987" s="258"/>
      <c r="L987" s="258"/>
      <c r="M987" s="258"/>
      <c r="N987" s="258"/>
    </row>
    <row r="988">
      <c r="A988" s="257"/>
      <c r="B988" s="257"/>
      <c r="C988" s="258"/>
      <c r="D988" s="257"/>
      <c r="E988" s="257"/>
      <c r="F988" s="257"/>
      <c r="G988" s="258"/>
      <c r="H988" s="258"/>
      <c r="I988" s="258"/>
      <c r="J988" s="258"/>
      <c r="K988" s="258"/>
      <c r="L988" s="258"/>
      <c r="M988" s="258"/>
      <c r="N988" s="258"/>
    </row>
    <row r="989">
      <c r="A989" s="257"/>
      <c r="B989" s="257"/>
      <c r="C989" s="258"/>
      <c r="D989" s="257"/>
      <c r="E989" s="257"/>
      <c r="F989" s="257"/>
      <c r="G989" s="258"/>
      <c r="H989" s="258"/>
      <c r="I989" s="258"/>
      <c r="J989" s="258"/>
      <c r="K989" s="258"/>
      <c r="L989" s="258"/>
      <c r="M989" s="258"/>
      <c r="N989" s="258"/>
    </row>
    <row r="990">
      <c r="A990" s="257"/>
      <c r="B990" s="257"/>
      <c r="C990" s="258"/>
      <c r="D990" s="257"/>
      <c r="E990" s="257"/>
      <c r="F990" s="257"/>
      <c r="G990" s="258"/>
      <c r="H990" s="258"/>
      <c r="I990" s="258"/>
      <c r="J990" s="258"/>
      <c r="K990" s="258"/>
      <c r="L990" s="258"/>
      <c r="M990" s="258"/>
      <c r="N990" s="258"/>
    </row>
    <row r="991">
      <c r="A991" s="257"/>
      <c r="B991" s="257"/>
      <c r="C991" s="258"/>
      <c r="D991" s="257"/>
      <c r="E991" s="257"/>
      <c r="F991" s="257"/>
      <c r="G991" s="258"/>
      <c r="H991" s="258"/>
      <c r="I991" s="258"/>
      <c r="J991" s="258"/>
      <c r="K991" s="258"/>
      <c r="L991" s="258"/>
      <c r="M991" s="258"/>
      <c r="N991" s="258"/>
    </row>
    <row r="992">
      <c r="A992" s="257"/>
      <c r="B992" s="257"/>
      <c r="C992" s="258"/>
      <c r="D992" s="257"/>
      <c r="E992" s="257"/>
      <c r="F992" s="257"/>
      <c r="G992" s="258"/>
      <c r="H992" s="258"/>
      <c r="I992" s="258"/>
      <c r="J992" s="258"/>
      <c r="K992" s="258"/>
      <c r="L992" s="258"/>
      <c r="M992" s="258"/>
      <c r="N992" s="258"/>
    </row>
    <row r="993">
      <c r="A993" s="257"/>
      <c r="B993" s="257"/>
      <c r="C993" s="258"/>
      <c r="D993" s="257"/>
      <c r="E993" s="257"/>
      <c r="F993" s="257"/>
      <c r="G993" s="258"/>
      <c r="H993" s="258"/>
      <c r="I993" s="258"/>
      <c r="J993" s="258"/>
      <c r="K993" s="258"/>
      <c r="L993" s="258"/>
      <c r="M993" s="258"/>
      <c r="N993" s="258"/>
    </row>
    <row r="994">
      <c r="A994" s="257"/>
      <c r="B994" s="257"/>
      <c r="C994" s="258"/>
      <c r="D994" s="257"/>
      <c r="E994" s="257"/>
      <c r="F994" s="257"/>
      <c r="G994" s="258"/>
      <c r="H994" s="258"/>
      <c r="I994" s="258"/>
      <c r="J994" s="258"/>
      <c r="K994" s="258"/>
      <c r="L994" s="258"/>
      <c r="M994" s="258"/>
      <c r="N994" s="258"/>
    </row>
    <row r="995">
      <c r="A995" s="257"/>
      <c r="B995" s="257"/>
      <c r="C995" s="258"/>
      <c r="D995" s="257"/>
      <c r="E995" s="257"/>
      <c r="F995" s="257"/>
      <c r="G995" s="258"/>
      <c r="H995" s="258"/>
      <c r="I995" s="258"/>
      <c r="J995" s="258"/>
      <c r="K995" s="258"/>
      <c r="L995" s="258"/>
      <c r="M995" s="258"/>
      <c r="N995" s="258"/>
    </row>
    <row r="996">
      <c r="A996" s="257"/>
      <c r="B996" s="257"/>
      <c r="C996" s="258"/>
      <c r="D996" s="257"/>
      <c r="E996" s="257"/>
      <c r="F996" s="257"/>
      <c r="G996" s="258"/>
      <c r="H996" s="258"/>
      <c r="I996" s="258"/>
      <c r="J996" s="258"/>
      <c r="K996" s="258"/>
      <c r="L996" s="258"/>
      <c r="M996" s="258"/>
      <c r="N996" s="258"/>
    </row>
    <row r="997">
      <c r="A997" s="257"/>
      <c r="B997" s="257"/>
      <c r="C997" s="258"/>
      <c r="D997" s="257"/>
      <c r="E997" s="257"/>
      <c r="F997" s="257"/>
      <c r="G997" s="258"/>
      <c r="H997" s="258"/>
      <c r="I997" s="258"/>
      <c r="J997" s="258"/>
      <c r="K997" s="258"/>
      <c r="L997" s="258"/>
      <c r="M997" s="258"/>
      <c r="N997" s="258"/>
    </row>
    <row r="998">
      <c r="A998" s="257"/>
      <c r="B998" s="257"/>
      <c r="C998" s="258"/>
      <c r="D998" s="257"/>
      <c r="E998" s="257"/>
      <c r="F998" s="257"/>
      <c r="G998" s="258"/>
      <c r="H998" s="258"/>
      <c r="I998" s="258"/>
      <c r="J998" s="258"/>
      <c r="K998" s="258"/>
      <c r="L998" s="258"/>
      <c r="M998" s="258"/>
      <c r="N998" s="258"/>
    </row>
    <row r="999">
      <c r="A999" s="257"/>
      <c r="B999" s="257"/>
      <c r="C999" s="258"/>
      <c r="D999" s="257"/>
      <c r="E999" s="257"/>
      <c r="F999" s="257"/>
      <c r="G999" s="258"/>
      <c r="H999" s="258"/>
      <c r="I999" s="258"/>
      <c r="J999" s="258"/>
      <c r="K999" s="258"/>
      <c r="L999" s="258"/>
      <c r="M999" s="258"/>
      <c r="N999" s="258"/>
    </row>
    <row r="1000">
      <c r="A1000" s="257"/>
      <c r="B1000" s="257"/>
      <c r="C1000" s="258"/>
      <c r="D1000" s="257"/>
      <c r="E1000" s="257"/>
      <c r="F1000" s="257"/>
      <c r="G1000" s="258"/>
      <c r="H1000" s="258"/>
      <c r="I1000" s="258"/>
      <c r="J1000" s="258"/>
      <c r="K1000" s="258"/>
      <c r="L1000" s="258"/>
      <c r="M1000" s="258"/>
      <c r="N1000" s="258"/>
    </row>
  </sheetData>
  <conditionalFormatting sqref="A1 B1">
    <cfRule type="expression" dxfId="0" priority="1">
      <formula>if(countif(A:A,A1)&gt;1,1,0)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0"/>
    <col customWidth="1" min="2" max="2" width="17.71"/>
    <col customWidth="1" min="3" max="3" width="66.29"/>
    <col customWidth="1" min="4" max="4" width="31.57"/>
    <col customWidth="1" min="5" max="6" width="23.86"/>
    <col customWidth="1" min="7" max="7" width="13.29"/>
    <col customWidth="1" min="8" max="8" width="16.43"/>
    <col customWidth="1" min="9" max="9" width="15.57"/>
    <col customWidth="1" min="10" max="10" width="20.57"/>
    <col customWidth="1" min="11" max="11" width="21.86"/>
    <col customWidth="1" min="12" max="12" width="13.57"/>
    <col customWidth="1" min="13" max="13" width="20.86"/>
    <col customWidth="1" min="14" max="14" width="20.71"/>
    <col customWidth="1" min="15" max="15" width="24.0"/>
    <col customWidth="1" min="16" max="16" width="23.29"/>
    <col customWidth="1" min="17" max="17" width="21.57"/>
  </cols>
  <sheetData>
    <row r="1">
      <c r="A1" s="18" t="s">
        <v>69</v>
      </c>
      <c r="B1" s="48" t="s">
        <v>63</v>
      </c>
      <c r="C1" s="18" t="s">
        <v>71</v>
      </c>
      <c r="D1" s="18" t="s">
        <v>679</v>
      </c>
      <c r="E1" s="48" t="s">
        <v>680</v>
      </c>
      <c r="F1" s="18" t="s">
        <v>73</v>
      </c>
      <c r="G1" s="18" t="s">
        <v>74</v>
      </c>
      <c r="H1" s="18" t="s">
        <v>76</v>
      </c>
      <c r="I1" s="18" t="s">
        <v>77</v>
      </c>
      <c r="J1" s="18" t="s">
        <v>75</v>
      </c>
      <c r="K1" s="48" t="s">
        <v>681</v>
      </c>
      <c r="L1" s="18" t="s">
        <v>682</v>
      </c>
      <c r="M1" s="18" t="s">
        <v>78</v>
      </c>
      <c r="N1" s="18" t="s">
        <v>683</v>
      </c>
      <c r="O1" s="49" t="s">
        <v>36</v>
      </c>
      <c r="P1" s="50" t="s">
        <v>38</v>
      </c>
      <c r="Q1" s="50" t="s">
        <v>40</v>
      </c>
      <c r="R1" s="51"/>
      <c r="S1" s="51"/>
      <c r="T1" s="51"/>
      <c r="U1" s="51"/>
      <c r="V1" s="51"/>
      <c r="W1" s="51"/>
      <c r="X1" s="51"/>
      <c r="Y1" s="51"/>
      <c r="Z1" s="51"/>
    </row>
    <row r="2">
      <c r="A2" s="105" t="s">
        <v>88</v>
      </c>
      <c r="B2" s="105" t="s">
        <v>44</v>
      </c>
      <c r="C2" s="106" t="s">
        <v>684</v>
      </c>
      <c r="D2" s="107" t="s">
        <v>83</v>
      </c>
      <c r="E2" s="106" t="s">
        <v>1313</v>
      </c>
      <c r="F2" s="107">
        <v>5123.0</v>
      </c>
      <c r="G2" s="105" t="s">
        <v>686</v>
      </c>
      <c r="H2" s="107" t="s">
        <v>91</v>
      </c>
      <c r="I2" s="107" t="s">
        <v>91</v>
      </c>
      <c r="J2" s="107" t="s">
        <v>85</v>
      </c>
      <c r="K2" s="106" t="s">
        <v>687</v>
      </c>
      <c r="L2" s="107" t="s">
        <v>688</v>
      </c>
      <c r="M2" s="108">
        <v>44042.0</v>
      </c>
      <c r="N2" s="106" t="s">
        <v>1314</v>
      </c>
      <c r="O2" s="109" t="s">
        <v>690</v>
      </c>
      <c r="P2" s="107" t="s">
        <v>691</v>
      </c>
      <c r="Q2" s="107" t="s">
        <v>691</v>
      </c>
      <c r="R2" s="110"/>
      <c r="S2" s="110"/>
      <c r="T2" s="110"/>
      <c r="U2" s="110"/>
      <c r="V2" s="110"/>
      <c r="W2" s="110"/>
      <c r="X2" s="110"/>
      <c r="Y2" s="110"/>
      <c r="Z2" s="110"/>
    </row>
    <row r="3">
      <c r="A3" s="105" t="s">
        <v>79</v>
      </c>
      <c r="B3" s="105" t="s">
        <v>44</v>
      </c>
      <c r="C3" s="106" t="s">
        <v>82</v>
      </c>
      <c r="D3" s="107" t="s">
        <v>185</v>
      </c>
      <c r="E3" s="106" t="s">
        <v>685</v>
      </c>
      <c r="F3" s="107">
        <v>9.17588242E9</v>
      </c>
      <c r="G3" s="107" t="s">
        <v>84</v>
      </c>
      <c r="H3" s="107" t="s">
        <v>91</v>
      </c>
      <c r="I3" s="107" t="s">
        <v>91</v>
      </c>
      <c r="J3" s="107" t="s">
        <v>85</v>
      </c>
      <c r="K3" s="106" t="s">
        <v>687</v>
      </c>
      <c r="L3" s="107" t="s">
        <v>688</v>
      </c>
      <c r="M3" s="108">
        <v>44042.0</v>
      </c>
      <c r="N3" s="106" t="s">
        <v>692</v>
      </c>
      <c r="O3" s="109" t="s">
        <v>690</v>
      </c>
      <c r="P3" s="107" t="s">
        <v>691</v>
      </c>
      <c r="Q3" s="107" t="s">
        <v>691</v>
      </c>
      <c r="R3" s="110"/>
      <c r="S3" s="110"/>
      <c r="T3" s="110"/>
      <c r="U3" s="110"/>
      <c r="V3" s="110"/>
      <c r="W3" s="110"/>
      <c r="X3" s="110"/>
      <c r="Y3" s="110"/>
      <c r="Z3" s="110"/>
    </row>
    <row r="4">
      <c r="A4" s="105" t="s">
        <v>693</v>
      </c>
      <c r="B4" s="105" t="s">
        <v>44</v>
      </c>
      <c r="C4" s="106" t="s">
        <v>444</v>
      </c>
      <c r="D4" s="107" t="s">
        <v>83</v>
      </c>
      <c r="E4" s="106" t="s">
        <v>694</v>
      </c>
      <c r="F4" s="111" t="s">
        <v>695</v>
      </c>
      <c r="G4" s="112" t="s">
        <v>445</v>
      </c>
      <c r="H4" s="107" t="s">
        <v>91</v>
      </c>
      <c r="I4" s="107" t="s">
        <v>91</v>
      </c>
      <c r="J4" s="107" t="s">
        <v>85</v>
      </c>
      <c r="K4" s="106" t="s">
        <v>687</v>
      </c>
      <c r="L4" s="107" t="s">
        <v>688</v>
      </c>
      <c r="M4" s="108">
        <v>44042.0</v>
      </c>
      <c r="N4" s="106" t="s">
        <v>692</v>
      </c>
      <c r="O4" s="109" t="s">
        <v>690</v>
      </c>
      <c r="P4" s="107" t="s">
        <v>691</v>
      </c>
      <c r="Q4" s="107" t="s">
        <v>691</v>
      </c>
      <c r="R4" s="110"/>
      <c r="S4" s="110"/>
      <c r="T4" s="110"/>
      <c r="U4" s="110"/>
      <c r="V4" s="110"/>
      <c r="W4" s="110"/>
      <c r="X4" s="110"/>
      <c r="Y4" s="110"/>
      <c r="Z4" s="110"/>
    </row>
    <row r="5">
      <c r="A5" s="105" t="s">
        <v>113</v>
      </c>
      <c r="B5" s="105" t="s">
        <v>696</v>
      </c>
      <c r="C5" s="106" t="s">
        <v>697</v>
      </c>
      <c r="D5" s="107" t="s">
        <v>83</v>
      </c>
      <c r="E5" s="106" t="s">
        <v>698</v>
      </c>
      <c r="F5" s="113">
        <v>43709.0</v>
      </c>
      <c r="G5" s="105" t="s">
        <v>686</v>
      </c>
      <c r="H5" s="107" t="s">
        <v>91</v>
      </c>
      <c r="I5" s="107" t="s">
        <v>91</v>
      </c>
      <c r="J5" s="107" t="s">
        <v>85</v>
      </c>
      <c r="K5" s="106" t="s">
        <v>687</v>
      </c>
      <c r="L5" s="107" t="s">
        <v>688</v>
      </c>
      <c r="M5" s="108">
        <v>44042.0</v>
      </c>
      <c r="N5" s="106" t="s">
        <v>1315</v>
      </c>
      <c r="O5" s="109" t="s">
        <v>1316</v>
      </c>
      <c r="P5" s="107" t="s">
        <v>691</v>
      </c>
      <c r="Q5" s="107" t="s">
        <v>691</v>
      </c>
      <c r="R5" s="110"/>
      <c r="S5" s="110"/>
      <c r="T5" s="110"/>
      <c r="U5" s="110"/>
      <c r="V5" s="110"/>
      <c r="W5" s="110"/>
      <c r="X5" s="110"/>
      <c r="Y5" s="110"/>
      <c r="Z5" s="110"/>
    </row>
    <row r="6">
      <c r="A6" s="105" t="s">
        <v>699</v>
      </c>
      <c r="B6" s="105" t="s">
        <v>44</v>
      </c>
      <c r="C6" s="106" t="s">
        <v>1317</v>
      </c>
      <c r="D6" s="107" t="s">
        <v>83</v>
      </c>
      <c r="E6" s="106" t="s">
        <v>1313</v>
      </c>
      <c r="F6" s="107">
        <v>1.2072423E7</v>
      </c>
      <c r="G6" s="105" t="s">
        <v>686</v>
      </c>
      <c r="H6" s="107" t="s">
        <v>91</v>
      </c>
      <c r="I6" s="107" t="s">
        <v>91</v>
      </c>
      <c r="J6" s="107" t="s">
        <v>85</v>
      </c>
      <c r="K6" s="106" t="s">
        <v>687</v>
      </c>
      <c r="L6" s="107" t="s">
        <v>688</v>
      </c>
      <c r="M6" s="108">
        <v>44042.0</v>
      </c>
      <c r="N6" s="106" t="s">
        <v>1318</v>
      </c>
      <c r="O6" s="109" t="s">
        <v>690</v>
      </c>
      <c r="P6" s="107" t="s">
        <v>702</v>
      </c>
      <c r="Q6" s="107" t="s">
        <v>702</v>
      </c>
      <c r="R6" s="110"/>
      <c r="S6" s="110"/>
      <c r="T6" s="110"/>
      <c r="U6" s="110"/>
      <c r="V6" s="110"/>
      <c r="W6" s="110"/>
      <c r="X6" s="110"/>
      <c r="Y6" s="110"/>
      <c r="Z6" s="110"/>
    </row>
    <row r="7">
      <c r="A7" s="105" t="s">
        <v>703</v>
      </c>
      <c r="B7" s="105" t="s">
        <v>696</v>
      </c>
      <c r="C7" s="106" t="s">
        <v>704</v>
      </c>
      <c r="D7" s="107" t="s">
        <v>83</v>
      </c>
      <c r="E7" s="106" t="s">
        <v>685</v>
      </c>
      <c r="F7" s="107" t="s">
        <v>466</v>
      </c>
      <c r="G7" s="105" t="s">
        <v>686</v>
      </c>
      <c r="H7" s="107" t="s">
        <v>91</v>
      </c>
      <c r="I7" s="107" t="s">
        <v>91</v>
      </c>
      <c r="J7" s="107" t="s">
        <v>85</v>
      </c>
      <c r="K7" s="106" t="s">
        <v>687</v>
      </c>
      <c r="L7" s="107" t="s">
        <v>688</v>
      </c>
      <c r="M7" s="108">
        <v>44042.0</v>
      </c>
      <c r="N7" s="106" t="s">
        <v>692</v>
      </c>
      <c r="O7" s="109" t="s">
        <v>690</v>
      </c>
      <c r="P7" s="107" t="s">
        <v>705</v>
      </c>
      <c r="Q7" s="107" t="s">
        <v>705</v>
      </c>
      <c r="R7" s="110"/>
      <c r="S7" s="110"/>
      <c r="T7" s="110"/>
      <c r="U7" s="110"/>
      <c r="V7" s="110"/>
      <c r="W7" s="110"/>
      <c r="X7" s="110"/>
      <c r="Y7" s="110"/>
      <c r="Z7" s="110"/>
    </row>
    <row r="8" ht="102.0" customHeight="1">
      <c r="A8" s="105" t="s">
        <v>706</v>
      </c>
      <c r="B8" s="105" t="s">
        <v>44</v>
      </c>
      <c r="C8" s="106" t="s">
        <v>707</v>
      </c>
      <c r="D8" s="107" t="s">
        <v>185</v>
      </c>
      <c r="E8" s="106" t="s">
        <v>685</v>
      </c>
      <c r="F8" s="107" t="s">
        <v>471</v>
      </c>
      <c r="G8" s="114" t="s">
        <v>686</v>
      </c>
      <c r="H8" s="107" t="s">
        <v>91</v>
      </c>
      <c r="I8" s="107" t="s">
        <v>91</v>
      </c>
      <c r="J8" s="107" t="s">
        <v>85</v>
      </c>
      <c r="K8" s="106" t="s">
        <v>687</v>
      </c>
      <c r="L8" s="107" t="s">
        <v>688</v>
      </c>
      <c r="M8" s="108">
        <v>44042.0</v>
      </c>
      <c r="N8" s="106" t="s">
        <v>689</v>
      </c>
      <c r="O8" s="109" t="s">
        <v>690</v>
      </c>
      <c r="P8" s="107" t="s">
        <v>691</v>
      </c>
      <c r="Q8" s="107" t="s">
        <v>691</v>
      </c>
      <c r="R8" s="110"/>
      <c r="S8" s="110"/>
      <c r="T8" s="110"/>
      <c r="U8" s="110"/>
      <c r="V8" s="110"/>
      <c r="W8" s="110"/>
      <c r="X8" s="110"/>
      <c r="Y8" s="110"/>
      <c r="Z8" s="110"/>
    </row>
    <row r="9">
      <c r="A9" s="105" t="s">
        <v>708</v>
      </c>
      <c r="B9" s="105" t="s">
        <v>44</v>
      </c>
      <c r="C9" s="106" t="s">
        <v>447</v>
      </c>
      <c r="D9" s="107" t="s">
        <v>83</v>
      </c>
      <c r="E9" s="106" t="s">
        <v>685</v>
      </c>
      <c r="F9" s="107" t="s">
        <v>448</v>
      </c>
      <c r="G9" s="105" t="s">
        <v>686</v>
      </c>
      <c r="H9" s="107" t="s">
        <v>91</v>
      </c>
      <c r="I9" s="107" t="s">
        <v>91</v>
      </c>
      <c r="J9" s="107" t="s">
        <v>85</v>
      </c>
      <c r="K9" s="106" t="s">
        <v>687</v>
      </c>
      <c r="L9" s="107" t="s">
        <v>688</v>
      </c>
      <c r="M9" s="108">
        <v>44042.0</v>
      </c>
      <c r="N9" s="106" t="s">
        <v>701</v>
      </c>
      <c r="O9" s="109" t="s">
        <v>690</v>
      </c>
      <c r="P9" s="107" t="s">
        <v>691</v>
      </c>
      <c r="Q9" s="107" t="s">
        <v>691</v>
      </c>
      <c r="R9" s="110"/>
      <c r="S9" s="110"/>
      <c r="T9" s="110"/>
      <c r="U9" s="110"/>
      <c r="V9" s="110"/>
      <c r="W9" s="110"/>
      <c r="X9" s="110"/>
      <c r="Y9" s="110"/>
      <c r="Z9" s="110"/>
    </row>
    <row r="10" ht="15.0" customHeight="1">
      <c r="A10" s="105" t="s">
        <v>709</v>
      </c>
      <c r="B10" s="105" t="s">
        <v>44</v>
      </c>
      <c r="C10" s="106" t="s">
        <v>450</v>
      </c>
      <c r="D10" s="107" t="s">
        <v>83</v>
      </c>
      <c r="E10" s="106" t="s">
        <v>685</v>
      </c>
      <c r="F10" s="107">
        <v>3.99253942E8</v>
      </c>
      <c r="G10" s="114" t="s">
        <v>686</v>
      </c>
      <c r="H10" s="107" t="s">
        <v>91</v>
      </c>
      <c r="I10" s="107" t="s">
        <v>91</v>
      </c>
      <c r="J10" s="107" t="s">
        <v>85</v>
      </c>
      <c r="K10" s="106" t="s">
        <v>687</v>
      </c>
      <c r="L10" s="107" t="s">
        <v>688</v>
      </c>
      <c r="M10" s="108">
        <v>44042.0</v>
      </c>
      <c r="N10" s="106" t="s">
        <v>701</v>
      </c>
      <c r="O10" s="109" t="s">
        <v>690</v>
      </c>
      <c r="P10" s="107" t="s">
        <v>691</v>
      </c>
      <c r="Q10" s="107" t="s">
        <v>691</v>
      </c>
      <c r="R10" s="110"/>
      <c r="S10" s="110"/>
      <c r="T10" s="110"/>
      <c r="U10" s="110"/>
      <c r="V10" s="110"/>
      <c r="W10" s="110"/>
      <c r="X10" s="110"/>
      <c r="Y10" s="110"/>
      <c r="Z10" s="110"/>
    </row>
    <row r="11">
      <c r="A11" s="105" t="s">
        <v>710</v>
      </c>
      <c r="B11" s="105" t="s">
        <v>44</v>
      </c>
      <c r="C11" s="106" t="s">
        <v>105</v>
      </c>
      <c r="D11" s="107" t="s">
        <v>83</v>
      </c>
      <c r="E11" s="106" t="s">
        <v>685</v>
      </c>
      <c r="F11" s="107" t="s">
        <v>106</v>
      </c>
      <c r="G11" s="105" t="s">
        <v>686</v>
      </c>
      <c r="H11" s="107" t="s">
        <v>91</v>
      </c>
      <c r="I11" s="107" t="s">
        <v>91</v>
      </c>
      <c r="J11" s="107" t="s">
        <v>85</v>
      </c>
      <c r="K11" s="106" t="s">
        <v>687</v>
      </c>
      <c r="L11" s="107" t="s">
        <v>688</v>
      </c>
      <c r="M11" s="108">
        <v>44042.0</v>
      </c>
      <c r="N11" s="106" t="s">
        <v>689</v>
      </c>
      <c r="O11" s="109" t="s">
        <v>690</v>
      </c>
      <c r="P11" s="107" t="s">
        <v>691</v>
      </c>
      <c r="Q11" s="107" t="s">
        <v>691</v>
      </c>
      <c r="R11" s="110"/>
      <c r="S11" s="110"/>
      <c r="T11" s="110"/>
      <c r="U11" s="110"/>
      <c r="V11" s="110"/>
      <c r="W11" s="110"/>
      <c r="X11" s="110"/>
      <c r="Y11" s="110"/>
      <c r="Z11" s="110"/>
    </row>
    <row r="12">
      <c r="A12" s="105" t="s">
        <v>94</v>
      </c>
      <c r="B12" s="105" t="s">
        <v>696</v>
      </c>
      <c r="C12" s="106" t="s">
        <v>711</v>
      </c>
      <c r="D12" s="107" t="s">
        <v>83</v>
      </c>
      <c r="E12" s="106" t="s">
        <v>685</v>
      </c>
      <c r="F12" s="107" t="s">
        <v>96</v>
      </c>
      <c r="G12" s="105" t="s">
        <v>686</v>
      </c>
      <c r="H12" s="107" t="s">
        <v>91</v>
      </c>
      <c r="I12" s="107" t="s">
        <v>91</v>
      </c>
      <c r="J12" s="107" t="s">
        <v>85</v>
      </c>
      <c r="K12" s="106" t="s">
        <v>687</v>
      </c>
      <c r="L12" s="107" t="s">
        <v>688</v>
      </c>
      <c r="M12" s="108">
        <v>44042.0</v>
      </c>
      <c r="N12" s="106" t="s">
        <v>689</v>
      </c>
      <c r="O12" s="109" t="s">
        <v>690</v>
      </c>
      <c r="P12" s="107" t="s">
        <v>691</v>
      </c>
      <c r="Q12" s="107" t="s">
        <v>691</v>
      </c>
      <c r="R12" s="110"/>
      <c r="S12" s="110"/>
      <c r="T12" s="110"/>
      <c r="U12" s="110"/>
      <c r="V12" s="110"/>
      <c r="W12" s="110"/>
      <c r="X12" s="110"/>
      <c r="Y12" s="110"/>
      <c r="Z12" s="110"/>
    </row>
    <row r="13">
      <c r="A13" s="105" t="s">
        <v>379</v>
      </c>
      <c r="B13" s="105" t="s">
        <v>696</v>
      </c>
      <c r="C13" s="106" t="s">
        <v>712</v>
      </c>
      <c r="D13" s="107" t="s">
        <v>83</v>
      </c>
      <c r="E13" s="106" t="s">
        <v>713</v>
      </c>
      <c r="F13" s="107">
        <v>1.0</v>
      </c>
      <c r="G13" s="112" t="s">
        <v>91</v>
      </c>
      <c r="H13" s="107" t="s">
        <v>91</v>
      </c>
      <c r="I13" s="107" t="s">
        <v>91</v>
      </c>
      <c r="J13" s="107" t="s">
        <v>85</v>
      </c>
      <c r="K13" s="106" t="s">
        <v>687</v>
      </c>
      <c r="L13" s="107" t="s">
        <v>714</v>
      </c>
      <c r="M13" s="108">
        <v>44042.0</v>
      </c>
      <c r="N13" s="106" t="s">
        <v>689</v>
      </c>
      <c r="O13" s="109" t="s">
        <v>690</v>
      </c>
      <c r="P13" s="107" t="s">
        <v>691</v>
      </c>
      <c r="Q13" s="107" t="s">
        <v>691</v>
      </c>
      <c r="R13" s="110"/>
      <c r="S13" s="110"/>
      <c r="T13" s="110"/>
      <c r="U13" s="110"/>
      <c r="V13" s="110"/>
      <c r="W13" s="110"/>
      <c r="X13" s="110"/>
      <c r="Y13" s="110"/>
      <c r="Z13" s="110"/>
    </row>
    <row r="14">
      <c r="A14" s="105" t="s">
        <v>715</v>
      </c>
      <c r="B14" s="105" t="s">
        <v>44</v>
      </c>
      <c r="C14" s="106" t="s">
        <v>716</v>
      </c>
      <c r="D14" s="107" t="s">
        <v>83</v>
      </c>
      <c r="E14" s="106" t="s">
        <v>685</v>
      </c>
      <c r="F14" s="107" t="s">
        <v>109</v>
      </c>
      <c r="G14" s="105" t="s">
        <v>686</v>
      </c>
      <c r="H14" s="107" t="s">
        <v>91</v>
      </c>
      <c r="I14" s="107" t="s">
        <v>91</v>
      </c>
      <c r="J14" s="107" t="s">
        <v>85</v>
      </c>
      <c r="K14" s="106" t="s">
        <v>687</v>
      </c>
      <c r="L14" s="107" t="s">
        <v>688</v>
      </c>
      <c r="M14" s="108">
        <v>44042.0</v>
      </c>
      <c r="N14" s="106" t="s">
        <v>692</v>
      </c>
      <c r="O14" s="109" t="s">
        <v>690</v>
      </c>
      <c r="P14" s="107" t="s">
        <v>702</v>
      </c>
      <c r="Q14" s="107" t="s">
        <v>702</v>
      </c>
      <c r="R14" s="110"/>
      <c r="S14" s="110"/>
      <c r="T14" s="110"/>
      <c r="U14" s="110"/>
      <c r="V14" s="110"/>
      <c r="W14" s="110"/>
      <c r="X14" s="110"/>
      <c r="Y14" s="110"/>
      <c r="Z14" s="110"/>
    </row>
    <row r="15">
      <c r="A15" s="105" t="s">
        <v>717</v>
      </c>
      <c r="B15" s="105" t="s">
        <v>44</v>
      </c>
      <c r="C15" s="106" t="s">
        <v>1319</v>
      </c>
      <c r="D15" s="107" t="s">
        <v>83</v>
      </c>
      <c r="E15" s="106" t="s">
        <v>1313</v>
      </c>
      <c r="F15" s="107" t="s">
        <v>112</v>
      </c>
      <c r="G15" s="105" t="s">
        <v>686</v>
      </c>
      <c r="H15" s="107" t="s">
        <v>91</v>
      </c>
      <c r="I15" s="107" t="s">
        <v>91</v>
      </c>
      <c r="J15" s="107" t="s">
        <v>85</v>
      </c>
      <c r="K15" s="106" t="s">
        <v>687</v>
      </c>
      <c r="L15" s="107" t="s">
        <v>688</v>
      </c>
      <c r="M15" s="108">
        <v>44042.0</v>
      </c>
      <c r="N15" s="106" t="s">
        <v>1314</v>
      </c>
      <c r="O15" s="109" t="s">
        <v>690</v>
      </c>
      <c r="P15" s="107" t="s">
        <v>691</v>
      </c>
      <c r="Q15" s="107" t="s">
        <v>691</v>
      </c>
      <c r="R15" s="110"/>
      <c r="S15" s="110"/>
      <c r="T15" s="110"/>
      <c r="U15" s="110"/>
      <c r="V15" s="110"/>
      <c r="W15" s="110"/>
      <c r="X15" s="110"/>
      <c r="Y15" s="110"/>
      <c r="Z15" s="110"/>
    </row>
    <row r="16">
      <c r="A16" s="105" t="s">
        <v>365</v>
      </c>
      <c r="B16" s="105" t="s">
        <v>197</v>
      </c>
      <c r="C16" s="106" t="s">
        <v>719</v>
      </c>
      <c r="D16" s="107" t="s">
        <v>185</v>
      </c>
      <c r="E16" s="106" t="s">
        <v>720</v>
      </c>
      <c r="F16" s="115" t="b">
        <v>1</v>
      </c>
      <c r="G16" s="112" t="s">
        <v>91</v>
      </c>
      <c r="H16" s="107" t="s">
        <v>91</v>
      </c>
      <c r="I16" s="107" t="s">
        <v>91</v>
      </c>
      <c r="J16" s="107" t="s">
        <v>85</v>
      </c>
      <c r="K16" s="106" t="s">
        <v>687</v>
      </c>
      <c r="L16" s="107" t="s">
        <v>688</v>
      </c>
      <c r="M16" s="108">
        <v>44042.0</v>
      </c>
      <c r="N16" s="106" t="s">
        <v>692</v>
      </c>
      <c r="O16" s="109" t="s">
        <v>690</v>
      </c>
      <c r="P16" s="107" t="s">
        <v>721</v>
      </c>
      <c r="Q16" s="107" t="s">
        <v>721</v>
      </c>
      <c r="R16" s="110"/>
      <c r="S16" s="110"/>
      <c r="T16" s="110"/>
      <c r="U16" s="110"/>
      <c r="V16" s="110"/>
      <c r="W16" s="110"/>
      <c r="X16" s="110"/>
      <c r="Y16" s="110"/>
      <c r="Z16" s="110"/>
    </row>
    <row r="17">
      <c r="A17" s="105" t="s">
        <v>513</v>
      </c>
      <c r="B17" s="105" t="s">
        <v>197</v>
      </c>
      <c r="C17" s="106" t="s">
        <v>722</v>
      </c>
      <c r="D17" s="107" t="s">
        <v>185</v>
      </c>
      <c r="E17" s="106" t="s">
        <v>720</v>
      </c>
      <c r="F17" s="115" t="b">
        <v>1</v>
      </c>
      <c r="G17" s="106" t="s">
        <v>723</v>
      </c>
      <c r="H17" s="107" t="s">
        <v>91</v>
      </c>
      <c r="I17" s="106" t="s">
        <v>723</v>
      </c>
      <c r="J17" s="107" t="s">
        <v>85</v>
      </c>
      <c r="K17" s="106" t="s">
        <v>687</v>
      </c>
      <c r="L17" s="107" t="s">
        <v>688</v>
      </c>
      <c r="M17" s="108">
        <v>44041.0</v>
      </c>
      <c r="N17" s="106" t="s">
        <v>692</v>
      </c>
      <c r="O17" s="109" t="s">
        <v>690</v>
      </c>
      <c r="P17" s="107" t="s">
        <v>724</v>
      </c>
      <c r="Q17" s="107" t="s">
        <v>724</v>
      </c>
      <c r="R17" s="110"/>
      <c r="S17" s="110"/>
      <c r="T17" s="110"/>
      <c r="U17" s="110"/>
      <c r="V17" s="110"/>
      <c r="W17" s="110"/>
      <c r="X17" s="110"/>
      <c r="Y17" s="110"/>
      <c r="Z17" s="110"/>
    </row>
    <row r="18">
      <c r="A18" s="105" t="s">
        <v>725</v>
      </c>
      <c r="B18" s="105" t="s">
        <v>52</v>
      </c>
      <c r="C18" s="106" t="s">
        <v>726</v>
      </c>
      <c r="D18" s="107" t="s">
        <v>185</v>
      </c>
      <c r="E18" s="106" t="s">
        <v>698</v>
      </c>
      <c r="F18" s="113">
        <v>43695.0</v>
      </c>
      <c r="G18" s="106" t="s">
        <v>723</v>
      </c>
      <c r="H18" s="107" t="s">
        <v>91</v>
      </c>
      <c r="I18" s="106" t="s">
        <v>723</v>
      </c>
      <c r="J18" s="107" t="s">
        <v>85</v>
      </c>
      <c r="K18" s="106" t="s">
        <v>687</v>
      </c>
      <c r="L18" s="107" t="s">
        <v>688</v>
      </c>
      <c r="M18" s="108">
        <v>44042.0</v>
      </c>
      <c r="N18" s="106" t="s">
        <v>727</v>
      </c>
      <c r="O18" s="109" t="s">
        <v>690</v>
      </c>
      <c r="P18" s="107" t="s">
        <v>721</v>
      </c>
      <c r="Q18" s="107" t="s">
        <v>721</v>
      </c>
      <c r="R18" s="110"/>
      <c r="S18" s="110"/>
      <c r="T18" s="110"/>
      <c r="U18" s="110"/>
      <c r="V18" s="110"/>
      <c r="W18" s="110"/>
      <c r="X18" s="110"/>
      <c r="Y18" s="110"/>
      <c r="Z18" s="110"/>
    </row>
    <row r="19">
      <c r="A19" s="105" t="s">
        <v>728</v>
      </c>
      <c r="B19" s="105" t="s">
        <v>52</v>
      </c>
      <c r="C19" s="106" t="s">
        <v>729</v>
      </c>
      <c r="D19" s="107" t="s">
        <v>185</v>
      </c>
      <c r="E19" s="106" t="s">
        <v>720</v>
      </c>
      <c r="F19" s="115" t="b">
        <v>1</v>
      </c>
      <c r="G19" s="106" t="s">
        <v>723</v>
      </c>
      <c r="H19" s="107" t="s">
        <v>91</v>
      </c>
      <c r="I19" s="106" t="s">
        <v>723</v>
      </c>
      <c r="J19" s="107" t="s">
        <v>85</v>
      </c>
      <c r="K19" s="106" t="s">
        <v>687</v>
      </c>
      <c r="L19" s="107" t="s">
        <v>688</v>
      </c>
      <c r="M19" s="108">
        <v>44042.0</v>
      </c>
      <c r="N19" s="106" t="s">
        <v>701</v>
      </c>
      <c r="O19" s="109" t="s">
        <v>690</v>
      </c>
      <c r="P19" s="107" t="s">
        <v>721</v>
      </c>
      <c r="Q19" s="107" t="s">
        <v>721</v>
      </c>
      <c r="R19" s="110"/>
      <c r="S19" s="110"/>
      <c r="T19" s="110"/>
      <c r="U19" s="110"/>
      <c r="V19" s="110"/>
      <c r="W19" s="110"/>
      <c r="X19" s="110"/>
      <c r="Y19" s="110"/>
      <c r="Z19" s="110"/>
    </row>
    <row r="20">
      <c r="A20" s="105" t="s">
        <v>730</v>
      </c>
      <c r="B20" s="105" t="s">
        <v>52</v>
      </c>
      <c r="C20" s="106" t="s">
        <v>731</v>
      </c>
      <c r="D20" s="107" t="s">
        <v>185</v>
      </c>
      <c r="E20" s="106" t="s">
        <v>698</v>
      </c>
      <c r="F20" s="113">
        <v>43763.0</v>
      </c>
      <c r="G20" s="106" t="s">
        <v>723</v>
      </c>
      <c r="H20" s="107" t="s">
        <v>91</v>
      </c>
      <c r="I20" s="106" t="s">
        <v>723</v>
      </c>
      <c r="J20" s="107" t="s">
        <v>85</v>
      </c>
      <c r="K20" s="106" t="s">
        <v>687</v>
      </c>
      <c r="L20" s="107" t="s">
        <v>688</v>
      </c>
      <c r="M20" s="108">
        <v>44042.0</v>
      </c>
      <c r="N20" s="106" t="s">
        <v>701</v>
      </c>
      <c r="O20" s="109" t="s">
        <v>732</v>
      </c>
      <c r="P20" s="107" t="s">
        <v>721</v>
      </c>
      <c r="Q20" s="107" t="s">
        <v>721</v>
      </c>
      <c r="R20" s="110"/>
      <c r="S20" s="110"/>
      <c r="T20" s="110"/>
      <c r="U20" s="110"/>
      <c r="V20" s="110"/>
      <c r="W20" s="110"/>
      <c r="X20" s="110"/>
      <c r="Y20" s="110"/>
      <c r="Z20" s="110"/>
    </row>
    <row r="21" ht="38.25" customHeight="1">
      <c r="A21" s="105" t="s">
        <v>733</v>
      </c>
      <c r="B21" s="105" t="s">
        <v>52</v>
      </c>
      <c r="C21" s="106" t="s">
        <v>734</v>
      </c>
      <c r="D21" s="107" t="s">
        <v>185</v>
      </c>
      <c r="E21" s="106" t="s">
        <v>720</v>
      </c>
      <c r="F21" s="115" t="b">
        <v>1</v>
      </c>
      <c r="G21" s="106" t="s">
        <v>723</v>
      </c>
      <c r="H21" s="107" t="s">
        <v>91</v>
      </c>
      <c r="I21" s="106" t="s">
        <v>723</v>
      </c>
      <c r="J21" s="107" t="s">
        <v>85</v>
      </c>
      <c r="K21" s="106" t="s">
        <v>687</v>
      </c>
      <c r="L21" s="107" t="s">
        <v>688</v>
      </c>
      <c r="M21" s="108">
        <v>44042.0</v>
      </c>
      <c r="N21" s="106" t="s">
        <v>735</v>
      </c>
      <c r="O21" s="116" t="s">
        <v>736</v>
      </c>
      <c r="P21" s="107" t="s">
        <v>721</v>
      </c>
      <c r="Q21" s="107" t="s">
        <v>721</v>
      </c>
      <c r="R21" s="110"/>
      <c r="S21" s="110"/>
      <c r="T21" s="110"/>
      <c r="U21" s="110"/>
      <c r="V21" s="110"/>
      <c r="W21" s="110"/>
      <c r="X21" s="110"/>
      <c r="Y21" s="110"/>
      <c r="Z21" s="110"/>
    </row>
    <row r="22">
      <c r="A22" s="105" t="s">
        <v>737</v>
      </c>
      <c r="B22" s="105" t="s">
        <v>52</v>
      </c>
      <c r="C22" s="106" t="s">
        <v>738</v>
      </c>
      <c r="D22" s="107" t="s">
        <v>185</v>
      </c>
      <c r="E22" s="106" t="s">
        <v>685</v>
      </c>
      <c r="F22" s="107" t="s">
        <v>318</v>
      </c>
      <c r="G22" s="106" t="s">
        <v>723</v>
      </c>
      <c r="H22" s="107" t="s">
        <v>91</v>
      </c>
      <c r="I22" s="106" t="s">
        <v>723</v>
      </c>
      <c r="J22" s="107" t="s">
        <v>85</v>
      </c>
      <c r="K22" s="106" t="s">
        <v>687</v>
      </c>
      <c r="L22" s="107" t="s">
        <v>688</v>
      </c>
      <c r="M22" s="108">
        <v>44042.0</v>
      </c>
      <c r="N22" s="106" t="s">
        <v>727</v>
      </c>
      <c r="O22" s="109" t="s">
        <v>690</v>
      </c>
      <c r="P22" s="107" t="s">
        <v>721</v>
      </c>
      <c r="Q22" s="107" t="s">
        <v>721</v>
      </c>
      <c r="R22" s="110"/>
      <c r="S22" s="110"/>
      <c r="T22" s="110"/>
      <c r="U22" s="110"/>
      <c r="V22" s="110"/>
      <c r="W22" s="110"/>
      <c r="X22" s="110"/>
      <c r="Y22" s="110"/>
      <c r="Z22" s="110"/>
    </row>
    <row r="23">
      <c r="A23" s="105" t="s">
        <v>739</v>
      </c>
      <c r="B23" s="105" t="s">
        <v>197</v>
      </c>
      <c r="C23" s="106" t="s">
        <v>740</v>
      </c>
      <c r="D23" s="107" t="s">
        <v>83</v>
      </c>
      <c r="E23" s="106" t="s">
        <v>720</v>
      </c>
      <c r="F23" s="115" t="b">
        <v>1</v>
      </c>
      <c r="G23" s="117" t="s">
        <v>86</v>
      </c>
      <c r="H23" s="107" t="s">
        <v>91</v>
      </c>
      <c r="I23" s="107" t="s">
        <v>91</v>
      </c>
      <c r="J23" s="117" t="s">
        <v>85</v>
      </c>
      <c r="K23" s="106" t="s">
        <v>687</v>
      </c>
      <c r="L23" s="107" t="s">
        <v>688</v>
      </c>
      <c r="M23" s="108">
        <v>44042.0</v>
      </c>
      <c r="N23" s="106" t="s">
        <v>741</v>
      </c>
      <c r="O23" s="109" t="s">
        <v>690</v>
      </c>
      <c r="P23" s="107" t="s">
        <v>702</v>
      </c>
      <c r="Q23" s="107" t="s">
        <v>702</v>
      </c>
      <c r="R23" s="110"/>
      <c r="S23" s="110"/>
      <c r="T23" s="110"/>
      <c r="U23" s="110"/>
      <c r="V23" s="110"/>
      <c r="W23" s="110"/>
      <c r="X23" s="110"/>
      <c r="Y23" s="110"/>
      <c r="Z23" s="110"/>
    </row>
    <row r="24">
      <c r="A24" s="105" t="s">
        <v>742</v>
      </c>
      <c r="B24" s="105" t="s">
        <v>696</v>
      </c>
      <c r="C24" s="106" t="s">
        <v>743</v>
      </c>
      <c r="D24" s="107" t="s">
        <v>83</v>
      </c>
      <c r="E24" s="106" t="s">
        <v>698</v>
      </c>
      <c r="F24" s="118">
        <v>44229.0</v>
      </c>
      <c r="G24" s="105" t="s">
        <v>686</v>
      </c>
      <c r="H24" s="107" t="s">
        <v>91</v>
      </c>
      <c r="I24" s="107" t="s">
        <v>91</v>
      </c>
      <c r="J24" s="107" t="s">
        <v>85</v>
      </c>
      <c r="K24" s="106" t="s">
        <v>687</v>
      </c>
      <c r="L24" s="107" t="s">
        <v>688</v>
      </c>
      <c r="M24" s="108">
        <v>44042.0</v>
      </c>
      <c r="N24" s="106" t="s">
        <v>701</v>
      </c>
      <c r="O24" s="109" t="s">
        <v>690</v>
      </c>
      <c r="P24" s="107" t="s">
        <v>744</v>
      </c>
      <c r="Q24" s="107" t="s">
        <v>744</v>
      </c>
      <c r="R24" s="110"/>
      <c r="S24" s="110"/>
      <c r="T24" s="110"/>
      <c r="U24" s="110"/>
      <c r="V24" s="110"/>
      <c r="W24" s="110"/>
      <c r="X24" s="110"/>
      <c r="Y24" s="110"/>
      <c r="Z24" s="110"/>
    </row>
    <row r="25">
      <c r="A25" s="105" t="s">
        <v>377</v>
      </c>
      <c r="B25" s="105" t="s">
        <v>197</v>
      </c>
      <c r="C25" s="106" t="s">
        <v>378</v>
      </c>
      <c r="D25" s="107" t="s">
        <v>185</v>
      </c>
      <c r="E25" s="106" t="s">
        <v>720</v>
      </c>
      <c r="F25" s="115" t="b">
        <v>1</v>
      </c>
      <c r="G25" s="112" t="s">
        <v>91</v>
      </c>
      <c r="H25" s="107" t="s">
        <v>91</v>
      </c>
      <c r="I25" s="107" t="s">
        <v>91</v>
      </c>
      <c r="J25" s="107" t="s">
        <v>85</v>
      </c>
      <c r="K25" s="106" t="s">
        <v>687</v>
      </c>
      <c r="L25" s="107" t="s">
        <v>688</v>
      </c>
      <c r="M25" s="108">
        <v>44042.0</v>
      </c>
      <c r="N25" s="106" t="s">
        <v>741</v>
      </c>
      <c r="O25" s="109" t="s">
        <v>690</v>
      </c>
      <c r="P25" s="107" t="s">
        <v>745</v>
      </c>
      <c r="Q25" s="107" t="s">
        <v>745</v>
      </c>
      <c r="R25" s="110"/>
      <c r="S25" s="110"/>
      <c r="T25" s="110"/>
      <c r="U25" s="110"/>
      <c r="V25" s="110"/>
      <c r="W25" s="110"/>
      <c r="X25" s="110"/>
      <c r="Y25" s="110"/>
      <c r="Z25" s="110"/>
    </row>
    <row r="26">
      <c r="A26" s="105" t="s">
        <v>746</v>
      </c>
      <c r="B26" s="105" t="s">
        <v>197</v>
      </c>
      <c r="C26" s="106" t="s">
        <v>747</v>
      </c>
      <c r="D26" s="107" t="s">
        <v>185</v>
      </c>
      <c r="E26" s="106" t="s">
        <v>698</v>
      </c>
      <c r="F26" s="113">
        <v>43704.0</v>
      </c>
      <c r="G26" s="106" t="s">
        <v>723</v>
      </c>
      <c r="H26" s="107" t="s">
        <v>91</v>
      </c>
      <c r="I26" s="106" t="s">
        <v>723</v>
      </c>
      <c r="J26" s="107" t="s">
        <v>85</v>
      </c>
      <c r="K26" s="106" t="s">
        <v>687</v>
      </c>
      <c r="L26" s="107" t="s">
        <v>688</v>
      </c>
      <c r="M26" s="108">
        <v>44041.0</v>
      </c>
      <c r="N26" s="106" t="s">
        <v>692</v>
      </c>
      <c r="O26" s="109" t="s">
        <v>690</v>
      </c>
      <c r="P26" s="107" t="s">
        <v>724</v>
      </c>
      <c r="Q26" s="107" t="s">
        <v>724</v>
      </c>
      <c r="R26" s="110"/>
      <c r="S26" s="110"/>
      <c r="T26" s="110"/>
      <c r="U26" s="110"/>
      <c r="V26" s="110"/>
      <c r="W26" s="110"/>
      <c r="X26" s="110"/>
      <c r="Y26" s="110"/>
      <c r="Z26" s="110"/>
    </row>
    <row r="27" ht="192.0" customHeight="1">
      <c r="A27" s="105" t="s">
        <v>395</v>
      </c>
      <c r="B27" s="105" t="s">
        <v>58</v>
      </c>
      <c r="C27" s="106" t="s">
        <v>748</v>
      </c>
      <c r="D27" s="107" t="s">
        <v>185</v>
      </c>
      <c r="E27" s="106" t="s">
        <v>685</v>
      </c>
      <c r="F27" s="107" t="s">
        <v>96</v>
      </c>
      <c r="G27" s="112" t="s">
        <v>86</v>
      </c>
      <c r="H27" s="107" t="s">
        <v>91</v>
      </c>
      <c r="I27" s="107" t="s">
        <v>91</v>
      </c>
      <c r="J27" s="107" t="s">
        <v>85</v>
      </c>
      <c r="K27" s="106" t="s">
        <v>749</v>
      </c>
      <c r="L27" s="107" t="s">
        <v>749</v>
      </c>
      <c r="M27" s="108">
        <v>43983.0</v>
      </c>
      <c r="N27" s="106" t="s">
        <v>692</v>
      </c>
      <c r="O27" s="109" t="s">
        <v>690</v>
      </c>
      <c r="P27" s="107" t="s">
        <v>750</v>
      </c>
      <c r="Q27" s="107" t="s">
        <v>750</v>
      </c>
      <c r="R27" s="110"/>
      <c r="S27" s="110"/>
      <c r="T27" s="110"/>
      <c r="U27" s="110"/>
      <c r="V27" s="110"/>
      <c r="W27" s="110"/>
      <c r="X27" s="110"/>
      <c r="Y27" s="110"/>
      <c r="Z27" s="110"/>
    </row>
    <row r="28" ht="15.75" customHeight="1">
      <c r="A28" s="105" t="s">
        <v>751</v>
      </c>
      <c r="B28" s="105" t="s">
        <v>197</v>
      </c>
      <c r="C28" s="106" t="s">
        <v>752</v>
      </c>
      <c r="D28" s="107" t="s">
        <v>185</v>
      </c>
      <c r="E28" s="106" t="s">
        <v>698</v>
      </c>
      <c r="F28" s="113">
        <v>43673.0</v>
      </c>
      <c r="G28" s="106" t="s">
        <v>723</v>
      </c>
      <c r="H28" s="107" t="s">
        <v>91</v>
      </c>
      <c r="I28" s="106" t="s">
        <v>723</v>
      </c>
      <c r="J28" s="107" t="s">
        <v>85</v>
      </c>
      <c r="K28" s="106" t="s">
        <v>687</v>
      </c>
      <c r="L28" s="107" t="s">
        <v>688</v>
      </c>
      <c r="M28" s="108">
        <v>44041.0</v>
      </c>
      <c r="N28" s="106" t="s">
        <v>692</v>
      </c>
      <c r="O28" s="109" t="s">
        <v>690</v>
      </c>
      <c r="P28" s="107" t="s">
        <v>724</v>
      </c>
      <c r="Q28" s="107" t="s">
        <v>724</v>
      </c>
      <c r="R28" s="110"/>
      <c r="S28" s="110"/>
      <c r="T28" s="110"/>
      <c r="U28" s="110"/>
      <c r="V28" s="110"/>
      <c r="W28" s="110"/>
      <c r="X28" s="110"/>
      <c r="Y28" s="110"/>
      <c r="Z28" s="110"/>
    </row>
    <row r="29" ht="15.75" customHeight="1">
      <c r="A29" s="105" t="s">
        <v>753</v>
      </c>
      <c r="B29" s="105" t="s">
        <v>52</v>
      </c>
      <c r="C29" s="106" t="s">
        <v>754</v>
      </c>
      <c r="D29" s="107" t="s">
        <v>185</v>
      </c>
      <c r="E29" s="106" t="s">
        <v>698</v>
      </c>
      <c r="F29" s="113">
        <v>43763.0</v>
      </c>
      <c r="G29" s="106" t="s">
        <v>723</v>
      </c>
      <c r="H29" s="112" t="s">
        <v>91</v>
      </c>
      <c r="I29" s="106" t="s">
        <v>723</v>
      </c>
      <c r="J29" s="107" t="s">
        <v>85</v>
      </c>
      <c r="K29" s="106" t="s">
        <v>687</v>
      </c>
      <c r="L29" s="107" t="s">
        <v>688</v>
      </c>
      <c r="M29" s="108">
        <v>44042.0</v>
      </c>
      <c r="N29" s="106" t="s">
        <v>735</v>
      </c>
      <c r="O29" s="116" t="s">
        <v>736</v>
      </c>
      <c r="P29" s="107" t="s">
        <v>721</v>
      </c>
      <c r="Q29" s="107" t="s">
        <v>721</v>
      </c>
      <c r="R29" s="110"/>
      <c r="S29" s="110"/>
      <c r="T29" s="110"/>
      <c r="U29" s="110"/>
      <c r="V29" s="110"/>
      <c r="W29" s="110"/>
      <c r="X29" s="110"/>
      <c r="Y29" s="110"/>
      <c r="Z29" s="110"/>
    </row>
    <row r="30" ht="15.75" customHeight="1">
      <c r="A30" s="105" t="s">
        <v>755</v>
      </c>
      <c r="B30" s="105" t="s">
        <v>52</v>
      </c>
      <c r="C30" s="106" t="s">
        <v>756</v>
      </c>
      <c r="D30" s="107" t="s">
        <v>185</v>
      </c>
      <c r="E30" s="106" t="s">
        <v>685</v>
      </c>
      <c r="F30" s="107" t="s">
        <v>757</v>
      </c>
      <c r="G30" s="106" t="s">
        <v>723</v>
      </c>
      <c r="H30" s="112" t="s">
        <v>91</v>
      </c>
      <c r="I30" s="106" t="s">
        <v>723</v>
      </c>
      <c r="J30" s="107" t="s">
        <v>85</v>
      </c>
      <c r="K30" s="106" t="s">
        <v>687</v>
      </c>
      <c r="L30" s="107" t="s">
        <v>688</v>
      </c>
      <c r="M30" s="108">
        <v>44042.0</v>
      </c>
      <c r="N30" s="106" t="s">
        <v>735</v>
      </c>
      <c r="O30" s="116" t="s">
        <v>736</v>
      </c>
      <c r="P30" s="107" t="s">
        <v>721</v>
      </c>
      <c r="Q30" s="107" t="s">
        <v>721</v>
      </c>
      <c r="R30" s="110"/>
      <c r="S30" s="110"/>
      <c r="T30" s="110"/>
      <c r="U30" s="110"/>
      <c r="V30" s="110"/>
      <c r="W30" s="110"/>
      <c r="X30" s="110"/>
      <c r="Y30" s="110"/>
      <c r="Z30" s="110"/>
    </row>
    <row r="31" ht="15.75" customHeight="1">
      <c r="A31" s="105" t="s">
        <v>758</v>
      </c>
      <c r="B31" s="105" t="s">
        <v>197</v>
      </c>
      <c r="C31" s="106" t="s">
        <v>759</v>
      </c>
      <c r="D31" s="107" t="s">
        <v>185</v>
      </c>
      <c r="E31" s="106" t="s">
        <v>713</v>
      </c>
      <c r="F31" s="107">
        <v>9.0</v>
      </c>
      <c r="G31" s="106" t="s">
        <v>723</v>
      </c>
      <c r="H31" s="112" t="s">
        <v>91</v>
      </c>
      <c r="I31" s="106" t="s">
        <v>723</v>
      </c>
      <c r="J31" s="107" t="s">
        <v>85</v>
      </c>
      <c r="K31" s="106" t="s">
        <v>687</v>
      </c>
      <c r="L31" s="107" t="s">
        <v>760</v>
      </c>
      <c r="M31" s="108">
        <v>44041.0</v>
      </c>
      <c r="N31" s="106" t="s">
        <v>735</v>
      </c>
      <c r="O31" s="116" t="s">
        <v>736</v>
      </c>
      <c r="P31" s="107" t="s">
        <v>761</v>
      </c>
      <c r="Q31" s="107" t="s">
        <v>761</v>
      </c>
      <c r="R31" s="110"/>
      <c r="S31" s="110"/>
      <c r="T31" s="110"/>
      <c r="U31" s="110"/>
      <c r="V31" s="110"/>
      <c r="W31" s="110"/>
      <c r="X31" s="110"/>
      <c r="Y31" s="110"/>
      <c r="Z31" s="110"/>
    </row>
    <row r="32">
      <c r="A32" s="105" t="s">
        <v>233</v>
      </c>
      <c r="B32" s="105" t="s">
        <v>197</v>
      </c>
      <c r="C32" s="106" t="s">
        <v>762</v>
      </c>
      <c r="D32" s="107" t="s">
        <v>135</v>
      </c>
      <c r="E32" s="106" t="s">
        <v>713</v>
      </c>
      <c r="F32" s="107">
        <v>1.0</v>
      </c>
      <c r="G32" s="107" t="s">
        <v>136</v>
      </c>
      <c r="H32" s="107" t="s">
        <v>91</v>
      </c>
      <c r="I32" s="107" t="s">
        <v>91</v>
      </c>
      <c r="J32" s="107" t="s">
        <v>85</v>
      </c>
      <c r="K32" s="105" t="s">
        <v>749</v>
      </c>
      <c r="L32" s="112" t="s">
        <v>763</v>
      </c>
      <c r="M32" s="108">
        <v>43983.0</v>
      </c>
      <c r="N32" s="106" t="s">
        <v>764</v>
      </c>
      <c r="O32" s="116" t="s">
        <v>736</v>
      </c>
      <c r="P32" s="107" t="s">
        <v>761</v>
      </c>
      <c r="Q32" s="107" t="s">
        <v>761</v>
      </c>
      <c r="R32" s="110"/>
      <c r="S32" s="110"/>
      <c r="T32" s="110"/>
      <c r="U32" s="110"/>
      <c r="V32" s="110"/>
      <c r="W32" s="110"/>
      <c r="X32" s="110"/>
      <c r="Y32" s="110"/>
      <c r="Z32" s="110"/>
    </row>
    <row r="33" ht="15.75" customHeight="1">
      <c r="A33" s="105" t="s">
        <v>461</v>
      </c>
      <c r="B33" s="105" t="s">
        <v>44</v>
      </c>
      <c r="C33" s="106" t="s">
        <v>462</v>
      </c>
      <c r="D33" s="107" t="s">
        <v>83</v>
      </c>
      <c r="E33" s="106" t="s">
        <v>685</v>
      </c>
      <c r="F33" s="107" t="s">
        <v>463</v>
      </c>
      <c r="G33" s="105" t="s">
        <v>686</v>
      </c>
      <c r="H33" s="107" t="s">
        <v>91</v>
      </c>
      <c r="I33" s="112" t="s">
        <v>87</v>
      </c>
      <c r="J33" s="107" t="s">
        <v>85</v>
      </c>
      <c r="K33" s="106" t="s">
        <v>687</v>
      </c>
      <c r="L33" s="107" t="s">
        <v>688</v>
      </c>
      <c r="M33" s="108">
        <v>44020.0</v>
      </c>
      <c r="N33" s="106" t="s">
        <v>692</v>
      </c>
      <c r="O33" s="109" t="s">
        <v>690</v>
      </c>
      <c r="P33" s="107" t="s">
        <v>705</v>
      </c>
      <c r="Q33" s="107" t="s">
        <v>705</v>
      </c>
      <c r="R33" s="110"/>
      <c r="S33" s="110"/>
      <c r="T33" s="110"/>
      <c r="U33" s="110"/>
      <c r="V33" s="110"/>
      <c r="W33" s="110"/>
      <c r="X33" s="110"/>
      <c r="Y33" s="110"/>
      <c r="Z33" s="110"/>
    </row>
    <row r="34" ht="15.75" customHeight="1">
      <c r="A34" s="105" t="s">
        <v>467</v>
      </c>
      <c r="B34" s="105" t="s">
        <v>696</v>
      </c>
      <c r="C34" s="106" t="s">
        <v>468</v>
      </c>
      <c r="D34" s="107" t="s">
        <v>83</v>
      </c>
      <c r="E34" s="106" t="s">
        <v>685</v>
      </c>
      <c r="F34" s="107">
        <v>9.40904151E8</v>
      </c>
      <c r="G34" s="114" t="s">
        <v>686</v>
      </c>
      <c r="H34" s="107" t="s">
        <v>91</v>
      </c>
      <c r="I34" s="114" t="s">
        <v>91</v>
      </c>
      <c r="J34" s="107" t="s">
        <v>85</v>
      </c>
      <c r="K34" s="106" t="s">
        <v>687</v>
      </c>
      <c r="L34" s="107" t="s">
        <v>688</v>
      </c>
      <c r="M34" s="108">
        <v>44020.0</v>
      </c>
      <c r="N34" s="106" t="s">
        <v>692</v>
      </c>
      <c r="O34" s="109" t="s">
        <v>690</v>
      </c>
      <c r="P34" s="107" t="s">
        <v>691</v>
      </c>
      <c r="Q34" s="107" t="s">
        <v>691</v>
      </c>
      <c r="R34" s="110"/>
      <c r="S34" s="110"/>
      <c r="T34" s="110"/>
      <c r="U34" s="110"/>
      <c r="V34" s="110"/>
      <c r="W34" s="110"/>
      <c r="X34" s="110"/>
      <c r="Y34" s="110"/>
      <c r="Z34" s="110"/>
    </row>
    <row r="35" ht="15.75" customHeight="1">
      <c r="A35" s="105" t="s">
        <v>469</v>
      </c>
      <c r="B35" s="105" t="s">
        <v>696</v>
      </c>
      <c r="C35" s="106" t="s">
        <v>765</v>
      </c>
      <c r="D35" s="107" t="s">
        <v>83</v>
      </c>
      <c r="E35" s="106" t="s">
        <v>685</v>
      </c>
      <c r="F35" s="107" t="s">
        <v>471</v>
      </c>
      <c r="G35" s="114" t="s">
        <v>686</v>
      </c>
      <c r="H35" s="107" t="s">
        <v>91</v>
      </c>
      <c r="I35" s="114" t="s">
        <v>91</v>
      </c>
      <c r="J35" s="107" t="s">
        <v>85</v>
      </c>
      <c r="K35" s="106" t="s">
        <v>687</v>
      </c>
      <c r="L35" s="107" t="s">
        <v>688</v>
      </c>
      <c r="M35" s="108">
        <v>44020.0</v>
      </c>
      <c r="N35" s="106" t="s">
        <v>692</v>
      </c>
      <c r="O35" s="109" t="s">
        <v>690</v>
      </c>
      <c r="P35" s="107" t="s">
        <v>691</v>
      </c>
      <c r="Q35" s="107" t="s">
        <v>691</v>
      </c>
      <c r="R35" s="110"/>
      <c r="S35" s="110"/>
      <c r="T35" s="110"/>
      <c r="U35" s="110"/>
      <c r="V35" s="110"/>
      <c r="W35" s="110"/>
      <c r="X35" s="110"/>
      <c r="Y35" s="110"/>
      <c r="Z35" s="110"/>
    </row>
    <row r="36" ht="15.75" customHeight="1">
      <c r="A36" s="105" t="s">
        <v>100</v>
      </c>
      <c r="B36" s="105" t="s">
        <v>696</v>
      </c>
      <c r="C36" s="106" t="s">
        <v>101</v>
      </c>
      <c r="D36" s="107" t="s">
        <v>83</v>
      </c>
      <c r="E36" s="106" t="s">
        <v>685</v>
      </c>
      <c r="F36" s="107" t="s">
        <v>103</v>
      </c>
      <c r="G36" s="112" t="s">
        <v>91</v>
      </c>
      <c r="H36" s="107" t="s">
        <v>91</v>
      </c>
      <c r="I36" s="107" t="s">
        <v>91</v>
      </c>
      <c r="J36" s="107" t="s">
        <v>85</v>
      </c>
      <c r="K36" s="106" t="s">
        <v>687</v>
      </c>
      <c r="L36" s="107" t="s">
        <v>688</v>
      </c>
      <c r="M36" s="108">
        <v>44020.0</v>
      </c>
      <c r="N36" s="106" t="s">
        <v>692</v>
      </c>
      <c r="O36" s="109" t="s">
        <v>690</v>
      </c>
      <c r="P36" s="107" t="s">
        <v>691</v>
      </c>
      <c r="Q36" s="107" t="s">
        <v>691</v>
      </c>
      <c r="R36" s="110"/>
      <c r="S36" s="110"/>
      <c r="T36" s="110"/>
      <c r="U36" s="110"/>
      <c r="V36" s="110"/>
      <c r="W36" s="110"/>
      <c r="X36" s="110"/>
      <c r="Y36" s="110"/>
      <c r="Z36" s="110"/>
    </row>
    <row r="37" ht="15.75" customHeight="1">
      <c r="A37" s="105" t="s">
        <v>766</v>
      </c>
      <c r="B37" s="105" t="s">
        <v>197</v>
      </c>
      <c r="C37" s="106" t="s">
        <v>767</v>
      </c>
      <c r="D37" s="107" t="s">
        <v>185</v>
      </c>
      <c r="E37" s="106" t="s">
        <v>768</v>
      </c>
      <c r="F37" s="107">
        <v>8.89</v>
      </c>
      <c r="G37" s="106" t="s">
        <v>723</v>
      </c>
      <c r="H37" s="107" t="s">
        <v>91</v>
      </c>
      <c r="I37" s="106" t="s">
        <v>723</v>
      </c>
      <c r="J37" s="107" t="s">
        <v>85</v>
      </c>
      <c r="K37" s="106" t="s">
        <v>687</v>
      </c>
      <c r="L37" s="107" t="s">
        <v>760</v>
      </c>
      <c r="M37" s="108">
        <v>44041.0</v>
      </c>
      <c r="N37" s="106" t="s">
        <v>735</v>
      </c>
      <c r="O37" s="116" t="s">
        <v>736</v>
      </c>
      <c r="P37" s="107" t="s">
        <v>761</v>
      </c>
      <c r="Q37" s="107" t="s">
        <v>761</v>
      </c>
      <c r="R37" s="110"/>
      <c r="S37" s="110"/>
      <c r="T37" s="110"/>
      <c r="U37" s="110"/>
      <c r="V37" s="110"/>
      <c r="W37" s="110"/>
      <c r="X37" s="110"/>
      <c r="Y37" s="110"/>
      <c r="Z37" s="110"/>
    </row>
    <row r="38" ht="15.75" customHeight="1">
      <c r="A38" s="105" t="s">
        <v>769</v>
      </c>
      <c r="B38" s="105" t="s">
        <v>44</v>
      </c>
      <c r="C38" s="106" t="s">
        <v>770</v>
      </c>
      <c r="D38" s="107" t="s">
        <v>83</v>
      </c>
      <c r="E38" s="106" t="s">
        <v>698</v>
      </c>
      <c r="F38" s="113">
        <v>43217.0</v>
      </c>
      <c r="G38" s="105" t="s">
        <v>686</v>
      </c>
      <c r="H38" s="107" t="s">
        <v>91</v>
      </c>
      <c r="I38" s="107" t="s">
        <v>91</v>
      </c>
      <c r="J38" s="107" t="s">
        <v>85</v>
      </c>
      <c r="K38" s="106" t="s">
        <v>749</v>
      </c>
      <c r="L38" s="107" t="s">
        <v>688</v>
      </c>
      <c r="M38" s="108">
        <v>44029.0</v>
      </c>
      <c r="N38" s="106" t="s">
        <v>701</v>
      </c>
      <c r="O38" s="109" t="s">
        <v>690</v>
      </c>
      <c r="P38" s="107" t="s">
        <v>771</v>
      </c>
      <c r="Q38" s="107" t="s">
        <v>771</v>
      </c>
      <c r="R38" s="110"/>
      <c r="S38" s="110"/>
      <c r="T38" s="110"/>
      <c r="U38" s="110"/>
      <c r="V38" s="110"/>
      <c r="W38" s="110"/>
      <c r="X38" s="110"/>
      <c r="Y38" s="110"/>
      <c r="Z38" s="110"/>
    </row>
    <row r="39" ht="15.75" customHeight="1">
      <c r="A39" s="105" t="s">
        <v>435</v>
      </c>
      <c r="B39" s="105" t="s">
        <v>44</v>
      </c>
      <c r="C39" s="106" t="s">
        <v>772</v>
      </c>
      <c r="D39" s="107" t="s">
        <v>83</v>
      </c>
      <c r="E39" s="106" t="s">
        <v>698</v>
      </c>
      <c r="F39" s="113">
        <v>43237.0</v>
      </c>
      <c r="G39" s="105" t="s">
        <v>686</v>
      </c>
      <c r="H39" s="107" t="s">
        <v>91</v>
      </c>
      <c r="I39" s="107" t="s">
        <v>91</v>
      </c>
      <c r="J39" s="107" t="s">
        <v>85</v>
      </c>
      <c r="K39" s="106" t="s">
        <v>749</v>
      </c>
      <c r="L39" s="107" t="s">
        <v>688</v>
      </c>
      <c r="M39" s="108">
        <v>44029.0</v>
      </c>
      <c r="N39" s="106" t="s">
        <v>701</v>
      </c>
      <c r="O39" s="109" t="s">
        <v>690</v>
      </c>
      <c r="P39" s="107" t="s">
        <v>771</v>
      </c>
      <c r="Q39" s="107" t="s">
        <v>771</v>
      </c>
      <c r="R39" s="110"/>
      <c r="S39" s="110"/>
      <c r="T39" s="110"/>
      <c r="U39" s="110"/>
      <c r="V39" s="110"/>
      <c r="W39" s="110"/>
      <c r="X39" s="110"/>
      <c r="Y39" s="110"/>
      <c r="Z39" s="110"/>
    </row>
    <row r="40" ht="15.75" customHeight="1">
      <c r="A40" s="105" t="s">
        <v>441</v>
      </c>
      <c r="B40" s="105" t="s">
        <v>44</v>
      </c>
      <c r="C40" s="106" t="s">
        <v>773</v>
      </c>
      <c r="D40" s="107" t="s">
        <v>83</v>
      </c>
      <c r="E40" s="106" t="s">
        <v>774</v>
      </c>
      <c r="F40" s="107">
        <v>50.0</v>
      </c>
      <c r="G40" s="112" t="s">
        <v>335</v>
      </c>
      <c r="H40" s="107" t="s">
        <v>91</v>
      </c>
      <c r="I40" s="107" t="s">
        <v>91</v>
      </c>
      <c r="J40" s="107" t="s">
        <v>85</v>
      </c>
      <c r="K40" s="106" t="s">
        <v>749</v>
      </c>
      <c r="L40" s="107" t="s">
        <v>688</v>
      </c>
      <c r="M40" s="108">
        <v>44029.0</v>
      </c>
      <c r="N40" s="106" t="s">
        <v>701</v>
      </c>
      <c r="O40" s="109" t="s">
        <v>690</v>
      </c>
      <c r="P40" s="107" t="s">
        <v>771</v>
      </c>
      <c r="Q40" s="107" t="s">
        <v>771</v>
      </c>
      <c r="R40" s="110"/>
      <c r="S40" s="110"/>
      <c r="T40" s="110"/>
      <c r="U40" s="110"/>
      <c r="V40" s="110"/>
      <c r="W40" s="110"/>
      <c r="X40" s="110"/>
      <c r="Y40" s="110"/>
      <c r="Z40" s="110"/>
    </row>
    <row r="41" ht="15.75" customHeight="1">
      <c r="A41" s="105" t="s">
        <v>372</v>
      </c>
      <c r="B41" s="105" t="s">
        <v>44</v>
      </c>
      <c r="C41" s="106" t="s">
        <v>374</v>
      </c>
      <c r="D41" s="107" t="s">
        <v>83</v>
      </c>
      <c r="E41" s="106" t="s">
        <v>774</v>
      </c>
      <c r="F41" s="107">
        <v>2265.61</v>
      </c>
      <c r="G41" s="105" t="s">
        <v>686</v>
      </c>
      <c r="H41" s="107" t="s">
        <v>91</v>
      </c>
      <c r="I41" s="107" t="s">
        <v>91</v>
      </c>
      <c r="J41" s="112" t="s">
        <v>85</v>
      </c>
      <c r="K41" s="106" t="s">
        <v>749</v>
      </c>
      <c r="L41" s="107" t="s">
        <v>688</v>
      </c>
      <c r="M41" s="108">
        <v>44029.0</v>
      </c>
      <c r="N41" s="106" t="s">
        <v>701</v>
      </c>
      <c r="O41" s="109" t="s">
        <v>690</v>
      </c>
      <c r="P41" s="107" t="s">
        <v>771</v>
      </c>
      <c r="Q41" s="107" t="s">
        <v>771</v>
      </c>
      <c r="R41" s="110"/>
      <c r="S41" s="110"/>
      <c r="T41" s="110"/>
      <c r="U41" s="110"/>
      <c r="V41" s="110"/>
      <c r="W41" s="110"/>
      <c r="X41" s="110"/>
      <c r="Y41" s="110"/>
      <c r="Z41" s="110"/>
    </row>
    <row r="42" ht="15.75" customHeight="1">
      <c r="A42" s="105" t="s">
        <v>431</v>
      </c>
      <c r="B42" s="105" t="s">
        <v>44</v>
      </c>
      <c r="C42" s="106" t="s">
        <v>432</v>
      </c>
      <c r="D42" s="107" t="s">
        <v>83</v>
      </c>
      <c r="E42" s="106" t="s">
        <v>774</v>
      </c>
      <c r="F42" s="107">
        <v>1499.0</v>
      </c>
      <c r="G42" s="112" t="s">
        <v>335</v>
      </c>
      <c r="H42" s="107" t="s">
        <v>91</v>
      </c>
      <c r="I42" s="107" t="s">
        <v>91</v>
      </c>
      <c r="J42" s="107" t="s">
        <v>85</v>
      </c>
      <c r="K42" s="106" t="s">
        <v>749</v>
      </c>
      <c r="L42" s="107" t="s">
        <v>688</v>
      </c>
      <c r="M42" s="108">
        <v>44029.0</v>
      </c>
      <c r="N42" s="106" t="s">
        <v>701</v>
      </c>
      <c r="O42" s="109" t="s">
        <v>690</v>
      </c>
      <c r="P42" s="107" t="s">
        <v>771</v>
      </c>
      <c r="Q42" s="107" t="s">
        <v>771</v>
      </c>
      <c r="R42" s="110"/>
      <c r="S42" s="110"/>
      <c r="T42" s="110"/>
      <c r="U42" s="110"/>
      <c r="V42" s="110"/>
      <c r="W42" s="110"/>
      <c r="X42" s="110"/>
      <c r="Y42" s="110"/>
      <c r="Z42" s="110"/>
    </row>
    <row r="43" ht="15.75" customHeight="1">
      <c r="A43" s="105" t="s">
        <v>437</v>
      </c>
      <c r="B43" s="105" t="s">
        <v>44</v>
      </c>
      <c r="C43" s="106" t="s">
        <v>438</v>
      </c>
      <c r="D43" s="107" t="s">
        <v>83</v>
      </c>
      <c r="E43" s="106" t="s">
        <v>774</v>
      </c>
      <c r="F43" s="107">
        <v>1498.61</v>
      </c>
      <c r="G43" s="112" t="s">
        <v>335</v>
      </c>
      <c r="H43" s="107" t="s">
        <v>91</v>
      </c>
      <c r="I43" s="107" t="s">
        <v>91</v>
      </c>
      <c r="J43" s="107" t="s">
        <v>85</v>
      </c>
      <c r="K43" s="106" t="s">
        <v>749</v>
      </c>
      <c r="L43" s="107" t="s">
        <v>688</v>
      </c>
      <c r="M43" s="108">
        <v>44029.0</v>
      </c>
      <c r="N43" s="106" t="s">
        <v>701</v>
      </c>
      <c r="O43" s="109" t="s">
        <v>690</v>
      </c>
      <c r="P43" s="107" t="s">
        <v>771</v>
      </c>
      <c r="Q43" s="107" t="s">
        <v>771</v>
      </c>
      <c r="R43" s="110"/>
      <c r="S43" s="110"/>
      <c r="T43" s="110"/>
      <c r="U43" s="110"/>
      <c r="V43" s="110"/>
      <c r="W43" s="110"/>
      <c r="X43" s="110"/>
      <c r="Y43" s="110"/>
      <c r="Z43" s="110"/>
    </row>
    <row r="44" ht="39.75" customHeight="1">
      <c r="A44" s="105" t="s">
        <v>405</v>
      </c>
      <c r="B44" s="105" t="s">
        <v>696</v>
      </c>
      <c r="C44" s="106" t="s">
        <v>406</v>
      </c>
      <c r="D44" s="107" t="s">
        <v>83</v>
      </c>
      <c r="E44" s="106" t="s">
        <v>685</v>
      </c>
      <c r="F44" s="107" t="s">
        <v>407</v>
      </c>
      <c r="G44" s="112" t="s">
        <v>335</v>
      </c>
      <c r="H44" s="107" t="s">
        <v>91</v>
      </c>
      <c r="I44" s="107" t="s">
        <v>91</v>
      </c>
      <c r="J44" s="107" t="s">
        <v>85</v>
      </c>
      <c r="K44" s="106" t="s">
        <v>687</v>
      </c>
      <c r="L44" s="107" t="s">
        <v>688</v>
      </c>
      <c r="M44" s="108">
        <v>44042.0</v>
      </c>
      <c r="N44" s="106" t="s">
        <v>701</v>
      </c>
      <c r="O44" s="109" t="s">
        <v>690</v>
      </c>
      <c r="P44" s="107" t="s">
        <v>702</v>
      </c>
      <c r="Q44" s="107" t="s">
        <v>702</v>
      </c>
      <c r="R44" s="110"/>
      <c r="S44" s="110"/>
      <c r="T44" s="110"/>
      <c r="U44" s="110"/>
      <c r="V44" s="110"/>
      <c r="W44" s="110"/>
      <c r="X44" s="110"/>
      <c r="Y44" s="110"/>
      <c r="Z44" s="110"/>
    </row>
    <row r="45" ht="15.75" customHeight="1">
      <c r="A45" s="105" t="s">
        <v>775</v>
      </c>
      <c r="B45" s="105" t="s">
        <v>44</v>
      </c>
      <c r="C45" s="106" t="s">
        <v>1322</v>
      </c>
      <c r="D45" s="107" t="s">
        <v>83</v>
      </c>
      <c r="E45" s="106" t="s">
        <v>1323</v>
      </c>
      <c r="F45" s="107">
        <v>133.1008</v>
      </c>
      <c r="G45" s="106" t="s">
        <v>723</v>
      </c>
      <c r="H45" s="107" t="s">
        <v>91</v>
      </c>
      <c r="I45" s="106" t="s">
        <v>723</v>
      </c>
      <c r="J45" s="107" t="s">
        <v>85</v>
      </c>
      <c r="K45" s="106" t="s">
        <v>687</v>
      </c>
      <c r="L45" s="107" t="s">
        <v>688</v>
      </c>
      <c r="M45" s="108">
        <v>44042.0</v>
      </c>
      <c r="N45" s="106" t="s">
        <v>1324</v>
      </c>
      <c r="O45" s="109" t="s">
        <v>690</v>
      </c>
      <c r="P45" s="107" t="s">
        <v>744</v>
      </c>
      <c r="Q45" s="107" t="s">
        <v>744</v>
      </c>
      <c r="R45" s="110"/>
      <c r="S45" s="110"/>
      <c r="T45" s="110"/>
      <c r="U45" s="110"/>
      <c r="V45" s="110"/>
      <c r="W45" s="110"/>
      <c r="X45" s="110"/>
      <c r="Y45" s="110"/>
      <c r="Z45" s="110"/>
    </row>
    <row r="46" ht="15.75" customHeight="1">
      <c r="A46" s="105" t="s">
        <v>778</v>
      </c>
      <c r="B46" s="105" t="s">
        <v>197</v>
      </c>
      <c r="C46" s="106" t="s">
        <v>779</v>
      </c>
      <c r="D46" s="107" t="s">
        <v>83</v>
      </c>
      <c r="E46" s="106" t="s">
        <v>774</v>
      </c>
      <c r="F46" s="107">
        <v>800.0</v>
      </c>
      <c r="G46" s="112" t="s">
        <v>335</v>
      </c>
      <c r="H46" s="107" t="s">
        <v>91</v>
      </c>
      <c r="I46" s="107" t="s">
        <v>91</v>
      </c>
      <c r="J46" s="107" t="s">
        <v>85</v>
      </c>
      <c r="K46" s="106" t="s">
        <v>687</v>
      </c>
      <c r="L46" s="107" t="s">
        <v>688</v>
      </c>
      <c r="M46" s="108">
        <v>44042.0</v>
      </c>
      <c r="N46" s="106" t="s">
        <v>701</v>
      </c>
      <c r="O46" s="109" t="s">
        <v>690</v>
      </c>
      <c r="P46" s="107" t="s">
        <v>691</v>
      </c>
      <c r="Q46" s="107" t="s">
        <v>691</v>
      </c>
      <c r="R46" s="110"/>
      <c r="S46" s="110"/>
      <c r="T46" s="110"/>
      <c r="U46" s="110"/>
      <c r="V46" s="110"/>
      <c r="W46" s="110"/>
      <c r="X46" s="110"/>
      <c r="Y46" s="110"/>
      <c r="Z46" s="110"/>
    </row>
    <row r="47" ht="15.75" customHeight="1">
      <c r="A47" s="105" t="s">
        <v>780</v>
      </c>
      <c r="B47" s="105" t="s">
        <v>197</v>
      </c>
      <c r="C47" s="106" t="s">
        <v>384</v>
      </c>
      <c r="D47" s="107" t="s">
        <v>185</v>
      </c>
      <c r="E47" s="106" t="s">
        <v>768</v>
      </c>
      <c r="F47" s="107">
        <v>460.0</v>
      </c>
      <c r="G47" s="106" t="s">
        <v>723</v>
      </c>
      <c r="H47" s="107" t="s">
        <v>91</v>
      </c>
      <c r="I47" s="106" t="s">
        <v>723</v>
      </c>
      <c r="J47" s="107" t="s">
        <v>85</v>
      </c>
      <c r="K47" s="106" t="s">
        <v>687</v>
      </c>
      <c r="L47" s="107" t="s">
        <v>760</v>
      </c>
      <c r="M47" s="108">
        <v>44041.0</v>
      </c>
      <c r="N47" s="106" t="s">
        <v>735</v>
      </c>
      <c r="O47" s="116" t="s">
        <v>736</v>
      </c>
      <c r="P47" s="107" t="s">
        <v>761</v>
      </c>
      <c r="Q47" s="107" t="s">
        <v>761</v>
      </c>
      <c r="R47" s="110"/>
      <c r="S47" s="110"/>
      <c r="T47" s="110"/>
      <c r="U47" s="110"/>
      <c r="V47" s="110"/>
      <c r="W47" s="110"/>
      <c r="X47" s="110"/>
      <c r="Y47" s="110"/>
      <c r="Z47" s="110"/>
    </row>
    <row r="48" ht="15.75" customHeight="1">
      <c r="A48" s="105" t="s">
        <v>304</v>
      </c>
      <c r="B48" s="105" t="s">
        <v>46</v>
      </c>
      <c r="C48" s="106" t="s">
        <v>305</v>
      </c>
      <c r="D48" s="107" t="s">
        <v>135</v>
      </c>
      <c r="E48" s="106" t="s">
        <v>685</v>
      </c>
      <c r="F48" s="107" t="s">
        <v>781</v>
      </c>
      <c r="G48" s="112" t="s">
        <v>136</v>
      </c>
      <c r="H48" s="107" t="s">
        <v>91</v>
      </c>
      <c r="I48" s="112" t="s">
        <v>91</v>
      </c>
      <c r="J48" s="112" t="s">
        <v>307</v>
      </c>
      <c r="K48" s="105" t="s">
        <v>749</v>
      </c>
      <c r="L48" s="112" t="s">
        <v>763</v>
      </c>
      <c r="M48" s="108">
        <v>43983.0</v>
      </c>
      <c r="N48" s="106" t="s">
        <v>741</v>
      </c>
      <c r="O48" s="109" t="s">
        <v>732</v>
      </c>
      <c r="P48" s="107" t="s">
        <v>782</v>
      </c>
      <c r="Q48" s="107" t="s">
        <v>782</v>
      </c>
      <c r="R48" s="110"/>
      <c r="S48" s="110"/>
      <c r="T48" s="110"/>
      <c r="U48" s="110"/>
      <c r="V48" s="110"/>
      <c r="W48" s="110"/>
      <c r="X48" s="110"/>
      <c r="Y48" s="110"/>
      <c r="Z48" s="110"/>
    </row>
    <row r="49" ht="15.75" customHeight="1">
      <c r="A49" s="105" t="s">
        <v>228</v>
      </c>
      <c r="B49" s="105" t="s">
        <v>58</v>
      </c>
      <c r="C49" s="106" t="s">
        <v>783</v>
      </c>
      <c r="D49" s="107" t="s">
        <v>135</v>
      </c>
      <c r="E49" s="106" t="s">
        <v>685</v>
      </c>
      <c r="F49" s="107" t="s">
        <v>230</v>
      </c>
      <c r="G49" s="112" t="s">
        <v>136</v>
      </c>
      <c r="H49" s="112" t="s">
        <v>91</v>
      </c>
      <c r="I49" s="112" t="s">
        <v>91</v>
      </c>
      <c r="J49" s="107" t="s">
        <v>90</v>
      </c>
      <c r="K49" s="105" t="s">
        <v>749</v>
      </c>
      <c r="L49" s="112" t="s">
        <v>763</v>
      </c>
      <c r="M49" s="108">
        <v>43983.0</v>
      </c>
      <c r="N49" s="106" t="s">
        <v>701</v>
      </c>
      <c r="O49" s="109" t="s">
        <v>732</v>
      </c>
      <c r="P49" s="107" t="s">
        <v>750</v>
      </c>
      <c r="Q49" s="107" t="s">
        <v>750</v>
      </c>
      <c r="R49" s="110"/>
      <c r="S49" s="110"/>
      <c r="T49" s="110"/>
      <c r="U49" s="110"/>
      <c r="V49" s="110"/>
      <c r="W49" s="110"/>
      <c r="X49" s="110"/>
      <c r="Y49" s="110"/>
      <c r="Z49" s="110"/>
    </row>
    <row r="50" ht="15.75" customHeight="1">
      <c r="A50" s="105" t="s">
        <v>319</v>
      </c>
      <c r="B50" s="105" t="s">
        <v>60</v>
      </c>
      <c r="C50" s="106" t="s">
        <v>320</v>
      </c>
      <c r="D50" s="107" t="s">
        <v>135</v>
      </c>
      <c r="E50" s="106" t="s">
        <v>713</v>
      </c>
      <c r="F50" s="107">
        <v>1.0</v>
      </c>
      <c r="G50" s="112" t="s">
        <v>136</v>
      </c>
      <c r="H50" s="107" t="s">
        <v>91</v>
      </c>
      <c r="I50" s="112" t="s">
        <v>91</v>
      </c>
      <c r="J50" s="107" t="s">
        <v>90</v>
      </c>
      <c r="K50" s="105" t="s">
        <v>749</v>
      </c>
      <c r="L50" s="112" t="s">
        <v>763</v>
      </c>
      <c r="M50" s="108">
        <v>43983.0</v>
      </c>
      <c r="N50" s="106" t="s">
        <v>735</v>
      </c>
      <c r="O50" s="109" t="s">
        <v>732</v>
      </c>
      <c r="P50" s="107" t="s">
        <v>750</v>
      </c>
      <c r="Q50" s="107" t="s">
        <v>750</v>
      </c>
      <c r="R50" s="110"/>
      <c r="S50" s="110"/>
      <c r="T50" s="110"/>
      <c r="U50" s="110"/>
      <c r="V50" s="110"/>
      <c r="W50" s="110"/>
      <c r="X50" s="110"/>
      <c r="Y50" s="110"/>
      <c r="Z50" s="110"/>
    </row>
    <row r="51" ht="15.75" customHeight="1">
      <c r="A51" s="105" t="s">
        <v>321</v>
      </c>
      <c r="B51" s="105" t="s">
        <v>60</v>
      </c>
      <c r="C51" s="106" t="s">
        <v>322</v>
      </c>
      <c r="D51" s="107" t="s">
        <v>135</v>
      </c>
      <c r="E51" s="106" t="s">
        <v>784</v>
      </c>
      <c r="F51" s="120">
        <v>0.6448</v>
      </c>
      <c r="G51" s="112" t="s">
        <v>136</v>
      </c>
      <c r="H51" s="107" t="s">
        <v>91</v>
      </c>
      <c r="I51" s="112" t="s">
        <v>91</v>
      </c>
      <c r="J51" s="107" t="s">
        <v>90</v>
      </c>
      <c r="K51" s="105" t="s">
        <v>749</v>
      </c>
      <c r="L51" s="112" t="s">
        <v>763</v>
      </c>
      <c r="M51" s="108">
        <v>43983.0</v>
      </c>
      <c r="N51" s="106" t="s">
        <v>735</v>
      </c>
      <c r="O51" s="109" t="s">
        <v>732</v>
      </c>
      <c r="P51" s="107" t="s">
        <v>750</v>
      </c>
      <c r="Q51" s="107" t="s">
        <v>750</v>
      </c>
      <c r="R51" s="110"/>
      <c r="S51" s="110"/>
      <c r="T51" s="110"/>
      <c r="U51" s="110"/>
      <c r="V51" s="110"/>
      <c r="W51" s="110"/>
      <c r="X51" s="110"/>
      <c r="Y51" s="110"/>
      <c r="Z51" s="110"/>
    </row>
    <row r="52" ht="15.75" customHeight="1">
      <c r="A52" s="105" t="s">
        <v>248</v>
      </c>
      <c r="B52" s="105" t="s">
        <v>60</v>
      </c>
      <c r="C52" s="106" t="s">
        <v>249</v>
      </c>
      <c r="D52" s="107" t="s">
        <v>135</v>
      </c>
      <c r="E52" s="106" t="s">
        <v>784</v>
      </c>
      <c r="F52" s="111" t="s">
        <v>785</v>
      </c>
      <c r="G52" s="112" t="s">
        <v>136</v>
      </c>
      <c r="H52" s="107" t="s">
        <v>91</v>
      </c>
      <c r="I52" s="112" t="s">
        <v>91</v>
      </c>
      <c r="J52" s="107" t="s">
        <v>90</v>
      </c>
      <c r="K52" s="105" t="s">
        <v>749</v>
      </c>
      <c r="L52" s="112" t="s">
        <v>763</v>
      </c>
      <c r="M52" s="108">
        <v>43983.0</v>
      </c>
      <c r="N52" s="106" t="s">
        <v>701</v>
      </c>
      <c r="O52" s="109" t="s">
        <v>732</v>
      </c>
      <c r="P52" s="107" t="s">
        <v>750</v>
      </c>
      <c r="Q52" s="107" t="s">
        <v>750</v>
      </c>
      <c r="R52" s="110"/>
      <c r="S52" s="110"/>
      <c r="T52" s="110"/>
      <c r="U52" s="110"/>
      <c r="V52" s="110"/>
      <c r="W52" s="110"/>
      <c r="X52" s="110"/>
      <c r="Y52" s="110"/>
      <c r="Z52" s="110"/>
    </row>
    <row r="53" ht="15.75" customHeight="1">
      <c r="A53" s="105" t="s">
        <v>245</v>
      </c>
      <c r="B53" s="105" t="s">
        <v>60</v>
      </c>
      <c r="C53" s="106" t="s">
        <v>247</v>
      </c>
      <c r="D53" s="107" t="s">
        <v>135</v>
      </c>
      <c r="E53" s="106" t="s">
        <v>713</v>
      </c>
      <c r="F53" s="107">
        <v>1.0</v>
      </c>
      <c r="G53" s="112" t="s">
        <v>136</v>
      </c>
      <c r="H53" s="107" t="s">
        <v>91</v>
      </c>
      <c r="I53" s="112" t="s">
        <v>91</v>
      </c>
      <c r="J53" s="107" t="s">
        <v>90</v>
      </c>
      <c r="K53" s="105" t="s">
        <v>749</v>
      </c>
      <c r="L53" s="112" t="s">
        <v>763</v>
      </c>
      <c r="M53" s="108">
        <v>43983.0</v>
      </c>
      <c r="N53" s="106" t="s">
        <v>701</v>
      </c>
      <c r="O53" s="109" t="s">
        <v>732</v>
      </c>
      <c r="P53" s="107" t="s">
        <v>750</v>
      </c>
      <c r="Q53" s="107" t="s">
        <v>750</v>
      </c>
      <c r="R53" s="110"/>
      <c r="S53" s="110"/>
      <c r="T53" s="110"/>
      <c r="U53" s="110"/>
      <c r="V53" s="110"/>
      <c r="W53" s="110"/>
      <c r="X53" s="110"/>
      <c r="Y53" s="110"/>
      <c r="Z53" s="110"/>
    </row>
    <row r="54" ht="15.75" customHeight="1">
      <c r="A54" s="105" t="s">
        <v>342</v>
      </c>
      <c r="B54" s="105" t="s">
        <v>197</v>
      </c>
      <c r="C54" s="106" t="s">
        <v>343</v>
      </c>
      <c r="D54" s="107" t="s">
        <v>185</v>
      </c>
      <c r="E54" s="106" t="s">
        <v>720</v>
      </c>
      <c r="F54" s="115" t="b">
        <v>1</v>
      </c>
      <c r="G54" s="106" t="s">
        <v>686</v>
      </c>
      <c r="H54" s="107" t="s">
        <v>91</v>
      </c>
      <c r="I54" s="107" t="s">
        <v>91</v>
      </c>
      <c r="J54" s="107" t="s">
        <v>85</v>
      </c>
      <c r="K54" s="106" t="s">
        <v>687</v>
      </c>
      <c r="L54" s="107" t="s">
        <v>688</v>
      </c>
      <c r="M54" s="108">
        <v>44042.0</v>
      </c>
      <c r="N54" s="106" t="s">
        <v>692</v>
      </c>
      <c r="O54" s="109" t="s">
        <v>690</v>
      </c>
      <c r="P54" s="107" t="s">
        <v>702</v>
      </c>
      <c r="Q54" s="107" t="s">
        <v>702</v>
      </c>
      <c r="R54" s="110"/>
      <c r="S54" s="110"/>
      <c r="T54" s="110"/>
      <c r="U54" s="110"/>
      <c r="V54" s="110"/>
      <c r="W54" s="110"/>
      <c r="X54" s="110"/>
      <c r="Y54" s="110"/>
      <c r="Z54" s="110"/>
    </row>
    <row r="55" ht="15.75" customHeight="1">
      <c r="A55" s="105" t="s">
        <v>786</v>
      </c>
      <c r="B55" s="105" t="s">
        <v>696</v>
      </c>
      <c r="C55" s="106" t="s">
        <v>787</v>
      </c>
      <c r="D55" s="107" t="s">
        <v>185</v>
      </c>
      <c r="E55" s="106" t="s">
        <v>685</v>
      </c>
      <c r="F55" s="107" t="s">
        <v>299</v>
      </c>
      <c r="G55" s="105" t="s">
        <v>686</v>
      </c>
      <c r="H55" s="107" t="s">
        <v>91</v>
      </c>
      <c r="I55" s="112" t="s">
        <v>91</v>
      </c>
      <c r="J55" s="107" t="s">
        <v>90</v>
      </c>
      <c r="K55" s="106" t="s">
        <v>687</v>
      </c>
      <c r="L55" s="107" t="s">
        <v>688</v>
      </c>
      <c r="M55" s="108">
        <v>44042.0</v>
      </c>
      <c r="N55" s="106" t="s">
        <v>701</v>
      </c>
      <c r="O55" s="109" t="s">
        <v>690</v>
      </c>
      <c r="P55" s="107" t="s">
        <v>744</v>
      </c>
      <c r="Q55" s="107" t="s">
        <v>744</v>
      </c>
      <c r="R55" s="110"/>
      <c r="S55" s="110"/>
      <c r="T55" s="110"/>
      <c r="U55" s="110"/>
      <c r="V55" s="110"/>
      <c r="W55" s="110"/>
      <c r="X55" s="110"/>
      <c r="Y55" s="110"/>
      <c r="Z55" s="110"/>
    </row>
    <row r="56" ht="15.75" customHeight="1">
      <c r="A56" s="105" t="s">
        <v>418</v>
      </c>
      <c r="B56" s="105" t="s">
        <v>44</v>
      </c>
      <c r="C56" s="106" t="s">
        <v>419</v>
      </c>
      <c r="D56" s="107" t="s">
        <v>83</v>
      </c>
      <c r="E56" s="106" t="s">
        <v>774</v>
      </c>
      <c r="F56" s="107">
        <v>1796.0</v>
      </c>
      <c r="G56" s="112" t="s">
        <v>335</v>
      </c>
      <c r="H56" s="107" t="s">
        <v>91</v>
      </c>
      <c r="I56" s="107" t="s">
        <v>91</v>
      </c>
      <c r="J56" s="107" t="s">
        <v>85</v>
      </c>
      <c r="K56" s="106" t="s">
        <v>687</v>
      </c>
      <c r="L56" s="107" t="s">
        <v>688</v>
      </c>
      <c r="M56" s="108">
        <v>44042.0</v>
      </c>
      <c r="N56" s="106" t="s">
        <v>701</v>
      </c>
      <c r="O56" s="109" t="s">
        <v>690</v>
      </c>
      <c r="P56" s="107" t="s">
        <v>788</v>
      </c>
      <c r="Q56" s="107" t="s">
        <v>788</v>
      </c>
      <c r="R56" s="110"/>
      <c r="S56" s="110"/>
      <c r="T56" s="110"/>
      <c r="U56" s="110"/>
      <c r="V56" s="110"/>
      <c r="W56" s="110"/>
      <c r="X56" s="110"/>
      <c r="Y56" s="110"/>
      <c r="Z56" s="110"/>
    </row>
    <row r="57" ht="15.75" customHeight="1">
      <c r="A57" s="105" t="s">
        <v>416</v>
      </c>
      <c r="B57" s="105" t="s">
        <v>44</v>
      </c>
      <c r="C57" s="106" t="s">
        <v>415</v>
      </c>
      <c r="D57" s="107" t="s">
        <v>83</v>
      </c>
      <c r="E57" s="106" t="s">
        <v>1326</v>
      </c>
      <c r="F57" s="106">
        <v>343.33</v>
      </c>
      <c r="G57" s="112" t="s">
        <v>335</v>
      </c>
      <c r="H57" s="107" t="s">
        <v>91</v>
      </c>
      <c r="I57" s="107" t="s">
        <v>91</v>
      </c>
      <c r="J57" s="107" t="s">
        <v>85</v>
      </c>
      <c r="K57" s="106" t="s">
        <v>687</v>
      </c>
      <c r="L57" s="107" t="s">
        <v>688</v>
      </c>
      <c r="M57" s="108">
        <v>44041.0</v>
      </c>
      <c r="N57" s="106" t="s">
        <v>1318</v>
      </c>
      <c r="O57" s="109" t="s">
        <v>690</v>
      </c>
      <c r="P57" s="107" t="s">
        <v>691</v>
      </c>
      <c r="Q57" s="107" t="s">
        <v>691</v>
      </c>
      <c r="R57" s="110"/>
      <c r="S57" s="110"/>
      <c r="T57" s="110"/>
      <c r="U57" s="110"/>
      <c r="V57" s="110"/>
      <c r="W57" s="110"/>
      <c r="X57" s="110"/>
      <c r="Y57" s="110"/>
      <c r="Z57" s="110"/>
    </row>
    <row r="58" ht="15.75" customHeight="1">
      <c r="A58" s="105" t="s">
        <v>789</v>
      </c>
      <c r="B58" s="105" t="s">
        <v>44</v>
      </c>
      <c r="C58" s="106" t="s">
        <v>790</v>
      </c>
      <c r="D58" s="107" t="s">
        <v>185</v>
      </c>
      <c r="E58" s="106" t="s">
        <v>777</v>
      </c>
      <c r="F58" s="107">
        <v>3023.0</v>
      </c>
      <c r="G58" s="106" t="s">
        <v>723</v>
      </c>
      <c r="H58" s="107" t="s">
        <v>91</v>
      </c>
      <c r="I58" s="106" t="s">
        <v>723</v>
      </c>
      <c r="J58" s="107" t="s">
        <v>85</v>
      </c>
      <c r="K58" s="106" t="s">
        <v>749</v>
      </c>
      <c r="L58" s="107" t="s">
        <v>688</v>
      </c>
      <c r="M58" s="108">
        <v>44024.0</v>
      </c>
      <c r="N58" s="106" t="s">
        <v>701</v>
      </c>
      <c r="O58" s="109" t="s">
        <v>690</v>
      </c>
      <c r="P58" s="107" t="s">
        <v>771</v>
      </c>
      <c r="Q58" s="107" t="s">
        <v>771</v>
      </c>
      <c r="R58" s="110"/>
      <c r="S58" s="110"/>
      <c r="T58" s="110"/>
      <c r="U58" s="110"/>
      <c r="V58" s="110"/>
      <c r="W58" s="110"/>
      <c r="X58" s="110"/>
      <c r="Y58" s="110"/>
      <c r="Z58" s="110"/>
    </row>
    <row r="59" ht="15.75" customHeight="1">
      <c r="A59" s="105" t="s">
        <v>180</v>
      </c>
      <c r="B59" s="105" t="s">
        <v>197</v>
      </c>
      <c r="C59" s="106" t="s">
        <v>791</v>
      </c>
      <c r="D59" s="107" t="s">
        <v>185</v>
      </c>
      <c r="E59" s="106" t="s">
        <v>720</v>
      </c>
      <c r="F59" s="115" t="b">
        <v>1</v>
      </c>
      <c r="G59" s="112" t="s">
        <v>91</v>
      </c>
      <c r="H59" s="107" t="s">
        <v>91</v>
      </c>
      <c r="I59" s="107" t="s">
        <v>91</v>
      </c>
      <c r="J59" s="107" t="s">
        <v>85</v>
      </c>
      <c r="K59" s="106" t="s">
        <v>687</v>
      </c>
      <c r="L59" s="107" t="s">
        <v>687</v>
      </c>
      <c r="M59" s="108">
        <v>44040.0</v>
      </c>
      <c r="N59" s="106" t="s">
        <v>741</v>
      </c>
      <c r="O59" s="109" t="s">
        <v>690</v>
      </c>
      <c r="P59" s="107" t="s">
        <v>782</v>
      </c>
      <c r="Q59" s="107" t="s">
        <v>782</v>
      </c>
      <c r="R59" s="110"/>
      <c r="S59" s="110"/>
      <c r="T59" s="110"/>
      <c r="U59" s="110"/>
      <c r="V59" s="110"/>
      <c r="W59" s="110"/>
      <c r="X59" s="110"/>
      <c r="Y59" s="110"/>
      <c r="Z59" s="110"/>
    </row>
    <row r="60" ht="15.75" customHeight="1">
      <c r="A60" s="105" t="s">
        <v>139</v>
      </c>
      <c r="B60" s="105" t="s">
        <v>44</v>
      </c>
      <c r="C60" s="106" t="s">
        <v>140</v>
      </c>
      <c r="D60" s="107" t="s">
        <v>135</v>
      </c>
      <c r="E60" s="106" t="s">
        <v>685</v>
      </c>
      <c r="F60" s="112" t="s">
        <v>142</v>
      </c>
      <c r="G60" s="112" t="s">
        <v>136</v>
      </c>
      <c r="H60" s="112" t="s">
        <v>91</v>
      </c>
      <c r="I60" s="112" t="s">
        <v>91</v>
      </c>
      <c r="J60" s="122">
        <v>0.625</v>
      </c>
      <c r="K60" s="105" t="s">
        <v>749</v>
      </c>
      <c r="L60" s="112" t="s">
        <v>793</v>
      </c>
      <c r="M60" s="108">
        <v>43983.0</v>
      </c>
      <c r="N60" s="106" t="s">
        <v>741</v>
      </c>
      <c r="O60" s="109" t="s">
        <v>690</v>
      </c>
      <c r="P60" s="107" t="s">
        <v>691</v>
      </c>
      <c r="Q60" s="107" t="s">
        <v>691</v>
      </c>
      <c r="R60" s="110"/>
      <c r="S60" s="110"/>
      <c r="T60" s="110"/>
      <c r="U60" s="110"/>
      <c r="V60" s="110"/>
      <c r="W60" s="110"/>
      <c r="X60" s="110"/>
      <c r="Y60" s="110"/>
      <c r="Z60" s="110"/>
    </row>
    <row r="61" ht="15.75" customHeight="1">
      <c r="A61" s="105" t="s">
        <v>794</v>
      </c>
      <c r="B61" s="105" t="s">
        <v>44</v>
      </c>
      <c r="C61" s="106" t="s">
        <v>334</v>
      </c>
      <c r="D61" s="107" t="s">
        <v>83</v>
      </c>
      <c r="E61" s="106" t="s">
        <v>774</v>
      </c>
      <c r="F61" s="107">
        <v>20000.0</v>
      </c>
      <c r="G61" s="112" t="s">
        <v>335</v>
      </c>
      <c r="H61" s="107" t="s">
        <v>91</v>
      </c>
      <c r="I61" s="107" t="s">
        <v>91</v>
      </c>
      <c r="J61" s="107" t="s">
        <v>85</v>
      </c>
      <c r="K61" s="106" t="s">
        <v>687</v>
      </c>
      <c r="L61" s="107" t="s">
        <v>688</v>
      </c>
      <c r="M61" s="108">
        <v>44042.0</v>
      </c>
      <c r="N61" s="106" t="s">
        <v>701</v>
      </c>
      <c r="O61" s="109" t="s">
        <v>690</v>
      </c>
      <c r="P61" s="107" t="s">
        <v>691</v>
      </c>
      <c r="Q61" s="107" t="s">
        <v>691</v>
      </c>
      <c r="R61" s="110"/>
      <c r="S61" s="110"/>
      <c r="T61" s="110"/>
      <c r="U61" s="110"/>
      <c r="V61" s="110"/>
      <c r="W61" s="110"/>
      <c r="X61" s="110"/>
      <c r="Y61" s="110"/>
      <c r="Z61" s="110"/>
    </row>
    <row r="62" ht="15.75" customHeight="1">
      <c r="A62" s="105" t="s">
        <v>403</v>
      </c>
      <c r="B62" s="105" t="s">
        <v>197</v>
      </c>
      <c r="C62" s="106" t="s">
        <v>404</v>
      </c>
      <c r="D62" s="107" t="s">
        <v>83</v>
      </c>
      <c r="E62" s="106" t="s">
        <v>685</v>
      </c>
      <c r="F62" s="105">
        <v>5.25641638E8</v>
      </c>
      <c r="G62" s="105" t="s">
        <v>686</v>
      </c>
      <c r="H62" s="107" t="s">
        <v>91</v>
      </c>
      <c r="I62" s="107" t="s">
        <v>91</v>
      </c>
      <c r="J62" s="107" t="s">
        <v>85</v>
      </c>
      <c r="K62" s="106" t="s">
        <v>749</v>
      </c>
      <c r="L62" s="107" t="s">
        <v>688</v>
      </c>
      <c r="M62" s="108">
        <v>44029.0</v>
      </c>
      <c r="N62" s="106" t="s">
        <v>701</v>
      </c>
      <c r="O62" s="109" t="s">
        <v>690</v>
      </c>
      <c r="P62" s="107" t="s">
        <v>771</v>
      </c>
      <c r="Q62" s="107" t="s">
        <v>771</v>
      </c>
      <c r="R62" s="110"/>
      <c r="S62" s="110"/>
      <c r="T62" s="110"/>
      <c r="U62" s="110"/>
      <c r="V62" s="110"/>
      <c r="W62" s="110"/>
      <c r="X62" s="110"/>
      <c r="Y62" s="110"/>
      <c r="Z62" s="110"/>
    </row>
    <row r="63" ht="15.75" customHeight="1">
      <c r="A63" s="105" t="s">
        <v>420</v>
      </c>
      <c r="B63" s="105" t="s">
        <v>696</v>
      </c>
      <c r="C63" s="106" t="s">
        <v>795</v>
      </c>
      <c r="D63" s="107" t="s">
        <v>185</v>
      </c>
      <c r="E63" s="106" t="s">
        <v>685</v>
      </c>
      <c r="F63" s="107" t="s">
        <v>732</v>
      </c>
      <c r="G63" s="105" t="s">
        <v>686</v>
      </c>
      <c r="H63" s="107" t="s">
        <v>91</v>
      </c>
      <c r="I63" s="107" t="s">
        <v>91</v>
      </c>
      <c r="J63" s="107" t="s">
        <v>85</v>
      </c>
      <c r="K63" s="106" t="s">
        <v>687</v>
      </c>
      <c r="L63" s="107" t="s">
        <v>688</v>
      </c>
      <c r="M63" s="108">
        <v>44042.0</v>
      </c>
      <c r="N63" s="106" t="s">
        <v>692</v>
      </c>
      <c r="O63" s="109" t="s">
        <v>690</v>
      </c>
      <c r="P63" s="107" t="s">
        <v>691</v>
      </c>
      <c r="Q63" s="107" t="s">
        <v>691</v>
      </c>
      <c r="R63" s="110"/>
      <c r="S63" s="110"/>
      <c r="T63" s="110"/>
      <c r="U63" s="110"/>
      <c r="V63" s="110"/>
      <c r="W63" s="110"/>
      <c r="X63" s="110"/>
      <c r="Y63" s="110"/>
      <c r="Z63" s="110"/>
    </row>
    <row r="64">
      <c r="A64" s="105" t="s">
        <v>423</v>
      </c>
      <c r="B64" s="105" t="s">
        <v>696</v>
      </c>
      <c r="C64" s="106" t="s">
        <v>796</v>
      </c>
      <c r="D64" s="107" t="s">
        <v>83</v>
      </c>
      <c r="E64" s="106" t="s">
        <v>685</v>
      </c>
      <c r="F64" s="107" t="s">
        <v>797</v>
      </c>
      <c r="G64" s="105" t="s">
        <v>686</v>
      </c>
      <c r="H64" s="107" t="s">
        <v>91</v>
      </c>
      <c r="I64" s="107" t="s">
        <v>91</v>
      </c>
      <c r="J64" s="107" t="s">
        <v>85</v>
      </c>
      <c r="K64" s="106" t="s">
        <v>687</v>
      </c>
      <c r="L64" s="107" t="s">
        <v>688</v>
      </c>
      <c r="M64" s="108">
        <v>44042.0</v>
      </c>
      <c r="N64" s="106" t="s">
        <v>692</v>
      </c>
      <c r="O64" s="109" t="s">
        <v>690</v>
      </c>
      <c r="P64" s="107" t="s">
        <v>691</v>
      </c>
      <c r="Q64" s="107" t="s">
        <v>691</v>
      </c>
      <c r="R64" s="110"/>
      <c r="S64" s="110"/>
      <c r="T64" s="110"/>
      <c r="U64" s="110"/>
      <c r="V64" s="110"/>
      <c r="W64" s="110"/>
      <c r="X64" s="110"/>
      <c r="Y64" s="110"/>
      <c r="Z64" s="110"/>
    </row>
    <row r="65" ht="15.75" customHeight="1">
      <c r="A65" s="105" t="s">
        <v>439</v>
      </c>
      <c r="B65" s="105" t="s">
        <v>44</v>
      </c>
      <c r="C65" s="106" t="s">
        <v>798</v>
      </c>
      <c r="D65" s="107" t="s">
        <v>185</v>
      </c>
      <c r="E65" s="106" t="s">
        <v>698</v>
      </c>
      <c r="F65" s="113">
        <v>43425.0</v>
      </c>
      <c r="G65" s="105" t="s">
        <v>686</v>
      </c>
      <c r="H65" s="107" t="s">
        <v>91</v>
      </c>
      <c r="I65" s="107" t="s">
        <v>91</v>
      </c>
      <c r="J65" s="107" t="s">
        <v>85</v>
      </c>
      <c r="K65" s="106" t="s">
        <v>749</v>
      </c>
      <c r="L65" s="107" t="s">
        <v>688</v>
      </c>
      <c r="M65" s="108">
        <v>44042.0</v>
      </c>
      <c r="N65" s="106" t="s">
        <v>701</v>
      </c>
      <c r="O65" s="109" t="s">
        <v>690</v>
      </c>
      <c r="P65" s="107" t="s">
        <v>705</v>
      </c>
      <c r="Q65" s="107" t="s">
        <v>705</v>
      </c>
      <c r="R65" s="110"/>
      <c r="S65" s="110"/>
      <c r="T65" s="110"/>
      <c r="U65" s="110"/>
      <c r="V65" s="110"/>
      <c r="W65" s="110"/>
      <c r="X65" s="110"/>
      <c r="Y65" s="110"/>
      <c r="Z65" s="110"/>
    </row>
    <row r="66" ht="15.75" customHeight="1">
      <c r="A66" s="105" t="s">
        <v>433</v>
      </c>
      <c r="B66" s="105" t="s">
        <v>44</v>
      </c>
      <c r="C66" s="106" t="s">
        <v>799</v>
      </c>
      <c r="D66" s="107" t="s">
        <v>185</v>
      </c>
      <c r="E66" s="106" t="s">
        <v>698</v>
      </c>
      <c r="F66" s="113">
        <v>43424.0</v>
      </c>
      <c r="G66" s="112" t="s">
        <v>335</v>
      </c>
      <c r="H66" s="107" t="s">
        <v>91</v>
      </c>
      <c r="I66" s="107" t="s">
        <v>91</v>
      </c>
      <c r="J66" s="107" t="s">
        <v>85</v>
      </c>
      <c r="K66" s="106" t="s">
        <v>749</v>
      </c>
      <c r="L66" s="107" t="s">
        <v>688</v>
      </c>
      <c r="M66" s="108">
        <v>44042.0</v>
      </c>
      <c r="N66" s="106" t="s">
        <v>701</v>
      </c>
      <c r="O66" s="109" t="s">
        <v>690</v>
      </c>
      <c r="P66" s="107" t="s">
        <v>705</v>
      </c>
      <c r="Q66" s="107" t="s">
        <v>705</v>
      </c>
      <c r="R66" s="110"/>
      <c r="S66" s="110"/>
      <c r="T66" s="110"/>
      <c r="U66" s="110"/>
      <c r="V66" s="110"/>
      <c r="W66" s="110"/>
      <c r="X66" s="110"/>
      <c r="Y66" s="110"/>
      <c r="Z66" s="110"/>
    </row>
    <row r="67" ht="15.75" customHeight="1">
      <c r="A67" s="105" t="s">
        <v>146</v>
      </c>
      <c r="B67" s="105" t="s">
        <v>44</v>
      </c>
      <c r="C67" s="106" t="s">
        <v>800</v>
      </c>
      <c r="D67" s="107" t="s">
        <v>83</v>
      </c>
      <c r="E67" s="106" t="s">
        <v>685</v>
      </c>
      <c r="F67" s="107" t="s">
        <v>148</v>
      </c>
      <c r="G67" s="105" t="s">
        <v>686</v>
      </c>
      <c r="H67" s="107" t="s">
        <v>91</v>
      </c>
      <c r="I67" s="107" t="s">
        <v>91</v>
      </c>
      <c r="J67" s="117" t="s">
        <v>90</v>
      </c>
      <c r="K67" s="105" t="s">
        <v>687</v>
      </c>
      <c r="L67" s="112" t="s">
        <v>802</v>
      </c>
      <c r="M67" s="108">
        <v>44042.0</v>
      </c>
      <c r="N67" s="106" t="s">
        <v>701</v>
      </c>
      <c r="O67" s="109" t="s">
        <v>690</v>
      </c>
      <c r="P67" s="107" t="s">
        <v>691</v>
      </c>
      <c r="Q67" s="107" t="s">
        <v>691</v>
      </c>
      <c r="R67" s="110"/>
      <c r="S67" s="110"/>
      <c r="T67" s="110"/>
      <c r="U67" s="110"/>
      <c r="V67" s="110"/>
      <c r="W67" s="110"/>
      <c r="X67" s="110"/>
      <c r="Y67" s="110"/>
      <c r="Z67" s="110"/>
    </row>
    <row r="68" ht="15.75" customHeight="1">
      <c r="A68" s="105" t="s">
        <v>397</v>
      </c>
      <c r="B68" s="105" t="s">
        <v>44</v>
      </c>
      <c r="C68" s="106" t="s">
        <v>398</v>
      </c>
      <c r="D68" s="107" t="s">
        <v>83</v>
      </c>
      <c r="E68" s="106" t="s">
        <v>685</v>
      </c>
      <c r="F68" s="107" t="s">
        <v>399</v>
      </c>
      <c r="G68" s="112" t="s">
        <v>335</v>
      </c>
      <c r="H68" s="107" t="s">
        <v>91</v>
      </c>
      <c r="I68" s="107" t="s">
        <v>91</v>
      </c>
      <c r="J68" s="107" t="s">
        <v>85</v>
      </c>
      <c r="K68" s="106" t="s">
        <v>687</v>
      </c>
      <c r="L68" s="107" t="s">
        <v>688</v>
      </c>
      <c r="M68" s="108">
        <v>44042.0</v>
      </c>
      <c r="N68" s="106" t="s">
        <v>701</v>
      </c>
      <c r="O68" s="109" t="s">
        <v>690</v>
      </c>
      <c r="P68" s="107" t="s">
        <v>788</v>
      </c>
      <c r="Q68" s="107" t="s">
        <v>788</v>
      </c>
      <c r="R68" s="110"/>
      <c r="S68" s="110"/>
      <c r="T68" s="110"/>
      <c r="U68" s="110"/>
      <c r="V68" s="110"/>
      <c r="W68" s="110"/>
      <c r="X68" s="110"/>
      <c r="Y68" s="110"/>
      <c r="Z68" s="110"/>
    </row>
    <row r="69">
      <c r="A69" s="105" t="s">
        <v>803</v>
      </c>
      <c r="B69" s="105" t="s">
        <v>44</v>
      </c>
      <c r="C69" s="106" t="s">
        <v>804</v>
      </c>
      <c r="D69" s="107" t="s">
        <v>83</v>
      </c>
      <c r="E69" s="106" t="s">
        <v>685</v>
      </c>
      <c r="F69" s="107" t="s">
        <v>428</v>
      </c>
      <c r="G69" s="105" t="s">
        <v>686</v>
      </c>
      <c r="H69" s="107" t="s">
        <v>91</v>
      </c>
      <c r="I69" s="107" t="s">
        <v>91</v>
      </c>
      <c r="J69" s="107" t="s">
        <v>85</v>
      </c>
      <c r="K69" s="106" t="s">
        <v>687</v>
      </c>
      <c r="L69" s="107" t="s">
        <v>688</v>
      </c>
      <c r="M69" s="108">
        <v>44042.0</v>
      </c>
      <c r="N69" s="106" t="s">
        <v>692</v>
      </c>
      <c r="O69" s="109" t="s">
        <v>690</v>
      </c>
      <c r="P69" s="107" t="s">
        <v>691</v>
      </c>
      <c r="Q69" s="107" t="s">
        <v>691</v>
      </c>
      <c r="R69" s="110"/>
      <c r="S69" s="110"/>
      <c r="T69" s="110"/>
      <c r="U69" s="110"/>
      <c r="V69" s="110"/>
      <c r="W69" s="110"/>
      <c r="X69" s="110"/>
      <c r="Y69" s="110"/>
      <c r="Z69" s="110"/>
    </row>
    <row r="70" ht="15.75" customHeight="1">
      <c r="A70" s="105" t="s">
        <v>97</v>
      </c>
      <c r="B70" s="105" t="s">
        <v>696</v>
      </c>
      <c r="C70" s="106" t="s">
        <v>98</v>
      </c>
      <c r="D70" s="107" t="s">
        <v>83</v>
      </c>
      <c r="E70" s="106" t="s">
        <v>698</v>
      </c>
      <c r="F70" s="123">
        <v>42715.0</v>
      </c>
      <c r="G70" s="105" t="s">
        <v>686</v>
      </c>
      <c r="H70" s="107" t="s">
        <v>91</v>
      </c>
      <c r="I70" s="107" t="s">
        <v>91</v>
      </c>
      <c r="J70" s="107" t="s">
        <v>85</v>
      </c>
      <c r="K70" s="106" t="s">
        <v>687</v>
      </c>
      <c r="L70" s="107" t="s">
        <v>688</v>
      </c>
      <c r="M70" s="108">
        <v>44042.0</v>
      </c>
      <c r="N70" s="106" t="s">
        <v>692</v>
      </c>
      <c r="O70" s="109" t="s">
        <v>690</v>
      </c>
      <c r="P70" s="107" t="s">
        <v>691</v>
      </c>
      <c r="Q70" s="107" t="s">
        <v>691</v>
      </c>
      <c r="R70" s="110"/>
      <c r="S70" s="110"/>
      <c r="T70" s="110"/>
      <c r="U70" s="110"/>
      <c r="V70" s="110"/>
      <c r="W70" s="110"/>
      <c r="X70" s="110"/>
      <c r="Y70" s="110"/>
      <c r="Z70" s="110"/>
    </row>
    <row r="71" ht="15.75" customHeight="1">
      <c r="A71" s="105" t="s">
        <v>805</v>
      </c>
      <c r="B71" s="105" t="s">
        <v>197</v>
      </c>
      <c r="C71" s="106" t="s">
        <v>382</v>
      </c>
      <c r="D71" s="107" t="s">
        <v>185</v>
      </c>
      <c r="E71" s="106" t="s">
        <v>768</v>
      </c>
      <c r="F71" s="107">
        <v>9630.0</v>
      </c>
      <c r="G71" s="106" t="s">
        <v>723</v>
      </c>
      <c r="H71" s="107" t="s">
        <v>91</v>
      </c>
      <c r="I71" s="106" t="s">
        <v>723</v>
      </c>
      <c r="J71" s="107" t="s">
        <v>85</v>
      </c>
      <c r="K71" s="105" t="s">
        <v>687</v>
      </c>
      <c r="L71" s="112" t="s">
        <v>760</v>
      </c>
      <c r="M71" s="108">
        <v>44041.0</v>
      </c>
      <c r="N71" s="106" t="s">
        <v>735</v>
      </c>
      <c r="O71" s="116" t="s">
        <v>736</v>
      </c>
      <c r="P71" s="107" t="s">
        <v>761</v>
      </c>
      <c r="Q71" s="107" t="s">
        <v>761</v>
      </c>
      <c r="R71" s="110"/>
      <c r="S71" s="110"/>
      <c r="T71" s="110"/>
      <c r="U71" s="110"/>
      <c r="V71" s="110"/>
      <c r="W71" s="110"/>
      <c r="X71" s="110"/>
      <c r="Y71" s="110"/>
      <c r="Z71" s="110"/>
    </row>
    <row r="72" ht="15.75" customHeight="1">
      <c r="A72" s="105" t="s">
        <v>806</v>
      </c>
      <c r="B72" s="105" t="s">
        <v>197</v>
      </c>
      <c r="C72" s="106" t="s">
        <v>401</v>
      </c>
      <c r="D72" s="107" t="s">
        <v>83</v>
      </c>
      <c r="E72" s="106" t="s">
        <v>685</v>
      </c>
      <c r="F72" s="107" t="s">
        <v>402</v>
      </c>
      <c r="G72" s="112" t="s">
        <v>335</v>
      </c>
      <c r="H72" s="107" t="s">
        <v>91</v>
      </c>
      <c r="I72" s="107" t="s">
        <v>91</v>
      </c>
      <c r="J72" s="107" t="s">
        <v>85</v>
      </c>
      <c r="K72" s="106" t="s">
        <v>687</v>
      </c>
      <c r="L72" s="107" t="s">
        <v>688</v>
      </c>
      <c r="M72" s="108">
        <v>44042.0</v>
      </c>
      <c r="N72" s="106" t="s">
        <v>701</v>
      </c>
      <c r="O72" s="109" t="s">
        <v>690</v>
      </c>
      <c r="P72" s="107" t="s">
        <v>788</v>
      </c>
      <c r="Q72" s="107" t="s">
        <v>788</v>
      </c>
      <c r="R72" s="110"/>
      <c r="S72" s="110"/>
      <c r="T72" s="110"/>
      <c r="U72" s="110"/>
      <c r="V72" s="110"/>
      <c r="W72" s="110"/>
      <c r="X72" s="110"/>
      <c r="Y72" s="110"/>
      <c r="Z72" s="110"/>
    </row>
    <row r="73" ht="15.75" customHeight="1">
      <c r="A73" s="105" t="s">
        <v>807</v>
      </c>
      <c r="B73" s="105" t="s">
        <v>197</v>
      </c>
      <c r="C73" s="106" t="s">
        <v>808</v>
      </c>
      <c r="D73" s="107" t="s">
        <v>185</v>
      </c>
      <c r="E73" s="106" t="s">
        <v>698</v>
      </c>
      <c r="F73" s="113">
        <v>43733.0</v>
      </c>
      <c r="G73" s="106" t="s">
        <v>723</v>
      </c>
      <c r="H73" s="107" t="s">
        <v>91</v>
      </c>
      <c r="I73" s="106" t="s">
        <v>723</v>
      </c>
      <c r="J73" s="107" t="s">
        <v>85</v>
      </c>
      <c r="K73" s="105" t="s">
        <v>687</v>
      </c>
      <c r="L73" s="112" t="s">
        <v>760</v>
      </c>
      <c r="M73" s="108">
        <v>44041.0</v>
      </c>
      <c r="N73" s="106" t="s">
        <v>735</v>
      </c>
      <c r="O73" s="116" t="s">
        <v>736</v>
      </c>
      <c r="P73" s="107" t="s">
        <v>761</v>
      </c>
      <c r="Q73" s="107" t="s">
        <v>761</v>
      </c>
      <c r="R73" s="110"/>
      <c r="S73" s="110"/>
      <c r="T73" s="110"/>
      <c r="U73" s="110"/>
      <c r="V73" s="110"/>
      <c r="W73" s="110"/>
      <c r="X73" s="110"/>
      <c r="Y73" s="110"/>
      <c r="Z73" s="110"/>
    </row>
    <row r="74">
      <c r="A74" s="105" t="s">
        <v>410</v>
      </c>
      <c r="B74" s="105" t="s">
        <v>696</v>
      </c>
      <c r="C74" s="106" t="s">
        <v>411</v>
      </c>
      <c r="D74" s="107" t="s">
        <v>83</v>
      </c>
      <c r="E74" s="106" t="s">
        <v>698</v>
      </c>
      <c r="F74" s="113">
        <v>40598.0</v>
      </c>
      <c r="G74" s="114" t="s">
        <v>686</v>
      </c>
      <c r="H74" s="107" t="s">
        <v>91</v>
      </c>
      <c r="I74" s="107" t="s">
        <v>91</v>
      </c>
      <c r="J74" s="107" t="s">
        <v>85</v>
      </c>
      <c r="K74" s="106" t="s">
        <v>687</v>
      </c>
      <c r="L74" s="107" t="s">
        <v>688</v>
      </c>
      <c r="M74" s="108">
        <v>44042.0</v>
      </c>
      <c r="N74" s="106" t="s">
        <v>1327</v>
      </c>
      <c r="O74" s="109" t="s">
        <v>690</v>
      </c>
      <c r="P74" s="107" t="s">
        <v>744</v>
      </c>
      <c r="Q74" s="107" t="s">
        <v>744</v>
      </c>
      <c r="R74" s="110"/>
      <c r="S74" s="110"/>
      <c r="T74" s="110"/>
      <c r="U74" s="110"/>
      <c r="V74" s="110"/>
      <c r="W74" s="110"/>
      <c r="X74" s="110"/>
      <c r="Y74" s="110"/>
      <c r="Z74" s="110"/>
    </row>
    <row r="75" ht="15.75" customHeight="1">
      <c r="A75" s="105" t="s">
        <v>811</v>
      </c>
      <c r="B75" s="105" t="s">
        <v>197</v>
      </c>
      <c r="C75" s="106" t="s">
        <v>812</v>
      </c>
      <c r="D75" s="107" t="s">
        <v>185</v>
      </c>
      <c r="E75" s="106" t="s">
        <v>768</v>
      </c>
      <c r="F75" s="112">
        <v>100.0</v>
      </c>
      <c r="G75" s="106" t="s">
        <v>723</v>
      </c>
      <c r="H75" s="112" t="s">
        <v>91</v>
      </c>
      <c r="I75" s="106" t="s">
        <v>723</v>
      </c>
      <c r="J75" s="112" t="s">
        <v>85</v>
      </c>
      <c r="K75" s="105" t="s">
        <v>687</v>
      </c>
      <c r="L75" s="112" t="s">
        <v>760</v>
      </c>
      <c r="M75" s="108">
        <v>44041.0</v>
      </c>
      <c r="N75" s="106" t="s">
        <v>735</v>
      </c>
      <c r="O75" s="116" t="s">
        <v>736</v>
      </c>
      <c r="P75" s="107" t="s">
        <v>761</v>
      </c>
      <c r="Q75" s="107" t="s">
        <v>761</v>
      </c>
      <c r="R75" s="110"/>
      <c r="S75" s="110"/>
      <c r="T75" s="110"/>
      <c r="U75" s="110"/>
      <c r="V75" s="110"/>
      <c r="W75" s="110"/>
      <c r="X75" s="110"/>
      <c r="Y75" s="110"/>
      <c r="Z75" s="110"/>
    </row>
    <row r="76" ht="15.75" customHeight="1">
      <c r="A76" s="105" t="s">
        <v>813</v>
      </c>
      <c r="B76" s="105" t="s">
        <v>197</v>
      </c>
      <c r="C76" s="106" t="s">
        <v>814</v>
      </c>
      <c r="D76" s="107" t="s">
        <v>185</v>
      </c>
      <c r="E76" s="106" t="s">
        <v>768</v>
      </c>
      <c r="F76" s="107">
        <v>100.0</v>
      </c>
      <c r="G76" s="106" t="s">
        <v>723</v>
      </c>
      <c r="H76" s="107" t="s">
        <v>91</v>
      </c>
      <c r="I76" s="106" t="s">
        <v>723</v>
      </c>
      <c r="J76" s="107" t="s">
        <v>85</v>
      </c>
      <c r="K76" s="105" t="s">
        <v>687</v>
      </c>
      <c r="L76" s="112" t="s">
        <v>760</v>
      </c>
      <c r="M76" s="108">
        <v>44041.0</v>
      </c>
      <c r="N76" s="106" t="s">
        <v>735</v>
      </c>
      <c r="O76" s="116" t="s">
        <v>736</v>
      </c>
      <c r="P76" s="107" t="s">
        <v>761</v>
      </c>
      <c r="Q76" s="107" t="s">
        <v>761</v>
      </c>
      <c r="R76" s="110"/>
      <c r="S76" s="110"/>
      <c r="T76" s="110"/>
      <c r="U76" s="110"/>
      <c r="V76" s="110"/>
      <c r="W76" s="110"/>
      <c r="X76" s="110"/>
      <c r="Y76" s="110"/>
      <c r="Z76" s="110"/>
    </row>
    <row r="77" ht="15.75" customHeight="1">
      <c r="A77" s="105" t="s">
        <v>815</v>
      </c>
      <c r="B77" s="105" t="s">
        <v>197</v>
      </c>
      <c r="C77" s="106" t="s">
        <v>816</v>
      </c>
      <c r="D77" s="107" t="s">
        <v>185</v>
      </c>
      <c r="E77" s="106" t="s">
        <v>768</v>
      </c>
      <c r="F77" s="107">
        <v>15.0</v>
      </c>
      <c r="G77" s="106" t="s">
        <v>723</v>
      </c>
      <c r="H77" s="112" t="s">
        <v>91</v>
      </c>
      <c r="I77" s="106" t="s">
        <v>723</v>
      </c>
      <c r="J77" s="107" t="s">
        <v>85</v>
      </c>
      <c r="K77" s="105" t="s">
        <v>687</v>
      </c>
      <c r="L77" s="112" t="s">
        <v>760</v>
      </c>
      <c r="M77" s="108">
        <v>44041.0</v>
      </c>
      <c r="N77" s="106" t="s">
        <v>735</v>
      </c>
      <c r="O77" s="116" t="s">
        <v>736</v>
      </c>
      <c r="P77" s="107" t="s">
        <v>761</v>
      </c>
      <c r="Q77" s="107" t="s">
        <v>761</v>
      </c>
      <c r="R77" s="110"/>
      <c r="S77" s="110"/>
      <c r="T77" s="110"/>
      <c r="U77" s="110"/>
      <c r="V77" s="110"/>
      <c r="W77" s="110"/>
      <c r="X77" s="110"/>
      <c r="Y77" s="110"/>
      <c r="Z77" s="110"/>
    </row>
    <row r="78" ht="15.75" customHeight="1">
      <c r="A78" s="105" t="s">
        <v>817</v>
      </c>
      <c r="B78" s="105" t="s">
        <v>197</v>
      </c>
      <c r="C78" s="106" t="s">
        <v>818</v>
      </c>
      <c r="D78" s="107" t="s">
        <v>185</v>
      </c>
      <c r="E78" s="106" t="s">
        <v>768</v>
      </c>
      <c r="F78" s="107">
        <v>25.0</v>
      </c>
      <c r="G78" s="106" t="s">
        <v>723</v>
      </c>
      <c r="H78" s="107" t="s">
        <v>91</v>
      </c>
      <c r="I78" s="106" t="s">
        <v>723</v>
      </c>
      <c r="J78" s="107" t="s">
        <v>85</v>
      </c>
      <c r="K78" s="105" t="s">
        <v>687</v>
      </c>
      <c r="L78" s="112" t="s">
        <v>760</v>
      </c>
      <c r="M78" s="108">
        <v>44041.0</v>
      </c>
      <c r="N78" s="106" t="s">
        <v>735</v>
      </c>
      <c r="O78" s="116" t="s">
        <v>736</v>
      </c>
      <c r="P78" s="107" t="s">
        <v>761</v>
      </c>
      <c r="Q78" s="107" t="s">
        <v>761</v>
      </c>
      <c r="R78" s="110"/>
      <c r="S78" s="110"/>
      <c r="T78" s="110"/>
      <c r="U78" s="110"/>
      <c r="V78" s="110"/>
      <c r="W78" s="110"/>
      <c r="X78" s="110"/>
      <c r="Y78" s="110"/>
      <c r="Z78" s="110"/>
    </row>
    <row r="79" ht="15.75" customHeight="1">
      <c r="A79" s="105" t="s">
        <v>819</v>
      </c>
      <c r="B79" s="105" t="s">
        <v>197</v>
      </c>
      <c r="C79" s="106" t="s">
        <v>820</v>
      </c>
      <c r="D79" s="107" t="s">
        <v>185</v>
      </c>
      <c r="E79" s="106" t="s">
        <v>768</v>
      </c>
      <c r="F79" s="107">
        <v>289425.0</v>
      </c>
      <c r="G79" s="106" t="s">
        <v>723</v>
      </c>
      <c r="H79" s="107" t="s">
        <v>91</v>
      </c>
      <c r="I79" s="106" t="s">
        <v>723</v>
      </c>
      <c r="J79" s="107" t="s">
        <v>85</v>
      </c>
      <c r="K79" s="105" t="s">
        <v>687</v>
      </c>
      <c r="L79" s="112" t="s">
        <v>760</v>
      </c>
      <c r="M79" s="108">
        <v>44041.0</v>
      </c>
      <c r="N79" s="106" t="s">
        <v>735</v>
      </c>
      <c r="O79" s="116" t="s">
        <v>736</v>
      </c>
      <c r="P79" s="107" t="s">
        <v>761</v>
      </c>
      <c r="Q79" s="107" t="s">
        <v>761</v>
      </c>
      <c r="R79" s="110"/>
      <c r="S79" s="110"/>
      <c r="T79" s="110"/>
      <c r="U79" s="110"/>
      <c r="V79" s="110"/>
      <c r="W79" s="110"/>
      <c r="X79" s="110"/>
      <c r="Y79" s="110"/>
      <c r="Z79" s="110"/>
    </row>
    <row r="80" ht="15.75" customHeight="1">
      <c r="A80" s="105" t="s">
        <v>821</v>
      </c>
      <c r="B80" s="105" t="s">
        <v>197</v>
      </c>
      <c r="C80" s="106" t="s">
        <v>371</v>
      </c>
      <c r="D80" s="107" t="s">
        <v>185</v>
      </c>
      <c r="E80" s="106" t="s">
        <v>768</v>
      </c>
      <c r="F80" s="107">
        <v>370.0</v>
      </c>
      <c r="G80" s="106" t="s">
        <v>723</v>
      </c>
      <c r="H80" s="107" t="s">
        <v>91</v>
      </c>
      <c r="I80" s="106" t="s">
        <v>723</v>
      </c>
      <c r="J80" s="107" t="s">
        <v>85</v>
      </c>
      <c r="K80" s="105" t="s">
        <v>687</v>
      </c>
      <c r="L80" s="112" t="s">
        <v>760</v>
      </c>
      <c r="M80" s="108">
        <v>44041.0</v>
      </c>
      <c r="N80" s="106" t="s">
        <v>735</v>
      </c>
      <c r="O80" s="116" t="s">
        <v>736</v>
      </c>
      <c r="P80" s="107" t="s">
        <v>761</v>
      </c>
      <c r="Q80" s="107" t="s">
        <v>761</v>
      </c>
      <c r="R80" s="110"/>
      <c r="S80" s="110"/>
      <c r="T80" s="110"/>
      <c r="U80" s="110"/>
      <c r="V80" s="110"/>
      <c r="W80" s="110"/>
      <c r="X80" s="110"/>
      <c r="Y80" s="110"/>
      <c r="Z80" s="110"/>
    </row>
    <row r="81" ht="15.75" customHeight="1">
      <c r="A81" s="105" t="s">
        <v>151</v>
      </c>
      <c r="B81" s="105" t="s">
        <v>44</v>
      </c>
      <c r="C81" s="106" t="s">
        <v>822</v>
      </c>
      <c r="D81" s="107" t="s">
        <v>135</v>
      </c>
      <c r="E81" s="106" t="s">
        <v>685</v>
      </c>
      <c r="F81" s="107" t="s">
        <v>154</v>
      </c>
      <c r="G81" s="112" t="s">
        <v>136</v>
      </c>
      <c r="H81" s="107" t="s">
        <v>91</v>
      </c>
      <c r="I81" s="107" t="s">
        <v>91</v>
      </c>
      <c r="J81" s="122">
        <v>1.0</v>
      </c>
      <c r="K81" s="105" t="s">
        <v>749</v>
      </c>
      <c r="L81" s="112" t="s">
        <v>763</v>
      </c>
      <c r="M81" s="108">
        <v>43983.0</v>
      </c>
      <c r="N81" s="106" t="s">
        <v>692</v>
      </c>
      <c r="O81" s="109" t="s">
        <v>690</v>
      </c>
      <c r="P81" s="107" t="s">
        <v>782</v>
      </c>
      <c r="Q81" s="107" t="s">
        <v>782</v>
      </c>
      <c r="R81" s="110"/>
      <c r="S81" s="110"/>
      <c r="T81" s="110"/>
      <c r="U81" s="110"/>
      <c r="V81" s="110"/>
      <c r="W81" s="110"/>
      <c r="X81" s="110"/>
      <c r="Y81" s="110"/>
      <c r="Z81" s="110"/>
    </row>
    <row r="82" ht="15.75" customHeight="1">
      <c r="A82" s="105" t="s">
        <v>155</v>
      </c>
      <c r="B82" s="105" t="s">
        <v>44</v>
      </c>
      <c r="C82" s="106" t="s">
        <v>823</v>
      </c>
      <c r="D82" s="107" t="s">
        <v>135</v>
      </c>
      <c r="E82" s="106" t="s">
        <v>685</v>
      </c>
      <c r="F82" s="107" t="s">
        <v>157</v>
      </c>
      <c r="G82" s="112" t="s">
        <v>136</v>
      </c>
      <c r="H82" s="107" t="s">
        <v>91</v>
      </c>
      <c r="I82" s="107" t="s">
        <v>91</v>
      </c>
      <c r="J82" s="122">
        <v>1.0</v>
      </c>
      <c r="K82" s="105" t="s">
        <v>749</v>
      </c>
      <c r="L82" s="112" t="s">
        <v>763</v>
      </c>
      <c r="M82" s="108">
        <v>43983.0</v>
      </c>
      <c r="N82" s="106" t="s">
        <v>692</v>
      </c>
      <c r="O82" s="109" t="s">
        <v>690</v>
      </c>
      <c r="P82" s="107" t="s">
        <v>782</v>
      </c>
      <c r="Q82" s="107" t="s">
        <v>782</v>
      </c>
      <c r="R82" s="110"/>
      <c r="S82" s="110"/>
      <c r="T82" s="110"/>
      <c r="U82" s="110"/>
      <c r="V82" s="110"/>
      <c r="W82" s="110"/>
      <c r="X82" s="110"/>
      <c r="Y82" s="110"/>
      <c r="Z82" s="110"/>
    </row>
    <row r="83" ht="15.75" customHeight="1">
      <c r="A83" s="105" t="s">
        <v>158</v>
      </c>
      <c r="B83" s="105" t="s">
        <v>44</v>
      </c>
      <c r="C83" s="106" t="s">
        <v>824</v>
      </c>
      <c r="D83" s="107" t="s">
        <v>135</v>
      </c>
      <c r="E83" s="106" t="s">
        <v>685</v>
      </c>
      <c r="F83" s="107" t="s">
        <v>160</v>
      </c>
      <c r="G83" s="112" t="s">
        <v>136</v>
      </c>
      <c r="H83" s="107" t="s">
        <v>91</v>
      </c>
      <c r="I83" s="107" t="s">
        <v>91</v>
      </c>
      <c r="J83" s="122">
        <v>1.0</v>
      </c>
      <c r="K83" s="105" t="s">
        <v>749</v>
      </c>
      <c r="L83" s="112" t="s">
        <v>763</v>
      </c>
      <c r="M83" s="108">
        <v>43983.0</v>
      </c>
      <c r="N83" s="106" t="s">
        <v>692</v>
      </c>
      <c r="O83" s="109" t="s">
        <v>690</v>
      </c>
      <c r="P83" s="107" t="s">
        <v>782</v>
      </c>
      <c r="Q83" s="107" t="s">
        <v>782</v>
      </c>
      <c r="R83" s="110"/>
      <c r="S83" s="110"/>
      <c r="T83" s="110"/>
      <c r="U83" s="110"/>
      <c r="V83" s="110"/>
      <c r="W83" s="110"/>
      <c r="X83" s="110"/>
      <c r="Y83" s="110"/>
      <c r="Z83" s="110"/>
    </row>
    <row r="84" ht="15.75" customHeight="1">
      <c r="A84" s="105" t="s">
        <v>161</v>
      </c>
      <c r="B84" s="105" t="s">
        <v>44</v>
      </c>
      <c r="C84" s="106" t="s">
        <v>825</v>
      </c>
      <c r="D84" s="107" t="s">
        <v>135</v>
      </c>
      <c r="E84" s="106" t="s">
        <v>685</v>
      </c>
      <c r="F84" s="107" t="s">
        <v>163</v>
      </c>
      <c r="G84" s="112" t="s">
        <v>136</v>
      </c>
      <c r="H84" s="107" t="s">
        <v>91</v>
      </c>
      <c r="I84" s="107" t="s">
        <v>91</v>
      </c>
      <c r="J84" s="122">
        <v>1.0</v>
      </c>
      <c r="K84" s="105" t="s">
        <v>749</v>
      </c>
      <c r="L84" s="112" t="s">
        <v>763</v>
      </c>
      <c r="M84" s="108">
        <v>43983.0</v>
      </c>
      <c r="N84" s="106" t="s">
        <v>692</v>
      </c>
      <c r="O84" s="109" t="s">
        <v>690</v>
      </c>
      <c r="P84" s="107" t="s">
        <v>782</v>
      </c>
      <c r="Q84" s="107" t="s">
        <v>782</v>
      </c>
      <c r="R84" s="110"/>
      <c r="S84" s="110"/>
      <c r="T84" s="110"/>
      <c r="U84" s="110"/>
      <c r="V84" s="110"/>
      <c r="W84" s="110"/>
      <c r="X84" s="110"/>
      <c r="Y84" s="110"/>
      <c r="Z84" s="110"/>
    </row>
    <row r="85" ht="15.75" customHeight="1">
      <c r="A85" s="105" t="s">
        <v>164</v>
      </c>
      <c r="B85" s="105" t="s">
        <v>44</v>
      </c>
      <c r="C85" s="106" t="s">
        <v>826</v>
      </c>
      <c r="D85" s="107" t="s">
        <v>135</v>
      </c>
      <c r="E85" s="106" t="s">
        <v>685</v>
      </c>
      <c r="F85" s="107" t="s">
        <v>154</v>
      </c>
      <c r="G85" s="112" t="s">
        <v>136</v>
      </c>
      <c r="H85" s="107" t="s">
        <v>91</v>
      </c>
      <c r="I85" s="107" t="s">
        <v>91</v>
      </c>
      <c r="J85" s="122">
        <v>0.6765</v>
      </c>
      <c r="K85" s="105" t="s">
        <v>749</v>
      </c>
      <c r="L85" s="112" t="s">
        <v>763</v>
      </c>
      <c r="M85" s="108">
        <v>43983.0</v>
      </c>
      <c r="N85" s="106" t="s">
        <v>692</v>
      </c>
      <c r="O85" s="109" t="s">
        <v>690</v>
      </c>
      <c r="P85" s="107" t="s">
        <v>782</v>
      </c>
      <c r="Q85" s="107" t="s">
        <v>782</v>
      </c>
      <c r="R85" s="110"/>
      <c r="S85" s="110"/>
      <c r="T85" s="110"/>
      <c r="U85" s="110"/>
      <c r="V85" s="110"/>
      <c r="W85" s="110"/>
      <c r="X85" s="110"/>
      <c r="Y85" s="110"/>
      <c r="Z85" s="110"/>
    </row>
    <row r="86" ht="15.75" customHeight="1">
      <c r="A86" s="105" t="s">
        <v>166</v>
      </c>
      <c r="B86" s="105" t="s">
        <v>44</v>
      </c>
      <c r="C86" s="106" t="s">
        <v>827</v>
      </c>
      <c r="D86" s="107" t="s">
        <v>135</v>
      </c>
      <c r="E86" s="106" t="s">
        <v>685</v>
      </c>
      <c r="F86" s="107" t="s">
        <v>157</v>
      </c>
      <c r="G86" s="112" t="s">
        <v>136</v>
      </c>
      <c r="H86" s="107" t="s">
        <v>91</v>
      </c>
      <c r="I86" s="107" t="s">
        <v>91</v>
      </c>
      <c r="J86" s="122">
        <v>0.6765</v>
      </c>
      <c r="K86" s="105" t="s">
        <v>749</v>
      </c>
      <c r="L86" s="112" t="s">
        <v>763</v>
      </c>
      <c r="M86" s="108">
        <v>43983.0</v>
      </c>
      <c r="N86" s="106" t="s">
        <v>692</v>
      </c>
      <c r="O86" s="109" t="s">
        <v>690</v>
      </c>
      <c r="P86" s="107" t="s">
        <v>782</v>
      </c>
      <c r="Q86" s="107" t="s">
        <v>782</v>
      </c>
      <c r="R86" s="110"/>
      <c r="S86" s="110"/>
      <c r="T86" s="110"/>
      <c r="U86" s="110"/>
      <c r="V86" s="110"/>
      <c r="W86" s="110"/>
      <c r="X86" s="110"/>
      <c r="Y86" s="110"/>
      <c r="Z86" s="110"/>
    </row>
    <row r="87" ht="15.75" customHeight="1">
      <c r="A87" s="105" t="s">
        <v>168</v>
      </c>
      <c r="B87" s="105" t="s">
        <v>44</v>
      </c>
      <c r="C87" s="106" t="s">
        <v>828</v>
      </c>
      <c r="D87" s="107" t="s">
        <v>135</v>
      </c>
      <c r="E87" s="106" t="s">
        <v>685</v>
      </c>
      <c r="F87" s="107" t="s">
        <v>160</v>
      </c>
      <c r="G87" s="112" t="s">
        <v>136</v>
      </c>
      <c r="H87" s="107" t="s">
        <v>91</v>
      </c>
      <c r="I87" s="107" t="s">
        <v>91</v>
      </c>
      <c r="J87" s="122">
        <v>0.6765</v>
      </c>
      <c r="K87" s="105" t="s">
        <v>749</v>
      </c>
      <c r="L87" s="112" t="s">
        <v>763</v>
      </c>
      <c r="M87" s="108">
        <v>43983.0</v>
      </c>
      <c r="N87" s="106" t="s">
        <v>692</v>
      </c>
      <c r="O87" s="109" t="s">
        <v>690</v>
      </c>
      <c r="P87" s="107" t="s">
        <v>782</v>
      </c>
      <c r="Q87" s="107" t="s">
        <v>782</v>
      </c>
      <c r="R87" s="110"/>
      <c r="S87" s="110"/>
      <c r="T87" s="110"/>
      <c r="U87" s="110"/>
      <c r="V87" s="110"/>
      <c r="W87" s="110"/>
      <c r="X87" s="110"/>
      <c r="Y87" s="110"/>
      <c r="Z87" s="110"/>
    </row>
    <row r="88" ht="15.75" customHeight="1">
      <c r="A88" s="105" t="s">
        <v>170</v>
      </c>
      <c r="B88" s="105" t="s">
        <v>44</v>
      </c>
      <c r="C88" s="106" t="s">
        <v>829</v>
      </c>
      <c r="D88" s="107" t="s">
        <v>135</v>
      </c>
      <c r="E88" s="106" t="s">
        <v>685</v>
      </c>
      <c r="F88" s="107" t="s">
        <v>163</v>
      </c>
      <c r="G88" s="112" t="s">
        <v>136</v>
      </c>
      <c r="H88" s="107" t="s">
        <v>91</v>
      </c>
      <c r="I88" s="107" t="s">
        <v>91</v>
      </c>
      <c r="J88" s="122">
        <v>0.6765</v>
      </c>
      <c r="K88" s="105" t="s">
        <v>749</v>
      </c>
      <c r="L88" s="112" t="s">
        <v>763</v>
      </c>
      <c r="M88" s="108">
        <v>43983.0</v>
      </c>
      <c r="N88" s="106" t="s">
        <v>692</v>
      </c>
      <c r="O88" s="109" t="s">
        <v>690</v>
      </c>
      <c r="P88" s="107" t="s">
        <v>782</v>
      </c>
      <c r="Q88" s="107" t="s">
        <v>782</v>
      </c>
      <c r="R88" s="110"/>
      <c r="S88" s="110"/>
      <c r="T88" s="110"/>
      <c r="U88" s="110"/>
      <c r="V88" s="110"/>
      <c r="W88" s="110"/>
      <c r="X88" s="110"/>
      <c r="Y88" s="110"/>
      <c r="Z88" s="110"/>
    </row>
    <row r="89" ht="15.75" customHeight="1">
      <c r="A89" s="105" t="s">
        <v>116</v>
      </c>
      <c r="B89" s="105" t="s">
        <v>696</v>
      </c>
      <c r="C89" s="106" t="s">
        <v>830</v>
      </c>
      <c r="D89" s="107" t="s">
        <v>185</v>
      </c>
      <c r="E89" s="106" t="s">
        <v>694</v>
      </c>
      <c r="F89" s="107">
        <v>12.0</v>
      </c>
      <c r="G89" s="112" t="s">
        <v>86</v>
      </c>
      <c r="H89" s="107" t="s">
        <v>91</v>
      </c>
      <c r="I89" s="107" t="s">
        <v>91</v>
      </c>
      <c r="J89" s="107" t="s">
        <v>85</v>
      </c>
      <c r="K89" s="106" t="s">
        <v>687</v>
      </c>
      <c r="L89" s="107" t="s">
        <v>688</v>
      </c>
      <c r="M89" s="108">
        <v>44042.0</v>
      </c>
      <c r="N89" s="106" t="s">
        <v>692</v>
      </c>
      <c r="O89" s="109" t="s">
        <v>690</v>
      </c>
      <c r="P89" s="107" t="s">
        <v>691</v>
      </c>
      <c r="Q89" s="107" t="s">
        <v>691</v>
      </c>
      <c r="R89" s="110"/>
      <c r="S89" s="110"/>
      <c r="T89" s="110"/>
      <c r="U89" s="110"/>
      <c r="V89" s="110"/>
      <c r="W89" s="110"/>
      <c r="X89" s="110"/>
      <c r="Y89" s="110"/>
      <c r="Z89" s="110"/>
    </row>
    <row r="90" ht="15.75" customHeight="1">
      <c r="A90" s="105" t="s">
        <v>261</v>
      </c>
      <c r="B90" s="105" t="s">
        <v>197</v>
      </c>
      <c r="C90" s="106" t="s">
        <v>831</v>
      </c>
      <c r="D90" s="107" t="s">
        <v>185</v>
      </c>
      <c r="E90" s="106" t="s">
        <v>720</v>
      </c>
      <c r="F90" s="115" t="b">
        <v>1</v>
      </c>
      <c r="G90" s="105" t="s">
        <v>686</v>
      </c>
      <c r="H90" s="107" t="s">
        <v>91</v>
      </c>
      <c r="I90" s="107" t="s">
        <v>91</v>
      </c>
      <c r="J90" s="107" t="s">
        <v>85</v>
      </c>
      <c r="K90" s="106" t="s">
        <v>687</v>
      </c>
      <c r="L90" s="107" t="s">
        <v>688</v>
      </c>
      <c r="M90" s="108">
        <v>44042.0</v>
      </c>
      <c r="N90" s="106" t="s">
        <v>701</v>
      </c>
      <c r="O90" s="116"/>
      <c r="P90" s="107" t="s">
        <v>705</v>
      </c>
      <c r="Q90" s="107" t="s">
        <v>705</v>
      </c>
      <c r="R90" s="110"/>
      <c r="S90" s="110"/>
      <c r="T90" s="110"/>
      <c r="U90" s="110"/>
      <c r="V90" s="110"/>
      <c r="W90" s="110"/>
      <c r="X90" s="110"/>
      <c r="Y90" s="110"/>
      <c r="Z90" s="110"/>
    </row>
    <row r="91" ht="15.75" customHeight="1">
      <c r="A91" s="105" t="s">
        <v>363</v>
      </c>
      <c r="B91" s="105" t="s">
        <v>197</v>
      </c>
      <c r="C91" s="106" t="s">
        <v>832</v>
      </c>
      <c r="D91" s="107" t="s">
        <v>185</v>
      </c>
      <c r="E91" s="106" t="s">
        <v>720</v>
      </c>
      <c r="F91" s="115" t="b">
        <v>1</v>
      </c>
      <c r="G91" s="105" t="s">
        <v>686</v>
      </c>
      <c r="H91" s="117" t="s">
        <v>91</v>
      </c>
      <c r="I91" s="117" t="s">
        <v>91</v>
      </c>
      <c r="J91" s="117" t="s">
        <v>85</v>
      </c>
      <c r="K91" s="106" t="s">
        <v>687</v>
      </c>
      <c r="L91" s="107" t="s">
        <v>688</v>
      </c>
      <c r="M91" s="108">
        <v>44042.0</v>
      </c>
      <c r="N91" s="106" t="s">
        <v>741</v>
      </c>
      <c r="O91" s="116"/>
      <c r="P91" s="107" t="s">
        <v>702</v>
      </c>
      <c r="Q91" s="107" t="s">
        <v>702</v>
      </c>
      <c r="R91" s="110"/>
      <c r="S91" s="110"/>
      <c r="T91" s="110"/>
      <c r="U91" s="110"/>
      <c r="V91" s="110"/>
      <c r="W91" s="110"/>
      <c r="X91" s="110"/>
      <c r="Y91" s="110"/>
      <c r="Z91" s="110"/>
    </row>
    <row r="92" ht="15.75" customHeight="1">
      <c r="A92" s="105" t="s">
        <v>833</v>
      </c>
      <c r="B92" s="105" t="s">
        <v>44</v>
      </c>
      <c r="C92" s="106" t="s">
        <v>834</v>
      </c>
      <c r="D92" s="107" t="s">
        <v>83</v>
      </c>
      <c r="E92" s="106" t="s">
        <v>685</v>
      </c>
      <c r="F92" s="120" t="s">
        <v>346</v>
      </c>
      <c r="G92" s="114" t="s">
        <v>686</v>
      </c>
      <c r="H92" s="107" t="s">
        <v>91</v>
      </c>
      <c r="I92" s="107" t="s">
        <v>91</v>
      </c>
      <c r="J92" s="107" t="s">
        <v>85</v>
      </c>
      <c r="K92" s="106" t="s">
        <v>687</v>
      </c>
      <c r="L92" s="107" t="s">
        <v>688</v>
      </c>
      <c r="M92" s="108">
        <v>44041.0</v>
      </c>
      <c r="N92" s="106" t="s">
        <v>701</v>
      </c>
      <c r="O92" s="116" t="s">
        <v>732</v>
      </c>
      <c r="P92" s="107" t="s">
        <v>691</v>
      </c>
      <c r="Q92" s="107" t="s">
        <v>691</v>
      </c>
      <c r="R92" s="110"/>
      <c r="S92" s="110"/>
      <c r="T92" s="110"/>
      <c r="U92" s="110"/>
      <c r="V92" s="110"/>
      <c r="W92" s="110"/>
      <c r="X92" s="110"/>
      <c r="Y92" s="110"/>
      <c r="Z92" s="110"/>
    </row>
    <row r="93" ht="15.75" customHeight="1">
      <c r="A93" s="105" t="s">
        <v>347</v>
      </c>
      <c r="B93" s="105" t="s">
        <v>44</v>
      </c>
      <c r="C93" s="106" t="s">
        <v>348</v>
      </c>
      <c r="D93" s="107" t="s">
        <v>83</v>
      </c>
      <c r="E93" s="106" t="s">
        <v>685</v>
      </c>
      <c r="F93" s="107" t="s">
        <v>349</v>
      </c>
      <c r="G93" s="114" t="s">
        <v>835</v>
      </c>
      <c r="H93" s="107" t="s">
        <v>91</v>
      </c>
      <c r="I93" s="107" t="s">
        <v>91</v>
      </c>
      <c r="J93" s="107" t="s">
        <v>85</v>
      </c>
      <c r="K93" s="106" t="s">
        <v>687</v>
      </c>
      <c r="L93" s="107" t="s">
        <v>688</v>
      </c>
      <c r="M93" s="108">
        <v>44042.0</v>
      </c>
      <c r="N93" s="106" t="s">
        <v>701</v>
      </c>
      <c r="O93" s="109" t="s">
        <v>690</v>
      </c>
      <c r="P93" s="107" t="s">
        <v>691</v>
      </c>
      <c r="Q93" s="107" t="s">
        <v>691</v>
      </c>
      <c r="R93" s="110"/>
      <c r="S93" s="110"/>
      <c r="T93" s="110"/>
      <c r="U93" s="110"/>
      <c r="V93" s="110"/>
      <c r="W93" s="110"/>
      <c r="X93" s="110"/>
      <c r="Y93" s="110"/>
      <c r="Z93" s="110"/>
    </row>
    <row r="94" ht="15.75" customHeight="1">
      <c r="A94" s="105" t="s">
        <v>149</v>
      </c>
      <c r="B94" s="105" t="s">
        <v>44</v>
      </c>
      <c r="C94" s="106" t="s">
        <v>150</v>
      </c>
      <c r="D94" s="107" t="s">
        <v>83</v>
      </c>
      <c r="E94" s="106" t="s">
        <v>698</v>
      </c>
      <c r="F94" s="123">
        <v>29250.0</v>
      </c>
      <c r="G94" s="114" t="s">
        <v>835</v>
      </c>
      <c r="H94" s="107" t="s">
        <v>91</v>
      </c>
      <c r="I94" s="107" t="s">
        <v>91</v>
      </c>
      <c r="J94" s="107" t="s">
        <v>85</v>
      </c>
      <c r="K94" s="106" t="s">
        <v>687</v>
      </c>
      <c r="L94" s="107" t="s">
        <v>688</v>
      </c>
      <c r="M94" s="108">
        <v>44042.0</v>
      </c>
      <c r="N94" s="106" t="s">
        <v>1318</v>
      </c>
      <c r="O94" s="109" t="s">
        <v>690</v>
      </c>
      <c r="P94" s="107" t="s">
        <v>691</v>
      </c>
      <c r="Q94" s="107" t="s">
        <v>691</v>
      </c>
      <c r="R94" s="110"/>
      <c r="S94" s="110"/>
      <c r="T94" s="110"/>
      <c r="U94" s="110"/>
      <c r="V94" s="110"/>
      <c r="W94" s="110"/>
      <c r="X94" s="110"/>
      <c r="Y94" s="110"/>
      <c r="Z94" s="110"/>
    </row>
    <row r="95" ht="15.75" customHeight="1">
      <c r="A95" s="105" t="s">
        <v>92</v>
      </c>
      <c r="B95" s="105" t="s">
        <v>44</v>
      </c>
      <c r="C95" s="106" t="s">
        <v>1328</v>
      </c>
      <c r="D95" s="107" t="s">
        <v>83</v>
      </c>
      <c r="E95" s="106" t="s">
        <v>1313</v>
      </c>
      <c r="F95" s="107">
        <v>1024.0</v>
      </c>
      <c r="G95" s="105" t="s">
        <v>686</v>
      </c>
      <c r="H95" s="107" t="s">
        <v>91</v>
      </c>
      <c r="I95" s="107" t="s">
        <v>91</v>
      </c>
      <c r="J95" s="107" t="s">
        <v>85</v>
      </c>
      <c r="K95" s="106" t="s">
        <v>687</v>
      </c>
      <c r="L95" s="107" t="s">
        <v>688</v>
      </c>
      <c r="M95" s="108">
        <v>44042.0</v>
      </c>
      <c r="N95" s="106" t="s">
        <v>1314</v>
      </c>
      <c r="O95" s="109" t="s">
        <v>690</v>
      </c>
      <c r="P95" s="107" t="s">
        <v>691</v>
      </c>
      <c r="Q95" s="107" t="s">
        <v>691</v>
      </c>
      <c r="R95" s="110"/>
      <c r="S95" s="110"/>
      <c r="T95" s="110"/>
      <c r="U95" s="110"/>
      <c r="V95" s="110"/>
      <c r="W95" s="110"/>
      <c r="X95" s="110"/>
      <c r="Y95" s="110"/>
      <c r="Z95" s="110"/>
    </row>
    <row r="96" ht="15.75" customHeight="1">
      <c r="A96" s="105" t="s">
        <v>125</v>
      </c>
      <c r="B96" s="105" t="s">
        <v>44</v>
      </c>
      <c r="C96" s="106" t="s">
        <v>128</v>
      </c>
      <c r="D96" s="107" t="s">
        <v>83</v>
      </c>
      <c r="E96" s="106" t="s">
        <v>1313</v>
      </c>
      <c r="F96" s="107" t="s">
        <v>129</v>
      </c>
      <c r="G96" s="114" t="s">
        <v>835</v>
      </c>
      <c r="H96" s="107" t="s">
        <v>91</v>
      </c>
      <c r="I96" s="107" t="s">
        <v>91</v>
      </c>
      <c r="J96" s="107" t="s">
        <v>85</v>
      </c>
      <c r="K96" s="106" t="s">
        <v>687</v>
      </c>
      <c r="L96" s="107" t="s">
        <v>688</v>
      </c>
      <c r="M96" s="108">
        <v>44042.0</v>
      </c>
      <c r="N96" s="106" t="s">
        <v>1314</v>
      </c>
      <c r="O96" s="109" t="s">
        <v>690</v>
      </c>
      <c r="P96" s="107" t="s">
        <v>691</v>
      </c>
      <c r="Q96" s="107" t="s">
        <v>691</v>
      </c>
      <c r="R96" s="110"/>
      <c r="S96" s="110"/>
      <c r="T96" s="110"/>
      <c r="U96" s="110"/>
      <c r="V96" s="110"/>
      <c r="W96" s="110"/>
      <c r="X96" s="110"/>
      <c r="Y96" s="110"/>
      <c r="Z96" s="110"/>
    </row>
    <row r="97" ht="15.75" customHeight="1">
      <c r="A97" s="105" t="s">
        <v>130</v>
      </c>
      <c r="B97" s="105" t="s">
        <v>44</v>
      </c>
      <c r="C97" s="106" t="s">
        <v>131</v>
      </c>
      <c r="D97" s="107" t="s">
        <v>83</v>
      </c>
      <c r="E97" s="106" t="s">
        <v>1313</v>
      </c>
      <c r="F97" s="107" t="s">
        <v>132</v>
      </c>
      <c r="G97" s="114" t="s">
        <v>835</v>
      </c>
      <c r="H97" s="107" t="s">
        <v>91</v>
      </c>
      <c r="I97" s="107" t="s">
        <v>91</v>
      </c>
      <c r="J97" s="107" t="s">
        <v>85</v>
      </c>
      <c r="K97" s="106" t="s">
        <v>687</v>
      </c>
      <c r="L97" s="107" t="s">
        <v>688</v>
      </c>
      <c r="M97" s="108">
        <v>44042.0</v>
      </c>
      <c r="N97" s="106" t="s">
        <v>1318</v>
      </c>
      <c r="O97" s="109" t="s">
        <v>690</v>
      </c>
      <c r="P97" s="107" t="s">
        <v>691</v>
      </c>
      <c r="Q97" s="107" t="s">
        <v>691</v>
      </c>
      <c r="R97" s="110"/>
      <c r="S97" s="110"/>
      <c r="T97" s="110"/>
      <c r="U97" s="110"/>
      <c r="V97" s="110"/>
      <c r="W97" s="110"/>
      <c r="X97" s="110"/>
      <c r="Y97" s="110"/>
      <c r="Z97" s="110"/>
    </row>
    <row r="98" ht="15.75" customHeight="1">
      <c r="A98" s="105" t="s">
        <v>143</v>
      </c>
      <c r="B98" s="105" t="s">
        <v>44</v>
      </c>
      <c r="C98" s="106" t="s">
        <v>144</v>
      </c>
      <c r="D98" s="107" t="s">
        <v>83</v>
      </c>
      <c r="E98" s="106" t="s">
        <v>685</v>
      </c>
      <c r="F98" s="107" t="s">
        <v>145</v>
      </c>
      <c r="G98" s="114" t="s">
        <v>835</v>
      </c>
      <c r="H98" s="107" t="s">
        <v>91</v>
      </c>
      <c r="I98" s="107" t="s">
        <v>91</v>
      </c>
      <c r="J98" s="107" t="s">
        <v>85</v>
      </c>
      <c r="K98" s="106" t="s">
        <v>687</v>
      </c>
      <c r="L98" s="107" t="s">
        <v>688</v>
      </c>
      <c r="M98" s="108">
        <v>44042.0</v>
      </c>
      <c r="N98" s="106" t="s">
        <v>701</v>
      </c>
      <c r="O98" s="109" t="s">
        <v>690</v>
      </c>
      <c r="P98" s="107" t="s">
        <v>691</v>
      </c>
      <c r="Q98" s="107" t="s">
        <v>691</v>
      </c>
      <c r="R98" s="110"/>
      <c r="S98" s="110"/>
      <c r="T98" s="110"/>
      <c r="U98" s="110"/>
      <c r="V98" s="110"/>
      <c r="W98" s="110"/>
      <c r="X98" s="110"/>
      <c r="Y98" s="110"/>
      <c r="Z98" s="110"/>
    </row>
    <row r="99" ht="15.75" customHeight="1">
      <c r="A99" s="105" t="s">
        <v>458</v>
      </c>
      <c r="B99" s="105" t="s">
        <v>197</v>
      </c>
      <c r="C99" s="106" t="s">
        <v>837</v>
      </c>
      <c r="D99" s="107" t="s">
        <v>83</v>
      </c>
      <c r="E99" s="106" t="s">
        <v>685</v>
      </c>
      <c r="F99" s="107" t="s">
        <v>460</v>
      </c>
      <c r="G99" s="114" t="s">
        <v>686</v>
      </c>
      <c r="H99" s="107" t="s">
        <v>91</v>
      </c>
      <c r="I99" s="107" t="s">
        <v>91</v>
      </c>
      <c r="J99" s="112" t="s">
        <v>85</v>
      </c>
      <c r="K99" s="106" t="s">
        <v>687</v>
      </c>
      <c r="L99" s="107" t="s">
        <v>688</v>
      </c>
      <c r="M99" s="108">
        <v>44042.0</v>
      </c>
      <c r="N99" s="106" t="s">
        <v>735</v>
      </c>
      <c r="O99" s="116" t="s">
        <v>736</v>
      </c>
      <c r="P99" s="107" t="s">
        <v>761</v>
      </c>
      <c r="Q99" s="107" t="s">
        <v>761</v>
      </c>
      <c r="R99" s="110"/>
      <c r="S99" s="110"/>
      <c r="T99" s="110"/>
      <c r="U99" s="110"/>
      <c r="V99" s="110"/>
      <c r="W99" s="110"/>
      <c r="X99" s="110"/>
      <c r="Y99" s="110"/>
      <c r="Z99" s="110"/>
    </row>
    <row r="100" ht="15.75" customHeight="1">
      <c r="A100" s="105" t="s">
        <v>258</v>
      </c>
      <c r="B100" s="105" t="s">
        <v>197</v>
      </c>
      <c r="C100" s="106" t="s">
        <v>838</v>
      </c>
      <c r="D100" s="107" t="s">
        <v>185</v>
      </c>
      <c r="E100" s="106" t="s">
        <v>685</v>
      </c>
      <c r="F100" s="107" t="s">
        <v>839</v>
      </c>
      <c r="G100" s="105" t="s">
        <v>686</v>
      </c>
      <c r="H100" s="107" t="s">
        <v>91</v>
      </c>
      <c r="I100" s="107" t="s">
        <v>91</v>
      </c>
      <c r="J100" s="107" t="s">
        <v>85</v>
      </c>
      <c r="K100" s="106" t="s">
        <v>687</v>
      </c>
      <c r="L100" s="107" t="s">
        <v>688</v>
      </c>
      <c r="M100" s="108">
        <v>44042.0</v>
      </c>
      <c r="N100" s="106" t="s">
        <v>701</v>
      </c>
      <c r="O100" s="109" t="s">
        <v>690</v>
      </c>
      <c r="P100" s="107" t="s">
        <v>691</v>
      </c>
      <c r="Q100" s="107" t="s">
        <v>691</v>
      </c>
      <c r="R100" s="110"/>
      <c r="S100" s="110"/>
      <c r="T100" s="110"/>
      <c r="U100" s="110"/>
      <c r="V100" s="110"/>
      <c r="W100" s="110"/>
      <c r="X100" s="110"/>
      <c r="Y100" s="110"/>
      <c r="Z100" s="110"/>
    </row>
    <row r="101" ht="15.75" customHeight="1">
      <c r="A101" s="105" t="s">
        <v>840</v>
      </c>
      <c r="B101" s="105" t="s">
        <v>197</v>
      </c>
      <c r="C101" s="106" t="s">
        <v>331</v>
      </c>
      <c r="D101" s="107" t="s">
        <v>185</v>
      </c>
      <c r="E101" s="106" t="s">
        <v>685</v>
      </c>
      <c r="F101" s="107" t="s">
        <v>332</v>
      </c>
      <c r="G101" s="106" t="s">
        <v>723</v>
      </c>
      <c r="H101" s="107" t="s">
        <v>91</v>
      </c>
      <c r="I101" s="106" t="s">
        <v>723</v>
      </c>
      <c r="J101" s="112" t="s">
        <v>85</v>
      </c>
      <c r="K101" s="106" t="s">
        <v>687</v>
      </c>
      <c r="L101" s="107" t="s">
        <v>688</v>
      </c>
      <c r="M101" s="108">
        <v>44042.0</v>
      </c>
      <c r="N101" s="106" t="s">
        <v>741</v>
      </c>
      <c r="O101" s="109" t="s">
        <v>690</v>
      </c>
      <c r="P101" s="107" t="s">
        <v>745</v>
      </c>
      <c r="Q101" s="107" t="s">
        <v>745</v>
      </c>
      <c r="R101" s="110"/>
      <c r="S101" s="110"/>
      <c r="T101" s="110"/>
      <c r="U101" s="110"/>
      <c r="V101" s="110"/>
      <c r="W101" s="110"/>
      <c r="X101" s="110"/>
      <c r="Y101" s="110"/>
      <c r="Z101" s="110"/>
    </row>
    <row r="102" ht="15.75" customHeight="1">
      <c r="A102" s="105" t="s">
        <v>841</v>
      </c>
      <c r="B102" s="105" t="s">
        <v>842</v>
      </c>
      <c r="C102" s="106" t="s">
        <v>199</v>
      </c>
      <c r="D102" s="107" t="s">
        <v>83</v>
      </c>
      <c r="E102" s="106" t="s">
        <v>685</v>
      </c>
      <c r="F102" s="107" t="s">
        <v>200</v>
      </c>
      <c r="G102" s="106" t="s">
        <v>394</v>
      </c>
      <c r="H102" s="106" t="s">
        <v>394</v>
      </c>
      <c r="I102" s="106" t="s">
        <v>394</v>
      </c>
      <c r="J102" s="107" t="s">
        <v>85</v>
      </c>
      <c r="K102" s="106" t="s">
        <v>749</v>
      </c>
      <c r="L102" s="107" t="s">
        <v>749</v>
      </c>
      <c r="M102" s="108">
        <v>43922.0</v>
      </c>
      <c r="N102" s="106" t="s">
        <v>741</v>
      </c>
      <c r="O102" s="109" t="s">
        <v>732</v>
      </c>
      <c r="P102" s="107" t="s">
        <v>691</v>
      </c>
      <c r="Q102" s="107" t="s">
        <v>691</v>
      </c>
      <c r="R102" s="110"/>
      <c r="S102" s="110"/>
      <c r="T102" s="110"/>
      <c r="U102" s="110"/>
      <c r="V102" s="110"/>
      <c r="W102" s="110"/>
      <c r="X102" s="110"/>
      <c r="Y102" s="110"/>
      <c r="Z102" s="110"/>
    </row>
    <row r="103" ht="15.75" customHeight="1">
      <c r="A103" s="105" t="s">
        <v>205</v>
      </c>
      <c r="B103" s="105" t="s">
        <v>46</v>
      </c>
      <c r="C103" s="106" t="s">
        <v>843</v>
      </c>
      <c r="D103" s="107" t="s">
        <v>83</v>
      </c>
      <c r="E103" s="106" t="s">
        <v>685</v>
      </c>
      <c r="F103" s="107" t="s">
        <v>209</v>
      </c>
      <c r="G103" s="106" t="s">
        <v>394</v>
      </c>
      <c r="H103" s="106" t="s">
        <v>394</v>
      </c>
      <c r="I103" s="106" t="s">
        <v>394</v>
      </c>
      <c r="J103" s="107" t="s">
        <v>85</v>
      </c>
      <c r="K103" s="106" t="s">
        <v>749</v>
      </c>
      <c r="L103" s="107" t="s">
        <v>749</v>
      </c>
      <c r="M103" s="108">
        <v>43922.0</v>
      </c>
      <c r="N103" s="106" t="s">
        <v>741</v>
      </c>
      <c r="O103" s="109" t="s">
        <v>732</v>
      </c>
      <c r="P103" s="107" t="s">
        <v>691</v>
      </c>
      <c r="Q103" s="107" t="s">
        <v>691</v>
      </c>
      <c r="R103" s="110"/>
      <c r="S103" s="110"/>
      <c r="T103" s="110"/>
      <c r="U103" s="110"/>
      <c r="V103" s="110"/>
      <c r="W103" s="110"/>
      <c r="X103" s="110"/>
      <c r="Y103" s="110"/>
      <c r="Z103" s="110"/>
    </row>
    <row r="104" ht="15.75" customHeight="1">
      <c r="A104" s="105" t="s">
        <v>202</v>
      </c>
      <c r="B104" s="105" t="s">
        <v>197</v>
      </c>
      <c r="C104" s="106" t="s">
        <v>844</v>
      </c>
      <c r="D104" s="107" t="s">
        <v>83</v>
      </c>
      <c r="E104" s="106" t="s">
        <v>685</v>
      </c>
      <c r="F104" s="107" t="s">
        <v>845</v>
      </c>
      <c r="G104" s="106" t="s">
        <v>394</v>
      </c>
      <c r="H104" s="106" t="s">
        <v>394</v>
      </c>
      <c r="I104" s="106" t="s">
        <v>394</v>
      </c>
      <c r="J104" s="107" t="s">
        <v>85</v>
      </c>
      <c r="K104" s="106" t="s">
        <v>749</v>
      </c>
      <c r="L104" s="107" t="s">
        <v>749</v>
      </c>
      <c r="M104" s="108">
        <v>43952.0</v>
      </c>
      <c r="N104" s="106" t="s">
        <v>741</v>
      </c>
      <c r="O104" s="109" t="s">
        <v>732</v>
      </c>
      <c r="P104" s="107" t="s">
        <v>724</v>
      </c>
      <c r="Q104" s="107" t="s">
        <v>724</v>
      </c>
      <c r="R104" s="110"/>
      <c r="S104" s="110"/>
      <c r="T104" s="110"/>
      <c r="U104" s="110"/>
      <c r="V104" s="110"/>
      <c r="W104" s="110"/>
      <c r="X104" s="110"/>
      <c r="Y104" s="110"/>
      <c r="Z104" s="110"/>
    </row>
    <row r="105" ht="15.75" customHeight="1">
      <c r="A105" s="105" t="s">
        <v>175</v>
      </c>
      <c r="B105" s="105" t="s">
        <v>842</v>
      </c>
      <c r="C105" s="106" t="s">
        <v>177</v>
      </c>
      <c r="D105" s="107" t="s">
        <v>83</v>
      </c>
      <c r="E105" s="106" t="s">
        <v>685</v>
      </c>
      <c r="F105" s="107" t="s">
        <v>178</v>
      </c>
      <c r="G105" s="105" t="s">
        <v>686</v>
      </c>
      <c r="H105" s="107" t="s">
        <v>91</v>
      </c>
      <c r="I105" s="107" t="s">
        <v>91</v>
      </c>
      <c r="J105" s="107" t="s">
        <v>85</v>
      </c>
      <c r="K105" s="105" t="s">
        <v>687</v>
      </c>
      <c r="L105" s="105" t="s">
        <v>688</v>
      </c>
      <c r="M105" s="108">
        <v>44042.0</v>
      </c>
      <c r="N105" s="106" t="s">
        <v>701</v>
      </c>
      <c r="O105" s="109" t="s">
        <v>690</v>
      </c>
      <c r="P105" s="107" t="s">
        <v>691</v>
      </c>
      <c r="Q105" s="107" t="s">
        <v>691</v>
      </c>
      <c r="R105" s="110"/>
      <c r="S105" s="110"/>
      <c r="T105" s="110"/>
      <c r="U105" s="110"/>
      <c r="V105" s="110"/>
      <c r="W105" s="110"/>
      <c r="X105" s="110"/>
      <c r="Y105" s="110"/>
      <c r="Z105" s="110"/>
    </row>
    <row r="106" ht="15.75" customHeight="1">
      <c r="A106" s="105" t="s">
        <v>847</v>
      </c>
      <c r="B106" s="105" t="s">
        <v>44</v>
      </c>
      <c r="C106" s="106" t="s">
        <v>848</v>
      </c>
      <c r="D106" s="107" t="s">
        <v>83</v>
      </c>
      <c r="E106" s="106" t="s">
        <v>685</v>
      </c>
      <c r="F106" s="107" t="s">
        <v>352</v>
      </c>
      <c r="G106" s="105" t="s">
        <v>686</v>
      </c>
      <c r="H106" s="107" t="s">
        <v>91</v>
      </c>
      <c r="I106" s="107" t="s">
        <v>91</v>
      </c>
      <c r="J106" s="107" t="s">
        <v>85</v>
      </c>
      <c r="K106" s="106" t="s">
        <v>687</v>
      </c>
      <c r="L106" s="107" t="s">
        <v>688</v>
      </c>
      <c r="M106" s="108">
        <v>44042.0</v>
      </c>
      <c r="N106" s="106" t="s">
        <v>701</v>
      </c>
      <c r="O106" s="109" t="s">
        <v>690</v>
      </c>
      <c r="P106" s="107" t="s">
        <v>691</v>
      </c>
      <c r="Q106" s="107" t="s">
        <v>691</v>
      </c>
      <c r="R106" s="110"/>
      <c r="S106" s="110"/>
      <c r="T106" s="110"/>
      <c r="U106" s="110"/>
      <c r="V106" s="110"/>
      <c r="W106" s="110"/>
      <c r="X106" s="110"/>
      <c r="Y106" s="110"/>
      <c r="Z106" s="110"/>
    </row>
    <row r="107" ht="15.75" customHeight="1">
      <c r="A107" s="105" t="s">
        <v>389</v>
      </c>
      <c r="B107" s="105" t="s">
        <v>44</v>
      </c>
      <c r="C107" s="106" t="s">
        <v>390</v>
      </c>
      <c r="D107" s="107" t="s">
        <v>185</v>
      </c>
      <c r="E107" s="106" t="s">
        <v>774</v>
      </c>
      <c r="F107" s="107">
        <v>1500.0</v>
      </c>
      <c r="G107" s="105" t="s">
        <v>686</v>
      </c>
      <c r="H107" s="107" t="s">
        <v>91</v>
      </c>
      <c r="I107" s="107" t="s">
        <v>91</v>
      </c>
      <c r="J107" s="107" t="s">
        <v>85</v>
      </c>
      <c r="K107" s="106" t="s">
        <v>749</v>
      </c>
      <c r="L107" s="107" t="s">
        <v>688</v>
      </c>
      <c r="M107" s="108">
        <v>44029.0</v>
      </c>
      <c r="N107" s="106" t="s">
        <v>701</v>
      </c>
      <c r="O107" s="109" t="s">
        <v>690</v>
      </c>
      <c r="P107" s="107" t="s">
        <v>771</v>
      </c>
      <c r="Q107" s="107" t="s">
        <v>771</v>
      </c>
      <c r="R107" s="110"/>
      <c r="S107" s="110"/>
      <c r="T107" s="110"/>
      <c r="U107" s="110"/>
      <c r="V107" s="110"/>
      <c r="W107" s="110"/>
      <c r="X107" s="110"/>
      <c r="Y107" s="110"/>
      <c r="Z107" s="110"/>
    </row>
    <row r="108" ht="15.75" customHeight="1">
      <c r="A108" s="105" t="s">
        <v>120</v>
      </c>
      <c r="B108" s="105" t="s">
        <v>197</v>
      </c>
      <c r="C108" s="106" t="s">
        <v>849</v>
      </c>
      <c r="D108" s="107" t="s">
        <v>185</v>
      </c>
      <c r="E108" s="106" t="s">
        <v>720</v>
      </c>
      <c r="F108" s="115" t="b">
        <v>1</v>
      </c>
      <c r="G108" s="105" t="s">
        <v>686</v>
      </c>
      <c r="H108" s="107" t="s">
        <v>91</v>
      </c>
      <c r="I108" s="107" t="s">
        <v>91</v>
      </c>
      <c r="J108" s="107" t="s">
        <v>85</v>
      </c>
      <c r="K108" s="106" t="s">
        <v>687</v>
      </c>
      <c r="L108" s="107" t="s">
        <v>688</v>
      </c>
      <c r="M108" s="108">
        <v>44041.0</v>
      </c>
      <c r="N108" s="106" t="s">
        <v>692</v>
      </c>
      <c r="O108" s="109" t="s">
        <v>690</v>
      </c>
      <c r="P108" s="107" t="s">
        <v>724</v>
      </c>
      <c r="Q108" s="107" t="s">
        <v>724</v>
      </c>
      <c r="R108" s="110"/>
      <c r="S108" s="110"/>
      <c r="T108" s="110"/>
      <c r="U108" s="110"/>
      <c r="V108" s="110"/>
      <c r="W108" s="110"/>
      <c r="X108" s="110"/>
      <c r="Y108" s="110"/>
      <c r="Z108" s="110"/>
    </row>
    <row r="109" ht="15.75" customHeight="1">
      <c r="A109" s="105" t="s">
        <v>850</v>
      </c>
      <c r="B109" s="105" t="s">
        <v>197</v>
      </c>
      <c r="C109" s="106" t="s">
        <v>851</v>
      </c>
      <c r="D109" s="107" t="s">
        <v>185</v>
      </c>
      <c r="E109" s="106" t="s">
        <v>694</v>
      </c>
      <c r="F109" s="107">
        <v>1844641.0</v>
      </c>
      <c r="G109" s="106" t="s">
        <v>723</v>
      </c>
      <c r="H109" s="107" t="s">
        <v>91</v>
      </c>
      <c r="I109" s="106" t="s">
        <v>723</v>
      </c>
      <c r="J109" s="107" t="s">
        <v>85</v>
      </c>
      <c r="K109" s="105" t="s">
        <v>687</v>
      </c>
      <c r="L109" s="112" t="s">
        <v>688</v>
      </c>
      <c r="M109" s="108">
        <v>44041.0</v>
      </c>
      <c r="N109" s="106" t="s">
        <v>692</v>
      </c>
      <c r="O109" s="109" t="s">
        <v>690</v>
      </c>
      <c r="P109" s="107" t="s">
        <v>724</v>
      </c>
      <c r="Q109" s="107" t="s">
        <v>724</v>
      </c>
      <c r="R109" s="110"/>
      <c r="S109" s="110"/>
      <c r="T109" s="110"/>
      <c r="U109" s="110"/>
      <c r="V109" s="110"/>
      <c r="W109" s="110"/>
      <c r="X109" s="110"/>
      <c r="Y109" s="110"/>
      <c r="Z109" s="110"/>
    </row>
    <row r="110" ht="15.75" customHeight="1">
      <c r="A110" s="105" t="s">
        <v>190</v>
      </c>
      <c r="B110" s="105" t="s">
        <v>696</v>
      </c>
      <c r="C110" s="106" t="s">
        <v>191</v>
      </c>
      <c r="D110" s="107" t="s">
        <v>185</v>
      </c>
      <c r="E110" s="106" t="s">
        <v>685</v>
      </c>
      <c r="F110" s="107" t="s">
        <v>192</v>
      </c>
      <c r="G110" s="105" t="s">
        <v>686</v>
      </c>
      <c r="H110" s="107" t="s">
        <v>91</v>
      </c>
      <c r="I110" s="107" t="s">
        <v>91</v>
      </c>
      <c r="J110" s="107" t="s">
        <v>85</v>
      </c>
      <c r="K110" s="106" t="s">
        <v>687</v>
      </c>
      <c r="L110" s="107" t="s">
        <v>687</v>
      </c>
      <c r="M110" s="108">
        <v>44040.0</v>
      </c>
      <c r="N110" s="106" t="s">
        <v>741</v>
      </c>
      <c r="O110" s="109" t="s">
        <v>690</v>
      </c>
      <c r="P110" s="107" t="s">
        <v>782</v>
      </c>
      <c r="Q110" s="107" t="s">
        <v>782</v>
      </c>
      <c r="R110" s="110"/>
      <c r="S110" s="110"/>
      <c r="T110" s="110"/>
      <c r="U110" s="110"/>
      <c r="V110" s="110"/>
      <c r="W110" s="110"/>
      <c r="X110" s="110"/>
      <c r="Y110" s="110"/>
      <c r="Z110" s="110"/>
    </row>
    <row r="111" ht="15.75" customHeight="1">
      <c r="A111" s="105" t="s">
        <v>183</v>
      </c>
      <c r="B111" s="105" t="s">
        <v>696</v>
      </c>
      <c r="C111" s="106" t="s">
        <v>184</v>
      </c>
      <c r="D111" s="107" t="s">
        <v>185</v>
      </c>
      <c r="E111" s="106" t="s">
        <v>685</v>
      </c>
      <c r="F111" s="107" t="s">
        <v>186</v>
      </c>
      <c r="G111" s="105" t="s">
        <v>686</v>
      </c>
      <c r="H111" s="107" t="s">
        <v>91</v>
      </c>
      <c r="I111" s="107" t="s">
        <v>91</v>
      </c>
      <c r="J111" s="107" t="s">
        <v>85</v>
      </c>
      <c r="K111" s="106" t="s">
        <v>687</v>
      </c>
      <c r="L111" s="107" t="s">
        <v>687</v>
      </c>
      <c r="M111" s="108">
        <v>44040.0</v>
      </c>
      <c r="N111" s="106" t="s">
        <v>741</v>
      </c>
      <c r="O111" s="109" t="s">
        <v>690</v>
      </c>
      <c r="P111" s="107" t="s">
        <v>782</v>
      </c>
      <c r="Q111" s="107" t="s">
        <v>782</v>
      </c>
      <c r="R111" s="110"/>
      <c r="S111" s="110"/>
      <c r="T111" s="110"/>
      <c r="U111" s="110"/>
      <c r="V111" s="110"/>
      <c r="W111" s="110"/>
      <c r="X111" s="110"/>
      <c r="Y111" s="110"/>
      <c r="Z111" s="110"/>
    </row>
    <row r="112" ht="15.75" customHeight="1">
      <c r="A112" s="105" t="s">
        <v>187</v>
      </c>
      <c r="B112" s="105" t="s">
        <v>696</v>
      </c>
      <c r="C112" s="106" t="s">
        <v>188</v>
      </c>
      <c r="D112" s="107" t="s">
        <v>185</v>
      </c>
      <c r="E112" s="106" t="s">
        <v>685</v>
      </c>
      <c r="F112" s="107" t="s">
        <v>189</v>
      </c>
      <c r="G112" s="105" t="s">
        <v>686</v>
      </c>
      <c r="H112" s="107" t="s">
        <v>91</v>
      </c>
      <c r="I112" s="107" t="s">
        <v>91</v>
      </c>
      <c r="J112" s="107" t="s">
        <v>85</v>
      </c>
      <c r="K112" s="106" t="s">
        <v>687</v>
      </c>
      <c r="L112" s="107" t="s">
        <v>687</v>
      </c>
      <c r="M112" s="108">
        <v>44040.0</v>
      </c>
      <c r="N112" s="106" t="s">
        <v>741</v>
      </c>
      <c r="O112" s="109" t="s">
        <v>690</v>
      </c>
      <c r="P112" s="107" t="s">
        <v>782</v>
      </c>
      <c r="Q112" s="107" t="s">
        <v>782</v>
      </c>
      <c r="R112" s="110"/>
      <c r="S112" s="110"/>
      <c r="T112" s="110"/>
      <c r="U112" s="110"/>
      <c r="V112" s="110"/>
      <c r="W112" s="110"/>
      <c r="X112" s="110"/>
      <c r="Y112" s="110"/>
      <c r="Z112" s="110"/>
    </row>
    <row r="113" ht="15.75" customHeight="1">
      <c r="A113" s="105" t="s">
        <v>336</v>
      </c>
      <c r="B113" s="105" t="s">
        <v>197</v>
      </c>
      <c r="C113" s="106" t="s">
        <v>852</v>
      </c>
      <c r="D113" s="107" t="s">
        <v>135</v>
      </c>
      <c r="E113" s="106" t="s">
        <v>685</v>
      </c>
      <c r="F113" s="107">
        <v>1.0</v>
      </c>
      <c r="G113" s="112" t="s">
        <v>136</v>
      </c>
      <c r="H113" s="107" t="s">
        <v>91</v>
      </c>
      <c r="I113" s="124" t="s">
        <v>91</v>
      </c>
      <c r="J113" s="112" t="s">
        <v>853</v>
      </c>
      <c r="K113" s="105" t="s">
        <v>749</v>
      </c>
      <c r="L113" s="112" t="s">
        <v>763</v>
      </c>
      <c r="M113" s="108">
        <v>43983.0</v>
      </c>
      <c r="N113" s="106" t="s">
        <v>741</v>
      </c>
      <c r="O113" s="116"/>
      <c r="P113" s="107" t="s">
        <v>724</v>
      </c>
      <c r="Q113" s="107" t="s">
        <v>724</v>
      </c>
      <c r="R113" s="110"/>
      <c r="S113" s="110"/>
      <c r="T113" s="110"/>
      <c r="U113" s="110"/>
      <c r="V113" s="110"/>
      <c r="W113" s="110"/>
      <c r="X113" s="110"/>
      <c r="Y113" s="110"/>
      <c r="Z113" s="110"/>
    </row>
    <row r="114" ht="15.75" customHeight="1">
      <c r="A114" s="105" t="s">
        <v>263</v>
      </c>
      <c r="B114" s="105" t="s">
        <v>197</v>
      </c>
      <c r="C114" s="106" t="s">
        <v>854</v>
      </c>
      <c r="D114" s="107" t="s">
        <v>185</v>
      </c>
      <c r="E114" s="106" t="s">
        <v>720</v>
      </c>
      <c r="F114" s="115" t="b">
        <v>1</v>
      </c>
      <c r="G114" s="105" t="s">
        <v>686</v>
      </c>
      <c r="H114" s="107" t="s">
        <v>91</v>
      </c>
      <c r="I114" s="107" t="s">
        <v>91</v>
      </c>
      <c r="J114" s="107" t="s">
        <v>85</v>
      </c>
      <c r="K114" s="106" t="s">
        <v>687</v>
      </c>
      <c r="L114" s="107" t="s">
        <v>688</v>
      </c>
      <c r="M114" s="108">
        <v>44042.0</v>
      </c>
      <c r="N114" s="106" t="s">
        <v>701</v>
      </c>
      <c r="O114" s="109" t="s">
        <v>690</v>
      </c>
      <c r="P114" s="107" t="s">
        <v>691</v>
      </c>
      <c r="Q114" s="107" t="s">
        <v>691</v>
      </c>
      <c r="R114" s="110"/>
      <c r="S114" s="110"/>
      <c r="T114" s="110"/>
      <c r="U114" s="110"/>
      <c r="V114" s="110"/>
      <c r="W114" s="110"/>
      <c r="X114" s="110"/>
      <c r="Y114" s="110"/>
      <c r="Z114" s="110"/>
    </row>
    <row r="115" ht="15.75" customHeight="1">
      <c r="A115" s="105" t="s">
        <v>455</v>
      </c>
      <c r="B115" s="105" t="s">
        <v>44</v>
      </c>
      <c r="C115" s="106" t="s">
        <v>456</v>
      </c>
      <c r="D115" s="107" t="s">
        <v>83</v>
      </c>
      <c r="E115" s="106" t="s">
        <v>685</v>
      </c>
      <c r="F115" s="112" t="s">
        <v>457</v>
      </c>
      <c r="G115" s="112" t="s">
        <v>335</v>
      </c>
      <c r="H115" s="107" t="s">
        <v>91</v>
      </c>
      <c r="I115" s="107" t="s">
        <v>91</v>
      </c>
      <c r="J115" s="107" t="s">
        <v>85</v>
      </c>
      <c r="K115" s="106" t="s">
        <v>687</v>
      </c>
      <c r="L115" s="107" t="s">
        <v>688</v>
      </c>
      <c r="M115" s="108">
        <v>44042.0</v>
      </c>
      <c r="N115" s="106" t="s">
        <v>692</v>
      </c>
      <c r="O115" s="109" t="s">
        <v>690</v>
      </c>
      <c r="P115" s="107" t="s">
        <v>705</v>
      </c>
      <c r="Q115" s="107" t="s">
        <v>705</v>
      </c>
      <c r="R115" s="110"/>
      <c r="S115" s="110"/>
      <c r="T115" s="110"/>
      <c r="U115" s="110"/>
      <c r="V115" s="110"/>
      <c r="W115" s="110"/>
      <c r="X115" s="110"/>
      <c r="Y115" s="110"/>
      <c r="Z115" s="110"/>
    </row>
    <row r="116" ht="15.75" customHeight="1">
      <c r="A116" s="105" t="s">
        <v>339</v>
      </c>
      <c r="B116" s="105" t="s">
        <v>197</v>
      </c>
      <c r="C116" s="106" t="s">
        <v>340</v>
      </c>
      <c r="D116" s="107" t="s">
        <v>135</v>
      </c>
      <c r="E116" s="106" t="s">
        <v>685</v>
      </c>
      <c r="F116" s="107">
        <v>0.123</v>
      </c>
      <c r="G116" s="112" t="s">
        <v>136</v>
      </c>
      <c r="H116" s="107" t="s">
        <v>91</v>
      </c>
      <c r="I116" s="124" t="s">
        <v>91</v>
      </c>
      <c r="J116" s="112" t="s">
        <v>855</v>
      </c>
      <c r="K116" s="105" t="s">
        <v>749</v>
      </c>
      <c r="L116" s="112" t="s">
        <v>763</v>
      </c>
      <c r="M116" s="108">
        <v>43983.0</v>
      </c>
      <c r="N116" s="106" t="s">
        <v>692</v>
      </c>
      <c r="O116" s="109" t="s">
        <v>690</v>
      </c>
      <c r="P116" s="107" t="s">
        <v>724</v>
      </c>
      <c r="Q116" s="107" t="s">
        <v>724</v>
      </c>
      <c r="R116" s="110"/>
      <c r="S116" s="110"/>
      <c r="T116" s="110"/>
      <c r="U116" s="110"/>
      <c r="V116" s="110"/>
      <c r="W116" s="110"/>
      <c r="X116" s="110"/>
      <c r="Y116" s="110"/>
      <c r="Z116" s="110"/>
    </row>
    <row r="117" ht="15.75" customHeight="1">
      <c r="A117" s="105" t="s">
        <v>856</v>
      </c>
      <c r="B117" s="105" t="s">
        <v>44</v>
      </c>
      <c r="C117" s="106" t="s">
        <v>857</v>
      </c>
      <c r="D117" s="107" t="s">
        <v>185</v>
      </c>
      <c r="E117" s="106" t="s">
        <v>777</v>
      </c>
      <c r="F117" s="107">
        <v>1024.0</v>
      </c>
      <c r="G117" s="106" t="s">
        <v>723</v>
      </c>
      <c r="H117" s="112" t="s">
        <v>91</v>
      </c>
      <c r="I117" s="106" t="s">
        <v>723</v>
      </c>
      <c r="J117" s="107" t="e">
        <v>#N/A</v>
      </c>
      <c r="K117" s="106" t="s">
        <v>687</v>
      </c>
      <c r="L117" s="107" t="s">
        <v>688</v>
      </c>
      <c r="M117" s="108">
        <v>44041.0</v>
      </c>
      <c r="N117" s="106" t="s">
        <v>692</v>
      </c>
      <c r="O117" s="109" t="s">
        <v>690</v>
      </c>
      <c r="P117" s="107" t="s">
        <v>724</v>
      </c>
      <c r="Q117" s="107" t="s">
        <v>724</v>
      </c>
      <c r="R117" s="110"/>
      <c r="S117" s="110"/>
      <c r="T117" s="110"/>
      <c r="U117" s="110"/>
      <c r="V117" s="110"/>
      <c r="W117" s="110"/>
      <c r="X117" s="110"/>
      <c r="Y117" s="110"/>
      <c r="Z117" s="110"/>
    </row>
    <row r="118" ht="15.75" customHeight="1">
      <c r="A118" s="105" t="s">
        <v>858</v>
      </c>
      <c r="B118" s="105" t="s">
        <v>197</v>
      </c>
      <c r="C118" s="106" t="s">
        <v>859</v>
      </c>
      <c r="D118" s="107" t="s">
        <v>135</v>
      </c>
      <c r="E118" s="106" t="s">
        <v>698</v>
      </c>
      <c r="F118" s="125">
        <v>43709.0</v>
      </c>
      <c r="G118" s="107" t="s">
        <v>136</v>
      </c>
      <c r="H118" s="112" t="s">
        <v>359</v>
      </c>
      <c r="I118" s="112" t="s">
        <v>359</v>
      </c>
      <c r="J118" s="117" t="s">
        <v>90</v>
      </c>
      <c r="K118" s="106" t="s">
        <v>749</v>
      </c>
      <c r="L118" s="107" t="s">
        <v>749</v>
      </c>
      <c r="M118" s="108">
        <v>43983.0</v>
      </c>
      <c r="N118" s="106" t="s">
        <v>764</v>
      </c>
      <c r="O118" s="116" t="s">
        <v>732</v>
      </c>
      <c r="P118" s="107" t="s">
        <v>761</v>
      </c>
      <c r="Q118" s="107" t="s">
        <v>761</v>
      </c>
      <c r="R118" s="110"/>
      <c r="S118" s="110"/>
      <c r="T118" s="110"/>
      <c r="U118" s="110"/>
      <c r="V118" s="110"/>
      <c r="W118" s="110"/>
      <c r="X118" s="110"/>
      <c r="Y118" s="110"/>
      <c r="Z118" s="110"/>
    </row>
    <row r="119" ht="15.75" customHeight="1">
      <c r="A119" s="105" t="s">
        <v>860</v>
      </c>
      <c r="B119" s="105" t="s">
        <v>44</v>
      </c>
      <c r="C119" s="106" t="s">
        <v>861</v>
      </c>
      <c r="D119" s="107" t="s">
        <v>135</v>
      </c>
      <c r="E119" s="106" t="s">
        <v>713</v>
      </c>
      <c r="F119" s="107">
        <v>50.0</v>
      </c>
      <c r="G119" s="107" t="s">
        <v>136</v>
      </c>
      <c r="H119" s="112" t="s">
        <v>359</v>
      </c>
      <c r="I119" s="112" t="s">
        <v>359</v>
      </c>
      <c r="J119" s="117" t="s">
        <v>90</v>
      </c>
      <c r="K119" s="106" t="s">
        <v>749</v>
      </c>
      <c r="L119" s="107" t="s">
        <v>749</v>
      </c>
      <c r="M119" s="108">
        <v>43983.0</v>
      </c>
      <c r="N119" s="106" t="s">
        <v>764</v>
      </c>
      <c r="O119" s="116" t="s">
        <v>732</v>
      </c>
      <c r="P119" s="107" t="s">
        <v>761</v>
      </c>
      <c r="Q119" s="107" t="s">
        <v>761</v>
      </c>
      <c r="R119" s="110"/>
      <c r="S119" s="110"/>
      <c r="T119" s="110"/>
      <c r="U119" s="110"/>
      <c r="V119" s="110"/>
      <c r="W119" s="110"/>
      <c r="X119" s="110"/>
      <c r="Y119" s="110"/>
      <c r="Z119" s="110"/>
    </row>
    <row r="120" ht="15.75" customHeight="1">
      <c r="A120" s="105" t="s">
        <v>862</v>
      </c>
      <c r="B120" s="105" t="s">
        <v>197</v>
      </c>
      <c r="C120" s="106" t="s">
        <v>863</v>
      </c>
      <c r="D120" s="107" t="s">
        <v>135</v>
      </c>
      <c r="E120" s="106" t="s">
        <v>864</v>
      </c>
      <c r="F120" s="107">
        <v>0.18</v>
      </c>
      <c r="G120" s="107" t="s">
        <v>136</v>
      </c>
      <c r="H120" s="117" t="s">
        <v>311</v>
      </c>
      <c r="I120" s="117" t="s">
        <v>311</v>
      </c>
      <c r="J120" s="117" t="s">
        <v>90</v>
      </c>
      <c r="K120" s="106" t="s">
        <v>749</v>
      </c>
      <c r="L120" s="107" t="s">
        <v>749</v>
      </c>
      <c r="M120" s="108">
        <v>43983.0</v>
      </c>
      <c r="N120" s="106" t="s">
        <v>764</v>
      </c>
      <c r="O120" s="116" t="s">
        <v>732</v>
      </c>
      <c r="P120" s="107" t="s">
        <v>761</v>
      </c>
      <c r="Q120" s="107" t="s">
        <v>761</v>
      </c>
      <c r="R120" s="110"/>
      <c r="S120" s="110"/>
      <c r="T120" s="110"/>
      <c r="U120" s="110"/>
      <c r="V120" s="110"/>
      <c r="W120" s="110"/>
      <c r="X120" s="110"/>
      <c r="Y120" s="110"/>
      <c r="Z120" s="110"/>
    </row>
    <row r="121" ht="15.75" customHeight="1">
      <c r="A121" s="105" t="s">
        <v>865</v>
      </c>
      <c r="B121" s="105" t="s">
        <v>197</v>
      </c>
      <c r="C121" s="106" t="s">
        <v>866</v>
      </c>
      <c r="D121" s="107" t="s">
        <v>135</v>
      </c>
      <c r="E121" s="106" t="s">
        <v>685</v>
      </c>
      <c r="F121" s="107" t="s">
        <v>867</v>
      </c>
      <c r="G121" s="107" t="s">
        <v>136</v>
      </c>
      <c r="H121" s="117" t="s">
        <v>311</v>
      </c>
      <c r="I121" s="117" t="s">
        <v>311</v>
      </c>
      <c r="J121" s="117" t="s">
        <v>90</v>
      </c>
      <c r="K121" s="106" t="s">
        <v>749</v>
      </c>
      <c r="L121" s="107" t="s">
        <v>749</v>
      </c>
      <c r="M121" s="108">
        <v>43983.0</v>
      </c>
      <c r="N121" s="106" t="s">
        <v>764</v>
      </c>
      <c r="O121" s="116" t="s">
        <v>732</v>
      </c>
      <c r="P121" s="107" t="s">
        <v>761</v>
      </c>
      <c r="Q121" s="107" t="s">
        <v>761</v>
      </c>
      <c r="R121" s="110"/>
      <c r="S121" s="110"/>
      <c r="T121" s="110"/>
      <c r="U121" s="110"/>
      <c r="V121" s="110"/>
      <c r="W121" s="110"/>
      <c r="X121" s="110"/>
      <c r="Y121" s="110"/>
      <c r="Z121" s="110"/>
    </row>
    <row r="122" ht="15.75" customHeight="1">
      <c r="A122" s="105" t="s">
        <v>868</v>
      </c>
      <c r="B122" s="105" t="s">
        <v>197</v>
      </c>
      <c r="C122" s="106" t="s">
        <v>869</v>
      </c>
      <c r="D122" s="107" t="s">
        <v>135</v>
      </c>
      <c r="E122" s="106" t="s">
        <v>685</v>
      </c>
      <c r="F122" s="106" t="s">
        <v>870</v>
      </c>
      <c r="G122" s="106" t="s">
        <v>723</v>
      </c>
      <c r="H122" s="107" t="s">
        <v>91</v>
      </c>
      <c r="I122" s="106" t="s">
        <v>723</v>
      </c>
      <c r="J122" s="107" t="s">
        <v>90</v>
      </c>
      <c r="K122" s="105" t="s">
        <v>749</v>
      </c>
      <c r="L122" s="112" t="s">
        <v>763</v>
      </c>
      <c r="M122" s="108">
        <v>43983.0</v>
      </c>
      <c r="N122" s="106" t="s">
        <v>741</v>
      </c>
      <c r="O122" s="116" t="s">
        <v>736</v>
      </c>
      <c r="P122" s="107" t="s">
        <v>745</v>
      </c>
      <c r="Q122" s="107" t="s">
        <v>745</v>
      </c>
      <c r="R122" s="110"/>
      <c r="S122" s="110"/>
      <c r="T122" s="110"/>
      <c r="U122" s="110"/>
      <c r="V122" s="110"/>
      <c r="W122" s="110"/>
      <c r="X122" s="110"/>
      <c r="Y122" s="110"/>
      <c r="Z122" s="110"/>
    </row>
    <row r="123" ht="15.75" customHeight="1">
      <c r="A123" s="105" t="s">
        <v>871</v>
      </c>
      <c r="B123" s="105" t="s">
        <v>197</v>
      </c>
      <c r="C123" s="106" t="s">
        <v>872</v>
      </c>
      <c r="D123" s="107" t="s">
        <v>185</v>
      </c>
      <c r="E123" s="106" t="s">
        <v>768</v>
      </c>
      <c r="F123" s="107">
        <v>50.0</v>
      </c>
      <c r="G123" s="126" t="s">
        <v>723</v>
      </c>
      <c r="H123" s="105" t="s">
        <v>723</v>
      </c>
      <c r="I123" s="106" t="s">
        <v>723</v>
      </c>
      <c r="J123" s="107" t="s">
        <v>85</v>
      </c>
      <c r="K123" s="106" t="s">
        <v>687</v>
      </c>
      <c r="L123" s="107" t="s">
        <v>760</v>
      </c>
      <c r="M123" s="108">
        <v>44041.0</v>
      </c>
      <c r="N123" s="106" t="s">
        <v>735</v>
      </c>
      <c r="O123" s="116" t="s">
        <v>736</v>
      </c>
      <c r="P123" s="107" t="s">
        <v>761</v>
      </c>
      <c r="Q123" s="107" t="s">
        <v>761</v>
      </c>
      <c r="R123" s="110"/>
      <c r="S123" s="110"/>
      <c r="T123" s="110"/>
      <c r="U123" s="110"/>
      <c r="V123" s="110"/>
      <c r="W123" s="110"/>
      <c r="X123" s="110"/>
      <c r="Y123" s="110"/>
      <c r="Z123" s="110"/>
    </row>
    <row r="124" ht="15.75" customHeight="1">
      <c r="A124" s="105" t="s">
        <v>873</v>
      </c>
      <c r="B124" s="105" t="s">
        <v>197</v>
      </c>
      <c r="C124" s="106" t="s">
        <v>874</v>
      </c>
      <c r="D124" s="107" t="s">
        <v>185</v>
      </c>
      <c r="E124" s="106" t="s">
        <v>713</v>
      </c>
      <c r="F124" s="107">
        <v>23.0</v>
      </c>
      <c r="G124" s="126" t="s">
        <v>723</v>
      </c>
      <c r="H124" s="105" t="s">
        <v>723</v>
      </c>
      <c r="I124" s="106" t="s">
        <v>723</v>
      </c>
      <c r="J124" s="107" t="s">
        <v>85</v>
      </c>
      <c r="K124" s="106" t="s">
        <v>687</v>
      </c>
      <c r="L124" s="107" t="s">
        <v>760</v>
      </c>
      <c r="M124" s="108">
        <v>44041.0</v>
      </c>
      <c r="N124" s="106" t="s">
        <v>735</v>
      </c>
      <c r="O124" s="116" t="s">
        <v>736</v>
      </c>
      <c r="P124" s="107" t="s">
        <v>761</v>
      </c>
      <c r="Q124" s="107" t="s">
        <v>761</v>
      </c>
      <c r="R124" s="110"/>
      <c r="S124" s="110"/>
      <c r="T124" s="110"/>
      <c r="U124" s="110"/>
      <c r="V124" s="110"/>
      <c r="W124" s="110"/>
      <c r="X124" s="110"/>
      <c r="Y124" s="110"/>
      <c r="Z124" s="110"/>
    </row>
    <row r="125" ht="15.75" customHeight="1">
      <c r="A125" s="105" t="s">
        <v>875</v>
      </c>
      <c r="B125" s="105" t="s">
        <v>197</v>
      </c>
      <c r="C125" s="106" t="s">
        <v>876</v>
      </c>
      <c r="D125" s="107" t="s">
        <v>185</v>
      </c>
      <c r="E125" s="106" t="s">
        <v>768</v>
      </c>
      <c r="F125" s="111" t="s">
        <v>877</v>
      </c>
      <c r="G125" s="126" t="s">
        <v>723</v>
      </c>
      <c r="H125" s="105" t="s">
        <v>723</v>
      </c>
      <c r="I125" s="106" t="s">
        <v>723</v>
      </c>
      <c r="J125" s="107" t="s">
        <v>85</v>
      </c>
      <c r="K125" s="106" t="s">
        <v>687</v>
      </c>
      <c r="L125" s="107" t="s">
        <v>760</v>
      </c>
      <c r="M125" s="108">
        <v>44041.0</v>
      </c>
      <c r="N125" s="106" t="s">
        <v>735</v>
      </c>
      <c r="O125" s="116" t="s">
        <v>736</v>
      </c>
      <c r="P125" s="107" t="s">
        <v>761</v>
      </c>
      <c r="Q125" s="107" t="s">
        <v>761</v>
      </c>
      <c r="R125" s="110"/>
      <c r="S125" s="110"/>
      <c r="T125" s="110"/>
      <c r="U125" s="110"/>
      <c r="V125" s="110"/>
      <c r="W125" s="110"/>
      <c r="X125" s="110"/>
      <c r="Y125" s="110"/>
      <c r="Z125" s="110"/>
    </row>
    <row r="126" ht="15.75" customHeight="1">
      <c r="A126" s="105" t="s">
        <v>878</v>
      </c>
      <c r="B126" s="105" t="s">
        <v>197</v>
      </c>
      <c r="C126" s="106" t="s">
        <v>879</v>
      </c>
      <c r="D126" s="107" t="s">
        <v>185</v>
      </c>
      <c r="E126" s="106" t="s">
        <v>768</v>
      </c>
      <c r="F126" s="111" t="s">
        <v>877</v>
      </c>
      <c r="G126" s="126" t="s">
        <v>723</v>
      </c>
      <c r="H126" s="105" t="s">
        <v>723</v>
      </c>
      <c r="I126" s="106" t="s">
        <v>723</v>
      </c>
      <c r="J126" s="107" t="s">
        <v>85</v>
      </c>
      <c r="K126" s="106" t="s">
        <v>687</v>
      </c>
      <c r="L126" s="107" t="s">
        <v>760</v>
      </c>
      <c r="M126" s="108">
        <v>44041.0</v>
      </c>
      <c r="N126" s="106" t="s">
        <v>735</v>
      </c>
      <c r="O126" s="116" t="s">
        <v>736</v>
      </c>
      <c r="P126" s="107" t="s">
        <v>761</v>
      </c>
      <c r="Q126" s="107" t="s">
        <v>761</v>
      </c>
      <c r="R126" s="110"/>
      <c r="S126" s="110"/>
      <c r="T126" s="110"/>
      <c r="U126" s="110"/>
      <c r="V126" s="110"/>
      <c r="W126" s="110"/>
      <c r="X126" s="110"/>
      <c r="Y126" s="110"/>
      <c r="Z126" s="110"/>
    </row>
    <row r="127" ht="15.75" customHeight="1">
      <c r="A127" s="105" t="s">
        <v>880</v>
      </c>
      <c r="B127" s="105" t="s">
        <v>197</v>
      </c>
      <c r="C127" s="106" t="s">
        <v>881</v>
      </c>
      <c r="D127" s="107" t="s">
        <v>185</v>
      </c>
      <c r="E127" s="106" t="s">
        <v>713</v>
      </c>
      <c r="F127" s="111" t="s">
        <v>877</v>
      </c>
      <c r="G127" s="126" t="s">
        <v>723</v>
      </c>
      <c r="H127" s="105" t="s">
        <v>723</v>
      </c>
      <c r="I127" s="106" t="s">
        <v>723</v>
      </c>
      <c r="J127" s="107" t="s">
        <v>85</v>
      </c>
      <c r="K127" s="106" t="s">
        <v>687</v>
      </c>
      <c r="L127" s="107" t="s">
        <v>760</v>
      </c>
      <c r="M127" s="108">
        <v>44041.0</v>
      </c>
      <c r="N127" s="106" t="s">
        <v>735</v>
      </c>
      <c r="O127" s="116" t="s">
        <v>736</v>
      </c>
      <c r="P127" s="107" t="s">
        <v>761</v>
      </c>
      <c r="Q127" s="107" t="s">
        <v>761</v>
      </c>
      <c r="R127" s="110"/>
      <c r="S127" s="110"/>
      <c r="T127" s="110"/>
      <c r="U127" s="110"/>
      <c r="V127" s="110"/>
      <c r="W127" s="110"/>
      <c r="X127" s="110"/>
      <c r="Y127" s="110"/>
      <c r="Z127" s="110"/>
    </row>
    <row r="128" ht="15.75" customHeight="1">
      <c r="A128" s="105" t="s">
        <v>882</v>
      </c>
      <c r="B128" s="105" t="s">
        <v>197</v>
      </c>
      <c r="C128" s="106" t="s">
        <v>883</v>
      </c>
      <c r="D128" s="107" t="s">
        <v>185</v>
      </c>
      <c r="E128" s="106" t="s">
        <v>768</v>
      </c>
      <c r="F128" s="111" t="s">
        <v>877</v>
      </c>
      <c r="G128" s="126" t="s">
        <v>723</v>
      </c>
      <c r="H128" s="105" t="s">
        <v>723</v>
      </c>
      <c r="I128" s="106" t="s">
        <v>723</v>
      </c>
      <c r="J128" s="107" t="s">
        <v>85</v>
      </c>
      <c r="K128" s="106" t="s">
        <v>687</v>
      </c>
      <c r="L128" s="107" t="s">
        <v>760</v>
      </c>
      <c r="M128" s="108">
        <v>44041.0</v>
      </c>
      <c r="N128" s="106" t="s">
        <v>735</v>
      </c>
      <c r="O128" s="116" t="s">
        <v>736</v>
      </c>
      <c r="P128" s="107" t="s">
        <v>761</v>
      </c>
      <c r="Q128" s="107" t="s">
        <v>761</v>
      </c>
      <c r="R128" s="110"/>
      <c r="S128" s="110"/>
      <c r="T128" s="110"/>
      <c r="U128" s="110"/>
      <c r="V128" s="110"/>
      <c r="W128" s="110"/>
      <c r="X128" s="110"/>
      <c r="Y128" s="110"/>
      <c r="Z128" s="110"/>
    </row>
    <row r="129" ht="15.75" customHeight="1">
      <c r="A129" s="105" t="s">
        <v>884</v>
      </c>
      <c r="B129" s="105" t="s">
        <v>197</v>
      </c>
      <c r="C129" s="106" t="s">
        <v>885</v>
      </c>
      <c r="D129" s="107" t="s">
        <v>185</v>
      </c>
      <c r="E129" s="106" t="s">
        <v>713</v>
      </c>
      <c r="F129" s="107">
        <v>8.0</v>
      </c>
      <c r="G129" s="126" t="s">
        <v>723</v>
      </c>
      <c r="H129" s="105" t="s">
        <v>723</v>
      </c>
      <c r="I129" s="106" t="s">
        <v>723</v>
      </c>
      <c r="J129" s="107" t="s">
        <v>85</v>
      </c>
      <c r="K129" s="106" t="s">
        <v>687</v>
      </c>
      <c r="L129" s="107" t="s">
        <v>760</v>
      </c>
      <c r="M129" s="108">
        <v>44042.0</v>
      </c>
      <c r="N129" s="106" t="s">
        <v>692</v>
      </c>
      <c r="O129" s="109" t="s">
        <v>690</v>
      </c>
      <c r="P129" s="107" t="s">
        <v>745</v>
      </c>
      <c r="Q129" s="107" t="s">
        <v>745</v>
      </c>
      <c r="R129" s="110"/>
      <c r="S129" s="110"/>
      <c r="T129" s="110"/>
      <c r="U129" s="110"/>
      <c r="V129" s="110"/>
      <c r="W129" s="110"/>
      <c r="X129" s="110"/>
      <c r="Y129" s="110"/>
      <c r="Z129" s="110"/>
    </row>
    <row r="130" ht="15.75" customHeight="1">
      <c r="A130" s="105" t="s">
        <v>886</v>
      </c>
      <c r="B130" s="105" t="s">
        <v>197</v>
      </c>
      <c r="C130" s="106" t="s">
        <v>887</v>
      </c>
      <c r="D130" s="107" t="s">
        <v>185</v>
      </c>
      <c r="E130" s="106" t="s">
        <v>698</v>
      </c>
      <c r="F130" s="113">
        <v>43733.0</v>
      </c>
      <c r="G130" s="126" t="s">
        <v>723</v>
      </c>
      <c r="H130" s="105" t="s">
        <v>723</v>
      </c>
      <c r="I130" s="106" t="s">
        <v>723</v>
      </c>
      <c r="J130" s="107" t="s">
        <v>85</v>
      </c>
      <c r="K130" s="106" t="s">
        <v>687</v>
      </c>
      <c r="L130" s="107" t="s">
        <v>760</v>
      </c>
      <c r="M130" s="108">
        <v>44042.0</v>
      </c>
      <c r="N130" s="106" t="s">
        <v>692</v>
      </c>
      <c r="O130" s="109" t="s">
        <v>690</v>
      </c>
      <c r="P130" s="107" t="s">
        <v>745</v>
      </c>
      <c r="Q130" s="107" t="s">
        <v>745</v>
      </c>
      <c r="R130" s="110"/>
      <c r="S130" s="110"/>
      <c r="T130" s="110"/>
      <c r="U130" s="110"/>
      <c r="V130" s="110"/>
      <c r="W130" s="110"/>
      <c r="X130" s="110"/>
      <c r="Y130" s="110"/>
      <c r="Z130" s="110"/>
    </row>
    <row r="131" ht="15.75" customHeight="1">
      <c r="A131" s="105" t="s">
        <v>888</v>
      </c>
      <c r="B131" s="105" t="s">
        <v>44</v>
      </c>
      <c r="C131" s="106" t="s">
        <v>889</v>
      </c>
      <c r="D131" s="107" t="s">
        <v>185</v>
      </c>
      <c r="E131" s="106" t="s">
        <v>777</v>
      </c>
      <c r="F131" s="107">
        <v>100.0</v>
      </c>
      <c r="G131" s="106" t="s">
        <v>723</v>
      </c>
      <c r="H131" s="112" t="s">
        <v>91</v>
      </c>
      <c r="I131" s="106" t="s">
        <v>723</v>
      </c>
      <c r="J131" s="107" t="s">
        <v>85</v>
      </c>
      <c r="K131" s="106" t="s">
        <v>687</v>
      </c>
      <c r="L131" s="107" t="s">
        <v>688</v>
      </c>
      <c r="M131" s="108">
        <v>44041.0</v>
      </c>
      <c r="N131" s="106" t="s">
        <v>692</v>
      </c>
      <c r="O131" s="109" t="s">
        <v>690</v>
      </c>
      <c r="P131" s="107" t="s">
        <v>724</v>
      </c>
      <c r="Q131" s="107" t="s">
        <v>724</v>
      </c>
      <c r="R131" s="110"/>
      <c r="S131" s="110"/>
      <c r="T131" s="110"/>
      <c r="U131" s="110"/>
      <c r="V131" s="110"/>
      <c r="W131" s="110"/>
      <c r="X131" s="110"/>
      <c r="Y131" s="110"/>
      <c r="Z131" s="110"/>
    </row>
    <row r="132" ht="15.75" customHeight="1">
      <c r="A132" s="105" t="s">
        <v>890</v>
      </c>
      <c r="B132" s="105" t="s">
        <v>197</v>
      </c>
      <c r="C132" s="106" t="s">
        <v>891</v>
      </c>
      <c r="D132" s="107" t="s">
        <v>185</v>
      </c>
      <c r="E132" s="106" t="s">
        <v>713</v>
      </c>
      <c r="F132" s="107">
        <v>62220.0</v>
      </c>
      <c r="G132" s="106" t="s">
        <v>723</v>
      </c>
      <c r="H132" s="107" t="s">
        <v>91</v>
      </c>
      <c r="I132" s="106" t="s">
        <v>723</v>
      </c>
      <c r="J132" s="107" t="s">
        <v>85</v>
      </c>
      <c r="K132" s="106" t="s">
        <v>687</v>
      </c>
      <c r="L132" s="107" t="s">
        <v>688</v>
      </c>
      <c r="M132" s="108">
        <v>44041.0</v>
      </c>
      <c r="N132" s="106" t="s">
        <v>692</v>
      </c>
      <c r="O132" s="109" t="s">
        <v>690</v>
      </c>
      <c r="P132" s="107" t="s">
        <v>724</v>
      </c>
      <c r="Q132" s="107" t="s">
        <v>724</v>
      </c>
      <c r="R132" s="110"/>
      <c r="S132" s="110"/>
      <c r="T132" s="110"/>
      <c r="U132" s="110"/>
      <c r="V132" s="110"/>
      <c r="W132" s="110"/>
      <c r="X132" s="110"/>
      <c r="Y132" s="110"/>
      <c r="Z132" s="110"/>
    </row>
    <row r="133" ht="15.75" customHeight="1">
      <c r="A133" s="105" t="s">
        <v>892</v>
      </c>
      <c r="B133" s="105" t="s">
        <v>52</v>
      </c>
      <c r="C133" s="106" t="s">
        <v>893</v>
      </c>
      <c r="D133" s="107" t="s">
        <v>185</v>
      </c>
      <c r="E133" s="106" t="s">
        <v>768</v>
      </c>
      <c r="F133" s="111" t="s">
        <v>894</v>
      </c>
      <c r="G133" s="126" t="s">
        <v>723</v>
      </c>
      <c r="H133" s="105" t="s">
        <v>723</v>
      </c>
      <c r="I133" s="106" t="s">
        <v>723</v>
      </c>
      <c r="J133" s="107" t="s">
        <v>85</v>
      </c>
      <c r="K133" s="106" t="s">
        <v>687</v>
      </c>
      <c r="L133" s="107" t="s">
        <v>688</v>
      </c>
      <c r="M133" s="108">
        <v>44042.0</v>
      </c>
      <c r="N133" s="106" t="s">
        <v>735</v>
      </c>
      <c r="O133" s="116" t="s">
        <v>736</v>
      </c>
      <c r="P133" s="107" t="s">
        <v>721</v>
      </c>
      <c r="Q133" s="107" t="s">
        <v>721</v>
      </c>
      <c r="R133" s="110"/>
      <c r="S133" s="110"/>
      <c r="T133" s="110"/>
      <c r="U133" s="110"/>
      <c r="V133" s="110"/>
      <c r="W133" s="110"/>
      <c r="X133" s="110"/>
      <c r="Y133" s="110"/>
      <c r="Z133" s="110"/>
    </row>
    <row r="134" ht="15.75" customHeight="1">
      <c r="A134" s="105" t="s">
        <v>895</v>
      </c>
      <c r="B134" s="105" t="s">
        <v>52</v>
      </c>
      <c r="C134" s="106" t="s">
        <v>896</v>
      </c>
      <c r="D134" s="107" t="s">
        <v>185</v>
      </c>
      <c r="E134" s="106" t="s">
        <v>768</v>
      </c>
      <c r="F134" s="111" t="s">
        <v>894</v>
      </c>
      <c r="G134" s="126" t="s">
        <v>723</v>
      </c>
      <c r="H134" s="105" t="s">
        <v>723</v>
      </c>
      <c r="I134" s="106" t="s">
        <v>723</v>
      </c>
      <c r="J134" s="107" t="s">
        <v>85</v>
      </c>
      <c r="K134" s="106" t="s">
        <v>687</v>
      </c>
      <c r="L134" s="107" t="s">
        <v>688</v>
      </c>
      <c r="M134" s="108">
        <v>44042.0</v>
      </c>
      <c r="N134" s="106" t="s">
        <v>735</v>
      </c>
      <c r="O134" s="116" t="s">
        <v>736</v>
      </c>
      <c r="P134" s="107" t="s">
        <v>721</v>
      </c>
      <c r="Q134" s="107" t="s">
        <v>721</v>
      </c>
      <c r="R134" s="110"/>
      <c r="S134" s="110"/>
      <c r="T134" s="110"/>
      <c r="U134" s="110"/>
      <c r="V134" s="110"/>
      <c r="W134" s="110"/>
      <c r="X134" s="110"/>
      <c r="Y134" s="110"/>
      <c r="Z134" s="110"/>
    </row>
    <row r="135" ht="15.75" customHeight="1">
      <c r="A135" s="105" t="s">
        <v>897</v>
      </c>
      <c r="B135" s="105" t="s">
        <v>52</v>
      </c>
      <c r="C135" s="106" t="s">
        <v>898</v>
      </c>
      <c r="D135" s="107" t="s">
        <v>185</v>
      </c>
      <c r="E135" s="106" t="s">
        <v>713</v>
      </c>
      <c r="F135" s="107">
        <v>12.0</v>
      </c>
      <c r="G135" s="126" t="s">
        <v>723</v>
      </c>
      <c r="H135" s="105" t="s">
        <v>723</v>
      </c>
      <c r="I135" s="106" t="s">
        <v>723</v>
      </c>
      <c r="J135" s="107" t="s">
        <v>85</v>
      </c>
      <c r="K135" s="106" t="s">
        <v>687</v>
      </c>
      <c r="L135" s="107" t="s">
        <v>688</v>
      </c>
      <c r="M135" s="108">
        <v>44042.0</v>
      </c>
      <c r="N135" s="106" t="s">
        <v>735</v>
      </c>
      <c r="O135" s="116" t="s">
        <v>736</v>
      </c>
      <c r="P135" s="107" t="s">
        <v>721</v>
      </c>
      <c r="Q135" s="107" t="s">
        <v>721</v>
      </c>
      <c r="R135" s="110"/>
      <c r="S135" s="110"/>
      <c r="T135" s="110"/>
      <c r="U135" s="110"/>
      <c r="V135" s="110"/>
      <c r="W135" s="110"/>
      <c r="X135" s="110"/>
      <c r="Y135" s="110"/>
      <c r="Z135" s="110"/>
    </row>
    <row r="136" ht="15.75" customHeight="1">
      <c r="A136" s="105" t="s">
        <v>899</v>
      </c>
      <c r="B136" s="105" t="s">
        <v>52</v>
      </c>
      <c r="C136" s="106" t="s">
        <v>900</v>
      </c>
      <c r="D136" s="107" t="s">
        <v>185</v>
      </c>
      <c r="E136" s="106" t="s">
        <v>713</v>
      </c>
      <c r="F136" s="107">
        <v>49.0</v>
      </c>
      <c r="G136" s="126" t="s">
        <v>723</v>
      </c>
      <c r="H136" s="105" t="s">
        <v>723</v>
      </c>
      <c r="I136" s="106" t="s">
        <v>723</v>
      </c>
      <c r="J136" s="107" t="s">
        <v>85</v>
      </c>
      <c r="K136" s="106" t="s">
        <v>687</v>
      </c>
      <c r="L136" s="107" t="s">
        <v>688</v>
      </c>
      <c r="M136" s="108">
        <v>44042.0</v>
      </c>
      <c r="N136" s="106" t="s">
        <v>735</v>
      </c>
      <c r="O136" s="116" t="s">
        <v>736</v>
      </c>
      <c r="P136" s="107" t="s">
        <v>721</v>
      </c>
      <c r="Q136" s="107" t="s">
        <v>721</v>
      </c>
      <c r="R136" s="110"/>
      <c r="S136" s="110"/>
      <c r="T136" s="110"/>
      <c r="U136" s="110"/>
      <c r="V136" s="110"/>
      <c r="W136" s="110"/>
      <c r="X136" s="110"/>
      <c r="Y136" s="110"/>
      <c r="Z136" s="110"/>
    </row>
    <row r="137" ht="15.75" customHeight="1">
      <c r="A137" s="105" t="s">
        <v>901</v>
      </c>
      <c r="B137" s="105" t="s">
        <v>52</v>
      </c>
      <c r="C137" s="106" t="s">
        <v>902</v>
      </c>
      <c r="D137" s="107" t="s">
        <v>185</v>
      </c>
      <c r="E137" s="106" t="s">
        <v>768</v>
      </c>
      <c r="F137" s="111" t="s">
        <v>894</v>
      </c>
      <c r="G137" s="126" t="s">
        <v>723</v>
      </c>
      <c r="H137" s="105" t="s">
        <v>723</v>
      </c>
      <c r="I137" s="106" t="s">
        <v>723</v>
      </c>
      <c r="J137" s="107" t="s">
        <v>85</v>
      </c>
      <c r="K137" s="106" t="s">
        <v>687</v>
      </c>
      <c r="L137" s="107" t="s">
        <v>688</v>
      </c>
      <c r="M137" s="108">
        <v>44042.0</v>
      </c>
      <c r="N137" s="106" t="s">
        <v>735</v>
      </c>
      <c r="O137" s="116" t="s">
        <v>736</v>
      </c>
      <c r="P137" s="107" t="s">
        <v>721</v>
      </c>
      <c r="Q137" s="107" t="s">
        <v>721</v>
      </c>
      <c r="R137" s="110"/>
      <c r="S137" s="110"/>
      <c r="T137" s="110"/>
      <c r="U137" s="110"/>
      <c r="V137" s="110"/>
      <c r="W137" s="110"/>
      <c r="X137" s="110"/>
      <c r="Y137" s="110"/>
      <c r="Z137" s="110"/>
    </row>
    <row r="138" ht="15.75" customHeight="1">
      <c r="A138" s="105" t="s">
        <v>903</v>
      </c>
      <c r="B138" s="105" t="s">
        <v>52</v>
      </c>
      <c r="C138" s="106" t="s">
        <v>904</v>
      </c>
      <c r="D138" s="107" t="s">
        <v>185</v>
      </c>
      <c r="E138" s="106" t="s">
        <v>768</v>
      </c>
      <c r="F138" s="127" t="s">
        <v>894</v>
      </c>
      <c r="G138" s="126" t="s">
        <v>723</v>
      </c>
      <c r="H138" s="105" t="s">
        <v>723</v>
      </c>
      <c r="I138" s="106" t="s">
        <v>723</v>
      </c>
      <c r="J138" s="112" t="s">
        <v>85</v>
      </c>
      <c r="K138" s="106" t="s">
        <v>687</v>
      </c>
      <c r="L138" s="107" t="s">
        <v>688</v>
      </c>
      <c r="M138" s="108">
        <v>44042.0</v>
      </c>
      <c r="N138" s="106" t="s">
        <v>735</v>
      </c>
      <c r="O138" s="116" t="s">
        <v>736</v>
      </c>
      <c r="P138" s="107" t="s">
        <v>721</v>
      </c>
      <c r="Q138" s="107" t="s">
        <v>721</v>
      </c>
      <c r="R138" s="110"/>
      <c r="S138" s="110"/>
      <c r="T138" s="110"/>
      <c r="U138" s="110"/>
      <c r="V138" s="110"/>
      <c r="W138" s="110"/>
      <c r="X138" s="110"/>
      <c r="Y138" s="110"/>
      <c r="Z138" s="110"/>
    </row>
    <row r="139" ht="15.75" customHeight="1">
      <c r="A139" s="105" t="s">
        <v>905</v>
      </c>
      <c r="B139" s="105" t="s">
        <v>197</v>
      </c>
      <c r="C139" s="106" t="s">
        <v>906</v>
      </c>
      <c r="D139" s="107" t="s">
        <v>185</v>
      </c>
      <c r="E139" s="106" t="s">
        <v>713</v>
      </c>
      <c r="F139" s="112">
        <v>9.0</v>
      </c>
      <c r="G139" s="126" t="s">
        <v>723</v>
      </c>
      <c r="H139" s="105" t="s">
        <v>723</v>
      </c>
      <c r="I139" s="106" t="s">
        <v>723</v>
      </c>
      <c r="J139" s="112" t="s">
        <v>85</v>
      </c>
      <c r="K139" s="106" t="s">
        <v>687</v>
      </c>
      <c r="L139" s="107" t="s">
        <v>760</v>
      </c>
      <c r="M139" s="108">
        <v>44041.0</v>
      </c>
      <c r="N139" s="106" t="s">
        <v>692</v>
      </c>
      <c r="O139" s="109" t="s">
        <v>690</v>
      </c>
      <c r="P139" s="107" t="s">
        <v>724</v>
      </c>
      <c r="Q139" s="107" t="s">
        <v>724</v>
      </c>
      <c r="R139" s="110"/>
      <c r="S139" s="110"/>
      <c r="T139" s="110"/>
      <c r="U139" s="110"/>
      <c r="V139" s="110"/>
      <c r="W139" s="110"/>
      <c r="X139" s="110"/>
      <c r="Y139" s="110"/>
      <c r="Z139" s="110"/>
    </row>
    <row r="140" ht="15.75" customHeight="1">
      <c r="A140" s="105" t="s">
        <v>907</v>
      </c>
      <c r="B140" s="105" t="s">
        <v>197</v>
      </c>
      <c r="C140" s="106" t="s">
        <v>908</v>
      </c>
      <c r="D140" s="107" t="s">
        <v>185</v>
      </c>
      <c r="E140" s="106" t="s">
        <v>713</v>
      </c>
      <c r="F140" s="112">
        <v>10.0</v>
      </c>
      <c r="G140" s="126" t="s">
        <v>723</v>
      </c>
      <c r="H140" s="105" t="s">
        <v>723</v>
      </c>
      <c r="I140" s="106" t="s">
        <v>723</v>
      </c>
      <c r="J140" s="112" t="s">
        <v>85</v>
      </c>
      <c r="K140" s="106" t="s">
        <v>687</v>
      </c>
      <c r="L140" s="107" t="s">
        <v>760</v>
      </c>
      <c r="M140" s="108">
        <v>44041.0</v>
      </c>
      <c r="N140" s="106" t="s">
        <v>692</v>
      </c>
      <c r="O140" s="109" t="s">
        <v>690</v>
      </c>
      <c r="P140" s="107" t="s">
        <v>724</v>
      </c>
      <c r="Q140" s="107" t="s">
        <v>724</v>
      </c>
      <c r="R140" s="110"/>
      <c r="S140" s="110"/>
      <c r="T140" s="110"/>
      <c r="U140" s="110"/>
      <c r="V140" s="110"/>
      <c r="W140" s="110"/>
      <c r="X140" s="110"/>
      <c r="Y140" s="110"/>
      <c r="Z140" s="110"/>
    </row>
    <row r="141" ht="15.75" customHeight="1">
      <c r="A141" s="105" t="s">
        <v>909</v>
      </c>
      <c r="B141" s="105" t="s">
        <v>44</v>
      </c>
      <c r="C141" s="106" t="s">
        <v>910</v>
      </c>
      <c r="D141" s="107" t="s">
        <v>185</v>
      </c>
      <c r="E141" s="106" t="s">
        <v>694</v>
      </c>
      <c r="F141" s="112">
        <v>41.0</v>
      </c>
      <c r="G141" s="126" t="s">
        <v>723</v>
      </c>
      <c r="H141" s="105" t="s">
        <v>723</v>
      </c>
      <c r="I141" s="106" t="s">
        <v>723</v>
      </c>
      <c r="J141" s="112" t="s">
        <v>85</v>
      </c>
      <c r="K141" s="106" t="s">
        <v>687</v>
      </c>
      <c r="L141" s="107" t="s">
        <v>760</v>
      </c>
      <c r="M141" s="108">
        <v>44041.0</v>
      </c>
      <c r="N141" s="106" t="s">
        <v>692</v>
      </c>
      <c r="O141" s="109" t="s">
        <v>690</v>
      </c>
      <c r="P141" s="107" t="s">
        <v>724</v>
      </c>
      <c r="Q141" s="107" t="s">
        <v>724</v>
      </c>
      <c r="R141" s="110"/>
      <c r="S141" s="110"/>
      <c r="T141" s="110"/>
      <c r="U141" s="110"/>
      <c r="V141" s="110"/>
      <c r="W141" s="110"/>
      <c r="X141" s="110"/>
      <c r="Y141" s="110"/>
      <c r="Z141" s="110"/>
    </row>
    <row r="142" ht="15.75" customHeight="1">
      <c r="A142" s="105" t="s">
        <v>911</v>
      </c>
      <c r="B142" s="105" t="s">
        <v>197</v>
      </c>
      <c r="C142" s="106" t="s">
        <v>912</v>
      </c>
      <c r="D142" s="107" t="s">
        <v>185</v>
      </c>
      <c r="E142" s="106" t="s">
        <v>698</v>
      </c>
      <c r="F142" s="113">
        <v>43709.65902777778</v>
      </c>
      <c r="G142" s="106" t="s">
        <v>686</v>
      </c>
      <c r="H142" s="107" t="s">
        <v>91</v>
      </c>
      <c r="I142" s="107" t="s">
        <v>91</v>
      </c>
      <c r="J142" s="107" t="s">
        <v>85</v>
      </c>
      <c r="K142" s="106" t="s">
        <v>687</v>
      </c>
      <c r="L142" s="107" t="s">
        <v>810</v>
      </c>
      <c r="M142" s="108">
        <v>44042.0</v>
      </c>
      <c r="N142" s="106" t="s">
        <v>913</v>
      </c>
      <c r="O142" s="109" t="s">
        <v>914</v>
      </c>
      <c r="P142" s="107" t="s">
        <v>782</v>
      </c>
      <c r="Q142" s="107" t="s">
        <v>782</v>
      </c>
      <c r="R142" s="110"/>
      <c r="S142" s="110"/>
      <c r="T142" s="110"/>
      <c r="U142" s="110"/>
      <c r="V142" s="110"/>
      <c r="W142" s="110"/>
      <c r="X142" s="110"/>
      <c r="Y142" s="110"/>
      <c r="Z142" s="110"/>
    </row>
    <row r="143" ht="15.75" customHeight="1">
      <c r="A143" s="105" t="s">
        <v>915</v>
      </c>
      <c r="B143" s="105" t="s">
        <v>152</v>
      </c>
      <c r="C143" s="106" t="s">
        <v>916</v>
      </c>
      <c r="D143" s="107" t="s">
        <v>185</v>
      </c>
      <c r="E143" s="106" t="s">
        <v>685</v>
      </c>
      <c r="F143" s="107" t="s">
        <v>917</v>
      </c>
      <c r="G143" s="106" t="s">
        <v>686</v>
      </c>
      <c r="H143" s="107" t="s">
        <v>91</v>
      </c>
      <c r="I143" s="107" t="s">
        <v>91</v>
      </c>
      <c r="J143" s="107" t="s">
        <v>85</v>
      </c>
      <c r="K143" s="106" t="s">
        <v>687</v>
      </c>
      <c r="L143" s="107" t="s">
        <v>810</v>
      </c>
      <c r="M143" s="108">
        <v>44042.0</v>
      </c>
      <c r="N143" s="106" t="s">
        <v>913</v>
      </c>
      <c r="O143" s="109" t="s">
        <v>914</v>
      </c>
      <c r="P143" s="107" t="s">
        <v>782</v>
      </c>
      <c r="Q143" s="107" t="s">
        <v>782</v>
      </c>
      <c r="R143" s="110"/>
      <c r="S143" s="110"/>
      <c r="T143" s="110"/>
      <c r="U143" s="110"/>
      <c r="V143" s="110"/>
      <c r="W143" s="110"/>
      <c r="X143" s="110"/>
      <c r="Y143" s="110"/>
      <c r="Z143" s="110"/>
    </row>
    <row r="144" ht="15.75" customHeight="1">
      <c r="A144" s="105" t="s">
        <v>481</v>
      </c>
      <c r="B144" s="105" t="s">
        <v>197</v>
      </c>
      <c r="C144" s="106" t="s">
        <v>918</v>
      </c>
      <c r="D144" s="107" t="s">
        <v>185</v>
      </c>
      <c r="E144" s="106" t="s">
        <v>768</v>
      </c>
      <c r="F144" s="112">
        <v>36.0</v>
      </c>
      <c r="G144" s="126" t="s">
        <v>723</v>
      </c>
      <c r="H144" s="105" t="s">
        <v>723</v>
      </c>
      <c r="I144" s="106" t="s">
        <v>723</v>
      </c>
      <c r="J144" s="112" t="s">
        <v>85</v>
      </c>
      <c r="K144" s="106" t="s">
        <v>687</v>
      </c>
      <c r="L144" s="107" t="s">
        <v>760</v>
      </c>
      <c r="M144" s="108">
        <v>44041.0</v>
      </c>
      <c r="N144" s="106" t="s">
        <v>692</v>
      </c>
      <c r="O144" s="109" t="s">
        <v>690</v>
      </c>
      <c r="P144" s="107" t="s">
        <v>724</v>
      </c>
      <c r="Q144" s="107" t="s">
        <v>724</v>
      </c>
      <c r="R144" s="110"/>
      <c r="S144" s="110"/>
      <c r="T144" s="110"/>
      <c r="U144" s="110"/>
      <c r="V144" s="110"/>
      <c r="W144" s="110"/>
      <c r="X144" s="110"/>
      <c r="Y144" s="110"/>
      <c r="Z144" s="110"/>
    </row>
    <row r="145" ht="15.75" customHeight="1">
      <c r="A145" s="105" t="s">
        <v>483</v>
      </c>
      <c r="B145" s="105" t="s">
        <v>197</v>
      </c>
      <c r="C145" s="106" t="s">
        <v>919</v>
      </c>
      <c r="D145" s="107" t="s">
        <v>185</v>
      </c>
      <c r="E145" s="106" t="s">
        <v>768</v>
      </c>
      <c r="F145" s="112">
        <v>24.0</v>
      </c>
      <c r="G145" s="126" t="s">
        <v>723</v>
      </c>
      <c r="H145" s="105" t="s">
        <v>723</v>
      </c>
      <c r="I145" s="106" t="s">
        <v>723</v>
      </c>
      <c r="J145" s="112" t="s">
        <v>85</v>
      </c>
      <c r="K145" s="106" t="s">
        <v>687</v>
      </c>
      <c r="L145" s="107" t="s">
        <v>760</v>
      </c>
      <c r="M145" s="108">
        <v>44041.0</v>
      </c>
      <c r="N145" s="106" t="s">
        <v>692</v>
      </c>
      <c r="O145" s="109" t="s">
        <v>690</v>
      </c>
      <c r="P145" s="107" t="s">
        <v>724</v>
      </c>
      <c r="Q145" s="107" t="s">
        <v>724</v>
      </c>
      <c r="R145" s="110"/>
      <c r="S145" s="110"/>
      <c r="T145" s="110"/>
      <c r="U145" s="110"/>
      <c r="V145" s="110"/>
      <c r="W145" s="110"/>
      <c r="X145" s="110"/>
      <c r="Y145" s="110"/>
      <c r="Z145" s="110"/>
    </row>
    <row r="146" ht="15.75" customHeight="1">
      <c r="A146" s="105" t="s">
        <v>485</v>
      </c>
      <c r="B146" s="105" t="s">
        <v>44</v>
      </c>
      <c r="C146" s="106" t="s">
        <v>920</v>
      </c>
      <c r="D146" s="107" t="s">
        <v>185</v>
      </c>
      <c r="E146" s="106" t="s">
        <v>713</v>
      </c>
      <c r="F146" s="112">
        <v>19.0</v>
      </c>
      <c r="G146" s="126" t="s">
        <v>723</v>
      </c>
      <c r="H146" s="105" t="s">
        <v>723</v>
      </c>
      <c r="I146" s="106" t="s">
        <v>723</v>
      </c>
      <c r="J146" s="112" t="s">
        <v>85</v>
      </c>
      <c r="K146" s="106" t="s">
        <v>687</v>
      </c>
      <c r="L146" s="107" t="s">
        <v>760</v>
      </c>
      <c r="M146" s="108">
        <v>44041.0</v>
      </c>
      <c r="N146" s="105" t="s">
        <v>692</v>
      </c>
      <c r="O146" s="116" t="s">
        <v>736</v>
      </c>
      <c r="P146" s="107" t="s">
        <v>724</v>
      </c>
      <c r="Q146" s="107" t="s">
        <v>724</v>
      </c>
      <c r="R146" s="110"/>
      <c r="S146" s="110"/>
      <c r="T146" s="110"/>
      <c r="U146" s="110"/>
      <c r="V146" s="110"/>
      <c r="W146" s="110"/>
      <c r="X146" s="110"/>
      <c r="Y146" s="110"/>
      <c r="Z146" s="110"/>
    </row>
    <row r="147" ht="15.75" customHeight="1">
      <c r="A147" s="105" t="s">
        <v>487</v>
      </c>
      <c r="B147" s="105" t="s">
        <v>197</v>
      </c>
      <c r="C147" s="106" t="s">
        <v>488</v>
      </c>
      <c r="D147" s="107" t="s">
        <v>185</v>
      </c>
      <c r="E147" s="106" t="s">
        <v>768</v>
      </c>
      <c r="F147" s="112">
        <v>23.0</v>
      </c>
      <c r="G147" s="126" t="s">
        <v>723</v>
      </c>
      <c r="H147" s="105" t="s">
        <v>723</v>
      </c>
      <c r="I147" s="106" t="s">
        <v>723</v>
      </c>
      <c r="J147" s="112" t="s">
        <v>85</v>
      </c>
      <c r="K147" s="106" t="s">
        <v>687</v>
      </c>
      <c r="L147" s="107" t="s">
        <v>760</v>
      </c>
      <c r="M147" s="108">
        <v>44041.0</v>
      </c>
      <c r="N147" s="106" t="s">
        <v>692</v>
      </c>
      <c r="O147" s="109" t="s">
        <v>690</v>
      </c>
      <c r="P147" s="107" t="s">
        <v>724</v>
      </c>
      <c r="Q147" s="107" t="s">
        <v>724</v>
      </c>
      <c r="R147" s="110"/>
      <c r="S147" s="110"/>
      <c r="T147" s="110"/>
      <c r="U147" s="110"/>
      <c r="V147" s="110"/>
      <c r="W147" s="110"/>
      <c r="X147" s="110"/>
      <c r="Y147" s="110"/>
      <c r="Z147" s="110"/>
    </row>
    <row r="148" ht="15.75" customHeight="1">
      <c r="A148" s="105" t="s">
        <v>489</v>
      </c>
      <c r="B148" s="105" t="s">
        <v>152</v>
      </c>
      <c r="C148" s="106" t="s">
        <v>490</v>
      </c>
      <c r="D148" s="107" t="s">
        <v>185</v>
      </c>
      <c r="E148" s="106" t="s">
        <v>685</v>
      </c>
      <c r="F148" s="107" t="s">
        <v>921</v>
      </c>
      <c r="G148" s="107" t="s">
        <v>476</v>
      </c>
      <c r="H148" s="107" t="s">
        <v>476</v>
      </c>
      <c r="I148" s="107" t="s">
        <v>476</v>
      </c>
      <c r="J148" s="107" t="s">
        <v>85</v>
      </c>
      <c r="K148" s="106" t="s">
        <v>749</v>
      </c>
      <c r="L148" s="107" t="s">
        <v>749</v>
      </c>
      <c r="M148" s="108">
        <v>43983.0</v>
      </c>
      <c r="N148" s="106" t="s">
        <v>692</v>
      </c>
      <c r="O148" s="109" t="s">
        <v>690</v>
      </c>
      <c r="P148" s="107" t="s">
        <v>782</v>
      </c>
      <c r="Q148" s="107" t="s">
        <v>782</v>
      </c>
      <c r="R148" s="110"/>
      <c r="S148" s="110"/>
      <c r="T148" s="110"/>
      <c r="U148" s="110"/>
      <c r="V148" s="110"/>
      <c r="W148" s="110"/>
      <c r="X148" s="110"/>
      <c r="Y148" s="110"/>
      <c r="Z148" s="110"/>
    </row>
    <row r="149" ht="15.75" customHeight="1">
      <c r="A149" s="105" t="s">
        <v>491</v>
      </c>
      <c r="B149" s="105" t="s">
        <v>152</v>
      </c>
      <c r="C149" s="106" t="s">
        <v>492</v>
      </c>
      <c r="D149" s="107" t="s">
        <v>185</v>
      </c>
      <c r="E149" s="106" t="s">
        <v>685</v>
      </c>
      <c r="F149" s="107" t="s">
        <v>922</v>
      </c>
      <c r="G149" s="107" t="s">
        <v>476</v>
      </c>
      <c r="H149" s="107" t="s">
        <v>476</v>
      </c>
      <c r="I149" s="107" t="s">
        <v>476</v>
      </c>
      <c r="J149" s="107" t="s">
        <v>85</v>
      </c>
      <c r="K149" s="106" t="s">
        <v>749</v>
      </c>
      <c r="L149" s="107" t="s">
        <v>749</v>
      </c>
      <c r="M149" s="108">
        <v>43983.0</v>
      </c>
      <c r="N149" s="106" t="s">
        <v>692</v>
      </c>
      <c r="O149" s="109" t="s">
        <v>690</v>
      </c>
      <c r="P149" s="107" t="s">
        <v>782</v>
      </c>
      <c r="Q149" s="107" t="s">
        <v>782</v>
      </c>
      <c r="R149" s="110"/>
      <c r="S149" s="110"/>
      <c r="T149" s="110"/>
      <c r="U149" s="110"/>
      <c r="V149" s="110"/>
      <c r="W149" s="110"/>
      <c r="X149" s="110"/>
      <c r="Y149" s="110"/>
      <c r="Z149" s="110"/>
    </row>
    <row r="150" ht="15.75" customHeight="1">
      <c r="A150" s="105" t="s">
        <v>493</v>
      </c>
      <c r="B150" s="105" t="s">
        <v>152</v>
      </c>
      <c r="C150" s="106" t="s">
        <v>494</v>
      </c>
      <c r="D150" s="107" t="s">
        <v>185</v>
      </c>
      <c r="E150" s="106" t="s">
        <v>685</v>
      </c>
      <c r="F150" s="107" t="s">
        <v>923</v>
      </c>
      <c r="G150" s="107" t="s">
        <v>476</v>
      </c>
      <c r="H150" s="107" t="s">
        <v>476</v>
      </c>
      <c r="I150" s="107" t="s">
        <v>476</v>
      </c>
      <c r="J150" s="107" t="s">
        <v>85</v>
      </c>
      <c r="K150" s="106" t="s">
        <v>749</v>
      </c>
      <c r="L150" s="107" t="s">
        <v>749</v>
      </c>
      <c r="M150" s="108">
        <v>43983.0</v>
      </c>
      <c r="N150" s="106" t="s">
        <v>692</v>
      </c>
      <c r="O150" s="109" t="s">
        <v>690</v>
      </c>
      <c r="P150" s="107" t="s">
        <v>782</v>
      </c>
      <c r="Q150" s="107" t="s">
        <v>782</v>
      </c>
      <c r="R150" s="110"/>
      <c r="S150" s="110"/>
      <c r="T150" s="110"/>
      <c r="U150" s="110"/>
      <c r="V150" s="110"/>
      <c r="W150" s="110"/>
      <c r="X150" s="110"/>
      <c r="Y150" s="110"/>
      <c r="Z150" s="110"/>
    </row>
    <row r="151" ht="15.75" customHeight="1">
      <c r="A151" s="105" t="s">
        <v>495</v>
      </c>
      <c r="B151" s="105" t="s">
        <v>44</v>
      </c>
      <c r="C151" s="106" t="s">
        <v>496</v>
      </c>
      <c r="D151" s="107" t="s">
        <v>185</v>
      </c>
      <c r="E151" s="106" t="s">
        <v>685</v>
      </c>
      <c r="F151" s="107" t="s">
        <v>924</v>
      </c>
      <c r="G151" s="107" t="s">
        <v>476</v>
      </c>
      <c r="H151" s="107" t="s">
        <v>476</v>
      </c>
      <c r="I151" s="107" t="s">
        <v>476</v>
      </c>
      <c r="J151" s="107" t="s">
        <v>85</v>
      </c>
      <c r="K151" s="106" t="s">
        <v>749</v>
      </c>
      <c r="L151" s="107" t="s">
        <v>749</v>
      </c>
      <c r="M151" s="108">
        <v>43983.0</v>
      </c>
      <c r="N151" s="106" t="s">
        <v>692</v>
      </c>
      <c r="O151" s="109" t="s">
        <v>690</v>
      </c>
      <c r="P151" s="107" t="s">
        <v>782</v>
      </c>
      <c r="Q151" s="107" t="s">
        <v>782</v>
      </c>
      <c r="R151" s="110"/>
      <c r="S151" s="110"/>
      <c r="T151" s="110"/>
      <c r="U151" s="110"/>
      <c r="V151" s="110"/>
      <c r="W151" s="110"/>
      <c r="X151" s="110"/>
      <c r="Y151" s="110"/>
      <c r="Z151" s="110"/>
    </row>
    <row r="152" ht="15.75" customHeight="1">
      <c r="A152" s="105" t="s">
        <v>497</v>
      </c>
      <c r="B152" s="105" t="s">
        <v>152</v>
      </c>
      <c r="C152" s="106" t="s">
        <v>498</v>
      </c>
      <c r="D152" s="107" t="s">
        <v>185</v>
      </c>
      <c r="E152" s="106" t="s">
        <v>685</v>
      </c>
      <c r="F152" s="107" t="s">
        <v>925</v>
      </c>
      <c r="G152" s="107" t="s">
        <v>476</v>
      </c>
      <c r="H152" s="107" t="s">
        <v>476</v>
      </c>
      <c r="I152" s="107" t="s">
        <v>476</v>
      </c>
      <c r="J152" s="107" t="s">
        <v>85</v>
      </c>
      <c r="K152" s="106" t="s">
        <v>749</v>
      </c>
      <c r="L152" s="107" t="s">
        <v>749</v>
      </c>
      <c r="M152" s="108">
        <v>43983.0</v>
      </c>
      <c r="N152" s="106" t="s">
        <v>692</v>
      </c>
      <c r="O152" s="109" t="s">
        <v>690</v>
      </c>
      <c r="P152" s="107" t="s">
        <v>782</v>
      </c>
      <c r="Q152" s="107" t="s">
        <v>782</v>
      </c>
      <c r="R152" s="110"/>
      <c r="S152" s="110"/>
      <c r="T152" s="110"/>
      <c r="U152" s="110"/>
      <c r="V152" s="110"/>
      <c r="W152" s="110"/>
      <c r="X152" s="110"/>
      <c r="Y152" s="110"/>
      <c r="Z152" s="110"/>
    </row>
    <row r="153" ht="15.75" customHeight="1">
      <c r="A153" s="105" t="s">
        <v>499</v>
      </c>
      <c r="B153" s="105" t="s">
        <v>152</v>
      </c>
      <c r="C153" s="106" t="s">
        <v>500</v>
      </c>
      <c r="D153" s="107" t="s">
        <v>185</v>
      </c>
      <c r="E153" s="106" t="s">
        <v>685</v>
      </c>
      <c r="F153" s="107" t="s">
        <v>926</v>
      </c>
      <c r="G153" s="107" t="s">
        <v>476</v>
      </c>
      <c r="H153" s="107" t="s">
        <v>476</v>
      </c>
      <c r="I153" s="107" t="s">
        <v>476</v>
      </c>
      <c r="J153" s="107" t="s">
        <v>85</v>
      </c>
      <c r="K153" s="106" t="s">
        <v>749</v>
      </c>
      <c r="L153" s="107" t="s">
        <v>749</v>
      </c>
      <c r="M153" s="108">
        <v>43983.0</v>
      </c>
      <c r="N153" s="106" t="s">
        <v>692</v>
      </c>
      <c r="O153" s="109" t="s">
        <v>690</v>
      </c>
      <c r="P153" s="107" t="s">
        <v>782</v>
      </c>
      <c r="Q153" s="107" t="s">
        <v>782</v>
      </c>
      <c r="R153" s="110"/>
      <c r="S153" s="110"/>
      <c r="T153" s="110"/>
      <c r="U153" s="110"/>
      <c r="V153" s="110"/>
      <c r="W153" s="110"/>
      <c r="X153" s="110"/>
      <c r="Y153" s="110"/>
      <c r="Z153" s="110"/>
    </row>
    <row r="154" ht="15.75" customHeight="1">
      <c r="A154" s="105" t="s">
        <v>501</v>
      </c>
      <c r="B154" s="105" t="s">
        <v>152</v>
      </c>
      <c r="C154" s="106" t="s">
        <v>502</v>
      </c>
      <c r="D154" s="107" t="s">
        <v>185</v>
      </c>
      <c r="E154" s="106" t="s">
        <v>685</v>
      </c>
      <c r="F154" s="107" t="s">
        <v>927</v>
      </c>
      <c r="G154" s="107" t="s">
        <v>476</v>
      </c>
      <c r="H154" s="107" t="s">
        <v>476</v>
      </c>
      <c r="I154" s="107" t="s">
        <v>476</v>
      </c>
      <c r="J154" s="107" t="s">
        <v>85</v>
      </c>
      <c r="K154" s="106" t="s">
        <v>749</v>
      </c>
      <c r="L154" s="107" t="s">
        <v>749</v>
      </c>
      <c r="M154" s="108">
        <v>43983.0</v>
      </c>
      <c r="N154" s="106" t="s">
        <v>692</v>
      </c>
      <c r="O154" s="109" t="s">
        <v>690</v>
      </c>
      <c r="P154" s="107" t="s">
        <v>782</v>
      </c>
      <c r="Q154" s="107" t="s">
        <v>782</v>
      </c>
      <c r="R154" s="110"/>
      <c r="S154" s="110"/>
      <c r="T154" s="110"/>
      <c r="U154" s="110"/>
      <c r="V154" s="110"/>
      <c r="W154" s="110"/>
      <c r="X154" s="110"/>
      <c r="Y154" s="110"/>
      <c r="Z154" s="110"/>
    </row>
    <row r="155" ht="15.75" customHeight="1">
      <c r="A155" s="105" t="s">
        <v>503</v>
      </c>
      <c r="B155" s="105" t="s">
        <v>44</v>
      </c>
      <c r="C155" s="106" t="s">
        <v>504</v>
      </c>
      <c r="D155" s="107" t="s">
        <v>185</v>
      </c>
      <c r="E155" s="106" t="s">
        <v>685</v>
      </c>
      <c r="F155" s="107" t="s">
        <v>928</v>
      </c>
      <c r="G155" s="107" t="s">
        <v>476</v>
      </c>
      <c r="H155" s="107" t="s">
        <v>476</v>
      </c>
      <c r="I155" s="107" t="s">
        <v>476</v>
      </c>
      <c r="J155" s="107" t="s">
        <v>85</v>
      </c>
      <c r="K155" s="106" t="s">
        <v>749</v>
      </c>
      <c r="L155" s="107" t="s">
        <v>749</v>
      </c>
      <c r="M155" s="108">
        <v>43983.0</v>
      </c>
      <c r="N155" s="106" t="s">
        <v>692</v>
      </c>
      <c r="O155" s="109" t="s">
        <v>690</v>
      </c>
      <c r="P155" s="107" t="s">
        <v>782</v>
      </c>
      <c r="Q155" s="107" t="s">
        <v>782</v>
      </c>
      <c r="R155" s="110"/>
      <c r="S155" s="110"/>
      <c r="T155" s="110"/>
      <c r="U155" s="110"/>
      <c r="V155" s="110"/>
      <c r="W155" s="110"/>
      <c r="X155" s="110"/>
      <c r="Y155" s="110"/>
      <c r="Z155" s="110"/>
    </row>
    <row r="156" ht="15.75" customHeight="1">
      <c r="A156" s="105" t="s">
        <v>505</v>
      </c>
      <c r="B156" s="105" t="s">
        <v>152</v>
      </c>
      <c r="C156" s="106" t="s">
        <v>506</v>
      </c>
      <c r="D156" s="107" t="s">
        <v>185</v>
      </c>
      <c r="E156" s="106" t="s">
        <v>685</v>
      </c>
      <c r="F156" s="107" t="s">
        <v>921</v>
      </c>
      <c r="G156" s="107" t="s">
        <v>476</v>
      </c>
      <c r="H156" s="107" t="s">
        <v>476</v>
      </c>
      <c r="I156" s="107" t="s">
        <v>476</v>
      </c>
      <c r="J156" s="107" t="s">
        <v>85</v>
      </c>
      <c r="K156" s="106" t="s">
        <v>749</v>
      </c>
      <c r="L156" s="107" t="s">
        <v>749</v>
      </c>
      <c r="M156" s="108">
        <v>43983.0</v>
      </c>
      <c r="N156" s="106" t="s">
        <v>692</v>
      </c>
      <c r="O156" s="109" t="s">
        <v>690</v>
      </c>
      <c r="P156" s="107" t="s">
        <v>782</v>
      </c>
      <c r="Q156" s="107" t="s">
        <v>782</v>
      </c>
      <c r="R156" s="110"/>
      <c r="S156" s="110"/>
      <c r="T156" s="110"/>
      <c r="U156" s="110"/>
      <c r="V156" s="110"/>
      <c r="W156" s="110"/>
      <c r="X156" s="110"/>
      <c r="Y156" s="110"/>
      <c r="Z156" s="110"/>
    </row>
    <row r="157" ht="15.75" customHeight="1">
      <c r="A157" s="105" t="s">
        <v>507</v>
      </c>
      <c r="B157" s="105" t="s">
        <v>152</v>
      </c>
      <c r="C157" s="106" t="s">
        <v>508</v>
      </c>
      <c r="D157" s="107" t="s">
        <v>185</v>
      </c>
      <c r="E157" s="106" t="s">
        <v>685</v>
      </c>
      <c r="F157" s="107" t="s">
        <v>929</v>
      </c>
      <c r="G157" s="107" t="s">
        <v>476</v>
      </c>
      <c r="H157" s="107" t="s">
        <v>476</v>
      </c>
      <c r="I157" s="107" t="s">
        <v>476</v>
      </c>
      <c r="J157" s="107" t="s">
        <v>85</v>
      </c>
      <c r="K157" s="106" t="s">
        <v>749</v>
      </c>
      <c r="L157" s="107" t="s">
        <v>749</v>
      </c>
      <c r="M157" s="108">
        <v>43983.0</v>
      </c>
      <c r="N157" s="106" t="s">
        <v>692</v>
      </c>
      <c r="O157" s="109" t="s">
        <v>690</v>
      </c>
      <c r="P157" s="107" t="s">
        <v>782</v>
      </c>
      <c r="Q157" s="107" t="s">
        <v>782</v>
      </c>
      <c r="R157" s="110"/>
      <c r="S157" s="110"/>
      <c r="T157" s="110"/>
      <c r="U157" s="110"/>
      <c r="V157" s="110"/>
      <c r="W157" s="110"/>
      <c r="X157" s="110"/>
      <c r="Y157" s="110"/>
      <c r="Z157" s="110"/>
    </row>
    <row r="158" ht="15.75" customHeight="1">
      <c r="A158" s="105" t="s">
        <v>509</v>
      </c>
      <c r="B158" s="105" t="s">
        <v>152</v>
      </c>
      <c r="C158" s="106" t="s">
        <v>510</v>
      </c>
      <c r="D158" s="107" t="s">
        <v>185</v>
      </c>
      <c r="E158" s="106" t="s">
        <v>685</v>
      </c>
      <c r="F158" s="107" t="s">
        <v>930</v>
      </c>
      <c r="G158" s="107" t="s">
        <v>476</v>
      </c>
      <c r="H158" s="107" t="s">
        <v>476</v>
      </c>
      <c r="I158" s="107" t="s">
        <v>476</v>
      </c>
      <c r="J158" s="107" t="s">
        <v>85</v>
      </c>
      <c r="K158" s="106" t="s">
        <v>749</v>
      </c>
      <c r="L158" s="107" t="s">
        <v>749</v>
      </c>
      <c r="M158" s="108">
        <v>43983.0</v>
      </c>
      <c r="N158" s="106" t="s">
        <v>692</v>
      </c>
      <c r="O158" s="109" t="s">
        <v>690</v>
      </c>
      <c r="P158" s="107" t="s">
        <v>782</v>
      </c>
      <c r="Q158" s="107" t="s">
        <v>782</v>
      </c>
      <c r="R158" s="110"/>
      <c r="S158" s="110"/>
      <c r="T158" s="110"/>
      <c r="U158" s="110"/>
      <c r="V158" s="110"/>
      <c r="W158" s="110"/>
      <c r="X158" s="110"/>
      <c r="Y158" s="110"/>
      <c r="Z158" s="110"/>
    </row>
    <row r="159" ht="15.75" customHeight="1">
      <c r="A159" s="105" t="s">
        <v>511</v>
      </c>
      <c r="B159" s="105" t="s">
        <v>44</v>
      </c>
      <c r="C159" s="106" t="s">
        <v>512</v>
      </c>
      <c r="D159" s="107" t="s">
        <v>185</v>
      </c>
      <c r="E159" s="106" t="s">
        <v>685</v>
      </c>
      <c r="F159" s="107" t="s">
        <v>931</v>
      </c>
      <c r="G159" s="107" t="s">
        <v>476</v>
      </c>
      <c r="H159" s="107" t="s">
        <v>476</v>
      </c>
      <c r="I159" s="107" t="s">
        <v>476</v>
      </c>
      <c r="J159" s="107" t="s">
        <v>85</v>
      </c>
      <c r="K159" s="106" t="s">
        <v>749</v>
      </c>
      <c r="L159" s="107" t="s">
        <v>749</v>
      </c>
      <c r="M159" s="108">
        <v>43983.0</v>
      </c>
      <c r="N159" s="106" t="s">
        <v>692</v>
      </c>
      <c r="O159" s="109" t="s">
        <v>690</v>
      </c>
      <c r="P159" s="107" t="s">
        <v>782</v>
      </c>
      <c r="Q159" s="107" t="s">
        <v>782</v>
      </c>
      <c r="R159" s="110"/>
      <c r="S159" s="110"/>
      <c r="T159" s="110"/>
      <c r="U159" s="110"/>
      <c r="V159" s="110"/>
      <c r="W159" s="110"/>
      <c r="X159" s="110"/>
      <c r="Y159" s="110"/>
      <c r="Z159" s="110"/>
    </row>
    <row r="160" ht="15.75" customHeight="1">
      <c r="A160" s="105" t="s">
        <v>932</v>
      </c>
      <c r="B160" s="105" t="s">
        <v>197</v>
      </c>
      <c r="C160" s="106" t="s">
        <v>933</v>
      </c>
      <c r="D160" s="107" t="s">
        <v>185</v>
      </c>
      <c r="E160" s="106" t="s">
        <v>694</v>
      </c>
      <c r="F160" s="112">
        <v>140769.0</v>
      </c>
      <c r="G160" s="106" t="s">
        <v>723</v>
      </c>
      <c r="H160" s="112" t="s">
        <v>91</v>
      </c>
      <c r="I160" s="106" t="s">
        <v>723</v>
      </c>
      <c r="J160" s="112" t="s">
        <v>85</v>
      </c>
      <c r="K160" s="106" t="s">
        <v>687</v>
      </c>
      <c r="L160" s="107" t="s">
        <v>688</v>
      </c>
      <c r="M160" s="108">
        <v>44041.0</v>
      </c>
      <c r="N160" s="105" t="s">
        <v>701</v>
      </c>
      <c r="O160" s="109" t="s">
        <v>690</v>
      </c>
      <c r="P160" s="107" t="s">
        <v>724</v>
      </c>
      <c r="Q160" s="107" t="s">
        <v>724</v>
      </c>
      <c r="R160" s="110"/>
      <c r="S160" s="110"/>
      <c r="T160" s="110"/>
      <c r="U160" s="110"/>
      <c r="V160" s="110"/>
      <c r="W160" s="110"/>
      <c r="X160" s="110"/>
      <c r="Y160" s="110"/>
      <c r="Z160" s="110"/>
    </row>
    <row r="161" ht="15.75" customHeight="1">
      <c r="A161" s="105" t="s">
        <v>1329</v>
      </c>
      <c r="B161" s="105" t="s">
        <v>46</v>
      </c>
      <c r="C161" s="106" t="s">
        <v>934</v>
      </c>
      <c r="D161" s="107" t="s">
        <v>135</v>
      </c>
      <c r="E161" s="106" t="s">
        <v>720</v>
      </c>
      <c r="F161" s="126" t="b">
        <v>1</v>
      </c>
      <c r="G161" s="117" t="s">
        <v>517</v>
      </c>
      <c r="H161" s="117" t="s">
        <v>517</v>
      </c>
      <c r="I161" s="117" t="s">
        <v>90</v>
      </c>
      <c r="J161" s="107" t="s">
        <v>85</v>
      </c>
      <c r="K161" s="106" t="s">
        <v>749</v>
      </c>
      <c r="L161" s="107" t="s">
        <v>714</v>
      </c>
      <c r="M161" s="108">
        <v>43770.0</v>
      </c>
      <c r="N161" s="106" t="s">
        <v>692</v>
      </c>
      <c r="O161" s="109" t="s">
        <v>690</v>
      </c>
      <c r="P161" s="107" t="s">
        <v>782</v>
      </c>
      <c r="Q161" s="107" t="s">
        <v>782</v>
      </c>
      <c r="R161" s="110"/>
      <c r="S161" s="110"/>
      <c r="T161" s="110"/>
      <c r="U161" s="110"/>
      <c r="V161" s="110"/>
      <c r="W161" s="110"/>
      <c r="X161" s="110"/>
      <c r="Y161" s="110"/>
      <c r="Z161" s="110"/>
    </row>
    <row r="162" ht="15.75" customHeight="1">
      <c r="A162" s="105" t="s">
        <v>1330</v>
      </c>
      <c r="B162" s="105" t="s">
        <v>46</v>
      </c>
      <c r="C162" s="106" t="s">
        <v>935</v>
      </c>
      <c r="D162" s="107" t="s">
        <v>135</v>
      </c>
      <c r="E162" s="106" t="s">
        <v>685</v>
      </c>
      <c r="F162" s="106" t="s">
        <v>936</v>
      </c>
      <c r="G162" s="117" t="s">
        <v>517</v>
      </c>
      <c r="H162" s="117" t="s">
        <v>517</v>
      </c>
      <c r="I162" s="117" t="s">
        <v>90</v>
      </c>
      <c r="J162" s="107" t="s">
        <v>85</v>
      </c>
      <c r="K162" s="106" t="s">
        <v>749</v>
      </c>
      <c r="L162" s="107" t="s">
        <v>714</v>
      </c>
      <c r="M162" s="108">
        <v>43770.0</v>
      </c>
      <c r="N162" s="106" t="s">
        <v>692</v>
      </c>
      <c r="O162" s="109" t="s">
        <v>690</v>
      </c>
      <c r="P162" s="107" t="s">
        <v>782</v>
      </c>
      <c r="Q162" s="107" t="s">
        <v>782</v>
      </c>
      <c r="R162" s="110"/>
      <c r="S162" s="110"/>
      <c r="T162" s="110"/>
      <c r="U162" s="110"/>
      <c r="V162" s="110"/>
      <c r="W162" s="110"/>
      <c r="X162" s="110"/>
      <c r="Y162" s="110"/>
      <c r="Z162" s="110"/>
    </row>
    <row r="163" ht="15.75" customHeight="1">
      <c r="A163" s="105" t="s">
        <v>1331</v>
      </c>
      <c r="B163" s="105" t="s">
        <v>46</v>
      </c>
      <c r="C163" s="106" t="s">
        <v>937</v>
      </c>
      <c r="D163" s="107" t="s">
        <v>135</v>
      </c>
      <c r="E163" s="106" t="s">
        <v>685</v>
      </c>
      <c r="F163" s="128" t="s">
        <v>938</v>
      </c>
      <c r="G163" s="117" t="s">
        <v>517</v>
      </c>
      <c r="H163" s="117" t="s">
        <v>517</v>
      </c>
      <c r="I163" s="117" t="s">
        <v>90</v>
      </c>
      <c r="J163" s="107" t="s">
        <v>85</v>
      </c>
      <c r="K163" s="106" t="s">
        <v>749</v>
      </c>
      <c r="L163" s="107" t="s">
        <v>714</v>
      </c>
      <c r="M163" s="108">
        <v>43770.0</v>
      </c>
      <c r="N163" s="106" t="s">
        <v>692</v>
      </c>
      <c r="O163" s="109" t="s">
        <v>690</v>
      </c>
      <c r="P163" s="107" t="s">
        <v>782</v>
      </c>
      <c r="Q163" s="107" t="s">
        <v>782</v>
      </c>
      <c r="R163" s="110"/>
      <c r="S163" s="110"/>
      <c r="T163" s="110"/>
      <c r="U163" s="110"/>
      <c r="V163" s="110"/>
      <c r="W163" s="110"/>
      <c r="X163" s="110"/>
      <c r="Y163" s="110"/>
      <c r="Z163" s="110"/>
    </row>
    <row r="164" ht="15.75" customHeight="1">
      <c r="A164" s="105" t="s">
        <v>531</v>
      </c>
      <c r="B164" s="105" t="s">
        <v>46</v>
      </c>
      <c r="C164" s="106" t="s">
        <v>943</v>
      </c>
      <c r="D164" s="107" t="s">
        <v>135</v>
      </c>
      <c r="E164" s="106" t="s">
        <v>720</v>
      </c>
      <c r="F164" s="126" t="b">
        <v>1</v>
      </c>
      <c r="G164" s="117" t="s">
        <v>517</v>
      </c>
      <c r="H164" s="117" t="s">
        <v>517</v>
      </c>
      <c r="I164" s="117" t="s">
        <v>90</v>
      </c>
      <c r="J164" s="107" t="s">
        <v>85</v>
      </c>
      <c r="K164" s="106" t="s">
        <v>749</v>
      </c>
      <c r="L164" s="107" t="s">
        <v>714</v>
      </c>
      <c r="M164" s="108">
        <v>43983.0</v>
      </c>
      <c r="N164" s="106" t="s">
        <v>692</v>
      </c>
      <c r="O164" s="109" t="s">
        <v>690</v>
      </c>
      <c r="P164" s="107" t="s">
        <v>782</v>
      </c>
      <c r="Q164" s="107" t="s">
        <v>782</v>
      </c>
      <c r="R164" s="110"/>
      <c r="S164" s="110"/>
      <c r="T164" s="110"/>
      <c r="U164" s="110"/>
      <c r="V164" s="110"/>
      <c r="W164" s="110"/>
      <c r="X164" s="110"/>
      <c r="Y164" s="110"/>
      <c r="Z164" s="110"/>
    </row>
    <row r="165" ht="15.75" customHeight="1">
      <c r="A165" s="105" t="s">
        <v>533</v>
      </c>
      <c r="B165" s="105" t="s">
        <v>46</v>
      </c>
      <c r="C165" s="106" t="s">
        <v>944</v>
      </c>
      <c r="D165" s="107" t="s">
        <v>135</v>
      </c>
      <c r="E165" s="106" t="s">
        <v>685</v>
      </c>
      <c r="F165" s="106" t="s">
        <v>936</v>
      </c>
      <c r="G165" s="117" t="s">
        <v>517</v>
      </c>
      <c r="H165" s="117" t="s">
        <v>517</v>
      </c>
      <c r="I165" s="117" t="s">
        <v>90</v>
      </c>
      <c r="J165" s="107" t="s">
        <v>85</v>
      </c>
      <c r="K165" s="106" t="s">
        <v>749</v>
      </c>
      <c r="L165" s="107" t="s">
        <v>714</v>
      </c>
      <c r="M165" s="108">
        <v>43983.0</v>
      </c>
      <c r="N165" s="106" t="s">
        <v>692</v>
      </c>
      <c r="O165" s="109" t="s">
        <v>690</v>
      </c>
      <c r="P165" s="107" t="s">
        <v>782</v>
      </c>
      <c r="Q165" s="107" t="s">
        <v>782</v>
      </c>
      <c r="R165" s="110"/>
      <c r="S165" s="110"/>
      <c r="T165" s="110"/>
      <c r="U165" s="110"/>
      <c r="V165" s="110"/>
      <c r="W165" s="110"/>
      <c r="X165" s="110"/>
      <c r="Y165" s="110"/>
      <c r="Z165" s="110"/>
    </row>
    <row r="166" ht="15.75" customHeight="1">
      <c r="A166" s="105" t="s">
        <v>535</v>
      </c>
      <c r="B166" s="105" t="s">
        <v>46</v>
      </c>
      <c r="C166" s="106" t="s">
        <v>945</v>
      </c>
      <c r="D166" s="107" t="s">
        <v>135</v>
      </c>
      <c r="E166" s="106" t="s">
        <v>685</v>
      </c>
      <c r="F166" s="106" t="s">
        <v>946</v>
      </c>
      <c r="G166" s="117" t="s">
        <v>517</v>
      </c>
      <c r="H166" s="117" t="s">
        <v>517</v>
      </c>
      <c r="I166" s="117" t="s">
        <v>90</v>
      </c>
      <c r="J166" s="107" t="s">
        <v>85</v>
      </c>
      <c r="K166" s="106" t="s">
        <v>749</v>
      </c>
      <c r="L166" s="107" t="s">
        <v>714</v>
      </c>
      <c r="M166" s="108">
        <v>43983.0</v>
      </c>
      <c r="N166" s="106" t="s">
        <v>692</v>
      </c>
      <c r="O166" s="109" t="s">
        <v>690</v>
      </c>
      <c r="P166" s="107" t="s">
        <v>782</v>
      </c>
      <c r="Q166" s="107" t="s">
        <v>782</v>
      </c>
      <c r="R166" s="110"/>
      <c r="S166" s="110"/>
      <c r="T166" s="110"/>
      <c r="U166" s="110"/>
      <c r="V166" s="110"/>
      <c r="W166" s="110"/>
      <c r="X166" s="110"/>
      <c r="Y166" s="110"/>
      <c r="Z166" s="110"/>
    </row>
    <row r="167" ht="15.75" customHeight="1">
      <c r="A167" s="105" t="s">
        <v>538</v>
      </c>
      <c r="B167" s="105" t="s">
        <v>46</v>
      </c>
      <c r="C167" s="106" t="s">
        <v>947</v>
      </c>
      <c r="D167" s="107" t="s">
        <v>135</v>
      </c>
      <c r="E167" s="106" t="s">
        <v>720</v>
      </c>
      <c r="F167" s="126" t="b">
        <v>1</v>
      </c>
      <c r="G167" s="117" t="s">
        <v>517</v>
      </c>
      <c r="H167" s="117" t="s">
        <v>517</v>
      </c>
      <c r="I167" s="117" t="s">
        <v>90</v>
      </c>
      <c r="J167" s="107" t="s">
        <v>85</v>
      </c>
      <c r="K167" s="106" t="s">
        <v>749</v>
      </c>
      <c r="L167" s="107" t="s">
        <v>714</v>
      </c>
      <c r="M167" s="108">
        <v>43983.0</v>
      </c>
      <c r="N167" s="106" t="s">
        <v>692</v>
      </c>
      <c r="O167" s="109" t="s">
        <v>690</v>
      </c>
      <c r="P167" s="107" t="s">
        <v>782</v>
      </c>
      <c r="Q167" s="107" t="s">
        <v>782</v>
      </c>
      <c r="R167" s="110"/>
      <c r="S167" s="110"/>
      <c r="T167" s="110"/>
      <c r="U167" s="110"/>
      <c r="V167" s="110"/>
      <c r="W167" s="110"/>
      <c r="X167" s="110"/>
      <c r="Y167" s="110"/>
      <c r="Z167" s="110"/>
    </row>
    <row r="168" ht="15.75" customHeight="1">
      <c r="A168" s="105" t="s">
        <v>540</v>
      </c>
      <c r="B168" s="105" t="s">
        <v>46</v>
      </c>
      <c r="C168" s="106" t="s">
        <v>948</v>
      </c>
      <c r="D168" s="107" t="s">
        <v>135</v>
      </c>
      <c r="E168" s="106" t="s">
        <v>685</v>
      </c>
      <c r="F168" s="106" t="s">
        <v>936</v>
      </c>
      <c r="G168" s="117" t="s">
        <v>517</v>
      </c>
      <c r="H168" s="117" t="s">
        <v>517</v>
      </c>
      <c r="I168" s="117" t="s">
        <v>90</v>
      </c>
      <c r="J168" s="107" t="s">
        <v>85</v>
      </c>
      <c r="K168" s="106" t="s">
        <v>749</v>
      </c>
      <c r="L168" s="107" t="s">
        <v>714</v>
      </c>
      <c r="M168" s="108">
        <v>43983.0</v>
      </c>
      <c r="N168" s="106" t="s">
        <v>692</v>
      </c>
      <c r="O168" s="109" t="s">
        <v>690</v>
      </c>
      <c r="P168" s="107" t="s">
        <v>782</v>
      </c>
      <c r="Q168" s="107" t="s">
        <v>782</v>
      </c>
      <c r="R168" s="110"/>
      <c r="S168" s="110"/>
      <c r="T168" s="110"/>
      <c r="U168" s="110"/>
      <c r="V168" s="110"/>
      <c r="W168" s="110"/>
      <c r="X168" s="110"/>
      <c r="Y168" s="110"/>
      <c r="Z168" s="110"/>
    </row>
    <row r="169" ht="15.75" customHeight="1">
      <c r="A169" s="105" t="s">
        <v>542</v>
      </c>
      <c r="B169" s="105" t="s">
        <v>46</v>
      </c>
      <c r="C169" s="106" t="s">
        <v>949</v>
      </c>
      <c r="D169" s="107" t="s">
        <v>135</v>
      </c>
      <c r="E169" s="106" t="s">
        <v>685</v>
      </c>
      <c r="F169" s="106" t="s">
        <v>950</v>
      </c>
      <c r="G169" s="117" t="s">
        <v>517</v>
      </c>
      <c r="H169" s="117" t="s">
        <v>517</v>
      </c>
      <c r="I169" s="117" t="s">
        <v>90</v>
      </c>
      <c r="J169" s="107" t="s">
        <v>85</v>
      </c>
      <c r="K169" s="106" t="s">
        <v>749</v>
      </c>
      <c r="L169" s="107" t="s">
        <v>714</v>
      </c>
      <c r="M169" s="108">
        <v>43983.0</v>
      </c>
      <c r="N169" s="106" t="s">
        <v>692</v>
      </c>
      <c r="O169" s="109" t="s">
        <v>690</v>
      </c>
      <c r="P169" s="107" t="s">
        <v>782</v>
      </c>
      <c r="Q169" s="107" t="s">
        <v>782</v>
      </c>
      <c r="R169" s="110"/>
      <c r="S169" s="110"/>
      <c r="T169" s="110"/>
      <c r="U169" s="110"/>
      <c r="V169" s="110"/>
      <c r="W169" s="110"/>
      <c r="X169" s="110"/>
      <c r="Y169" s="110"/>
      <c r="Z169" s="110"/>
    </row>
    <row r="170" ht="15.75" customHeight="1">
      <c r="A170" s="105" t="s">
        <v>545</v>
      </c>
      <c r="B170" s="105" t="s">
        <v>46</v>
      </c>
      <c r="C170" s="106" t="s">
        <v>951</v>
      </c>
      <c r="D170" s="107" t="s">
        <v>135</v>
      </c>
      <c r="E170" s="106" t="s">
        <v>720</v>
      </c>
      <c r="F170" s="126" t="b">
        <v>1</v>
      </c>
      <c r="G170" s="117" t="s">
        <v>517</v>
      </c>
      <c r="H170" s="117" t="s">
        <v>517</v>
      </c>
      <c r="I170" s="117" t="s">
        <v>90</v>
      </c>
      <c r="J170" s="107" t="s">
        <v>85</v>
      </c>
      <c r="K170" s="106" t="s">
        <v>749</v>
      </c>
      <c r="L170" s="107" t="s">
        <v>714</v>
      </c>
      <c r="M170" s="108">
        <v>43983.0</v>
      </c>
      <c r="N170" s="106" t="s">
        <v>692</v>
      </c>
      <c r="O170" s="109" t="s">
        <v>690</v>
      </c>
      <c r="P170" s="107" t="s">
        <v>782</v>
      </c>
      <c r="Q170" s="107" t="s">
        <v>782</v>
      </c>
      <c r="R170" s="110"/>
      <c r="S170" s="110"/>
      <c r="T170" s="110"/>
      <c r="U170" s="110"/>
      <c r="V170" s="110"/>
      <c r="W170" s="110"/>
      <c r="X170" s="110"/>
      <c r="Y170" s="110"/>
      <c r="Z170" s="110"/>
    </row>
    <row r="171" ht="15.75" customHeight="1">
      <c r="A171" s="105" t="s">
        <v>547</v>
      </c>
      <c r="B171" s="105" t="s">
        <v>46</v>
      </c>
      <c r="C171" s="106" t="s">
        <v>952</v>
      </c>
      <c r="D171" s="107" t="s">
        <v>135</v>
      </c>
      <c r="E171" s="106" t="s">
        <v>685</v>
      </c>
      <c r="F171" s="106" t="s">
        <v>936</v>
      </c>
      <c r="G171" s="117" t="s">
        <v>517</v>
      </c>
      <c r="H171" s="117" t="s">
        <v>517</v>
      </c>
      <c r="I171" s="117" t="s">
        <v>90</v>
      </c>
      <c r="J171" s="107" t="s">
        <v>85</v>
      </c>
      <c r="K171" s="106" t="s">
        <v>749</v>
      </c>
      <c r="L171" s="107" t="s">
        <v>714</v>
      </c>
      <c r="M171" s="108">
        <v>43983.0</v>
      </c>
      <c r="N171" s="106" t="s">
        <v>692</v>
      </c>
      <c r="O171" s="109" t="s">
        <v>690</v>
      </c>
      <c r="P171" s="107" t="s">
        <v>782</v>
      </c>
      <c r="Q171" s="107" t="s">
        <v>782</v>
      </c>
      <c r="R171" s="110"/>
      <c r="S171" s="110"/>
      <c r="T171" s="110"/>
      <c r="U171" s="110"/>
      <c r="V171" s="110"/>
      <c r="W171" s="110"/>
      <c r="X171" s="110"/>
      <c r="Y171" s="110"/>
      <c r="Z171" s="110"/>
    </row>
    <row r="172" ht="15.75" customHeight="1">
      <c r="A172" s="105" t="s">
        <v>550</v>
      </c>
      <c r="B172" s="105" t="s">
        <v>46</v>
      </c>
      <c r="C172" s="106" t="s">
        <v>953</v>
      </c>
      <c r="D172" s="107" t="s">
        <v>135</v>
      </c>
      <c r="E172" s="106" t="s">
        <v>685</v>
      </c>
      <c r="F172" s="106" t="s">
        <v>954</v>
      </c>
      <c r="G172" s="117" t="s">
        <v>517</v>
      </c>
      <c r="H172" s="117" t="s">
        <v>517</v>
      </c>
      <c r="I172" s="117" t="s">
        <v>90</v>
      </c>
      <c r="J172" s="107" t="s">
        <v>85</v>
      </c>
      <c r="K172" s="106" t="s">
        <v>749</v>
      </c>
      <c r="L172" s="107" t="s">
        <v>714</v>
      </c>
      <c r="M172" s="108">
        <v>43983.0</v>
      </c>
      <c r="N172" s="106" t="s">
        <v>692</v>
      </c>
      <c r="O172" s="109" t="s">
        <v>690</v>
      </c>
      <c r="P172" s="107" t="s">
        <v>782</v>
      </c>
      <c r="Q172" s="107" t="s">
        <v>782</v>
      </c>
      <c r="R172" s="110"/>
      <c r="S172" s="110"/>
      <c r="T172" s="110"/>
      <c r="U172" s="110"/>
      <c r="V172" s="110"/>
      <c r="W172" s="110"/>
      <c r="X172" s="110"/>
      <c r="Y172" s="110"/>
      <c r="Z172" s="110"/>
    </row>
    <row r="173" ht="15.75" customHeight="1">
      <c r="A173" s="105" t="s">
        <v>553</v>
      </c>
      <c r="B173" s="105" t="s">
        <v>46</v>
      </c>
      <c r="C173" s="106" t="s">
        <v>955</v>
      </c>
      <c r="D173" s="107" t="s">
        <v>135</v>
      </c>
      <c r="E173" s="106" t="s">
        <v>720</v>
      </c>
      <c r="F173" s="126" t="b">
        <v>1</v>
      </c>
      <c r="G173" s="117" t="s">
        <v>517</v>
      </c>
      <c r="H173" s="117" t="s">
        <v>517</v>
      </c>
      <c r="I173" s="117" t="s">
        <v>90</v>
      </c>
      <c r="J173" s="107" t="s">
        <v>85</v>
      </c>
      <c r="K173" s="106" t="s">
        <v>749</v>
      </c>
      <c r="L173" s="107" t="s">
        <v>714</v>
      </c>
      <c r="M173" s="108">
        <v>43983.0</v>
      </c>
      <c r="N173" s="106" t="s">
        <v>692</v>
      </c>
      <c r="O173" s="109" t="s">
        <v>690</v>
      </c>
      <c r="P173" s="107" t="s">
        <v>782</v>
      </c>
      <c r="Q173" s="107" t="s">
        <v>782</v>
      </c>
      <c r="R173" s="110"/>
      <c r="S173" s="110"/>
      <c r="T173" s="110"/>
      <c r="U173" s="110"/>
      <c r="V173" s="110"/>
      <c r="W173" s="110"/>
      <c r="X173" s="110"/>
      <c r="Y173" s="110"/>
      <c r="Z173" s="110"/>
    </row>
    <row r="174" ht="15.75" customHeight="1">
      <c r="A174" s="105" t="s">
        <v>555</v>
      </c>
      <c r="B174" s="105" t="s">
        <v>46</v>
      </c>
      <c r="C174" s="106" t="s">
        <v>956</v>
      </c>
      <c r="D174" s="107" t="s">
        <v>135</v>
      </c>
      <c r="E174" s="106" t="s">
        <v>685</v>
      </c>
      <c r="F174" s="106" t="s">
        <v>936</v>
      </c>
      <c r="G174" s="117" t="s">
        <v>517</v>
      </c>
      <c r="H174" s="117" t="s">
        <v>517</v>
      </c>
      <c r="I174" s="117" t="s">
        <v>90</v>
      </c>
      <c r="J174" s="107" t="s">
        <v>85</v>
      </c>
      <c r="K174" s="106" t="s">
        <v>749</v>
      </c>
      <c r="L174" s="107" t="s">
        <v>714</v>
      </c>
      <c r="M174" s="108">
        <v>43983.0</v>
      </c>
      <c r="N174" s="106" t="s">
        <v>692</v>
      </c>
      <c r="O174" s="109" t="s">
        <v>690</v>
      </c>
      <c r="P174" s="107" t="s">
        <v>782</v>
      </c>
      <c r="Q174" s="107" t="s">
        <v>782</v>
      </c>
      <c r="R174" s="110"/>
      <c r="S174" s="110"/>
      <c r="T174" s="110"/>
      <c r="U174" s="110"/>
      <c r="V174" s="110"/>
      <c r="W174" s="110"/>
      <c r="X174" s="110"/>
      <c r="Y174" s="110"/>
      <c r="Z174" s="110"/>
    </row>
    <row r="175" ht="15.75" customHeight="1">
      <c r="A175" s="105" t="s">
        <v>557</v>
      </c>
      <c r="B175" s="105" t="s">
        <v>46</v>
      </c>
      <c r="C175" s="106" t="s">
        <v>957</v>
      </c>
      <c r="D175" s="107" t="s">
        <v>135</v>
      </c>
      <c r="E175" s="106" t="s">
        <v>685</v>
      </c>
      <c r="F175" s="106" t="s">
        <v>958</v>
      </c>
      <c r="G175" s="117" t="s">
        <v>517</v>
      </c>
      <c r="H175" s="117" t="s">
        <v>517</v>
      </c>
      <c r="I175" s="117" t="s">
        <v>90</v>
      </c>
      <c r="J175" s="107" t="s">
        <v>85</v>
      </c>
      <c r="K175" s="106" t="s">
        <v>749</v>
      </c>
      <c r="L175" s="107" t="s">
        <v>714</v>
      </c>
      <c r="M175" s="108">
        <v>43983.0</v>
      </c>
      <c r="N175" s="106" t="s">
        <v>692</v>
      </c>
      <c r="O175" s="109" t="s">
        <v>690</v>
      </c>
      <c r="P175" s="107" t="s">
        <v>782</v>
      </c>
      <c r="Q175" s="107" t="s">
        <v>782</v>
      </c>
      <c r="R175" s="110"/>
      <c r="S175" s="110"/>
      <c r="T175" s="110"/>
      <c r="U175" s="110"/>
      <c r="V175" s="110"/>
      <c r="W175" s="110"/>
      <c r="X175" s="110"/>
      <c r="Y175" s="110"/>
      <c r="Z175" s="110"/>
    </row>
    <row r="176" ht="15.75" customHeight="1">
      <c r="A176" s="105" t="s">
        <v>560</v>
      </c>
      <c r="B176" s="105" t="s">
        <v>46</v>
      </c>
      <c r="C176" s="106" t="s">
        <v>959</v>
      </c>
      <c r="D176" s="107" t="s">
        <v>135</v>
      </c>
      <c r="E176" s="106" t="s">
        <v>720</v>
      </c>
      <c r="F176" s="126" t="b">
        <v>1</v>
      </c>
      <c r="G176" s="117" t="s">
        <v>517</v>
      </c>
      <c r="H176" s="117" t="s">
        <v>517</v>
      </c>
      <c r="I176" s="117" t="s">
        <v>90</v>
      </c>
      <c r="J176" s="107" t="s">
        <v>85</v>
      </c>
      <c r="K176" s="106" t="s">
        <v>749</v>
      </c>
      <c r="L176" s="107" t="s">
        <v>714</v>
      </c>
      <c r="M176" s="108">
        <v>43983.0</v>
      </c>
      <c r="N176" s="106" t="s">
        <v>692</v>
      </c>
      <c r="O176" s="109" t="s">
        <v>690</v>
      </c>
      <c r="P176" s="107" t="s">
        <v>782</v>
      </c>
      <c r="Q176" s="107" t="s">
        <v>782</v>
      </c>
      <c r="R176" s="110"/>
      <c r="S176" s="110"/>
      <c r="T176" s="110"/>
      <c r="U176" s="110"/>
      <c r="V176" s="110"/>
      <c r="W176" s="110"/>
      <c r="X176" s="110"/>
      <c r="Y176" s="110"/>
      <c r="Z176" s="110"/>
    </row>
    <row r="177" ht="15.75" customHeight="1">
      <c r="A177" s="105" t="s">
        <v>562</v>
      </c>
      <c r="B177" s="105" t="s">
        <v>46</v>
      </c>
      <c r="C177" s="106" t="s">
        <v>960</v>
      </c>
      <c r="D177" s="107" t="s">
        <v>135</v>
      </c>
      <c r="E177" s="106" t="s">
        <v>685</v>
      </c>
      <c r="F177" s="106" t="s">
        <v>936</v>
      </c>
      <c r="G177" s="117" t="s">
        <v>517</v>
      </c>
      <c r="H177" s="117" t="s">
        <v>517</v>
      </c>
      <c r="I177" s="117" t="s">
        <v>90</v>
      </c>
      <c r="J177" s="107" t="s">
        <v>85</v>
      </c>
      <c r="K177" s="106" t="s">
        <v>749</v>
      </c>
      <c r="L177" s="107" t="s">
        <v>714</v>
      </c>
      <c r="M177" s="108">
        <v>43983.0</v>
      </c>
      <c r="N177" s="106" t="s">
        <v>692</v>
      </c>
      <c r="O177" s="109" t="s">
        <v>690</v>
      </c>
      <c r="P177" s="107" t="s">
        <v>782</v>
      </c>
      <c r="Q177" s="107" t="s">
        <v>782</v>
      </c>
      <c r="R177" s="110"/>
      <c r="S177" s="110"/>
      <c r="T177" s="110"/>
      <c r="U177" s="110"/>
      <c r="V177" s="110"/>
      <c r="W177" s="110"/>
      <c r="X177" s="110"/>
      <c r="Y177" s="110"/>
      <c r="Z177" s="110"/>
    </row>
    <row r="178" ht="15.75" customHeight="1">
      <c r="A178" s="105" t="s">
        <v>564</v>
      </c>
      <c r="B178" s="105" t="s">
        <v>46</v>
      </c>
      <c r="C178" s="106" t="s">
        <v>961</v>
      </c>
      <c r="D178" s="107" t="s">
        <v>135</v>
      </c>
      <c r="E178" s="106" t="s">
        <v>685</v>
      </c>
      <c r="F178" s="106" t="s">
        <v>962</v>
      </c>
      <c r="G178" s="117" t="s">
        <v>517</v>
      </c>
      <c r="H178" s="117" t="s">
        <v>517</v>
      </c>
      <c r="I178" s="117" t="s">
        <v>90</v>
      </c>
      <c r="J178" s="107" t="s">
        <v>85</v>
      </c>
      <c r="K178" s="106" t="s">
        <v>749</v>
      </c>
      <c r="L178" s="107" t="s">
        <v>714</v>
      </c>
      <c r="M178" s="108">
        <v>43983.0</v>
      </c>
      <c r="N178" s="106" t="s">
        <v>692</v>
      </c>
      <c r="O178" s="109" t="s">
        <v>690</v>
      </c>
      <c r="P178" s="107" t="s">
        <v>782</v>
      </c>
      <c r="Q178" s="107" t="s">
        <v>782</v>
      </c>
      <c r="R178" s="110"/>
      <c r="S178" s="110"/>
      <c r="T178" s="110"/>
      <c r="U178" s="110"/>
      <c r="V178" s="110"/>
      <c r="W178" s="110"/>
      <c r="X178" s="110"/>
      <c r="Y178" s="110"/>
      <c r="Z178" s="110"/>
    </row>
    <row r="179" ht="15.75" customHeight="1">
      <c r="A179" s="105" t="s">
        <v>567</v>
      </c>
      <c r="B179" s="105" t="s">
        <v>46</v>
      </c>
      <c r="C179" s="106" t="s">
        <v>963</v>
      </c>
      <c r="D179" s="107" t="s">
        <v>135</v>
      </c>
      <c r="E179" s="106" t="s">
        <v>720</v>
      </c>
      <c r="F179" s="126" t="b">
        <v>1</v>
      </c>
      <c r="G179" s="117" t="s">
        <v>517</v>
      </c>
      <c r="H179" s="117" t="s">
        <v>517</v>
      </c>
      <c r="I179" s="117" t="s">
        <v>90</v>
      </c>
      <c r="J179" s="107" t="s">
        <v>85</v>
      </c>
      <c r="K179" s="106" t="s">
        <v>749</v>
      </c>
      <c r="L179" s="107" t="s">
        <v>714</v>
      </c>
      <c r="M179" s="108">
        <v>43983.0</v>
      </c>
      <c r="N179" s="106" t="s">
        <v>692</v>
      </c>
      <c r="O179" s="109" t="s">
        <v>690</v>
      </c>
      <c r="P179" s="107" t="s">
        <v>782</v>
      </c>
      <c r="Q179" s="107" t="s">
        <v>782</v>
      </c>
      <c r="R179" s="110"/>
      <c r="S179" s="110"/>
      <c r="T179" s="110"/>
      <c r="U179" s="110"/>
      <c r="V179" s="110"/>
      <c r="W179" s="110"/>
      <c r="X179" s="110"/>
      <c r="Y179" s="110"/>
      <c r="Z179" s="110"/>
    </row>
    <row r="180" ht="15.75" customHeight="1">
      <c r="A180" s="105" t="s">
        <v>569</v>
      </c>
      <c r="B180" s="105" t="s">
        <v>46</v>
      </c>
      <c r="C180" s="106" t="s">
        <v>964</v>
      </c>
      <c r="D180" s="107" t="s">
        <v>135</v>
      </c>
      <c r="E180" s="106" t="s">
        <v>685</v>
      </c>
      <c r="F180" s="106" t="s">
        <v>936</v>
      </c>
      <c r="G180" s="117" t="s">
        <v>517</v>
      </c>
      <c r="H180" s="117" t="s">
        <v>517</v>
      </c>
      <c r="I180" s="117" t="s">
        <v>90</v>
      </c>
      <c r="J180" s="107" t="s">
        <v>85</v>
      </c>
      <c r="K180" s="106" t="s">
        <v>749</v>
      </c>
      <c r="L180" s="107" t="s">
        <v>714</v>
      </c>
      <c r="M180" s="108">
        <v>43983.0</v>
      </c>
      <c r="N180" s="106" t="s">
        <v>692</v>
      </c>
      <c r="O180" s="109" t="s">
        <v>690</v>
      </c>
      <c r="P180" s="107" t="s">
        <v>782</v>
      </c>
      <c r="Q180" s="107" t="s">
        <v>782</v>
      </c>
      <c r="R180" s="110"/>
      <c r="S180" s="110"/>
      <c r="T180" s="110"/>
      <c r="U180" s="110"/>
      <c r="V180" s="110"/>
      <c r="W180" s="110"/>
      <c r="X180" s="110"/>
      <c r="Y180" s="110"/>
      <c r="Z180" s="110"/>
    </row>
    <row r="181" ht="15.75" customHeight="1">
      <c r="A181" s="105" t="s">
        <v>571</v>
      </c>
      <c r="B181" s="105" t="s">
        <v>46</v>
      </c>
      <c r="C181" s="106" t="s">
        <v>965</v>
      </c>
      <c r="D181" s="107" t="s">
        <v>135</v>
      </c>
      <c r="E181" s="106" t="s">
        <v>685</v>
      </c>
      <c r="F181" s="106" t="s">
        <v>966</v>
      </c>
      <c r="G181" s="117" t="s">
        <v>517</v>
      </c>
      <c r="H181" s="117" t="s">
        <v>517</v>
      </c>
      <c r="I181" s="117" t="s">
        <v>90</v>
      </c>
      <c r="J181" s="107" t="s">
        <v>85</v>
      </c>
      <c r="K181" s="106" t="s">
        <v>749</v>
      </c>
      <c r="L181" s="107" t="s">
        <v>714</v>
      </c>
      <c r="M181" s="108">
        <v>43983.0</v>
      </c>
      <c r="N181" s="106" t="s">
        <v>692</v>
      </c>
      <c r="O181" s="109" t="s">
        <v>690</v>
      </c>
      <c r="P181" s="107" t="s">
        <v>782</v>
      </c>
      <c r="Q181" s="107" t="s">
        <v>782</v>
      </c>
      <c r="R181" s="110"/>
      <c r="S181" s="110"/>
      <c r="T181" s="110"/>
      <c r="U181" s="110"/>
      <c r="V181" s="110"/>
      <c r="W181" s="110"/>
      <c r="X181" s="110"/>
      <c r="Y181" s="110"/>
      <c r="Z181" s="110"/>
    </row>
    <row r="182" ht="15.75" customHeight="1">
      <c r="A182" s="105" t="s">
        <v>574</v>
      </c>
      <c r="B182" s="105" t="s">
        <v>46</v>
      </c>
      <c r="C182" s="106" t="s">
        <v>967</v>
      </c>
      <c r="D182" s="107" t="s">
        <v>135</v>
      </c>
      <c r="E182" s="106" t="s">
        <v>720</v>
      </c>
      <c r="F182" s="126" t="b">
        <v>1</v>
      </c>
      <c r="G182" s="117" t="s">
        <v>517</v>
      </c>
      <c r="H182" s="117" t="s">
        <v>517</v>
      </c>
      <c r="I182" s="117" t="s">
        <v>90</v>
      </c>
      <c r="J182" s="107" t="s">
        <v>85</v>
      </c>
      <c r="K182" s="106" t="s">
        <v>749</v>
      </c>
      <c r="L182" s="107" t="s">
        <v>714</v>
      </c>
      <c r="M182" s="108">
        <v>43952.0</v>
      </c>
      <c r="N182" s="106" t="s">
        <v>692</v>
      </c>
      <c r="O182" s="109" t="s">
        <v>690</v>
      </c>
      <c r="P182" s="107" t="s">
        <v>782</v>
      </c>
      <c r="Q182" s="107" t="s">
        <v>782</v>
      </c>
      <c r="R182" s="110"/>
      <c r="S182" s="110"/>
      <c r="T182" s="110"/>
      <c r="U182" s="110"/>
      <c r="V182" s="110"/>
      <c r="W182" s="110"/>
      <c r="X182" s="110"/>
      <c r="Y182" s="110"/>
      <c r="Z182" s="110"/>
    </row>
    <row r="183" ht="15.75" customHeight="1">
      <c r="A183" s="105" t="s">
        <v>576</v>
      </c>
      <c r="B183" s="105" t="s">
        <v>46</v>
      </c>
      <c r="C183" s="106" t="s">
        <v>968</v>
      </c>
      <c r="D183" s="107" t="s">
        <v>135</v>
      </c>
      <c r="E183" s="106" t="s">
        <v>685</v>
      </c>
      <c r="F183" s="106" t="s">
        <v>936</v>
      </c>
      <c r="G183" s="117" t="s">
        <v>517</v>
      </c>
      <c r="H183" s="117" t="s">
        <v>517</v>
      </c>
      <c r="I183" s="117" t="s">
        <v>90</v>
      </c>
      <c r="J183" s="107" t="s">
        <v>85</v>
      </c>
      <c r="K183" s="106" t="s">
        <v>749</v>
      </c>
      <c r="L183" s="107" t="s">
        <v>714</v>
      </c>
      <c r="M183" s="108">
        <v>43952.0</v>
      </c>
      <c r="N183" s="106" t="s">
        <v>692</v>
      </c>
      <c r="O183" s="109" t="s">
        <v>690</v>
      </c>
      <c r="P183" s="107" t="s">
        <v>782</v>
      </c>
      <c r="Q183" s="107" t="s">
        <v>782</v>
      </c>
      <c r="R183" s="110"/>
      <c r="S183" s="110"/>
      <c r="T183" s="110"/>
      <c r="U183" s="110"/>
      <c r="V183" s="110"/>
      <c r="W183" s="110"/>
      <c r="X183" s="110"/>
      <c r="Y183" s="110"/>
      <c r="Z183" s="110"/>
    </row>
    <row r="184" ht="15.75" customHeight="1">
      <c r="A184" s="105" t="s">
        <v>578</v>
      </c>
      <c r="B184" s="105" t="s">
        <v>46</v>
      </c>
      <c r="C184" s="106" t="s">
        <v>969</v>
      </c>
      <c r="D184" s="107" t="s">
        <v>135</v>
      </c>
      <c r="E184" s="106" t="s">
        <v>685</v>
      </c>
      <c r="F184" s="106" t="s">
        <v>970</v>
      </c>
      <c r="G184" s="117" t="s">
        <v>517</v>
      </c>
      <c r="H184" s="117" t="s">
        <v>517</v>
      </c>
      <c r="I184" s="117" t="s">
        <v>90</v>
      </c>
      <c r="J184" s="107" t="s">
        <v>85</v>
      </c>
      <c r="K184" s="106" t="s">
        <v>749</v>
      </c>
      <c r="L184" s="107" t="s">
        <v>714</v>
      </c>
      <c r="M184" s="108">
        <v>43952.0</v>
      </c>
      <c r="N184" s="106" t="s">
        <v>692</v>
      </c>
      <c r="O184" s="109" t="s">
        <v>690</v>
      </c>
      <c r="P184" s="107" t="s">
        <v>782</v>
      </c>
      <c r="Q184" s="107" t="s">
        <v>782</v>
      </c>
      <c r="R184" s="110"/>
      <c r="S184" s="110"/>
      <c r="T184" s="110"/>
      <c r="U184" s="110"/>
      <c r="V184" s="110"/>
      <c r="W184" s="110"/>
      <c r="X184" s="110"/>
      <c r="Y184" s="110"/>
      <c r="Z184" s="110"/>
    </row>
    <row r="185" ht="15.75" customHeight="1">
      <c r="A185" s="105" t="s">
        <v>581</v>
      </c>
      <c r="B185" s="105" t="s">
        <v>46</v>
      </c>
      <c r="C185" s="106" t="s">
        <v>971</v>
      </c>
      <c r="D185" s="107" t="s">
        <v>135</v>
      </c>
      <c r="E185" s="106" t="s">
        <v>720</v>
      </c>
      <c r="F185" s="126" t="b">
        <v>1</v>
      </c>
      <c r="G185" s="117" t="s">
        <v>517</v>
      </c>
      <c r="H185" s="117" t="s">
        <v>517</v>
      </c>
      <c r="I185" s="117" t="s">
        <v>90</v>
      </c>
      <c r="J185" s="107" t="s">
        <v>85</v>
      </c>
      <c r="K185" s="106" t="s">
        <v>749</v>
      </c>
      <c r="L185" s="107" t="s">
        <v>714</v>
      </c>
      <c r="M185" s="108">
        <v>43983.0</v>
      </c>
      <c r="N185" s="106" t="s">
        <v>692</v>
      </c>
      <c r="O185" s="109" t="s">
        <v>690</v>
      </c>
      <c r="P185" s="107" t="s">
        <v>782</v>
      </c>
      <c r="Q185" s="107" t="s">
        <v>782</v>
      </c>
      <c r="R185" s="110"/>
      <c r="S185" s="110"/>
      <c r="T185" s="110"/>
      <c r="U185" s="110"/>
      <c r="V185" s="110"/>
      <c r="W185" s="110"/>
      <c r="X185" s="110"/>
      <c r="Y185" s="110"/>
      <c r="Z185" s="110"/>
    </row>
    <row r="186" ht="15.75" customHeight="1">
      <c r="A186" s="105" t="s">
        <v>583</v>
      </c>
      <c r="B186" s="105" t="s">
        <v>46</v>
      </c>
      <c r="C186" s="106" t="s">
        <v>972</v>
      </c>
      <c r="D186" s="107" t="s">
        <v>135</v>
      </c>
      <c r="E186" s="106" t="s">
        <v>685</v>
      </c>
      <c r="F186" s="106" t="s">
        <v>936</v>
      </c>
      <c r="G186" s="117" t="s">
        <v>517</v>
      </c>
      <c r="H186" s="117" t="s">
        <v>517</v>
      </c>
      <c r="I186" s="117" t="s">
        <v>90</v>
      </c>
      <c r="J186" s="107" t="s">
        <v>85</v>
      </c>
      <c r="K186" s="106" t="s">
        <v>749</v>
      </c>
      <c r="L186" s="107" t="s">
        <v>714</v>
      </c>
      <c r="M186" s="108">
        <v>43983.0</v>
      </c>
      <c r="N186" s="106" t="s">
        <v>692</v>
      </c>
      <c r="O186" s="109" t="s">
        <v>690</v>
      </c>
      <c r="P186" s="107" t="s">
        <v>782</v>
      </c>
      <c r="Q186" s="107" t="s">
        <v>782</v>
      </c>
      <c r="R186" s="110"/>
      <c r="S186" s="110"/>
      <c r="T186" s="110"/>
      <c r="U186" s="110"/>
      <c r="V186" s="110"/>
      <c r="W186" s="110"/>
      <c r="X186" s="110"/>
      <c r="Y186" s="110"/>
      <c r="Z186" s="110"/>
    </row>
    <row r="187" ht="15.75" customHeight="1">
      <c r="A187" s="105" t="s">
        <v>585</v>
      </c>
      <c r="B187" s="105" t="s">
        <v>46</v>
      </c>
      <c r="C187" s="106" t="s">
        <v>973</v>
      </c>
      <c r="D187" s="107" t="s">
        <v>135</v>
      </c>
      <c r="E187" s="106" t="s">
        <v>685</v>
      </c>
      <c r="F187" s="106" t="s">
        <v>974</v>
      </c>
      <c r="G187" s="117" t="s">
        <v>517</v>
      </c>
      <c r="H187" s="117" t="s">
        <v>517</v>
      </c>
      <c r="I187" s="117" t="s">
        <v>90</v>
      </c>
      <c r="J187" s="107" t="s">
        <v>85</v>
      </c>
      <c r="K187" s="106" t="s">
        <v>749</v>
      </c>
      <c r="L187" s="107" t="s">
        <v>714</v>
      </c>
      <c r="M187" s="108">
        <v>43983.0</v>
      </c>
      <c r="N187" s="106" t="s">
        <v>692</v>
      </c>
      <c r="O187" s="109" t="s">
        <v>690</v>
      </c>
      <c r="P187" s="107" t="s">
        <v>782</v>
      </c>
      <c r="Q187" s="107" t="s">
        <v>782</v>
      </c>
      <c r="R187" s="110"/>
      <c r="S187" s="110"/>
      <c r="T187" s="110"/>
      <c r="U187" s="110"/>
      <c r="V187" s="110"/>
      <c r="W187" s="110"/>
      <c r="X187" s="110"/>
      <c r="Y187" s="110"/>
      <c r="Z187" s="110"/>
    </row>
    <row r="188" ht="15.75" customHeight="1">
      <c r="A188" s="105" t="s">
        <v>588</v>
      </c>
      <c r="B188" s="105" t="s">
        <v>46</v>
      </c>
      <c r="C188" s="106" t="s">
        <v>975</v>
      </c>
      <c r="D188" s="107" t="s">
        <v>135</v>
      </c>
      <c r="E188" s="106" t="s">
        <v>720</v>
      </c>
      <c r="F188" s="126" t="b">
        <v>1</v>
      </c>
      <c r="G188" s="117" t="s">
        <v>517</v>
      </c>
      <c r="H188" s="117" t="s">
        <v>517</v>
      </c>
      <c r="I188" s="117" t="s">
        <v>90</v>
      </c>
      <c r="J188" s="107" t="s">
        <v>85</v>
      </c>
      <c r="K188" s="106" t="s">
        <v>749</v>
      </c>
      <c r="L188" s="107" t="s">
        <v>714</v>
      </c>
      <c r="M188" s="108">
        <v>43922.0</v>
      </c>
      <c r="N188" s="106" t="s">
        <v>692</v>
      </c>
      <c r="O188" s="109" t="s">
        <v>690</v>
      </c>
      <c r="P188" s="107" t="s">
        <v>782</v>
      </c>
      <c r="Q188" s="107" t="s">
        <v>782</v>
      </c>
      <c r="R188" s="110"/>
      <c r="S188" s="110"/>
      <c r="T188" s="110"/>
      <c r="U188" s="110"/>
      <c r="V188" s="110"/>
      <c r="W188" s="110"/>
      <c r="X188" s="110"/>
      <c r="Y188" s="110"/>
      <c r="Z188" s="110"/>
    </row>
    <row r="189" ht="15.75" customHeight="1">
      <c r="A189" s="105" t="s">
        <v>590</v>
      </c>
      <c r="B189" s="105" t="s">
        <v>46</v>
      </c>
      <c r="C189" s="106" t="s">
        <v>976</v>
      </c>
      <c r="D189" s="107" t="s">
        <v>135</v>
      </c>
      <c r="E189" s="106" t="s">
        <v>685</v>
      </c>
      <c r="F189" s="106" t="s">
        <v>977</v>
      </c>
      <c r="G189" s="117" t="s">
        <v>517</v>
      </c>
      <c r="H189" s="117" t="s">
        <v>517</v>
      </c>
      <c r="I189" s="117" t="s">
        <v>90</v>
      </c>
      <c r="J189" s="107" t="s">
        <v>85</v>
      </c>
      <c r="K189" s="106" t="s">
        <v>749</v>
      </c>
      <c r="L189" s="107" t="s">
        <v>714</v>
      </c>
      <c r="M189" s="108">
        <v>43922.0</v>
      </c>
      <c r="N189" s="106" t="s">
        <v>692</v>
      </c>
      <c r="O189" s="109" t="s">
        <v>690</v>
      </c>
      <c r="P189" s="107" t="s">
        <v>782</v>
      </c>
      <c r="Q189" s="107" t="s">
        <v>782</v>
      </c>
      <c r="R189" s="110"/>
      <c r="S189" s="110"/>
      <c r="T189" s="110"/>
      <c r="U189" s="110"/>
      <c r="V189" s="110"/>
      <c r="W189" s="110"/>
      <c r="X189" s="110"/>
      <c r="Y189" s="110"/>
      <c r="Z189" s="110"/>
    </row>
    <row r="190" ht="15.75" customHeight="1">
      <c r="A190" s="105" t="s">
        <v>592</v>
      </c>
      <c r="B190" s="105" t="s">
        <v>46</v>
      </c>
      <c r="C190" s="106" t="s">
        <v>978</v>
      </c>
      <c r="D190" s="107" t="s">
        <v>135</v>
      </c>
      <c r="E190" s="106" t="s">
        <v>685</v>
      </c>
      <c r="F190" s="106" t="s">
        <v>979</v>
      </c>
      <c r="G190" s="117" t="s">
        <v>517</v>
      </c>
      <c r="H190" s="117" t="s">
        <v>517</v>
      </c>
      <c r="I190" s="117" t="s">
        <v>90</v>
      </c>
      <c r="J190" s="107" t="s">
        <v>85</v>
      </c>
      <c r="K190" s="106" t="s">
        <v>749</v>
      </c>
      <c r="L190" s="107" t="s">
        <v>714</v>
      </c>
      <c r="M190" s="108">
        <v>43922.0</v>
      </c>
      <c r="N190" s="106" t="s">
        <v>692</v>
      </c>
      <c r="O190" s="109" t="s">
        <v>690</v>
      </c>
      <c r="P190" s="107" t="s">
        <v>782</v>
      </c>
      <c r="Q190" s="107" t="s">
        <v>782</v>
      </c>
      <c r="R190" s="110"/>
      <c r="S190" s="110"/>
      <c r="T190" s="110"/>
      <c r="U190" s="110"/>
      <c r="V190" s="110"/>
      <c r="W190" s="110"/>
      <c r="X190" s="110"/>
      <c r="Y190" s="110"/>
      <c r="Z190" s="110"/>
    </row>
    <row r="191" ht="15.75" customHeight="1">
      <c r="A191" s="105" t="s">
        <v>595</v>
      </c>
      <c r="B191" s="105" t="s">
        <v>46</v>
      </c>
      <c r="C191" s="106" t="s">
        <v>980</v>
      </c>
      <c r="D191" s="107" t="s">
        <v>135</v>
      </c>
      <c r="E191" s="106" t="s">
        <v>720</v>
      </c>
      <c r="F191" s="126" t="b">
        <v>1</v>
      </c>
      <c r="G191" s="117" t="s">
        <v>517</v>
      </c>
      <c r="H191" s="117" t="s">
        <v>517</v>
      </c>
      <c r="I191" s="117" t="s">
        <v>90</v>
      </c>
      <c r="J191" s="107" t="s">
        <v>85</v>
      </c>
      <c r="K191" s="106" t="s">
        <v>749</v>
      </c>
      <c r="L191" s="107" t="s">
        <v>714</v>
      </c>
      <c r="M191" s="108">
        <v>43983.0</v>
      </c>
      <c r="N191" s="106" t="s">
        <v>692</v>
      </c>
      <c r="O191" s="109" t="s">
        <v>690</v>
      </c>
      <c r="P191" s="107" t="s">
        <v>782</v>
      </c>
      <c r="Q191" s="107" t="s">
        <v>782</v>
      </c>
      <c r="R191" s="110"/>
      <c r="S191" s="110"/>
      <c r="T191" s="110"/>
      <c r="U191" s="110"/>
      <c r="V191" s="110"/>
      <c r="W191" s="110"/>
      <c r="X191" s="110"/>
      <c r="Y191" s="110"/>
      <c r="Z191" s="110"/>
    </row>
    <row r="192" ht="15.75" customHeight="1">
      <c r="A192" s="105" t="s">
        <v>597</v>
      </c>
      <c r="B192" s="105" t="s">
        <v>46</v>
      </c>
      <c r="C192" s="106" t="s">
        <v>981</v>
      </c>
      <c r="D192" s="107" t="s">
        <v>135</v>
      </c>
      <c r="E192" s="106" t="s">
        <v>685</v>
      </c>
      <c r="F192" s="106" t="s">
        <v>982</v>
      </c>
      <c r="G192" s="117" t="s">
        <v>517</v>
      </c>
      <c r="H192" s="117" t="s">
        <v>517</v>
      </c>
      <c r="I192" s="117" t="s">
        <v>90</v>
      </c>
      <c r="J192" s="107" t="s">
        <v>85</v>
      </c>
      <c r="K192" s="106" t="s">
        <v>749</v>
      </c>
      <c r="L192" s="107" t="s">
        <v>714</v>
      </c>
      <c r="M192" s="108">
        <v>43983.0</v>
      </c>
      <c r="N192" s="106" t="s">
        <v>692</v>
      </c>
      <c r="O192" s="109" t="s">
        <v>690</v>
      </c>
      <c r="P192" s="107" t="s">
        <v>782</v>
      </c>
      <c r="Q192" s="107" t="s">
        <v>782</v>
      </c>
      <c r="R192" s="110"/>
      <c r="S192" s="110"/>
      <c r="T192" s="110"/>
      <c r="U192" s="110"/>
      <c r="V192" s="110"/>
      <c r="W192" s="110"/>
      <c r="X192" s="110"/>
      <c r="Y192" s="110"/>
      <c r="Z192" s="110"/>
    </row>
    <row r="193" ht="15.75" customHeight="1">
      <c r="A193" s="105" t="s">
        <v>599</v>
      </c>
      <c r="B193" s="105" t="s">
        <v>46</v>
      </c>
      <c r="C193" s="106" t="s">
        <v>983</v>
      </c>
      <c r="D193" s="107" t="s">
        <v>135</v>
      </c>
      <c r="E193" s="106" t="s">
        <v>685</v>
      </c>
      <c r="F193" s="106" t="s">
        <v>984</v>
      </c>
      <c r="G193" s="117" t="s">
        <v>517</v>
      </c>
      <c r="H193" s="117" t="s">
        <v>517</v>
      </c>
      <c r="I193" s="117" t="s">
        <v>90</v>
      </c>
      <c r="J193" s="107" t="s">
        <v>85</v>
      </c>
      <c r="K193" s="106" t="s">
        <v>749</v>
      </c>
      <c r="L193" s="107" t="s">
        <v>714</v>
      </c>
      <c r="M193" s="108">
        <v>43983.0</v>
      </c>
      <c r="N193" s="106" t="s">
        <v>692</v>
      </c>
      <c r="O193" s="109" t="s">
        <v>690</v>
      </c>
      <c r="P193" s="107" t="s">
        <v>782</v>
      </c>
      <c r="Q193" s="107" t="s">
        <v>782</v>
      </c>
      <c r="R193" s="110"/>
      <c r="S193" s="110"/>
      <c r="T193" s="110"/>
      <c r="U193" s="110"/>
      <c r="V193" s="110"/>
      <c r="W193" s="110"/>
      <c r="X193" s="110"/>
      <c r="Y193" s="110"/>
      <c r="Z193" s="110"/>
    </row>
    <row r="194" ht="15.75" customHeight="1">
      <c r="A194" s="105" t="s">
        <v>602</v>
      </c>
      <c r="B194" s="105" t="s">
        <v>46</v>
      </c>
      <c r="C194" s="106" t="s">
        <v>985</v>
      </c>
      <c r="D194" s="107" t="s">
        <v>135</v>
      </c>
      <c r="E194" s="106" t="s">
        <v>720</v>
      </c>
      <c r="F194" s="126" t="b">
        <v>1</v>
      </c>
      <c r="G194" s="117" t="s">
        <v>517</v>
      </c>
      <c r="H194" s="117" t="s">
        <v>517</v>
      </c>
      <c r="I194" s="117" t="s">
        <v>90</v>
      </c>
      <c r="J194" s="107" t="s">
        <v>85</v>
      </c>
      <c r="K194" s="106" t="s">
        <v>749</v>
      </c>
      <c r="L194" s="107" t="s">
        <v>714</v>
      </c>
      <c r="M194" s="108">
        <v>43983.0</v>
      </c>
      <c r="N194" s="106" t="s">
        <v>692</v>
      </c>
      <c r="O194" s="109" t="s">
        <v>690</v>
      </c>
      <c r="P194" s="107" t="s">
        <v>782</v>
      </c>
      <c r="Q194" s="107" t="s">
        <v>782</v>
      </c>
      <c r="R194" s="110"/>
      <c r="S194" s="110"/>
      <c r="T194" s="110"/>
      <c r="U194" s="110"/>
      <c r="V194" s="110"/>
      <c r="W194" s="110"/>
      <c r="X194" s="110"/>
      <c r="Y194" s="110"/>
      <c r="Z194" s="110"/>
    </row>
    <row r="195" ht="15.75" customHeight="1">
      <c r="A195" s="105" t="s">
        <v>604</v>
      </c>
      <c r="B195" s="105" t="s">
        <v>46</v>
      </c>
      <c r="C195" s="106" t="s">
        <v>986</v>
      </c>
      <c r="D195" s="107" t="s">
        <v>135</v>
      </c>
      <c r="E195" s="106" t="s">
        <v>685</v>
      </c>
      <c r="F195" s="106" t="s">
        <v>936</v>
      </c>
      <c r="G195" s="117" t="s">
        <v>517</v>
      </c>
      <c r="H195" s="117" t="s">
        <v>517</v>
      </c>
      <c r="I195" s="117" t="s">
        <v>90</v>
      </c>
      <c r="J195" s="107" t="s">
        <v>85</v>
      </c>
      <c r="K195" s="106" t="s">
        <v>749</v>
      </c>
      <c r="L195" s="107" t="s">
        <v>714</v>
      </c>
      <c r="M195" s="108">
        <v>43983.0</v>
      </c>
      <c r="N195" s="106" t="s">
        <v>692</v>
      </c>
      <c r="O195" s="109" t="s">
        <v>690</v>
      </c>
      <c r="P195" s="107" t="s">
        <v>782</v>
      </c>
      <c r="Q195" s="107" t="s">
        <v>782</v>
      </c>
      <c r="R195" s="110"/>
      <c r="S195" s="110"/>
      <c r="T195" s="110"/>
      <c r="U195" s="110"/>
      <c r="V195" s="110"/>
      <c r="W195" s="110"/>
      <c r="X195" s="110"/>
      <c r="Y195" s="110"/>
      <c r="Z195" s="110"/>
    </row>
    <row r="196" ht="15.75" customHeight="1">
      <c r="A196" s="105" t="s">
        <v>606</v>
      </c>
      <c r="B196" s="105" t="s">
        <v>46</v>
      </c>
      <c r="C196" s="106" t="s">
        <v>987</v>
      </c>
      <c r="D196" s="107" t="s">
        <v>135</v>
      </c>
      <c r="E196" s="106" t="s">
        <v>685</v>
      </c>
      <c r="F196" s="106" t="s">
        <v>988</v>
      </c>
      <c r="G196" s="124" t="s">
        <v>517</v>
      </c>
      <c r="H196" s="124" t="s">
        <v>517</v>
      </c>
      <c r="I196" s="117" t="s">
        <v>90</v>
      </c>
      <c r="J196" s="112" t="s">
        <v>85</v>
      </c>
      <c r="K196" s="106" t="s">
        <v>749</v>
      </c>
      <c r="L196" s="107" t="s">
        <v>714</v>
      </c>
      <c r="M196" s="108">
        <v>43983.0</v>
      </c>
      <c r="N196" s="106" t="s">
        <v>692</v>
      </c>
      <c r="O196" s="109" t="s">
        <v>690</v>
      </c>
      <c r="P196" s="107" t="s">
        <v>782</v>
      </c>
      <c r="Q196" s="107" t="s">
        <v>782</v>
      </c>
      <c r="R196" s="110"/>
      <c r="S196" s="110"/>
      <c r="T196" s="110"/>
      <c r="U196" s="110"/>
      <c r="V196" s="110"/>
      <c r="W196" s="110"/>
      <c r="X196" s="110"/>
      <c r="Y196" s="110"/>
      <c r="Z196" s="110"/>
    </row>
    <row r="197" ht="15.75" customHeight="1">
      <c r="A197" s="105" t="s">
        <v>609</v>
      </c>
      <c r="B197" s="105" t="s">
        <v>46</v>
      </c>
      <c r="C197" s="106" t="s">
        <v>989</v>
      </c>
      <c r="D197" s="107" t="s">
        <v>135</v>
      </c>
      <c r="E197" s="106" t="s">
        <v>720</v>
      </c>
      <c r="F197" s="126" t="b">
        <v>1</v>
      </c>
      <c r="G197" s="117" t="s">
        <v>517</v>
      </c>
      <c r="H197" s="117" t="s">
        <v>517</v>
      </c>
      <c r="I197" s="117" t="s">
        <v>90</v>
      </c>
      <c r="J197" s="107" t="s">
        <v>85</v>
      </c>
      <c r="K197" s="106" t="s">
        <v>749</v>
      </c>
      <c r="L197" s="107" t="s">
        <v>714</v>
      </c>
      <c r="M197" s="108">
        <v>43983.0</v>
      </c>
      <c r="N197" s="106" t="s">
        <v>692</v>
      </c>
      <c r="O197" s="109" t="s">
        <v>690</v>
      </c>
      <c r="P197" s="107" t="s">
        <v>782</v>
      </c>
      <c r="Q197" s="107" t="s">
        <v>782</v>
      </c>
      <c r="R197" s="110"/>
      <c r="S197" s="110"/>
      <c r="T197" s="110"/>
      <c r="U197" s="110"/>
      <c r="V197" s="110"/>
      <c r="W197" s="110"/>
      <c r="X197" s="110"/>
      <c r="Y197" s="110"/>
      <c r="Z197" s="110"/>
    </row>
    <row r="198" ht="15.75" customHeight="1">
      <c r="A198" s="105" t="s">
        <v>611</v>
      </c>
      <c r="B198" s="105" t="s">
        <v>46</v>
      </c>
      <c r="C198" s="106" t="s">
        <v>990</v>
      </c>
      <c r="D198" s="107" t="s">
        <v>135</v>
      </c>
      <c r="E198" s="106" t="s">
        <v>685</v>
      </c>
      <c r="F198" s="106" t="s">
        <v>982</v>
      </c>
      <c r="G198" s="117" t="s">
        <v>517</v>
      </c>
      <c r="H198" s="117" t="s">
        <v>517</v>
      </c>
      <c r="I198" s="117" t="s">
        <v>90</v>
      </c>
      <c r="J198" s="107" t="s">
        <v>85</v>
      </c>
      <c r="K198" s="106" t="s">
        <v>749</v>
      </c>
      <c r="L198" s="107" t="s">
        <v>714</v>
      </c>
      <c r="M198" s="108">
        <v>43983.0</v>
      </c>
      <c r="N198" s="106" t="s">
        <v>692</v>
      </c>
      <c r="O198" s="109" t="s">
        <v>690</v>
      </c>
      <c r="P198" s="107" t="s">
        <v>782</v>
      </c>
      <c r="Q198" s="107" t="s">
        <v>782</v>
      </c>
      <c r="R198" s="110"/>
      <c r="S198" s="110"/>
      <c r="T198" s="110"/>
      <c r="U198" s="110"/>
      <c r="V198" s="110"/>
      <c r="W198" s="110"/>
      <c r="X198" s="110"/>
      <c r="Y198" s="110"/>
      <c r="Z198" s="110"/>
    </row>
    <row r="199" ht="15.75" customHeight="1">
      <c r="A199" s="105" t="s">
        <v>613</v>
      </c>
      <c r="B199" s="105" t="s">
        <v>46</v>
      </c>
      <c r="C199" s="106" t="s">
        <v>991</v>
      </c>
      <c r="D199" s="107" t="s">
        <v>135</v>
      </c>
      <c r="E199" s="106" t="s">
        <v>685</v>
      </c>
      <c r="F199" s="106" t="s">
        <v>992</v>
      </c>
      <c r="G199" s="117" t="s">
        <v>517</v>
      </c>
      <c r="H199" s="117" t="s">
        <v>517</v>
      </c>
      <c r="I199" s="117" t="s">
        <v>90</v>
      </c>
      <c r="J199" s="107" t="s">
        <v>85</v>
      </c>
      <c r="K199" s="106" t="s">
        <v>749</v>
      </c>
      <c r="L199" s="107" t="s">
        <v>714</v>
      </c>
      <c r="M199" s="108">
        <v>43983.0</v>
      </c>
      <c r="N199" s="106" t="s">
        <v>692</v>
      </c>
      <c r="O199" s="109" t="s">
        <v>690</v>
      </c>
      <c r="P199" s="107" t="s">
        <v>782</v>
      </c>
      <c r="Q199" s="107" t="s">
        <v>782</v>
      </c>
      <c r="R199" s="110"/>
      <c r="S199" s="110"/>
      <c r="T199" s="110"/>
      <c r="U199" s="110"/>
      <c r="V199" s="110"/>
      <c r="W199" s="110"/>
      <c r="X199" s="110"/>
      <c r="Y199" s="110"/>
      <c r="Z199" s="110"/>
    </row>
    <row r="200" ht="15.75" customHeight="1">
      <c r="A200" s="272" t="s">
        <v>1332</v>
      </c>
      <c r="B200" s="105" t="s">
        <v>46</v>
      </c>
      <c r="C200" s="106" t="s">
        <v>993</v>
      </c>
      <c r="D200" s="107" t="s">
        <v>135</v>
      </c>
      <c r="E200" s="106" t="s">
        <v>720</v>
      </c>
      <c r="F200" s="126" t="b">
        <v>1</v>
      </c>
      <c r="G200" s="117" t="s">
        <v>517</v>
      </c>
      <c r="H200" s="117" t="s">
        <v>517</v>
      </c>
      <c r="I200" s="117" t="s">
        <v>90</v>
      </c>
      <c r="J200" s="107" t="s">
        <v>85</v>
      </c>
      <c r="K200" s="106" t="s">
        <v>749</v>
      </c>
      <c r="L200" s="107" t="s">
        <v>714</v>
      </c>
      <c r="M200" s="108">
        <v>43983.0</v>
      </c>
      <c r="N200" s="106" t="s">
        <v>692</v>
      </c>
      <c r="O200" s="109" t="s">
        <v>690</v>
      </c>
      <c r="P200" s="107" t="s">
        <v>782</v>
      </c>
      <c r="Q200" s="107" t="s">
        <v>782</v>
      </c>
      <c r="R200" s="110"/>
      <c r="S200" s="110"/>
      <c r="T200" s="110"/>
      <c r="U200" s="110"/>
      <c r="V200" s="110"/>
      <c r="W200" s="110"/>
      <c r="X200" s="110"/>
      <c r="Y200" s="110"/>
      <c r="Z200" s="110"/>
    </row>
    <row r="201" ht="15.75" customHeight="1">
      <c r="A201" s="105" t="s">
        <v>1333</v>
      </c>
      <c r="B201" s="105" t="s">
        <v>46</v>
      </c>
      <c r="C201" s="106" t="s">
        <v>994</v>
      </c>
      <c r="D201" s="107" t="s">
        <v>135</v>
      </c>
      <c r="E201" s="106" t="s">
        <v>685</v>
      </c>
      <c r="F201" s="106" t="s">
        <v>977</v>
      </c>
      <c r="G201" s="117" t="s">
        <v>517</v>
      </c>
      <c r="H201" s="117" t="s">
        <v>517</v>
      </c>
      <c r="I201" s="117" t="s">
        <v>90</v>
      </c>
      <c r="J201" s="107" t="s">
        <v>85</v>
      </c>
      <c r="K201" s="106" t="s">
        <v>749</v>
      </c>
      <c r="L201" s="107" t="s">
        <v>714</v>
      </c>
      <c r="M201" s="108">
        <v>43983.0</v>
      </c>
      <c r="N201" s="106" t="s">
        <v>692</v>
      </c>
      <c r="O201" s="109" t="s">
        <v>690</v>
      </c>
      <c r="P201" s="107" t="s">
        <v>782</v>
      </c>
      <c r="Q201" s="107" t="s">
        <v>782</v>
      </c>
      <c r="R201" s="110"/>
      <c r="S201" s="110"/>
      <c r="T201" s="110"/>
      <c r="U201" s="110"/>
      <c r="V201" s="110"/>
      <c r="W201" s="110"/>
      <c r="X201" s="110"/>
      <c r="Y201" s="110"/>
      <c r="Z201" s="110"/>
    </row>
    <row r="202" ht="15.75" customHeight="1">
      <c r="A202" s="105" t="s">
        <v>1334</v>
      </c>
      <c r="B202" s="105" t="s">
        <v>46</v>
      </c>
      <c r="C202" s="106" t="s">
        <v>995</v>
      </c>
      <c r="D202" s="107" t="s">
        <v>135</v>
      </c>
      <c r="E202" s="106" t="s">
        <v>685</v>
      </c>
      <c r="F202" s="106" t="s">
        <v>996</v>
      </c>
      <c r="G202" s="117" t="s">
        <v>517</v>
      </c>
      <c r="H202" s="117" t="s">
        <v>517</v>
      </c>
      <c r="I202" s="117" t="s">
        <v>90</v>
      </c>
      <c r="J202" s="107" t="s">
        <v>85</v>
      </c>
      <c r="K202" s="106" t="s">
        <v>749</v>
      </c>
      <c r="L202" s="107" t="s">
        <v>714</v>
      </c>
      <c r="M202" s="108">
        <v>43983.0</v>
      </c>
      <c r="N202" s="106" t="s">
        <v>692</v>
      </c>
      <c r="O202" s="109" t="s">
        <v>690</v>
      </c>
      <c r="P202" s="107" t="s">
        <v>782</v>
      </c>
      <c r="Q202" s="107" t="s">
        <v>782</v>
      </c>
      <c r="R202" s="110"/>
      <c r="S202" s="110"/>
      <c r="T202" s="110"/>
      <c r="U202" s="110"/>
      <c r="V202" s="110"/>
      <c r="W202" s="110"/>
      <c r="X202" s="110"/>
      <c r="Y202" s="110"/>
      <c r="Z202" s="110"/>
    </row>
    <row r="203" ht="15.75" customHeight="1">
      <c r="A203" s="105" t="s">
        <v>630</v>
      </c>
      <c r="B203" s="105" t="s">
        <v>46</v>
      </c>
      <c r="C203" s="106" t="s">
        <v>997</v>
      </c>
      <c r="D203" s="107" t="s">
        <v>135</v>
      </c>
      <c r="E203" s="106" t="s">
        <v>720</v>
      </c>
      <c r="F203" s="126" t="b">
        <v>1</v>
      </c>
      <c r="G203" s="117" t="s">
        <v>517</v>
      </c>
      <c r="H203" s="117" t="s">
        <v>517</v>
      </c>
      <c r="I203" s="117" t="s">
        <v>90</v>
      </c>
      <c r="J203" s="107" t="s">
        <v>85</v>
      </c>
      <c r="K203" s="106" t="s">
        <v>749</v>
      </c>
      <c r="L203" s="107" t="s">
        <v>714</v>
      </c>
      <c r="M203" s="108">
        <v>43983.0</v>
      </c>
      <c r="N203" s="106" t="s">
        <v>692</v>
      </c>
      <c r="O203" s="109" t="s">
        <v>690</v>
      </c>
      <c r="P203" s="107" t="s">
        <v>782</v>
      </c>
      <c r="Q203" s="107" t="s">
        <v>782</v>
      </c>
      <c r="R203" s="110"/>
      <c r="S203" s="110"/>
      <c r="T203" s="110"/>
      <c r="U203" s="110"/>
      <c r="V203" s="110"/>
      <c r="W203" s="110"/>
      <c r="X203" s="110"/>
      <c r="Y203" s="110"/>
      <c r="Z203" s="110"/>
    </row>
    <row r="204" ht="15.75" customHeight="1">
      <c r="A204" s="105" t="s">
        <v>632</v>
      </c>
      <c r="B204" s="105" t="s">
        <v>46</v>
      </c>
      <c r="C204" s="106" t="s">
        <v>998</v>
      </c>
      <c r="D204" s="107" t="s">
        <v>135</v>
      </c>
      <c r="E204" s="106" t="s">
        <v>685</v>
      </c>
      <c r="F204" s="106" t="s">
        <v>982</v>
      </c>
      <c r="G204" s="117" t="s">
        <v>517</v>
      </c>
      <c r="H204" s="117" t="s">
        <v>517</v>
      </c>
      <c r="I204" s="117" t="s">
        <v>90</v>
      </c>
      <c r="J204" s="107" t="s">
        <v>85</v>
      </c>
      <c r="K204" s="106" t="s">
        <v>749</v>
      </c>
      <c r="L204" s="107" t="s">
        <v>714</v>
      </c>
      <c r="M204" s="108">
        <v>43983.0</v>
      </c>
      <c r="N204" s="106" t="s">
        <v>692</v>
      </c>
      <c r="O204" s="109" t="s">
        <v>690</v>
      </c>
      <c r="P204" s="107" t="s">
        <v>782</v>
      </c>
      <c r="Q204" s="107" t="s">
        <v>782</v>
      </c>
      <c r="R204" s="110"/>
      <c r="S204" s="110"/>
      <c r="T204" s="110"/>
      <c r="U204" s="110"/>
      <c r="V204" s="110"/>
      <c r="W204" s="110"/>
      <c r="X204" s="110"/>
      <c r="Y204" s="110"/>
      <c r="Z204" s="110"/>
    </row>
    <row r="205" ht="15.75" customHeight="1">
      <c r="A205" s="105" t="s">
        <v>634</v>
      </c>
      <c r="B205" s="105" t="s">
        <v>46</v>
      </c>
      <c r="C205" s="106" t="s">
        <v>999</v>
      </c>
      <c r="D205" s="107" t="s">
        <v>135</v>
      </c>
      <c r="E205" s="106" t="s">
        <v>685</v>
      </c>
      <c r="F205" s="106" t="s">
        <v>1000</v>
      </c>
      <c r="G205" s="117" t="s">
        <v>517</v>
      </c>
      <c r="H205" s="117" t="s">
        <v>517</v>
      </c>
      <c r="I205" s="117" t="s">
        <v>90</v>
      </c>
      <c r="J205" s="107" t="s">
        <v>85</v>
      </c>
      <c r="K205" s="106" t="s">
        <v>749</v>
      </c>
      <c r="L205" s="107" t="s">
        <v>714</v>
      </c>
      <c r="M205" s="108">
        <v>43983.0</v>
      </c>
      <c r="N205" s="106" t="s">
        <v>692</v>
      </c>
      <c r="O205" s="109" t="s">
        <v>690</v>
      </c>
      <c r="P205" s="107" t="s">
        <v>782</v>
      </c>
      <c r="Q205" s="107" t="s">
        <v>782</v>
      </c>
      <c r="R205" s="110"/>
      <c r="S205" s="110"/>
      <c r="T205" s="110"/>
      <c r="U205" s="110"/>
      <c r="V205" s="110"/>
      <c r="W205" s="110"/>
      <c r="X205" s="110"/>
      <c r="Y205" s="110"/>
      <c r="Z205" s="110"/>
    </row>
    <row r="206" ht="15.75" customHeight="1">
      <c r="A206" s="105" t="s">
        <v>637</v>
      </c>
      <c r="B206" s="105" t="s">
        <v>46</v>
      </c>
      <c r="C206" s="106" t="s">
        <v>1001</v>
      </c>
      <c r="D206" s="107" t="s">
        <v>135</v>
      </c>
      <c r="E206" s="106" t="s">
        <v>720</v>
      </c>
      <c r="F206" s="126" t="b">
        <v>1</v>
      </c>
      <c r="G206" s="117" t="s">
        <v>517</v>
      </c>
      <c r="H206" s="117" t="s">
        <v>517</v>
      </c>
      <c r="I206" s="117" t="s">
        <v>90</v>
      </c>
      <c r="J206" s="107" t="s">
        <v>85</v>
      </c>
      <c r="K206" s="106" t="s">
        <v>749</v>
      </c>
      <c r="L206" s="107" t="s">
        <v>714</v>
      </c>
      <c r="M206" s="108">
        <v>43983.0</v>
      </c>
      <c r="N206" s="106" t="s">
        <v>692</v>
      </c>
      <c r="O206" s="109" t="s">
        <v>690</v>
      </c>
      <c r="P206" s="107" t="s">
        <v>782</v>
      </c>
      <c r="Q206" s="107" t="s">
        <v>782</v>
      </c>
      <c r="R206" s="110"/>
      <c r="S206" s="110"/>
      <c r="T206" s="110"/>
      <c r="U206" s="110"/>
      <c r="V206" s="110"/>
      <c r="W206" s="110"/>
      <c r="X206" s="110"/>
      <c r="Y206" s="110"/>
      <c r="Z206" s="110"/>
    </row>
    <row r="207" ht="15.75" customHeight="1">
      <c r="A207" s="105" t="s">
        <v>639</v>
      </c>
      <c r="B207" s="105" t="s">
        <v>46</v>
      </c>
      <c r="C207" s="106" t="s">
        <v>1002</v>
      </c>
      <c r="D207" s="107" t="s">
        <v>135</v>
      </c>
      <c r="E207" s="106" t="s">
        <v>685</v>
      </c>
      <c r="F207" s="106" t="s">
        <v>977</v>
      </c>
      <c r="G207" s="117" t="s">
        <v>517</v>
      </c>
      <c r="H207" s="117" t="s">
        <v>517</v>
      </c>
      <c r="I207" s="117" t="s">
        <v>90</v>
      </c>
      <c r="J207" s="107" t="s">
        <v>85</v>
      </c>
      <c r="K207" s="106" t="s">
        <v>749</v>
      </c>
      <c r="L207" s="107" t="s">
        <v>714</v>
      </c>
      <c r="M207" s="108">
        <v>43983.0</v>
      </c>
      <c r="N207" s="106" t="s">
        <v>692</v>
      </c>
      <c r="O207" s="109" t="s">
        <v>690</v>
      </c>
      <c r="P207" s="107" t="s">
        <v>782</v>
      </c>
      <c r="Q207" s="107" t="s">
        <v>782</v>
      </c>
      <c r="R207" s="110"/>
      <c r="S207" s="110"/>
      <c r="T207" s="110"/>
      <c r="U207" s="110"/>
      <c r="V207" s="110"/>
      <c r="W207" s="110"/>
      <c r="X207" s="110"/>
      <c r="Y207" s="110"/>
      <c r="Z207" s="110"/>
    </row>
    <row r="208" ht="15.75" customHeight="1">
      <c r="A208" s="105" t="s">
        <v>641</v>
      </c>
      <c r="B208" s="105" t="s">
        <v>46</v>
      </c>
      <c r="C208" s="106" t="s">
        <v>1003</v>
      </c>
      <c r="D208" s="107" t="s">
        <v>135</v>
      </c>
      <c r="E208" s="106" t="s">
        <v>685</v>
      </c>
      <c r="F208" s="106" t="s">
        <v>1000</v>
      </c>
      <c r="G208" s="117" t="s">
        <v>517</v>
      </c>
      <c r="H208" s="117" t="s">
        <v>517</v>
      </c>
      <c r="I208" s="117" t="s">
        <v>90</v>
      </c>
      <c r="J208" s="107" t="s">
        <v>85</v>
      </c>
      <c r="K208" s="106" t="s">
        <v>749</v>
      </c>
      <c r="L208" s="107" t="s">
        <v>714</v>
      </c>
      <c r="M208" s="108">
        <v>43983.0</v>
      </c>
      <c r="N208" s="106" t="s">
        <v>692</v>
      </c>
      <c r="O208" s="109" t="s">
        <v>690</v>
      </c>
      <c r="P208" s="107" t="s">
        <v>782</v>
      </c>
      <c r="Q208" s="107" t="s">
        <v>782</v>
      </c>
      <c r="R208" s="110"/>
      <c r="S208" s="110"/>
      <c r="T208" s="110"/>
      <c r="U208" s="110"/>
      <c r="V208" s="110"/>
      <c r="W208" s="110"/>
      <c r="X208" s="110"/>
      <c r="Y208" s="110"/>
      <c r="Z208" s="110"/>
    </row>
    <row r="209" ht="15.75" customHeight="1">
      <c r="A209" s="105" t="s">
        <v>644</v>
      </c>
      <c r="B209" s="105" t="s">
        <v>46</v>
      </c>
      <c r="C209" s="106" t="s">
        <v>1004</v>
      </c>
      <c r="D209" s="107" t="s">
        <v>135</v>
      </c>
      <c r="E209" s="106" t="s">
        <v>720</v>
      </c>
      <c r="F209" s="126" t="b">
        <v>1</v>
      </c>
      <c r="G209" s="117" t="s">
        <v>517</v>
      </c>
      <c r="H209" s="117" t="s">
        <v>517</v>
      </c>
      <c r="I209" s="117" t="s">
        <v>90</v>
      </c>
      <c r="J209" s="107" t="s">
        <v>85</v>
      </c>
      <c r="K209" s="106" t="s">
        <v>749</v>
      </c>
      <c r="L209" s="107" t="s">
        <v>714</v>
      </c>
      <c r="M209" s="108">
        <v>43983.0</v>
      </c>
      <c r="N209" s="106" t="s">
        <v>692</v>
      </c>
      <c r="O209" s="109" t="s">
        <v>690</v>
      </c>
      <c r="P209" s="107" t="s">
        <v>782</v>
      </c>
      <c r="Q209" s="107" t="s">
        <v>782</v>
      </c>
      <c r="R209" s="110"/>
      <c r="S209" s="110"/>
      <c r="T209" s="110"/>
      <c r="U209" s="110"/>
      <c r="V209" s="110"/>
      <c r="W209" s="110"/>
      <c r="X209" s="110"/>
      <c r="Y209" s="110"/>
      <c r="Z209" s="110"/>
    </row>
    <row r="210" ht="15.75" customHeight="1">
      <c r="A210" s="105" t="s">
        <v>646</v>
      </c>
      <c r="B210" s="105" t="s">
        <v>46</v>
      </c>
      <c r="C210" s="106" t="s">
        <v>1005</v>
      </c>
      <c r="D210" s="107" t="s">
        <v>135</v>
      </c>
      <c r="E210" s="106" t="s">
        <v>685</v>
      </c>
      <c r="F210" s="106" t="s">
        <v>936</v>
      </c>
      <c r="G210" s="117" t="s">
        <v>517</v>
      </c>
      <c r="H210" s="117" t="s">
        <v>517</v>
      </c>
      <c r="I210" s="117" t="s">
        <v>90</v>
      </c>
      <c r="J210" s="107" t="s">
        <v>85</v>
      </c>
      <c r="K210" s="106" t="s">
        <v>749</v>
      </c>
      <c r="L210" s="107" t="s">
        <v>714</v>
      </c>
      <c r="M210" s="108">
        <v>43983.0</v>
      </c>
      <c r="N210" s="106" t="s">
        <v>692</v>
      </c>
      <c r="O210" s="109" t="s">
        <v>690</v>
      </c>
      <c r="P210" s="107" t="s">
        <v>782</v>
      </c>
      <c r="Q210" s="107" t="s">
        <v>782</v>
      </c>
      <c r="R210" s="110"/>
      <c r="S210" s="110"/>
      <c r="T210" s="110"/>
      <c r="U210" s="110"/>
      <c r="V210" s="110"/>
      <c r="W210" s="110"/>
      <c r="X210" s="110"/>
      <c r="Y210" s="110"/>
      <c r="Z210" s="110"/>
    </row>
    <row r="211" ht="15.75" customHeight="1">
      <c r="A211" s="105" t="s">
        <v>648</v>
      </c>
      <c r="B211" s="105" t="s">
        <v>46</v>
      </c>
      <c r="C211" s="106" t="s">
        <v>1006</v>
      </c>
      <c r="D211" s="107" t="s">
        <v>135</v>
      </c>
      <c r="E211" s="106" t="s">
        <v>685</v>
      </c>
      <c r="F211" s="106" t="s">
        <v>1007</v>
      </c>
      <c r="G211" s="117" t="s">
        <v>517</v>
      </c>
      <c r="H211" s="117" t="s">
        <v>517</v>
      </c>
      <c r="I211" s="117" t="s">
        <v>90</v>
      </c>
      <c r="J211" s="107" t="s">
        <v>85</v>
      </c>
      <c r="K211" s="106" t="s">
        <v>749</v>
      </c>
      <c r="L211" s="107" t="s">
        <v>714</v>
      </c>
      <c r="M211" s="108">
        <v>43983.0</v>
      </c>
      <c r="N211" s="106" t="s">
        <v>692</v>
      </c>
      <c r="O211" s="109" t="s">
        <v>690</v>
      </c>
      <c r="P211" s="107" t="s">
        <v>782</v>
      </c>
      <c r="Q211" s="107" t="s">
        <v>782</v>
      </c>
      <c r="R211" s="110"/>
      <c r="S211" s="110"/>
      <c r="T211" s="110"/>
      <c r="U211" s="110"/>
      <c r="V211" s="110"/>
      <c r="W211" s="110"/>
      <c r="X211" s="110"/>
      <c r="Y211" s="110"/>
      <c r="Z211" s="110"/>
    </row>
    <row r="212" ht="15.75" customHeight="1">
      <c r="A212" s="105" t="s">
        <v>651</v>
      </c>
      <c r="B212" s="105" t="s">
        <v>46</v>
      </c>
      <c r="C212" s="106" t="s">
        <v>1008</v>
      </c>
      <c r="D212" s="107" t="s">
        <v>135</v>
      </c>
      <c r="E212" s="106" t="s">
        <v>720</v>
      </c>
      <c r="F212" s="126" t="b">
        <v>1</v>
      </c>
      <c r="G212" s="117" t="s">
        <v>517</v>
      </c>
      <c r="H212" s="117" t="s">
        <v>517</v>
      </c>
      <c r="I212" s="117" t="s">
        <v>90</v>
      </c>
      <c r="J212" s="107" t="s">
        <v>85</v>
      </c>
      <c r="K212" s="106" t="s">
        <v>749</v>
      </c>
      <c r="L212" s="107" t="s">
        <v>714</v>
      </c>
      <c r="M212" s="108">
        <v>43983.0</v>
      </c>
      <c r="N212" s="106" t="s">
        <v>692</v>
      </c>
      <c r="O212" s="109" t="s">
        <v>690</v>
      </c>
      <c r="P212" s="107" t="s">
        <v>782</v>
      </c>
      <c r="Q212" s="107" t="s">
        <v>782</v>
      </c>
      <c r="R212" s="110"/>
      <c r="S212" s="110"/>
      <c r="T212" s="110"/>
      <c r="U212" s="110"/>
      <c r="V212" s="110"/>
      <c r="W212" s="110"/>
      <c r="X212" s="110"/>
      <c r="Y212" s="110"/>
      <c r="Z212" s="110"/>
    </row>
    <row r="213" ht="15.75" customHeight="1">
      <c r="A213" s="105" t="s">
        <v>653</v>
      </c>
      <c r="B213" s="105" t="s">
        <v>46</v>
      </c>
      <c r="C213" s="106" t="s">
        <v>1009</v>
      </c>
      <c r="D213" s="107" t="s">
        <v>135</v>
      </c>
      <c r="E213" s="106" t="s">
        <v>685</v>
      </c>
      <c r="F213" s="106" t="s">
        <v>936</v>
      </c>
      <c r="G213" s="117" t="s">
        <v>517</v>
      </c>
      <c r="H213" s="117" t="s">
        <v>517</v>
      </c>
      <c r="I213" s="117" t="s">
        <v>90</v>
      </c>
      <c r="J213" s="107" t="s">
        <v>85</v>
      </c>
      <c r="K213" s="106" t="s">
        <v>749</v>
      </c>
      <c r="L213" s="107" t="s">
        <v>714</v>
      </c>
      <c r="M213" s="108">
        <v>43983.0</v>
      </c>
      <c r="N213" s="106" t="s">
        <v>692</v>
      </c>
      <c r="O213" s="109" t="s">
        <v>690</v>
      </c>
      <c r="P213" s="107" t="s">
        <v>782</v>
      </c>
      <c r="Q213" s="107" t="s">
        <v>782</v>
      </c>
      <c r="R213" s="110"/>
      <c r="S213" s="110"/>
      <c r="T213" s="110"/>
      <c r="U213" s="110"/>
      <c r="V213" s="110"/>
      <c r="W213" s="110"/>
      <c r="X213" s="110"/>
      <c r="Y213" s="110"/>
      <c r="Z213" s="110"/>
    </row>
    <row r="214" ht="15.75" customHeight="1">
      <c r="A214" s="105" t="s">
        <v>655</v>
      </c>
      <c r="B214" s="105" t="s">
        <v>46</v>
      </c>
      <c r="C214" s="106" t="s">
        <v>1010</v>
      </c>
      <c r="D214" s="107" t="s">
        <v>135</v>
      </c>
      <c r="E214" s="106" t="s">
        <v>685</v>
      </c>
      <c r="F214" s="106" t="s">
        <v>1011</v>
      </c>
      <c r="G214" s="117" t="s">
        <v>517</v>
      </c>
      <c r="H214" s="117" t="s">
        <v>517</v>
      </c>
      <c r="I214" s="117" t="s">
        <v>90</v>
      </c>
      <c r="J214" s="107" t="s">
        <v>85</v>
      </c>
      <c r="K214" s="106" t="s">
        <v>749</v>
      </c>
      <c r="L214" s="107" t="s">
        <v>714</v>
      </c>
      <c r="M214" s="108">
        <v>43983.0</v>
      </c>
      <c r="N214" s="106" t="s">
        <v>692</v>
      </c>
      <c r="O214" s="109" t="s">
        <v>690</v>
      </c>
      <c r="P214" s="107" t="s">
        <v>782</v>
      </c>
      <c r="Q214" s="107" t="s">
        <v>782</v>
      </c>
      <c r="R214" s="110"/>
      <c r="S214" s="110"/>
      <c r="T214" s="110"/>
      <c r="U214" s="110"/>
      <c r="V214" s="110"/>
      <c r="W214" s="110"/>
      <c r="X214" s="110"/>
      <c r="Y214" s="110"/>
      <c r="Z214" s="110"/>
    </row>
    <row r="215" ht="15.75" customHeight="1">
      <c r="A215" s="105" t="s">
        <v>658</v>
      </c>
      <c r="B215" s="105" t="s">
        <v>46</v>
      </c>
      <c r="C215" s="106" t="s">
        <v>1012</v>
      </c>
      <c r="D215" s="107" t="s">
        <v>135</v>
      </c>
      <c r="E215" s="106" t="s">
        <v>720</v>
      </c>
      <c r="F215" s="126" t="b">
        <v>1</v>
      </c>
      <c r="G215" s="117" t="s">
        <v>517</v>
      </c>
      <c r="H215" s="117" t="s">
        <v>517</v>
      </c>
      <c r="I215" s="117" t="s">
        <v>90</v>
      </c>
      <c r="J215" s="107" t="s">
        <v>85</v>
      </c>
      <c r="K215" s="106" t="s">
        <v>749</v>
      </c>
      <c r="L215" s="107" t="s">
        <v>714</v>
      </c>
      <c r="M215" s="108">
        <v>43983.0</v>
      </c>
      <c r="N215" s="106" t="s">
        <v>692</v>
      </c>
      <c r="O215" s="109" t="s">
        <v>690</v>
      </c>
      <c r="P215" s="107" t="s">
        <v>782</v>
      </c>
      <c r="Q215" s="107" t="s">
        <v>782</v>
      </c>
      <c r="R215" s="110"/>
      <c r="S215" s="110"/>
      <c r="T215" s="110"/>
      <c r="U215" s="110"/>
      <c r="V215" s="110"/>
      <c r="W215" s="110"/>
      <c r="X215" s="110"/>
      <c r="Y215" s="110"/>
      <c r="Z215" s="110"/>
    </row>
    <row r="216" ht="15.75" customHeight="1">
      <c r="A216" s="105" t="s">
        <v>660</v>
      </c>
      <c r="B216" s="105" t="s">
        <v>46</v>
      </c>
      <c r="C216" s="106" t="s">
        <v>1013</v>
      </c>
      <c r="D216" s="107" t="s">
        <v>135</v>
      </c>
      <c r="E216" s="106" t="s">
        <v>685</v>
      </c>
      <c r="F216" s="106" t="s">
        <v>936</v>
      </c>
      <c r="G216" s="117" t="s">
        <v>517</v>
      </c>
      <c r="H216" s="117" t="s">
        <v>517</v>
      </c>
      <c r="I216" s="117" t="s">
        <v>90</v>
      </c>
      <c r="J216" s="107" t="s">
        <v>85</v>
      </c>
      <c r="K216" s="106" t="s">
        <v>749</v>
      </c>
      <c r="L216" s="107" t="s">
        <v>714</v>
      </c>
      <c r="M216" s="108">
        <v>43983.0</v>
      </c>
      <c r="N216" s="106" t="s">
        <v>692</v>
      </c>
      <c r="O216" s="109" t="s">
        <v>690</v>
      </c>
      <c r="P216" s="107" t="s">
        <v>782</v>
      </c>
      <c r="Q216" s="107" t="s">
        <v>782</v>
      </c>
      <c r="R216" s="110"/>
      <c r="S216" s="110"/>
      <c r="T216" s="110"/>
      <c r="U216" s="110"/>
      <c r="V216" s="110"/>
      <c r="W216" s="110"/>
      <c r="X216" s="110"/>
      <c r="Y216" s="110"/>
      <c r="Z216" s="110"/>
    </row>
    <row r="217" ht="15.75" customHeight="1">
      <c r="A217" s="105" t="s">
        <v>662</v>
      </c>
      <c r="B217" s="105" t="s">
        <v>46</v>
      </c>
      <c r="C217" s="106" t="s">
        <v>1014</v>
      </c>
      <c r="D217" s="107" t="s">
        <v>135</v>
      </c>
      <c r="E217" s="106" t="s">
        <v>685</v>
      </c>
      <c r="F217" s="106" t="s">
        <v>1015</v>
      </c>
      <c r="G217" s="124" t="s">
        <v>517</v>
      </c>
      <c r="H217" s="124" t="s">
        <v>517</v>
      </c>
      <c r="I217" s="117" t="s">
        <v>90</v>
      </c>
      <c r="J217" s="112" t="s">
        <v>85</v>
      </c>
      <c r="K217" s="106" t="s">
        <v>749</v>
      </c>
      <c r="L217" s="107" t="s">
        <v>714</v>
      </c>
      <c r="M217" s="108">
        <v>43983.0</v>
      </c>
      <c r="N217" s="106" t="s">
        <v>692</v>
      </c>
      <c r="O217" s="109" t="s">
        <v>690</v>
      </c>
      <c r="P217" s="107" t="s">
        <v>782</v>
      </c>
      <c r="Q217" s="107" t="s">
        <v>782</v>
      </c>
      <c r="R217" s="110"/>
      <c r="S217" s="110"/>
      <c r="T217" s="110"/>
      <c r="U217" s="110"/>
      <c r="V217" s="110"/>
      <c r="W217" s="110"/>
      <c r="X217" s="110"/>
      <c r="Y217" s="110"/>
      <c r="Z217" s="110"/>
    </row>
    <row r="218" ht="15.75" customHeight="1">
      <c r="A218" s="105" t="s">
        <v>665</v>
      </c>
      <c r="B218" s="105" t="s">
        <v>46</v>
      </c>
      <c r="C218" s="106" t="s">
        <v>1016</v>
      </c>
      <c r="D218" s="107" t="s">
        <v>135</v>
      </c>
      <c r="E218" s="106" t="s">
        <v>720</v>
      </c>
      <c r="F218" s="126" t="b">
        <v>1</v>
      </c>
      <c r="G218" s="117" t="s">
        <v>517</v>
      </c>
      <c r="H218" s="117" t="s">
        <v>517</v>
      </c>
      <c r="I218" s="117" t="s">
        <v>90</v>
      </c>
      <c r="J218" s="107" t="s">
        <v>85</v>
      </c>
      <c r="K218" s="106" t="s">
        <v>749</v>
      </c>
      <c r="L218" s="107" t="s">
        <v>714</v>
      </c>
      <c r="M218" s="108">
        <v>43983.0</v>
      </c>
      <c r="N218" s="106" t="s">
        <v>692</v>
      </c>
      <c r="O218" s="109" t="s">
        <v>690</v>
      </c>
      <c r="P218" s="107" t="s">
        <v>782</v>
      </c>
      <c r="Q218" s="107" t="s">
        <v>782</v>
      </c>
      <c r="R218" s="110"/>
      <c r="S218" s="110"/>
      <c r="T218" s="110"/>
      <c r="U218" s="110"/>
      <c r="V218" s="110"/>
      <c r="W218" s="110"/>
      <c r="X218" s="110"/>
      <c r="Y218" s="110"/>
      <c r="Z218" s="110"/>
    </row>
    <row r="219" ht="15.75" customHeight="1">
      <c r="A219" s="105" t="s">
        <v>667</v>
      </c>
      <c r="B219" s="105" t="s">
        <v>46</v>
      </c>
      <c r="C219" s="106" t="s">
        <v>1335</v>
      </c>
      <c r="D219" s="107" t="s">
        <v>135</v>
      </c>
      <c r="E219" s="106" t="s">
        <v>685</v>
      </c>
      <c r="F219" s="106" t="s">
        <v>936</v>
      </c>
      <c r="G219" s="117" t="s">
        <v>517</v>
      </c>
      <c r="H219" s="117" t="s">
        <v>517</v>
      </c>
      <c r="I219" s="117" t="s">
        <v>90</v>
      </c>
      <c r="J219" s="107" t="s">
        <v>85</v>
      </c>
      <c r="K219" s="106" t="s">
        <v>749</v>
      </c>
      <c r="L219" s="107" t="s">
        <v>714</v>
      </c>
      <c r="M219" s="108">
        <v>43983.0</v>
      </c>
      <c r="N219" s="106" t="s">
        <v>692</v>
      </c>
      <c r="O219" s="109" t="s">
        <v>690</v>
      </c>
      <c r="P219" s="107" t="s">
        <v>782</v>
      </c>
      <c r="Q219" s="107" t="s">
        <v>782</v>
      </c>
      <c r="R219" s="110"/>
      <c r="S219" s="110"/>
      <c r="T219" s="110"/>
      <c r="U219" s="110"/>
      <c r="V219" s="110"/>
      <c r="W219" s="110"/>
      <c r="X219" s="110"/>
      <c r="Y219" s="110"/>
      <c r="Z219" s="110"/>
    </row>
    <row r="220" ht="15.75" customHeight="1">
      <c r="A220" s="105" t="s">
        <v>669</v>
      </c>
      <c r="B220" s="105" t="s">
        <v>46</v>
      </c>
      <c r="C220" s="106" t="s">
        <v>1018</v>
      </c>
      <c r="D220" s="107" t="s">
        <v>135</v>
      </c>
      <c r="E220" s="106" t="s">
        <v>685</v>
      </c>
      <c r="F220" s="106" t="s">
        <v>1019</v>
      </c>
      <c r="G220" s="117" t="s">
        <v>517</v>
      </c>
      <c r="H220" s="117" t="s">
        <v>517</v>
      </c>
      <c r="I220" s="117" t="s">
        <v>90</v>
      </c>
      <c r="J220" s="107" t="s">
        <v>85</v>
      </c>
      <c r="K220" s="106" t="s">
        <v>749</v>
      </c>
      <c r="L220" s="107" t="s">
        <v>714</v>
      </c>
      <c r="M220" s="108">
        <v>43983.0</v>
      </c>
      <c r="N220" s="106" t="s">
        <v>692</v>
      </c>
      <c r="O220" s="109" t="s">
        <v>690</v>
      </c>
      <c r="P220" s="107" t="s">
        <v>782</v>
      </c>
      <c r="Q220" s="107" t="s">
        <v>782</v>
      </c>
      <c r="R220" s="110"/>
      <c r="S220" s="110"/>
      <c r="T220" s="110"/>
      <c r="U220" s="110"/>
      <c r="V220" s="110"/>
      <c r="W220" s="110"/>
      <c r="X220" s="110"/>
      <c r="Y220" s="110"/>
      <c r="Z220" s="110"/>
    </row>
    <row r="221" ht="15.75" customHeight="1">
      <c r="A221" s="105" t="s">
        <v>672</v>
      </c>
      <c r="B221" s="105" t="s">
        <v>46</v>
      </c>
      <c r="C221" s="106" t="s">
        <v>1020</v>
      </c>
      <c r="D221" s="107" t="s">
        <v>135</v>
      </c>
      <c r="E221" s="106" t="s">
        <v>720</v>
      </c>
      <c r="F221" s="126" t="b">
        <v>1</v>
      </c>
      <c r="G221" s="117" t="s">
        <v>517</v>
      </c>
      <c r="H221" s="117" t="s">
        <v>517</v>
      </c>
      <c r="I221" s="117" t="s">
        <v>90</v>
      </c>
      <c r="J221" s="107" t="s">
        <v>85</v>
      </c>
      <c r="K221" s="106" t="s">
        <v>749</v>
      </c>
      <c r="L221" s="107" t="s">
        <v>714</v>
      </c>
      <c r="M221" s="108">
        <v>43983.0</v>
      </c>
      <c r="N221" s="106" t="s">
        <v>692</v>
      </c>
      <c r="O221" s="109" t="s">
        <v>690</v>
      </c>
      <c r="P221" s="107" t="s">
        <v>782</v>
      </c>
      <c r="Q221" s="107" t="s">
        <v>782</v>
      </c>
      <c r="R221" s="110"/>
      <c r="S221" s="110"/>
      <c r="T221" s="110"/>
      <c r="U221" s="110"/>
      <c r="V221" s="110"/>
      <c r="W221" s="110"/>
      <c r="X221" s="110"/>
      <c r="Y221" s="110"/>
      <c r="Z221" s="110"/>
    </row>
    <row r="222" ht="15.75" customHeight="1">
      <c r="A222" s="105" t="s">
        <v>674</v>
      </c>
      <c r="B222" s="105" t="s">
        <v>46</v>
      </c>
      <c r="C222" s="106" t="s">
        <v>1021</v>
      </c>
      <c r="D222" s="107" t="s">
        <v>135</v>
      </c>
      <c r="E222" s="106" t="s">
        <v>685</v>
      </c>
      <c r="F222" s="106" t="s">
        <v>936</v>
      </c>
      <c r="G222" s="117" t="s">
        <v>517</v>
      </c>
      <c r="H222" s="117" t="s">
        <v>517</v>
      </c>
      <c r="I222" s="117" t="s">
        <v>90</v>
      </c>
      <c r="J222" s="107" t="s">
        <v>85</v>
      </c>
      <c r="K222" s="106" t="s">
        <v>749</v>
      </c>
      <c r="L222" s="107" t="s">
        <v>714</v>
      </c>
      <c r="M222" s="108">
        <v>43983.0</v>
      </c>
      <c r="N222" s="106" t="s">
        <v>692</v>
      </c>
      <c r="O222" s="109" t="s">
        <v>690</v>
      </c>
      <c r="P222" s="107" t="s">
        <v>782</v>
      </c>
      <c r="Q222" s="107" t="s">
        <v>782</v>
      </c>
      <c r="R222" s="110"/>
      <c r="S222" s="110"/>
      <c r="T222" s="110"/>
      <c r="U222" s="110"/>
      <c r="V222" s="110"/>
      <c r="W222" s="110"/>
      <c r="X222" s="110"/>
      <c r="Y222" s="110"/>
      <c r="Z222" s="110"/>
    </row>
    <row r="223" ht="15.75" customHeight="1">
      <c r="A223" s="105" t="s">
        <v>676</v>
      </c>
      <c r="B223" s="105" t="s">
        <v>46</v>
      </c>
      <c r="C223" s="106" t="s">
        <v>1022</v>
      </c>
      <c r="D223" s="107" t="s">
        <v>135</v>
      </c>
      <c r="E223" s="106" t="s">
        <v>685</v>
      </c>
      <c r="F223" s="106" t="s">
        <v>1023</v>
      </c>
      <c r="G223" s="117" t="s">
        <v>517</v>
      </c>
      <c r="H223" s="117" t="s">
        <v>517</v>
      </c>
      <c r="I223" s="117" t="s">
        <v>90</v>
      </c>
      <c r="J223" s="107" t="s">
        <v>85</v>
      </c>
      <c r="K223" s="106" t="s">
        <v>749</v>
      </c>
      <c r="L223" s="107" t="s">
        <v>714</v>
      </c>
      <c r="M223" s="108">
        <v>43983.0</v>
      </c>
      <c r="N223" s="106" t="s">
        <v>692</v>
      </c>
      <c r="O223" s="109" t="s">
        <v>690</v>
      </c>
      <c r="P223" s="107" t="s">
        <v>782</v>
      </c>
      <c r="Q223" s="107" t="s">
        <v>782</v>
      </c>
      <c r="R223" s="110"/>
      <c r="S223" s="110"/>
      <c r="T223" s="110"/>
      <c r="U223" s="110"/>
      <c r="V223" s="110"/>
      <c r="W223" s="110"/>
      <c r="X223" s="110"/>
      <c r="Y223" s="110"/>
      <c r="Z223" s="110"/>
    </row>
    <row r="224" ht="15.75" customHeight="1">
      <c r="A224" s="105" t="s">
        <v>472</v>
      </c>
      <c r="B224" s="105" t="s">
        <v>197</v>
      </c>
      <c r="C224" s="106" t="s">
        <v>475</v>
      </c>
      <c r="D224" s="107" t="s">
        <v>185</v>
      </c>
      <c r="E224" s="106" t="s">
        <v>713</v>
      </c>
      <c r="F224" s="107">
        <v>1.0</v>
      </c>
      <c r="G224" s="107" t="s">
        <v>476</v>
      </c>
      <c r="H224" s="107" t="s">
        <v>476</v>
      </c>
      <c r="I224" s="107" t="s">
        <v>476</v>
      </c>
      <c r="J224" s="107" t="s">
        <v>85</v>
      </c>
      <c r="K224" s="106" t="s">
        <v>749</v>
      </c>
      <c r="L224" s="107" t="s">
        <v>749</v>
      </c>
      <c r="M224" s="108">
        <v>43983.0</v>
      </c>
      <c r="N224" s="106" t="s">
        <v>692</v>
      </c>
      <c r="O224" s="109" t="s">
        <v>690</v>
      </c>
      <c r="P224" s="107" t="s">
        <v>724</v>
      </c>
      <c r="Q224" s="107" t="s">
        <v>724</v>
      </c>
      <c r="R224" s="110"/>
      <c r="S224" s="110"/>
      <c r="T224" s="110"/>
      <c r="U224" s="110"/>
      <c r="V224" s="110"/>
      <c r="W224" s="110"/>
      <c r="X224" s="110"/>
      <c r="Y224" s="110"/>
      <c r="Z224" s="110"/>
    </row>
    <row r="225" ht="15.75" customHeight="1">
      <c r="A225" s="105" t="s">
        <v>477</v>
      </c>
      <c r="B225" s="105" t="s">
        <v>197</v>
      </c>
      <c r="C225" s="106" t="s">
        <v>1024</v>
      </c>
      <c r="D225" s="107" t="s">
        <v>185</v>
      </c>
      <c r="E225" s="106" t="s">
        <v>713</v>
      </c>
      <c r="F225" s="107">
        <v>1.0</v>
      </c>
      <c r="G225" s="107" t="s">
        <v>476</v>
      </c>
      <c r="H225" s="107" t="s">
        <v>476</v>
      </c>
      <c r="I225" s="107" t="s">
        <v>476</v>
      </c>
      <c r="J225" s="107" t="s">
        <v>85</v>
      </c>
      <c r="K225" s="106" t="s">
        <v>749</v>
      </c>
      <c r="L225" s="107" t="s">
        <v>749</v>
      </c>
      <c r="M225" s="108">
        <v>43983.0</v>
      </c>
      <c r="N225" s="106" t="s">
        <v>692</v>
      </c>
      <c r="O225" s="109" t="s">
        <v>690</v>
      </c>
      <c r="P225" s="107" t="s">
        <v>724</v>
      </c>
      <c r="Q225" s="107" t="s">
        <v>724</v>
      </c>
      <c r="R225" s="110"/>
      <c r="S225" s="110"/>
      <c r="T225" s="110"/>
      <c r="U225" s="110"/>
      <c r="V225" s="110"/>
      <c r="W225" s="110"/>
      <c r="X225" s="110"/>
      <c r="Y225" s="110"/>
      <c r="Z225" s="110"/>
    </row>
    <row r="226" ht="15.75" customHeight="1">
      <c r="A226" s="105" t="s">
        <v>479</v>
      </c>
      <c r="B226" s="105" t="s">
        <v>197</v>
      </c>
      <c r="C226" s="106" t="s">
        <v>1025</v>
      </c>
      <c r="D226" s="107" t="s">
        <v>185</v>
      </c>
      <c r="E226" s="106" t="s">
        <v>694</v>
      </c>
      <c r="F226" s="107">
        <v>2.242180288E9</v>
      </c>
      <c r="G226" s="107" t="s">
        <v>476</v>
      </c>
      <c r="H226" s="107" t="s">
        <v>476</v>
      </c>
      <c r="I226" s="107" t="s">
        <v>476</v>
      </c>
      <c r="J226" s="107" t="s">
        <v>85</v>
      </c>
      <c r="K226" s="106" t="s">
        <v>749</v>
      </c>
      <c r="L226" s="107" t="s">
        <v>749</v>
      </c>
      <c r="M226" s="108">
        <v>43983.0</v>
      </c>
      <c r="N226" s="106" t="s">
        <v>692</v>
      </c>
      <c r="O226" s="109" t="s">
        <v>690</v>
      </c>
      <c r="P226" s="107" t="s">
        <v>724</v>
      </c>
      <c r="Q226" s="107" t="s">
        <v>724</v>
      </c>
      <c r="R226" s="110"/>
      <c r="S226" s="110"/>
      <c r="T226" s="110"/>
      <c r="U226" s="110"/>
      <c r="V226" s="110"/>
      <c r="W226" s="110"/>
      <c r="X226" s="110"/>
      <c r="Y226" s="110"/>
      <c r="Z226" s="110"/>
    </row>
    <row r="227" ht="15.75" customHeight="1">
      <c r="A227" s="105" t="s">
        <v>1026</v>
      </c>
      <c r="B227" s="105" t="s">
        <v>46</v>
      </c>
      <c r="C227" s="106" t="s">
        <v>1027</v>
      </c>
      <c r="D227" s="107" t="s">
        <v>135</v>
      </c>
      <c r="E227" s="106" t="s">
        <v>720</v>
      </c>
      <c r="F227" s="126" t="b">
        <v>1</v>
      </c>
      <c r="G227" s="117" t="s">
        <v>517</v>
      </c>
      <c r="H227" s="117" t="s">
        <v>517</v>
      </c>
      <c r="I227" s="117" t="s">
        <v>90</v>
      </c>
      <c r="J227" s="107" t="s">
        <v>85</v>
      </c>
      <c r="K227" s="106" t="s">
        <v>749</v>
      </c>
      <c r="L227" s="107" t="s">
        <v>714</v>
      </c>
      <c r="M227" s="108">
        <v>43952.0</v>
      </c>
      <c r="N227" s="106" t="s">
        <v>692</v>
      </c>
      <c r="O227" s="109" t="s">
        <v>690</v>
      </c>
      <c r="P227" s="107" t="s">
        <v>782</v>
      </c>
      <c r="Q227" s="107" t="s">
        <v>782</v>
      </c>
      <c r="R227" s="110"/>
      <c r="S227" s="110"/>
      <c r="T227" s="110"/>
      <c r="U227" s="110"/>
      <c r="V227" s="110"/>
      <c r="W227" s="110"/>
      <c r="X227" s="110"/>
      <c r="Y227" s="110"/>
      <c r="Z227" s="110"/>
    </row>
    <row r="228" ht="15.75" customHeight="1">
      <c r="A228" s="105" t="s">
        <v>1028</v>
      </c>
      <c r="B228" s="105" t="s">
        <v>46</v>
      </c>
      <c r="C228" s="106" t="s">
        <v>1029</v>
      </c>
      <c r="D228" s="107" t="s">
        <v>135</v>
      </c>
      <c r="E228" s="106" t="s">
        <v>685</v>
      </c>
      <c r="F228" s="106" t="s">
        <v>936</v>
      </c>
      <c r="G228" s="117" t="s">
        <v>517</v>
      </c>
      <c r="H228" s="117" t="s">
        <v>517</v>
      </c>
      <c r="I228" s="117" t="s">
        <v>90</v>
      </c>
      <c r="J228" s="107" t="s">
        <v>85</v>
      </c>
      <c r="K228" s="106" t="s">
        <v>749</v>
      </c>
      <c r="L228" s="107" t="s">
        <v>714</v>
      </c>
      <c r="M228" s="108">
        <v>43952.0</v>
      </c>
      <c r="N228" s="106" t="s">
        <v>692</v>
      </c>
      <c r="O228" s="109" t="s">
        <v>690</v>
      </c>
      <c r="P228" s="107" t="s">
        <v>782</v>
      </c>
      <c r="Q228" s="107" t="s">
        <v>782</v>
      </c>
      <c r="R228" s="110"/>
      <c r="S228" s="110"/>
      <c r="T228" s="110"/>
      <c r="U228" s="110"/>
      <c r="V228" s="110"/>
      <c r="W228" s="110"/>
      <c r="X228" s="110"/>
      <c r="Y228" s="110"/>
      <c r="Z228" s="110"/>
    </row>
    <row r="229" ht="15.75" customHeight="1">
      <c r="A229" s="105" t="s">
        <v>1030</v>
      </c>
      <c r="B229" s="105" t="s">
        <v>46</v>
      </c>
      <c r="C229" s="106" t="s">
        <v>1031</v>
      </c>
      <c r="D229" s="107" t="s">
        <v>135</v>
      </c>
      <c r="E229" s="106" t="s">
        <v>685</v>
      </c>
      <c r="F229" s="106" t="s">
        <v>1032</v>
      </c>
      <c r="G229" s="117" t="s">
        <v>517</v>
      </c>
      <c r="H229" s="117" t="s">
        <v>517</v>
      </c>
      <c r="I229" s="117" t="s">
        <v>90</v>
      </c>
      <c r="J229" s="107" t="s">
        <v>85</v>
      </c>
      <c r="K229" s="106" t="s">
        <v>749</v>
      </c>
      <c r="L229" s="107" t="s">
        <v>714</v>
      </c>
      <c r="M229" s="108">
        <v>43952.0</v>
      </c>
      <c r="N229" s="106" t="s">
        <v>692</v>
      </c>
      <c r="O229" s="109" t="s">
        <v>690</v>
      </c>
      <c r="P229" s="107" t="s">
        <v>782</v>
      </c>
      <c r="Q229" s="107" t="s">
        <v>782</v>
      </c>
      <c r="R229" s="110"/>
      <c r="S229" s="110"/>
      <c r="T229" s="110"/>
      <c r="U229" s="110"/>
      <c r="V229" s="110"/>
      <c r="W229" s="110"/>
      <c r="X229" s="110"/>
      <c r="Y229" s="110"/>
      <c r="Z229" s="110"/>
    </row>
    <row r="230" ht="15.75" customHeight="1">
      <c r="A230" s="105" t="s">
        <v>1336</v>
      </c>
      <c r="B230" s="105" t="s">
        <v>46</v>
      </c>
      <c r="C230" s="106" t="s">
        <v>1034</v>
      </c>
      <c r="D230" s="107" t="s">
        <v>135</v>
      </c>
      <c r="E230" s="106" t="s">
        <v>720</v>
      </c>
      <c r="F230" s="126" t="b">
        <v>1</v>
      </c>
      <c r="G230" s="117" t="s">
        <v>517</v>
      </c>
      <c r="H230" s="117" t="s">
        <v>517</v>
      </c>
      <c r="I230" s="117" t="s">
        <v>90</v>
      </c>
      <c r="J230" s="107" t="s">
        <v>85</v>
      </c>
      <c r="K230" s="106" t="s">
        <v>749</v>
      </c>
      <c r="L230" s="107" t="s">
        <v>714</v>
      </c>
      <c r="M230" s="108">
        <v>43952.0</v>
      </c>
      <c r="N230" s="106" t="s">
        <v>692</v>
      </c>
      <c r="O230" s="109" t="s">
        <v>690</v>
      </c>
      <c r="P230" s="107" t="s">
        <v>782</v>
      </c>
      <c r="Q230" s="107" t="s">
        <v>782</v>
      </c>
      <c r="R230" s="110"/>
      <c r="S230" s="110"/>
      <c r="T230" s="110"/>
      <c r="U230" s="110"/>
      <c r="V230" s="110"/>
      <c r="W230" s="110"/>
      <c r="X230" s="110"/>
      <c r="Y230" s="110"/>
      <c r="Z230" s="110"/>
    </row>
    <row r="231" ht="15.75" customHeight="1">
      <c r="A231" s="105" t="s">
        <v>1337</v>
      </c>
      <c r="B231" s="105" t="s">
        <v>46</v>
      </c>
      <c r="C231" s="106" t="s">
        <v>1036</v>
      </c>
      <c r="D231" s="107" t="s">
        <v>135</v>
      </c>
      <c r="E231" s="106" t="s">
        <v>685</v>
      </c>
      <c r="F231" s="106" t="s">
        <v>936</v>
      </c>
      <c r="G231" s="117" t="s">
        <v>517</v>
      </c>
      <c r="H231" s="117" t="s">
        <v>517</v>
      </c>
      <c r="I231" s="117" t="s">
        <v>90</v>
      </c>
      <c r="J231" s="107" t="s">
        <v>85</v>
      </c>
      <c r="K231" s="106" t="s">
        <v>749</v>
      </c>
      <c r="L231" s="107" t="s">
        <v>714</v>
      </c>
      <c r="M231" s="108">
        <v>43952.0</v>
      </c>
      <c r="N231" s="106" t="s">
        <v>692</v>
      </c>
      <c r="O231" s="109" t="s">
        <v>690</v>
      </c>
      <c r="P231" s="107" t="s">
        <v>782</v>
      </c>
      <c r="Q231" s="107" t="s">
        <v>782</v>
      </c>
      <c r="R231" s="110"/>
      <c r="S231" s="110"/>
      <c r="T231" s="110"/>
      <c r="U231" s="110"/>
      <c r="V231" s="110"/>
      <c r="W231" s="110"/>
      <c r="X231" s="110"/>
      <c r="Y231" s="110"/>
      <c r="Z231" s="110"/>
    </row>
    <row r="232" ht="15.75" customHeight="1">
      <c r="A232" s="105" t="s">
        <v>1338</v>
      </c>
      <c r="B232" s="105" t="s">
        <v>46</v>
      </c>
      <c r="C232" s="106" t="s">
        <v>1038</v>
      </c>
      <c r="D232" s="107" t="s">
        <v>135</v>
      </c>
      <c r="E232" s="106" t="s">
        <v>685</v>
      </c>
      <c r="F232" s="106" t="s">
        <v>1032</v>
      </c>
      <c r="G232" s="117" t="s">
        <v>517</v>
      </c>
      <c r="H232" s="117" t="s">
        <v>517</v>
      </c>
      <c r="I232" s="117" t="s">
        <v>90</v>
      </c>
      <c r="J232" s="107" t="s">
        <v>85</v>
      </c>
      <c r="K232" s="106" t="s">
        <v>749</v>
      </c>
      <c r="L232" s="107" t="s">
        <v>714</v>
      </c>
      <c r="M232" s="108">
        <v>43952.0</v>
      </c>
      <c r="N232" s="106" t="s">
        <v>692</v>
      </c>
      <c r="O232" s="109" t="s">
        <v>690</v>
      </c>
      <c r="P232" s="107" t="s">
        <v>782</v>
      </c>
      <c r="Q232" s="107" t="s">
        <v>782</v>
      </c>
      <c r="R232" s="110"/>
      <c r="S232" s="110"/>
      <c r="T232" s="110"/>
      <c r="U232" s="110"/>
      <c r="V232" s="110"/>
      <c r="W232" s="110"/>
      <c r="X232" s="110"/>
      <c r="Y232" s="110"/>
      <c r="Z232" s="110"/>
    </row>
    <row r="233" ht="15.75" customHeight="1">
      <c r="A233" s="105" t="s">
        <v>1039</v>
      </c>
      <c r="B233" s="105" t="s">
        <v>52</v>
      </c>
      <c r="C233" s="106" t="s">
        <v>1040</v>
      </c>
      <c r="D233" s="107" t="s">
        <v>185</v>
      </c>
      <c r="E233" s="106" t="s">
        <v>698</v>
      </c>
      <c r="F233" s="125">
        <v>43787.0</v>
      </c>
      <c r="G233" s="126" t="s">
        <v>723</v>
      </c>
      <c r="H233" s="105" t="s">
        <v>723</v>
      </c>
      <c r="I233" s="106" t="s">
        <v>723</v>
      </c>
      <c r="J233" s="107" t="s">
        <v>85</v>
      </c>
      <c r="K233" s="106" t="s">
        <v>687</v>
      </c>
      <c r="L233" s="107" t="s">
        <v>688</v>
      </c>
      <c r="M233" s="108">
        <v>44042.0</v>
      </c>
      <c r="N233" s="106" t="s">
        <v>735</v>
      </c>
      <c r="O233" s="116" t="s">
        <v>736</v>
      </c>
      <c r="P233" s="107" t="s">
        <v>721</v>
      </c>
      <c r="Q233" s="107" t="s">
        <v>721</v>
      </c>
      <c r="R233" s="110"/>
      <c r="S233" s="110"/>
      <c r="T233" s="110"/>
      <c r="U233" s="110"/>
      <c r="V233" s="110"/>
      <c r="W233" s="110"/>
      <c r="X233" s="110"/>
      <c r="Y233" s="110"/>
      <c r="Z233" s="110"/>
    </row>
    <row r="234" ht="15.75" customHeight="1">
      <c r="A234" s="105" t="s">
        <v>1041</v>
      </c>
      <c r="B234" s="105" t="s">
        <v>52</v>
      </c>
      <c r="C234" s="106" t="s">
        <v>1042</v>
      </c>
      <c r="D234" s="107" t="s">
        <v>185</v>
      </c>
      <c r="E234" s="106" t="s">
        <v>698</v>
      </c>
      <c r="F234" s="125">
        <v>43796.51299768518</v>
      </c>
      <c r="G234" s="126" t="s">
        <v>723</v>
      </c>
      <c r="H234" s="105" t="s">
        <v>723</v>
      </c>
      <c r="I234" s="106" t="s">
        <v>723</v>
      </c>
      <c r="J234" s="107" t="s">
        <v>85</v>
      </c>
      <c r="K234" s="106" t="s">
        <v>687</v>
      </c>
      <c r="L234" s="107" t="s">
        <v>688</v>
      </c>
      <c r="M234" s="108">
        <v>44042.0</v>
      </c>
      <c r="N234" s="106" t="s">
        <v>735</v>
      </c>
      <c r="O234" s="116" t="s">
        <v>736</v>
      </c>
      <c r="P234" s="107" t="s">
        <v>721</v>
      </c>
      <c r="Q234" s="107" t="s">
        <v>721</v>
      </c>
      <c r="R234" s="110"/>
      <c r="S234" s="110"/>
      <c r="T234" s="110"/>
      <c r="U234" s="110"/>
      <c r="V234" s="110"/>
      <c r="W234" s="110"/>
      <c r="X234" s="110"/>
      <c r="Y234" s="110"/>
      <c r="Z234" s="110"/>
    </row>
    <row r="235" ht="15.75" customHeight="1">
      <c r="A235" s="105" t="s">
        <v>1043</v>
      </c>
      <c r="B235" s="105" t="s">
        <v>52</v>
      </c>
      <c r="C235" s="106" t="s">
        <v>1044</v>
      </c>
      <c r="D235" s="107" t="s">
        <v>185</v>
      </c>
      <c r="E235" s="106" t="s">
        <v>713</v>
      </c>
      <c r="F235" s="117">
        <v>20.0</v>
      </c>
      <c r="G235" s="126" t="s">
        <v>723</v>
      </c>
      <c r="H235" s="105" t="s">
        <v>723</v>
      </c>
      <c r="I235" s="106" t="s">
        <v>723</v>
      </c>
      <c r="J235" s="107" t="s">
        <v>85</v>
      </c>
      <c r="K235" s="106" t="s">
        <v>687</v>
      </c>
      <c r="L235" s="107" t="s">
        <v>688</v>
      </c>
      <c r="M235" s="108">
        <v>44042.0</v>
      </c>
      <c r="N235" s="106" t="s">
        <v>735</v>
      </c>
      <c r="O235" s="116" t="s">
        <v>736</v>
      </c>
      <c r="P235" s="107" t="s">
        <v>721</v>
      </c>
      <c r="Q235" s="107" t="s">
        <v>721</v>
      </c>
      <c r="R235" s="110"/>
      <c r="S235" s="110"/>
      <c r="T235" s="110"/>
      <c r="U235" s="110"/>
      <c r="V235" s="110"/>
      <c r="W235" s="110"/>
      <c r="X235" s="110"/>
      <c r="Y235" s="110"/>
      <c r="Z235" s="110"/>
    </row>
    <row r="236" ht="15.75" customHeight="1">
      <c r="A236" s="105" t="s">
        <v>1045</v>
      </c>
      <c r="B236" s="105" t="s">
        <v>52</v>
      </c>
      <c r="C236" s="106" t="s">
        <v>1046</v>
      </c>
      <c r="D236" s="107" t="s">
        <v>185</v>
      </c>
      <c r="E236" s="106" t="s">
        <v>713</v>
      </c>
      <c r="F236" s="117">
        <v>36.0</v>
      </c>
      <c r="G236" s="126" t="s">
        <v>723</v>
      </c>
      <c r="H236" s="105" t="s">
        <v>723</v>
      </c>
      <c r="I236" s="106" t="s">
        <v>723</v>
      </c>
      <c r="J236" s="107" t="s">
        <v>85</v>
      </c>
      <c r="K236" s="106" t="s">
        <v>687</v>
      </c>
      <c r="L236" s="107" t="s">
        <v>688</v>
      </c>
      <c r="M236" s="108">
        <v>44042.0</v>
      </c>
      <c r="N236" s="106" t="s">
        <v>735</v>
      </c>
      <c r="O236" s="116" t="s">
        <v>736</v>
      </c>
      <c r="P236" s="107" t="s">
        <v>721</v>
      </c>
      <c r="Q236" s="107" t="s">
        <v>721</v>
      </c>
      <c r="R236" s="110"/>
      <c r="S236" s="110"/>
      <c r="T236" s="110"/>
      <c r="U236" s="110"/>
      <c r="V236" s="110"/>
      <c r="W236" s="110"/>
      <c r="X236" s="110"/>
      <c r="Y236" s="110"/>
      <c r="Z236" s="110"/>
    </row>
    <row r="237" ht="15.75" customHeight="1">
      <c r="A237" s="105" t="s">
        <v>1047</v>
      </c>
      <c r="B237" s="105" t="s">
        <v>197</v>
      </c>
      <c r="C237" s="106" t="s">
        <v>1048</v>
      </c>
      <c r="D237" s="107" t="s">
        <v>185</v>
      </c>
      <c r="E237" s="106" t="s">
        <v>768</v>
      </c>
      <c r="F237" s="117">
        <v>50.0</v>
      </c>
      <c r="G237" s="126" t="s">
        <v>723</v>
      </c>
      <c r="H237" s="105" t="s">
        <v>723</v>
      </c>
      <c r="I237" s="106" t="s">
        <v>723</v>
      </c>
      <c r="J237" s="107" t="s">
        <v>85</v>
      </c>
      <c r="K237" s="106" t="s">
        <v>687</v>
      </c>
      <c r="L237" s="107" t="s">
        <v>760</v>
      </c>
      <c r="M237" s="108">
        <v>44041.0</v>
      </c>
      <c r="N237" s="106" t="s">
        <v>735</v>
      </c>
      <c r="O237" s="116" t="s">
        <v>736</v>
      </c>
      <c r="P237" s="107" t="s">
        <v>761</v>
      </c>
      <c r="Q237" s="107" t="s">
        <v>761</v>
      </c>
      <c r="R237" s="110"/>
      <c r="S237" s="110"/>
      <c r="T237" s="110"/>
      <c r="U237" s="110"/>
      <c r="V237" s="110"/>
      <c r="W237" s="110"/>
      <c r="X237" s="110"/>
      <c r="Y237" s="110"/>
      <c r="Z237" s="110"/>
    </row>
    <row r="238" ht="15.75" customHeight="1">
      <c r="A238" s="105" t="s">
        <v>1049</v>
      </c>
      <c r="B238" s="105" t="s">
        <v>197</v>
      </c>
      <c r="C238" s="106" t="s">
        <v>1050</v>
      </c>
      <c r="D238" s="107" t="s">
        <v>135</v>
      </c>
      <c r="E238" s="106" t="s">
        <v>720</v>
      </c>
      <c r="F238" s="115" t="b">
        <v>1</v>
      </c>
      <c r="G238" s="106" t="s">
        <v>1051</v>
      </c>
      <c r="H238" s="107" t="s">
        <v>1052</v>
      </c>
      <c r="I238" s="107" t="s">
        <v>1052</v>
      </c>
      <c r="J238" s="107" t="s">
        <v>85</v>
      </c>
      <c r="K238" s="106" t="s">
        <v>749</v>
      </c>
      <c r="L238" s="107" t="s">
        <v>688</v>
      </c>
      <c r="M238" s="108">
        <v>43983.0</v>
      </c>
      <c r="N238" s="106" t="s">
        <v>913</v>
      </c>
      <c r="O238" s="109" t="s">
        <v>914</v>
      </c>
      <c r="P238" s="107" t="s">
        <v>724</v>
      </c>
      <c r="Q238" s="107" t="s">
        <v>724</v>
      </c>
      <c r="R238" s="110"/>
      <c r="S238" s="110"/>
      <c r="T238" s="110"/>
      <c r="U238" s="110"/>
      <c r="V238" s="110"/>
      <c r="W238" s="110"/>
      <c r="X238" s="110"/>
      <c r="Y238" s="110"/>
      <c r="Z238" s="110"/>
    </row>
    <row r="239" ht="15.75" customHeight="1">
      <c r="A239" s="105" t="s">
        <v>1053</v>
      </c>
      <c r="B239" s="105" t="s">
        <v>197</v>
      </c>
      <c r="C239" s="106" t="s">
        <v>1054</v>
      </c>
      <c r="D239" s="107" t="s">
        <v>185</v>
      </c>
      <c r="E239" s="106" t="s">
        <v>720</v>
      </c>
      <c r="F239" s="115" t="b">
        <v>1</v>
      </c>
      <c r="G239" s="106" t="s">
        <v>1051</v>
      </c>
      <c r="H239" s="107" t="s">
        <v>1052</v>
      </c>
      <c r="I239" s="107" t="s">
        <v>1052</v>
      </c>
      <c r="J239" s="107" t="s">
        <v>85</v>
      </c>
      <c r="K239" s="106" t="s">
        <v>687</v>
      </c>
      <c r="L239" s="107" t="s">
        <v>688</v>
      </c>
      <c r="M239" s="108">
        <v>44036.0</v>
      </c>
      <c r="N239" s="106" t="s">
        <v>913</v>
      </c>
      <c r="O239" s="109" t="s">
        <v>914</v>
      </c>
      <c r="P239" s="107" t="s">
        <v>691</v>
      </c>
      <c r="Q239" s="107" t="s">
        <v>691</v>
      </c>
      <c r="R239" s="110"/>
      <c r="S239" s="110"/>
      <c r="T239" s="110"/>
      <c r="U239" s="110"/>
      <c r="V239" s="110"/>
      <c r="W239" s="110"/>
      <c r="X239" s="110"/>
      <c r="Y239" s="110"/>
      <c r="Z239" s="110"/>
    </row>
    <row r="240" ht="40.5" customHeight="1">
      <c r="A240" s="105" t="s">
        <v>1055</v>
      </c>
      <c r="B240" s="105" t="s">
        <v>197</v>
      </c>
      <c r="C240" s="106" t="s">
        <v>1056</v>
      </c>
      <c r="D240" s="107" t="s">
        <v>185</v>
      </c>
      <c r="E240" s="106" t="s">
        <v>685</v>
      </c>
      <c r="F240" s="117">
        <v>9.052912593E9</v>
      </c>
      <c r="G240" s="106" t="s">
        <v>1051</v>
      </c>
      <c r="H240" s="107" t="s">
        <v>1052</v>
      </c>
      <c r="I240" s="107" t="s">
        <v>1052</v>
      </c>
      <c r="J240" s="107" t="s">
        <v>85</v>
      </c>
      <c r="K240" s="106" t="s">
        <v>687</v>
      </c>
      <c r="L240" s="107" t="s">
        <v>760</v>
      </c>
      <c r="M240" s="108">
        <v>44041.0</v>
      </c>
      <c r="N240" s="106" t="s">
        <v>735</v>
      </c>
      <c r="O240" s="116" t="s">
        <v>736</v>
      </c>
      <c r="P240" s="107" t="s">
        <v>761</v>
      </c>
      <c r="Q240" s="107" t="s">
        <v>761</v>
      </c>
      <c r="R240" s="110"/>
      <c r="S240" s="110"/>
      <c r="T240" s="110"/>
      <c r="U240" s="110"/>
      <c r="V240" s="110"/>
      <c r="W240" s="110"/>
      <c r="X240" s="110"/>
      <c r="Y240" s="110"/>
      <c r="Z240" s="110"/>
    </row>
    <row r="241" ht="15.75" customHeight="1">
      <c r="A241" s="105" t="s">
        <v>1057</v>
      </c>
      <c r="B241" s="105" t="s">
        <v>197</v>
      </c>
      <c r="C241" s="106" t="s">
        <v>1058</v>
      </c>
      <c r="D241" s="107" t="s">
        <v>185</v>
      </c>
      <c r="E241" s="106" t="s">
        <v>685</v>
      </c>
      <c r="F241" s="117">
        <v>6.49390994E8</v>
      </c>
      <c r="G241" s="106" t="s">
        <v>1051</v>
      </c>
      <c r="H241" s="107" t="s">
        <v>1052</v>
      </c>
      <c r="I241" s="107" t="s">
        <v>1052</v>
      </c>
      <c r="J241" s="107" t="s">
        <v>85</v>
      </c>
      <c r="K241" s="106" t="s">
        <v>687</v>
      </c>
      <c r="L241" s="107" t="s">
        <v>760</v>
      </c>
      <c r="M241" s="108">
        <v>44041.0</v>
      </c>
      <c r="N241" s="106" t="s">
        <v>735</v>
      </c>
      <c r="O241" s="116" t="s">
        <v>736</v>
      </c>
      <c r="P241" s="107" t="s">
        <v>761</v>
      </c>
      <c r="Q241" s="107" t="s">
        <v>761</v>
      </c>
      <c r="R241" s="110"/>
      <c r="S241" s="110"/>
      <c r="T241" s="110"/>
      <c r="U241" s="110"/>
      <c r="V241" s="110"/>
      <c r="W241" s="110"/>
      <c r="X241" s="110"/>
      <c r="Y241" s="110"/>
      <c r="Z241" s="110"/>
    </row>
    <row r="242" ht="15.75" customHeight="1">
      <c r="A242" s="105" t="s">
        <v>1059</v>
      </c>
      <c r="B242" s="105" t="s">
        <v>197</v>
      </c>
      <c r="C242" s="106" t="s">
        <v>1060</v>
      </c>
      <c r="D242" s="107" t="s">
        <v>185</v>
      </c>
      <c r="E242" s="106" t="s">
        <v>720</v>
      </c>
      <c r="F242" s="115" t="b">
        <v>1</v>
      </c>
      <c r="G242" s="126" t="s">
        <v>686</v>
      </c>
      <c r="H242" s="107" t="s">
        <v>91</v>
      </c>
      <c r="I242" s="107" t="s">
        <v>91</v>
      </c>
      <c r="J242" s="107" t="s">
        <v>85</v>
      </c>
      <c r="K242" s="106" t="s">
        <v>687</v>
      </c>
      <c r="L242" s="107" t="s">
        <v>688</v>
      </c>
      <c r="M242" s="108">
        <v>44041.0</v>
      </c>
      <c r="N242" s="106" t="s">
        <v>692</v>
      </c>
      <c r="O242" s="109" t="s">
        <v>690</v>
      </c>
      <c r="P242" s="107" t="s">
        <v>724</v>
      </c>
      <c r="Q242" s="107" t="s">
        <v>724</v>
      </c>
      <c r="R242" s="110"/>
      <c r="S242" s="110"/>
      <c r="T242" s="110"/>
      <c r="U242" s="110"/>
      <c r="V242" s="110"/>
      <c r="W242" s="110"/>
      <c r="X242" s="110"/>
      <c r="Y242" s="110"/>
      <c r="Z242" s="110"/>
    </row>
    <row r="243" ht="15.75" customHeight="1">
      <c r="A243" s="105" t="s">
        <v>1061</v>
      </c>
      <c r="B243" s="105" t="s">
        <v>197</v>
      </c>
      <c r="C243" s="106" t="s">
        <v>1062</v>
      </c>
      <c r="D243" s="107" t="s">
        <v>185</v>
      </c>
      <c r="E243" s="106" t="s">
        <v>768</v>
      </c>
      <c r="F243" s="117">
        <v>65.0</v>
      </c>
      <c r="G243" s="126" t="s">
        <v>723</v>
      </c>
      <c r="H243" s="105" t="s">
        <v>723</v>
      </c>
      <c r="I243" s="106" t="s">
        <v>723</v>
      </c>
      <c r="J243" s="107" t="s">
        <v>85</v>
      </c>
      <c r="K243" s="106" t="s">
        <v>687</v>
      </c>
      <c r="L243" s="107" t="s">
        <v>760</v>
      </c>
      <c r="M243" s="108">
        <v>44041.0</v>
      </c>
      <c r="N243" s="106" t="s">
        <v>735</v>
      </c>
      <c r="O243" s="116" t="s">
        <v>736</v>
      </c>
      <c r="P243" s="107" t="s">
        <v>761</v>
      </c>
      <c r="Q243" s="107" t="s">
        <v>761</v>
      </c>
      <c r="R243" s="110"/>
      <c r="S243" s="110"/>
      <c r="T243" s="110"/>
      <c r="U243" s="110"/>
      <c r="V243" s="110"/>
      <c r="W243" s="110"/>
      <c r="X243" s="110"/>
      <c r="Y243" s="110"/>
      <c r="Z243" s="110"/>
    </row>
    <row r="244" ht="15.75" customHeight="1">
      <c r="A244" s="105" t="s">
        <v>1063</v>
      </c>
      <c r="B244" s="105" t="s">
        <v>197</v>
      </c>
      <c r="C244" s="106" t="s">
        <v>1064</v>
      </c>
      <c r="D244" s="107" t="s">
        <v>185</v>
      </c>
      <c r="E244" s="106" t="s">
        <v>768</v>
      </c>
      <c r="F244" s="117">
        <v>55.0</v>
      </c>
      <c r="G244" s="126" t="s">
        <v>723</v>
      </c>
      <c r="H244" s="105" t="s">
        <v>723</v>
      </c>
      <c r="I244" s="106" t="s">
        <v>723</v>
      </c>
      <c r="J244" s="107" t="s">
        <v>85</v>
      </c>
      <c r="K244" s="106" t="s">
        <v>687</v>
      </c>
      <c r="L244" s="107" t="s">
        <v>760</v>
      </c>
      <c r="M244" s="108">
        <v>44041.0</v>
      </c>
      <c r="N244" s="106" t="s">
        <v>735</v>
      </c>
      <c r="O244" s="116" t="s">
        <v>736</v>
      </c>
      <c r="P244" s="107" t="s">
        <v>761</v>
      </c>
      <c r="Q244" s="107" t="s">
        <v>761</v>
      </c>
      <c r="R244" s="110"/>
      <c r="S244" s="110"/>
      <c r="T244" s="110"/>
      <c r="U244" s="110"/>
      <c r="V244" s="110"/>
      <c r="W244" s="110"/>
      <c r="X244" s="110"/>
      <c r="Y244" s="110"/>
      <c r="Z244" s="110"/>
    </row>
    <row r="245" ht="15.75" customHeight="1">
      <c r="A245" s="105" t="s">
        <v>1065</v>
      </c>
      <c r="B245" s="105" t="s">
        <v>44</v>
      </c>
      <c r="C245" s="106" t="s">
        <v>1066</v>
      </c>
      <c r="D245" s="107" t="s">
        <v>185</v>
      </c>
      <c r="E245" s="106" t="s">
        <v>768</v>
      </c>
      <c r="F245" s="117">
        <v>19401.0</v>
      </c>
      <c r="G245" s="106" t="s">
        <v>723</v>
      </c>
      <c r="H245" s="107" t="s">
        <v>1067</v>
      </c>
      <c r="I245" s="106" t="s">
        <v>723</v>
      </c>
      <c r="J245" s="107" t="s">
        <v>85</v>
      </c>
      <c r="K245" s="106" t="s">
        <v>749</v>
      </c>
      <c r="L245" s="107" t="s">
        <v>688</v>
      </c>
      <c r="M245" s="108">
        <v>43983.0</v>
      </c>
      <c r="N245" s="106" t="s">
        <v>701</v>
      </c>
      <c r="O245" s="109" t="s">
        <v>736</v>
      </c>
      <c r="P245" s="106" t="s">
        <v>750</v>
      </c>
      <c r="Q245" s="106" t="s">
        <v>750</v>
      </c>
      <c r="R245" s="110"/>
      <c r="S245" s="110"/>
      <c r="T245" s="110"/>
      <c r="U245" s="110"/>
      <c r="V245" s="110"/>
      <c r="W245" s="110"/>
      <c r="X245" s="110"/>
      <c r="Y245" s="110"/>
      <c r="Z245" s="110"/>
    </row>
    <row r="246" ht="15.75" customHeight="1">
      <c r="A246" s="105" t="s">
        <v>1068</v>
      </c>
      <c r="B246" s="105" t="s">
        <v>197</v>
      </c>
      <c r="C246" s="106" t="s">
        <v>1069</v>
      </c>
      <c r="D246" s="107" t="s">
        <v>185</v>
      </c>
      <c r="E246" s="106" t="s">
        <v>720</v>
      </c>
      <c r="F246" s="115" t="b">
        <v>1</v>
      </c>
      <c r="G246" s="106" t="s">
        <v>723</v>
      </c>
      <c r="H246" s="107" t="s">
        <v>1067</v>
      </c>
      <c r="I246" s="106" t="s">
        <v>723</v>
      </c>
      <c r="J246" s="107" t="s">
        <v>85</v>
      </c>
      <c r="K246" s="106" t="s">
        <v>687</v>
      </c>
      <c r="L246" s="107" t="s">
        <v>688</v>
      </c>
      <c r="M246" s="108">
        <v>44042.0</v>
      </c>
      <c r="N246" s="106" t="s">
        <v>701</v>
      </c>
      <c r="O246" s="109" t="s">
        <v>690</v>
      </c>
      <c r="P246" s="107" t="s">
        <v>744</v>
      </c>
      <c r="Q246" s="107" t="s">
        <v>744</v>
      </c>
      <c r="R246" s="110"/>
      <c r="S246" s="110"/>
      <c r="T246" s="110"/>
      <c r="U246" s="110"/>
      <c r="V246" s="110"/>
      <c r="W246" s="110"/>
      <c r="X246" s="110"/>
      <c r="Y246" s="110"/>
      <c r="Z246" s="110"/>
    </row>
    <row r="247" ht="15.75" customHeight="1">
      <c r="A247" s="105" t="s">
        <v>1070</v>
      </c>
      <c r="B247" s="105" t="s">
        <v>197</v>
      </c>
      <c r="C247" s="106" t="s">
        <v>1071</v>
      </c>
      <c r="D247" s="107" t="s">
        <v>185</v>
      </c>
      <c r="E247" s="106" t="s">
        <v>768</v>
      </c>
      <c r="F247" s="117">
        <v>8374.31</v>
      </c>
      <c r="G247" s="106" t="s">
        <v>723</v>
      </c>
      <c r="H247" s="107" t="s">
        <v>1067</v>
      </c>
      <c r="I247" s="106" t="s">
        <v>723</v>
      </c>
      <c r="J247" s="107" t="s">
        <v>85</v>
      </c>
      <c r="K247" s="106" t="s">
        <v>749</v>
      </c>
      <c r="L247" s="107" t="s">
        <v>688</v>
      </c>
      <c r="M247" s="108">
        <v>44024.0</v>
      </c>
      <c r="N247" s="106" t="s">
        <v>701</v>
      </c>
      <c r="O247" s="109" t="s">
        <v>690</v>
      </c>
      <c r="P247" s="107" t="s">
        <v>771</v>
      </c>
      <c r="Q247" s="107" t="s">
        <v>771</v>
      </c>
      <c r="R247" s="110"/>
      <c r="S247" s="110"/>
      <c r="T247" s="110"/>
      <c r="U247" s="110"/>
      <c r="V247" s="110"/>
      <c r="W247" s="110"/>
      <c r="X247" s="110"/>
      <c r="Y247" s="110"/>
      <c r="Z247" s="110"/>
    </row>
    <row r="248" ht="15.75" customHeight="1">
      <c r="A248" s="105" t="s">
        <v>1072</v>
      </c>
      <c r="B248" s="105" t="s">
        <v>197</v>
      </c>
      <c r="C248" s="106" t="s">
        <v>1073</v>
      </c>
      <c r="D248" s="107" t="s">
        <v>185</v>
      </c>
      <c r="E248" s="106" t="s">
        <v>768</v>
      </c>
      <c r="F248" s="117">
        <v>1383.48</v>
      </c>
      <c r="G248" s="106" t="s">
        <v>723</v>
      </c>
      <c r="H248" s="107" t="s">
        <v>1067</v>
      </c>
      <c r="I248" s="106" t="s">
        <v>723</v>
      </c>
      <c r="J248" s="107" t="s">
        <v>85</v>
      </c>
      <c r="K248" s="106" t="s">
        <v>749</v>
      </c>
      <c r="L248" s="107" t="s">
        <v>688</v>
      </c>
      <c r="M248" s="108">
        <v>44024.0</v>
      </c>
      <c r="N248" s="106" t="s">
        <v>701</v>
      </c>
      <c r="O248" s="109" t="s">
        <v>690</v>
      </c>
      <c r="P248" s="107" t="s">
        <v>771</v>
      </c>
      <c r="Q248" s="107" t="s">
        <v>771</v>
      </c>
      <c r="R248" s="110"/>
      <c r="S248" s="110"/>
      <c r="T248" s="110"/>
      <c r="U248" s="110"/>
      <c r="V248" s="110"/>
      <c r="W248" s="110"/>
      <c r="X248" s="110"/>
      <c r="Y248" s="110"/>
      <c r="Z248" s="110"/>
    </row>
    <row r="249" ht="15.75" customHeight="1">
      <c r="A249" s="105" t="s">
        <v>1074</v>
      </c>
      <c r="B249" s="105" t="s">
        <v>197</v>
      </c>
      <c r="C249" s="106" t="s">
        <v>1075</v>
      </c>
      <c r="D249" s="107" t="s">
        <v>185</v>
      </c>
      <c r="E249" s="106" t="s">
        <v>768</v>
      </c>
      <c r="F249" s="117">
        <v>8374.31</v>
      </c>
      <c r="G249" s="106" t="s">
        <v>1051</v>
      </c>
      <c r="H249" s="112" t="s">
        <v>1052</v>
      </c>
      <c r="I249" s="106" t="s">
        <v>1052</v>
      </c>
      <c r="J249" s="107" t="s">
        <v>85</v>
      </c>
      <c r="K249" s="106" t="s">
        <v>749</v>
      </c>
      <c r="L249" s="107" t="s">
        <v>688</v>
      </c>
      <c r="M249" s="108">
        <v>44024.0</v>
      </c>
      <c r="N249" s="106" t="s">
        <v>701</v>
      </c>
      <c r="O249" s="109" t="s">
        <v>690</v>
      </c>
      <c r="P249" s="107" t="s">
        <v>771</v>
      </c>
      <c r="Q249" s="107" t="s">
        <v>771</v>
      </c>
      <c r="R249" s="110"/>
      <c r="S249" s="110"/>
      <c r="T249" s="110"/>
      <c r="U249" s="110"/>
      <c r="V249" s="110"/>
      <c r="W249" s="110"/>
      <c r="X249" s="110"/>
      <c r="Y249" s="110"/>
      <c r="Z249" s="110"/>
    </row>
    <row r="250" ht="15.75" customHeight="1">
      <c r="A250" s="105" t="s">
        <v>1076</v>
      </c>
      <c r="B250" s="105" t="s">
        <v>696</v>
      </c>
      <c r="C250" s="106" t="s">
        <v>1077</v>
      </c>
      <c r="D250" s="107" t="s">
        <v>83</v>
      </c>
      <c r="E250" s="106" t="s">
        <v>698</v>
      </c>
      <c r="F250" s="125">
        <v>44229.0</v>
      </c>
      <c r="G250" s="106" t="s">
        <v>1051</v>
      </c>
      <c r="H250" s="112" t="s">
        <v>1052</v>
      </c>
      <c r="I250" s="126" t="s">
        <v>1052</v>
      </c>
      <c r="J250" s="107" t="s">
        <v>85</v>
      </c>
      <c r="K250" s="106" t="s">
        <v>687</v>
      </c>
      <c r="L250" s="107" t="s">
        <v>688</v>
      </c>
      <c r="M250" s="108">
        <v>44042.0</v>
      </c>
      <c r="N250" s="106" t="s">
        <v>735</v>
      </c>
      <c r="O250" s="116" t="s">
        <v>736</v>
      </c>
      <c r="P250" s="107" t="s">
        <v>691</v>
      </c>
      <c r="Q250" s="107" t="s">
        <v>691</v>
      </c>
      <c r="R250" s="110"/>
      <c r="S250" s="110"/>
      <c r="T250" s="110"/>
      <c r="U250" s="110"/>
      <c r="V250" s="110"/>
      <c r="W250" s="110"/>
      <c r="X250" s="110"/>
      <c r="Y250" s="110"/>
      <c r="Z250" s="110"/>
    </row>
    <row r="251" ht="15.75" customHeight="1">
      <c r="A251" s="105" t="s">
        <v>1078</v>
      </c>
      <c r="B251" s="105" t="s">
        <v>197</v>
      </c>
      <c r="C251" s="106" t="s">
        <v>1079</v>
      </c>
      <c r="D251" s="107" t="s">
        <v>185</v>
      </c>
      <c r="E251" s="106" t="s">
        <v>720</v>
      </c>
      <c r="F251" s="115" t="b">
        <v>1</v>
      </c>
      <c r="G251" s="106" t="s">
        <v>1051</v>
      </c>
      <c r="H251" s="112" t="s">
        <v>1052</v>
      </c>
      <c r="I251" s="126" t="s">
        <v>1052</v>
      </c>
      <c r="J251" s="107" t="s">
        <v>85</v>
      </c>
      <c r="K251" s="106" t="s">
        <v>687</v>
      </c>
      <c r="L251" s="107" t="s">
        <v>760</v>
      </c>
      <c r="M251" s="108">
        <v>44041.0</v>
      </c>
      <c r="N251" s="106" t="s">
        <v>735</v>
      </c>
      <c r="O251" s="116" t="s">
        <v>736</v>
      </c>
      <c r="P251" s="107" t="s">
        <v>761</v>
      </c>
      <c r="Q251" s="107" t="s">
        <v>761</v>
      </c>
      <c r="R251" s="110"/>
      <c r="S251" s="110"/>
      <c r="T251" s="110"/>
      <c r="U251" s="110"/>
      <c r="V251" s="110"/>
      <c r="W251" s="110"/>
      <c r="X251" s="110"/>
      <c r="Y251" s="110"/>
      <c r="Z251" s="110"/>
    </row>
    <row r="252" ht="15.75" customHeight="1">
      <c r="A252" s="105" t="s">
        <v>1080</v>
      </c>
      <c r="B252" s="105" t="s">
        <v>197</v>
      </c>
      <c r="C252" s="106" t="s">
        <v>1081</v>
      </c>
      <c r="D252" s="107" t="s">
        <v>185</v>
      </c>
      <c r="E252" s="106" t="s">
        <v>720</v>
      </c>
      <c r="F252" s="115" t="b">
        <v>1</v>
      </c>
      <c r="G252" s="106" t="s">
        <v>1051</v>
      </c>
      <c r="H252" s="112" t="s">
        <v>1052</v>
      </c>
      <c r="I252" s="126" t="s">
        <v>1052</v>
      </c>
      <c r="J252" s="107" t="s">
        <v>85</v>
      </c>
      <c r="K252" s="106" t="s">
        <v>687</v>
      </c>
      <c r="L252" s="107" t="s">
        <v>760</v>
      </c>
      <c r="M252" s="108">
        <v>44041.0</v>
      </c>
      <c r="N252" s="106" t="s">
        <v>735</v>
      </c>
      <c r="O252" s="116" t="s">
        <v>736</v>
      </c>
      <c r="P252" s="107" t="s">
        <v>761</v>
      </c>
      <c r="Q252" s="107" t="s">
        <v>761</v>
      </c>
      <c r="R252" s="110"/>
      <c r="S252" s="110"/>
      <c r="T252" s="110"/>
      <c r="U252" s="110"/>
      <c r="V252" s="110"/>
      <c r="W252" s="110"/>
      <c r="X252" s="110"/>
      <c r="Y252" s="110"/>
      <c r="Z252" s="110"/>
    </row>
    <row r="253" ht="15.75" customHeight="1">
      <c r="A253" s="105" t="s">
        <v>1082</v>
      </c>
      <c r="B253" s="105" t="s">
        <v>197</v>
      </c>
      <c r="C253" s="106" t="s">
        <v>1083</v>
      </c>
      <c r="D253" s="107" t="s">
        <v>135</v>
      </c>
      <c r="E253" s="106" t="s">
        <v>768</v>
      </c>
      <c r="F253" s="117">
        <v>0.05</v>
      </c>
      <c r="G253" s="106" t="s">
        <v>1051</v>
      </c>
      <c r="H253" s="112" t="s">
        <v>1052</v>
      </c>
      <c r="I253" s="126" t="s">
        <v>1052</v>
      </c>
      <c r="J253" s="107"/>
      <c r="K253" s="106" t="s">
        <v>749</v>
      </c>
      <c r="L253" s="107" t="s">
        <v>763</v>
      </c>
      <c r="M253" s="108">
        <v>43983.0</v>
      </c>
      <c r="N253" s="126" t="s">
        <v>913</v>
      </c>
      <c r="O253" s="109" t="s">
        <v>914</v>
      </c>
      <c r="P253" s="107" t="s">
        <v>724</v>
      </c>
      <c r="Q253" s="107" t="s">
        <v>724</v>
      </c>
      <c r="R253" s="110"/>
      <c r="S253" s="110"/>
      <c r="T253" s="110"/>
      <c r="U253" s="110"/>
      <c r="V253" s="110"/>
      <c r="W253" s="110"/>
      <c r="X253" s="110"/>
      <c r="Y253" s="110"/>
      <c r="Z253" s="110"/>
    </row>
    <row r="254" ht="15.75" customHeight="1">
      <c r="A254" s="105" t="s">
        <v>1084</v>
      </c>
      <c r="B254" s="105" t="s">
        <v>696</v>
      </c>
      <c r="C254" s="106" t="s">
        <v>1085</v>
      </c>
      <c r="D254" s="107" t="s">
        <v>135</v>
      </c>
      <c r="E254" s="106" t="s">
        <v>685</v>
      </c>
      <c r="F254" s="117">
        <v>2999.0</v>
      </c>
      <c r="G254" s="106" t="s">
        <v>723</v>
      </c>
      <c r="H254" s="117" t="s">
        <v>1067</v>
      </c>
      <c r="I254" s="106" t="s">
        <v>723</v>
      </c>
      <c r="J254" s="107"/>
      <c r="K254" s="106" t="s">
        <v>749</v>
      </c>
      <c r="L254" s="107" t="s">
        <v>763</v>
      </c>
      <c r="M254" s="108">
        <v>43983.0</v>
      </c>
      <c r="N254" s="126" t="s">
        <v>701</v>
      </c>
      <c r="O254" s="109" t="s">
        <v>690</v>
      </c>
      <c r="P254" s="107" t="s">
        <v>702</v>
      </c>
      <c r="Q254" s="107" t="s">
        <v>702</v>
      </c>
      <c r="R254" s="110"/>
      <c r="S254" s="110"/>
      <c r="T254" s="110"/>
      <c r="U254" s="110"/>
      <c r="V254" s="110"/>
      <c r="W254" s="110"/>
      <c r="X254" s="110"/>
      <c r="Y254" s="110"/>
      <c r="Z254" s="110"/>
    </row>
    <row r="255" ht="15.75" customHeight="1">
      <c r="A255" s="105" t="s">
        <v>1086</v>
      </c>
      <c r="B255" s="105" t="s">
        <v>197</v>
      </c>
      <c r="C255" s="106" t="s">
        <v>1087</v>
      </c>
      <c r="D255" s="107" t="s">
        <v>185</v>
      </c>
      <c r="E255" s="106" t="s">
        <v>720</v>
      </c>
      <c r="F255" s="115" t="b">
        <v>1</v>
      </c>
      <c r="G255" s="106" t="s">
        <v>723</v>
      </c>
      <c r="H255" s="117" t="s">
        <v>1067</v>
      </c>
      <c r="I255" s="106" t="s">
        <v>723</v>
      </c>
      <c r="J255" s="107" t="s">
        <v>85</v>
      </c>
      <c r="K255" s="106" t="s">
        <v>687</v>
      </c>
      <c r="L255" s="107" t="s">
        <v>688</v>
      </c>
      <c r="M255" s="108">
        <v>44042.0</v>
      </c>
      <c r="N255" s="126" t="s">
        <v>701</v>
      </c>
      <c r="O255" s="116" t="s">
        <v>732</v>
      </c>
      <c r="P255" s="107" t="s">
        <v>771</v>
      </c>
      <c r="Q255" s="107" t="s">
        <v>771</v>
      </c>
      <c r="R255" s="110"/>
      <c r="S255" s="110"/>
      <c r="T255" s="110"/>
      <c r="U255" s="110"/>
      <c r="V255" s="110"/>
      <c r="W255" s="110"/>
      <c r="X255" s="110"/>
      <c r="Y255" s="110"/>
      <c r="Z255" s="110"/>
    </row>
    <row r="256" ht="15.75" customHeight="1">
      <c r="A256" s="105" t="s">
        <v>1088</v>
      </c>
      <c r="B256" s="105" t="s">
        <v>52</v>
      </c>
      <c r="C256" s="106" t="s">
        <v>1089</v>
      </c>
      <c r="D256" s="107" t="s">
        <v>185</v>
      </c>
      <c r="E256" s="106" t="s">
        <v>685</v>
      </c>
      <c r="F256" s="117" t="s">
        <v>1090</v>
      </c>
      <c r="G256" s="106" t="s">
        <v>1051</v>
      </c>
      <c r="H256" s="112" t="s">
        <v>1052</v>
      </c>
      <c r="I256" s="126" t="s">
        <v>1052</v>
      </c>
      <c r="J256" s="107" t="s">
        <v>85</v>
      </c>
      <c r="K256" s="106" t="s">
        <v>687</v>
      </c>
      <c r="L256" s="107" t="s">
        <v>688</v>
      </c>
      <c r="M256" s="108">
        <v>44042.0</v>
      </c>
      <c r="N256" s="106" t="s">
        <v>735</v>
      </c>
      <c r="O256" s="116" t="s">
        <v>736</v>
      </c>
      <c r="P256" s="107" t="s">
        <v>721</v>
      </c>
      <c r="Q256" s="107" t="s">
        <v>721</v>
      </c>
      <c r="R256" s="110"/>
      <c r="S256" s="110"/>
      <c r="T256" s="110"/>
      <c r="U256" s="110"/>
      <c r="V256" s="110"/>
      <c r="W256" s="110"/>
      <c r="X256" s="110"/>
      <c r="Y256" s="110"/>
      <c r="Z256" s="110"/>
    </row>
    <row r="257" ht="15.75" customHeight="1">
      <c r="A257" s="105" t="s">
        <v>1091</v>
      </c>
      <c r="B257" s="105" t="s">
        <v>52</v>
      </c>
      <c r="C257" s="106" t="s">
        <v>1092</v>
      </c>
      <c r="D257" s="107" t="s">
        <v>185</v>
      </c>
      <c r="E257" s="106" t="s">
        <v>685</v>
      </c>
      <c r="F257" s="117" t="s">
        <v>1093</v>
      </c>
      <c r="G257" s="106" t="s">
        <v>1051</v>
      </c>
      <c r="H257" s="112" t="s">
        <v>1052</v>
      </c>
      <c r="I257" s="126" t="s">
        <v>1052</v>
      </c>
      <c r="J257" s="107" t="s">
        <v>85</v>
      </c>
      <c r="K257" s="106" t="s">
        <v>687</v>
      </c>
      <c r="L257" s="107" t="s">
        <v>688</v>
      </c>
      <c r="M257" s="108">
        <v>44042.0</v>
      </c>
      <c r="N257" s="106" t="s">
        <v>735</v>
      </c>
      <c r="O257" s="116" t="s">
        <v>736</v>
      </c>
      <c r="P257" s="107" t="s">
        <v>721</v>
      </c>
      <c r="Q257" s="107" t="s">
        <v>721</v>
      </c>
      <c r="R257" s="110"/>
      <c r="S257" s="110"/>
      <c r="T257" s="110"/>
      <c r="U257" s="110"/>
      <c r="V257" s="110"/>
      <c r="W257" s="110"/>
      <c r="X257" s="110"/>
      <c r="Y257" s="110"/>
      <c r="Z257" s="110"/>
    </row>
    <row r="258" ht="15.75" customHeight="1">
      <c r="A258" s="105" t="s">
        <v>1094</v>
      </c>
      <c r="B258" s="105" t="s">
        <v>58</v>
      </c>
      <c r="C258" s="106" t="s">
        <v>1095</v>
      </c>
      <c r="D258" s="107" t="s">
        <v>83</v>
      </c>
      <c r="E258" s="106" t="s">
        <v>768</v>
      </c>
      <c r="F258" s="117">
        <v>3030.15</v>
      </c>
      <c r="G258" s="106" t="s">
        <v>1051</v>
      </c>
      <c r="H258" s="112" t="s">
        <v>1052</v>
      </c>
      <c r="I258" s="126" t="s">
        <v>1052</v>
      </c>
      <c r="J258" s="107" t="s">
        <v>85</v>
      </c>
      <c r="K258" s="126" t="s">
        <v>749</v>
      </c>
      <c r="L258" s="117" t="s">
        <v>749</v>
      </c>
      <c r="M258" s="108">
        <v>43983.0</v>
      </c>
      <c r="N258" s="106" t="s">
        <v>692</v>
      </c>
      <c r="O258" s="109" t="s">
        <v>690</v>
      </c>
      <c r="P258" s="107" t="s">
        <v>750</v>
      </c>
      <c r="Q258" s="107" t="s">
        <v>750</v>
      </c>
      <c r="R258" s="110"/>
      <c r="S258" s="110"/>
      <c r="T258" s="110"/>
      <c r="U258" s="110"/>
      <c r="V258" s="110"/>
      <c r="W258" s="110"/>
      <c r="X258" s="110"/>
      <c r="Y258" s="110"/>
      <c r="Z258" s="110"/>
    </row>
    <row r="259" ht="15.75" customHeight="1">
      <c r="A259" s="105" t="s">
        <v>1096</v>
      </c>
      <c r="B259" s="105" t="s">
        <v>197</v>
      </c>
      <c r="C259" s="106" t="s">
        <v>1097</v>
      </c>
      <c r="D259" s="107" t="s">
        <v>185</v>
      </c>
      <c r="E259" s="106" t="s">
        <v>768</v>
      </c>
      <c r="F259" s="117">
        <v>3000.0</v>
      </c>
      <c r="G259" s="117" t="s">
        <v>835</v>
      </c>
      <c r="H259" s="117" t="s">
        <v>91</v>
      </c>
      <c r="I259" s="117" t="s">
        <v>91</v>
      </c>
      <c r="J259" s="107" t="s">
        <v>85</v>
      </c>
      <c r="K259" s="106" t="s">
        <v>687</v>
      </c>
      <c r="L259" s="107" t="s">
        <v>688</v>
      </c>
      <c r="M259" s="108">
        <v>44042.0</v>
      </c>
      <c r="N259" s="126" t="s">
        <v>701</v>
      </c>
      <c r="O259" s="116"/>
      <c r="P259" s="106" t="s">
        <v>750</v>
      </c>
      <c r="Q259" s="106" t="s">
        <v>750</v>
      </c>
      <c r="R259" s="110"/>
      <c r="S259" s="110"/>
      <c r="T259" s="110"/>
      <c r="U259" s="110"/>
      <c r="V259" s="110"/>
      <c r="W259" s="110"/>
      <c r="X259" s="110"/>
      <c r="Y259" s="110"/>
      <c r="Z259" s="110"/>
    </row>
    <row r="260" ht="15.75" customHeight="1">
      <c r="A260" s="105" t="s">
        <v>1098</v>
      </c>
      <c r="B260" s="105" t="s">
        <v>44</v>
      </c>
      <c r="C260" s="106" t="s">
        <v>1099</v>
      </c>
      <c r="D260" s="107" t="s">
        <v>185</v>
      </c>
      <c r="E260" s="106" t="s">
        <v>768</v>
      </c>
      <c r="F260" s="124">
        <v>1499.0</v>
      </c>
      <c r="G260" s="106" t="s">
        <v>723</v>
      </c>
      <c r="H260" s="124" t="s">
        <v>1067</v>
      </c>
      <c r="I260" s="106" t="s">
        <v>723</v>
      </c>
      <c r="J260" s="124" t="s">
        <v>85</v>
      </c>
      <c r="K260" s="114" t="s">
        <v>749</v>
      </c>
      <c r="L260" s="124" t="s">
        <v>688</v>
      </c>
      <c r="M260" s="108">
        <v>44042.0</v>
      </c>
      <c r="N260" s="126" t="s">
        <v>701</v>
      </c>
      <c r="O260" s="109" t="s">
        <v>690</v>
      </c>
      <c r="P260" s="107" t="s">
        <v>705</v>
      </c>
      <c r="Q260" s="107" t="s">
        <v>705</v>
      </c>
      <c r="R260" s="110"/>
      <c r="S260" s="110"/>
      <c r="T260" s="110"/>
      <c r="U260" s="110"/>
      <c r="V260" s="110"/>
      <c r="W260" s="110"/>
      <c r="X260" s="110"/>
      <c r="Y260" s="110"/>
      <c r="Z260" s="110"/>
    </row>
    <row r="261" ht="15.75" customHeight="1">
      <c r="A261" s="105" t="s">
        <v>1100</v>
      </c>
      <c r="B261" s="105" t="s">
        <v>58</v>
      </c>
      <c r="C261" s="106" t="s">
        <v>1101</v>
      </c>
      <c r="D261" s="107" t="s">
        <v>185</v>
      </c>
      <c r="E261" s="106" t="s">
        <v>1102</v>
      </c>
      <c r="F261" s="126">
        <v>20.25</v>
      </c>
      <c r="G261" s="105" t="s">
        <v>394</v>
      </c>
      <c r="H261" s="126" t="s">
        <v>394</v>
      </c>
      <c r="I261" s="126" t="s">
        <v>394</v>
      </c>
      <c r="J261" s="126" t="s">
        <v>85</v>
      </c>
      <c r="K261" s="126" t="s">
        <v>749</v>
      </c>
      <c r="L261" s="126" t="s">
        <v>749</v>
      </c>
      <c r="M261" s="108">
        <v>43983.0</v>
      </c>
      <c r="N261" s="126" t="s">
        <v>701</v>
      </c>
      <c r="O261" s="116"/>
      <c r="P261" s="126" t="s">
        <v>750</v>
      </c>
      <c r="Q261" s="126" t="s">
        <v>750</v>
      </c>
      <c r="R261" s="130"/>
      <c r="S261" s="130"/>
      <c r="T261" s="130"/>
      <c r="U261" s="130"/>
      <c r="V261" s="130"/>
      <c r="W261" s="130"/>
      <c r="X261" s="130"/>
      <c r="Y261" s="130"/>
      <c r="Z261" s="130"/>
    </row>
    <row r="262" ht="15.75" customHeight="1">
      <c r="A262" s="105" t="s">
        <v>1103</v>
      </c>
      <c r="B262" s="105" t="s">
        <v>58</v>
      </c>
      <c r="C262" s="106" t="s">
        <v>1104</v>
      </c>
      <c r="D262" s="107" t="s">
        <v>185</v>
      </c>
      <c r="E262" s="106" t="s">
        <v>1102</v>
      </c>
      <c r="F262" s="126">
        <v>20.25</v>
      </c>
      <c r="G262" s="105" t="s">
        <v>394</v>
      </c>
      <c r="H262" s="126" t="s">
        <v>394</v>
      </c>
      <c r="I262" s="126" t="s">
        <v>394</v>
      </c>
      <c r="J262" s="126" t="s">
        <v>85</v>
      </c>
      <c r="K262" s="126" t="s">
        <v>749</v>
      </c>
      <c r="L262" s="126" t="s">
        <v>749</v>
      </c>
      <c r="M262" s="108">
        <v>43983.0</v>
      </c>
      <c r="N262" s="126" t="s">
        <v>701</v>
      </c>
      <c r="O262" s="116"/>
      <c r="P262" s="126" t="s">
        <v>750</v>
      </c>
      <c r="Q262" s="126" t="s">
        <v>750</v>
      </c>
      <c r="R262" s="130"/>
      <c r="S262" s="130"/>
      <c r="T262" s="130"/>
      <c r="U262" s="130"/>
      <c r="V262" s="130"/>
      <c r="W262" s="130"/>
      <c r="X262" s="130"/>
      <c r="Y262" s="130"/>
      <c r="Z262" s="130"/>
    </row>
    <row r="263" ht="15.75" customHeight="1">
      <c r="A263" s="105" t="s">
        <v>1105</v>
      </c>
      <c r="B263" s="105" t="s">
        <v>58</v>
      </c>
      <c r="C263" s="106" t="s">
        <v>1106</v>
      </c>
      <c r="D263" s="107" t="s">
        <v>185</v>
      </c>
      <c r="E263" s="106" t="s">
        <v>1102</v>
      </c>
      <c r="F263" s="126">
        <v>20.25</v>
      </c>
      <c r="G263" s="105" t="s">
        <v>394</v>
      </c>
      <c r="H263" s="126" t="s">
        <v>394</v>
      </c>
      <c r="I263" s="126" t="s">
        <v>394</v>
      </c>
      <c r="J263" s="126" t="s">
        <v>85</v>
      </c>
      <c r="K263" s="126" t="s">
        <v>749</v>
      </c>
      <c r="L263" s="126" t="s">
        <v>749</v>
      </c>
      <c r="M263" s="108">
        <v>43983.0</v>
      </c>
      <c r="N263" s="126" t="s">
        <v>701</v>
      </c>
      <c r="O263" s="116"/>
      <c r="P263" s="126" t="s">
        <v>750</v>
      </c>
      <c r="Q263" s="126" t="s">
        <v>750</v>
      </c>
      <c r="R263" s="130"/>
      <c r="S263" s="130"/>
      <c r="T263" s="130"/>
      <c r="U263" s="130"/>
      <c r="V263" s="130"/>
      <c r="W263" s="130"/>
      <c r="X263" s="130"/>
      <c r="Y263" s="130"/>
      <c r="Z263" s="130"/>
    </row>
    <row r="264" ht="15.75" customHeight="1">
      <c r="A264" s="105" t="s">
        <v>1107</v>
      </c>
      <c r="B264" s="105" t="s">
        <v>58</v>
      </c>
      <c r="C264" s="106" t="s">
        <v>1108</v>
      </c>
      <c r="D264" s="107" t="s">
        <v>185</v>
      </c>
      <c r="E264" s="106" t="s">
        <v>1102</v>
      </c>
      <c r="F264" s="126">
        <v>20.25</v>
      </c>
      <c r="G264" s="105" t="s">
        <v>394</v>
      </c>
      <c r="H264" s="126" t="s">
        <v>394</v>
      </c>
      <c r="I264" s="126" t="s">
        <v>394</v>
      </c>
      <c r="J264" s="126" t="s">
        <v>85</v>
      </c>
      <c r="K264" s="126" t="s">
        <v>749</v>
      </c>
      <c r="L264" s="126" t="s">
        <v>749</v>
      </c>
      <c r="M264" s="108">
        <v>43983.0</v>
      </c>
      <c r="N264" s="126" t="s">
        <v>701</v>
      </c>
      <c r="O264" s="116"/>
      <c r="P264" s="126" t="s">
        <v>750</v>
      </c>
      <c r="Q264" s="126" t="s">
        <v>750</v>
      </c>
      <c r="R264" s="130"/>
      <c r="S264" s="130"/>
      <c r="T264" s="130"/>
      <c r="U264" s="130"/>
      <c r="V264" s="130"/>
      <c r="W264" s="130"/>
      <c r="X264" s="130"/>
      <c r="Y264" s="130"/>
      <c r="Z264" s="130"/>
    </row>
    <row r="265" ht="15.75" customHeight="1">
      <c r="A265" s="105" t="s">
        <v>1109</v>
      </c>
      <c r="B265" s="105" t="s">
        <v>58</v>
      </c>
      <c r="C265" s="106" t="s">
        <v>1110</v>
      </c>
      <c r="D265" s="107" t="s">
        <v>185</v>
      </c>
      <c r="E265" s="106" t="s">
        <v>1102</v>
      </c>
      <c r="F265" s="126">
        <v>20.25</v>
      </c>
      <c r="G265" s="105" t="s">
        <v>394</v>
      </c>
      <c r="H265" s="126" t="s">
        <v>394</v>
      </c>
      <c r="I265" s="126" t="s">
        <v>394</v>
      </c>
      <c r="J265" s="126" t="s">
        <v>85</v>
      </c>
      <c r="K265" s="126" t="s">
        <v>749</v>
      </c>
      <c r="L265" s="126" t="s">
        <v>749</v>
      </c>
      <c r="M265" s="108">
        <v>43983.0</v>
      </c>
      <c r="N265" s="126" t="s">
        <v>701</v>
      </c>
      <c r="O265" s="116"/>
      <c r="P265" s="126" t="s">
        <v>750</v>
      </c>
      <c r="Q265" s="126" t="s">
        <v>750</v>
      </c>
      <c r="R265" s="130"/>
      <c r="S265" s="130"/>
      <c r="T265" s="130"/>
      <c r="U265" s="130"/>
      <c r="V265" s="130"/>
      <c r="W265" s="130"/>
      <c r="X265" s="130"/>
      <c r="Y265" s="130"/>
      <c r="Z265" s="130"/>
    </row>
    <row r="266" ht="15.75" customHeight="1">
      <c r="A266" s="105" t="s">
        <v>1111</v>
      </c>
      <c r="B266" s="105" t="s">
        <v>58</v>
      </c>
      <c r="C266" s="106" t="s">
        <v>1112</v>
      </c>
      <c r="D266" s="107" t="s">
        <v>185</v>
      </c>
      <c r="E266" s="106" t="s">
        <v>1102</v>
      </c>
      <c r="F266" s="126">
        <v>20.25</v>
      </c>
      <c r="G266" s="105" t="s">
        <v>394</v>
      </c>
      <c r="H266" s="126" t="s">
        <v>394</v>
      </c>
      <c r="I266" s="126" t="s">
        <v>394</v>
      </c>
      <c r="J266" s="126" t="s">
        <v>85</v>
      </c>
      <c r="K266" s="126" t="s">
        <v>749</v>
      </c>
      <c r="L266" s="126" t="s">
        <v>749</v>
      </c>
      <c r="M266" s="108">
        <v>43983.0</v>
      </c>
      <c r="N266" s="126" t="s">
        <v>701</v>
      </c>
      <c r="O266" s="116"/>
      <c r="P266" s="126" t="s">
        <v>750</v>
      </c>
      <c r="Q266" s="126" t="s">
        <v>750</v>
      </c>
      <c r="R266" s="130"/>
      <c r="S266" s="130"/>
      <c r="T266" s="130"/>
      <c r="U266" s="130"/>
      <c r="V266" s="130"/>
      <c r="W266" s="130"/>
      <c r="X266" s="130"/>
      <c r="Y266" s="130"/>
      <c r="Z266" s="130"/>
    </row>
    <row r="267" ht="15.75" customHeight="1">
      <c r="A267" s="105" t="s">
        <v>1113</v>
      </c>
      <c r="B267" s="105" t="s">
        <v>197</v>
      </c>
      <c r="C267" s="106" t="s">
        <v>1114</v>
      </c>
      <c r="D267" s="107" t="s">
        <v>185</v>
      </c>
      <c r="E267" s="106" t="s">
        <v>1115</v>
      </c>
      <c r="F267" s="126">
        <v>15.0</v>
      </c>
      <c r="G267" s="105" t="s">
        <v>394</v>
      </c>
      <c r="H267" s="126" t="s">
        <v>394</v>
      </c>
      <c r="I267" s="126" t="s">
        <v>394</v>
      </c>
      <c r="J267" s="126" t="s">
        <v>85</v>
      </c>
      <c r="K267" s="126" t="s">
        <v>687</v>
      </c>
      <c r="L267" s="126" t="s">
        <v>760</v>
      </c>
      <c r="M267" s="108">
        <v>44041.0</v>
      </c>
      <c r="N267" s="106" t="s">
        <v>735</v>
      </c>
      <c r="O267" s="116"/>
      <c r="P267" s="126" t="s">
        <v>761</v>
      </c>
      <c r="Q267" s="126" t="s">
        <v>761</v>
      </c>
      <c r="R267" s="130"/>
      <c r="S267" s="130"/>
      <c r="T267" s="130"/>
      <c r="U267" s="130"/>
      <c r="V267" s="130"/>
      <c r="W267" s="130"/>
      <c r="X267" s="130"/>
      <c r="Y267" s="130"/>
      <c r="Z267" s="130"/>
    </row>
    <row r="268" ht="15.75" customHeight="1">
      <c r="A268" s="105" t="s">
        <v>1116</v>
      </c>
      <c r="B268" s="105" t="s">
        <v>197</v>
      </c>
      <c r="C268" s="106" t="s">
        <v>1117</v>
      </c>
      <c r="D268" s="107" t="s">
        <v>185</v>
      </c>
      <c r="E268" s="106" t="s">
        <v>1115</v>
      </c>
      <c r="F268" s="126">
        <v>15.0</v>
      </c>
      <c r="G268" s="105" t="s">
        <v>394</v>
      </c>
      <c r="H268" s="126" t="s">
        <v>394</v>
      </c>
      <c r="I268" s="126" t="s">
        <v>394</v>
      </c>
      <c r="J268" s="126" t="s">
        <v>85</v>
      </c>
      <c r="K268" s="126" t="s">
        <v>687</v>
      </c>
      <c r="L268" s="126" t="s">
        <v>760</v>
      </c>
      <c r="M268" s="108">
        <v>44041.0</v>
      </c>
      <c r="N268" s="106" t="s">
        <v>735</v>
      </c>
      <c r="O268" s="116"/>
      <c r="P268" s="126" t="s">
        <v>761</v>
      </c>
      <c r="Q268" s="126" t="s">
        <v>761</v>
      </c>
      <c r="R268" s="130"/>
      <c r="S268" s="130"/>
      <c r="T268" s="130"/>
      <c r="U268" s="130"/>
      <c r="V268" s="130"/>
      <c r="W268" s="130"/>
      <c r="X268" s="130"/>
      <c r="Y268" s="130"/>
      <c r="Z268" s="130"/>
    </row>
    <row r="269" ht="15.75" customHeight="1">
      <c r="A269" s="105" t="s">
        <v>1118</v>
      </c>
      <c r="B269" s="105" t="s">
        <v>197</v>
      </c>
      <c r="C269" s="106" t="s">
        <v>1119</v>
      </c>
      <c r="D269" s="107" t="s">
        <v>185</v>
      </c>
      <c r="E269" s="106" t="s">
        <v>1115</v>
      </c>
      <c r="F269" s="126">
        <v>15.0</v>
      </c>
      <c r="G269" s="105" t="s">
        <v>394</v>
      </c>
      <c r="H269" s="126" t="s">
        <v>394</v>
      </c>
      <c r="I269" s="126" t="s">
        <v>394</v>
      </c>
      <c r="J269" s="126" t="s">
        <v>85</v>
      </c>
      <c r="K269" s="126" t="s">
        <v>687</v>
      </c>
      <c r="L269" s="126" t="s">
        <v>760</v>
      </c>
      <c r="M269" s="108">
        <v>44041.0</v>
      </c>
      <c r="N269" s="106" t="s">
        <v>735</v>
      </c>
      <c r="O269" s="116"/>
      <c r="P269" s="126" t="s">
        <v>761</v>
      </c>
      <c r="Q269" s="126" t="s">
        <v>761</v>
      </c>
      <c r="R269" s="130"/>
      <c r="S269" s="130"/>
      <c r="T269" s="130"/>
      <c r="U269" s="130"/>
      <c r="V269" s="130"/>
      <c r="W269" s="130"/>
      <c r="X269" s="130"/>
      <c r="Y269" s="130"/>
      <c r="Z269" s="130"/>
    </row>
    <row r="270" ht="15.75" customHeight="1">
      <c r="A270" s="105" t="s">
        <v>1120</v>
      </c>
      <c r="B270" s="105" t="s">
        <v>197</v>
      </c>
      <c r="C270" s="106" t="s">
        <v>1121</v>
      </c>
      <c r="D270" s="107" t="s">
        <v>135</v>
      </c>
      <c r="E270" s="106" t="s">
        <v>685</v>
      </c>
      <c r="F270" s="126" t="s">
        <v>1122</v>
      </c>
      <c r="G270" s="126" t="s">
        <v>723</v>
      </c>
      <c r="H270" s="126" t="s">
        <v>91</v>
      </c>
      <c r="I270" s="126" t="s">
        <v>723</v>
      </c>
      <c r="J270" s="126" t="s">
        <v>85</v>
      </c>
      <c r="K270" s="126" t="s">
        <v>749</v>
      </c>
      <c r="L270" s="126" t="s">
        <v>763</v>
      </c>
      <c r="M270" s="108">
        <v>43983.0</v>
      </c>
      <c r="N270" s="106" t="s">
        <v>741</v>
      </c>
      <c r="O270" s="131"/>
      <c r="P270" s="126" t="s">
        <v>745</v>
      </c>
      <c r="Q270" s="126" t="s">
        <v>745</v>
      </c>
      <c r="R270" s="130"/>
      <c r="S270" s="130"/>
      <c r="T270" s="130"/>
      <c r="U270" s="130"/>
      <c r="V270" s="130"/>
      <c r="W270" s="130"/>
      <c r="X270" s="130"/>
      <c r="Y270" s="130"/>
      <c r="Z270" s="130"/>
    </row>
    <row r="271" ht="15.75" customHeight="1">
      <c r="A271" s="105" t="s">
        <v>133</v>
      </c>
      <c r="B271" s="105" t="s">
        <v>44</v>
      </c>
      <c r="C271" s="106" t="s">
        <v>1123</v>
      </c>
      <c r="D271" s="107" t="s">
        <v>1339</v>
      </c>
      <c r="E271" s="106" t="s">
        <v>1115</v>
      </c>
      <c r="F271" s="126">
        <v>58.0</v>
      </c>
      <c r="G271" s="126" t="s">
        <v>136</v>
      </c>
      <c r="H271" s="126" t="s">
        <v>1124</v>
      </c>
      <c r="I271" s="126" t="s">
        <v>1124</v>
      </c>
      <c r="J271" s="126" t="s">
        <v>85</v>
      </c>
      <c r="K271" s="126" t="s">
        <v>749</v>
      </c>
      <c r="L271" s="126" t="s">
        <v>763</v>
      </c>
      <c r="M271" s="108">
        <v>43983.0</v>
      </c>
      <c r="N271" s="106" t="s">
        <v>701</v>
      </c>
      <c r="O271" s="109" t="s">
        <v>690</v>
      </c>
      <c r="P271" s="126" t="s">
        <v>691</v>
      </c>
      <c r="Q271" s="126" t="s">
        <v>691</v>
      </c>
      <c r="R271" s="130"/>
      <c r="S271" s="130"/>
      <c r="T271" s="130"/>
      <c r="U271" s="130"/>
      <c r="V271" s="130"/>
      <c r="W271" s="130"/>
      <c r="X271" s="130"/>
      <c r="Y271" s="130"/>
      <c r="Z271" s="130"/>
    </row>
    <row r="272" ht="15.75" customHeight="1">
      <c r="A272" s="105" t="s">
        <v>172</v>
      </c>
      <c r="B272" s="105" t="s">
        <v>842</v>
      </c>
      <c r="C272" s="106" t="s">
        <v>1125</v>
      </c>
      <c r="D272" s="107" t="s">
        <v>1339</v>
      </c>
      <c r="E272" s="106" t="s">
        <v>685</v>
      </c>
      <c r="F272" s="126" t="s">
        <v>1126</v>
      </c>
      <c r="G272" s="126" t="s">
        <v>136</v>
      </c>
      <c r="H272" s="126" t="s">
        <v>1124</v>
      </c>
      <c r="I272" s="126" t="s">
        <v>1124</v>
      </c>
      <c r="J272" s="126" t="s">
        <v>85</v>
      </c>
      <c r="K272" s="126" t="s">
        <v>749</v>
      </c>
      <c r="L272" s="126" t="s">
        <v>763</v>
      </c>
      <c r="M272" s="108">
        <v>43983.0</v>
      </c>
      <c r="N272" s="106" t="s">
        <v>689</v>
      </c>
      <c r="O272" s="109" t="s">
        <v>690</v>
      </c>
      <c r="P272" s="126" t="s">
        <v>691</v>
      </c>
      <c r="Q272" s="126" t="s">
        <v>691</v>
      </c>
      <c r="R272" s="130"/>
      <c r="S272" s="130"/>
      <c r="T272" s="130"/>
      <c r="U272" s="130"/>
      <c r="V272" s="130"/>
      <c r="W272" s="130"/>
      <c r="X272" s="130"/>
      <c r="Y272" s="130"/>
      <c r="Z272" s="130"/>
    </row>
    <row r="273" ht="15.75" customHeight="1">
      <c r="A273" s="105" t="s">
        <v>1127</v>
      </c>
      <c r="B273" s="105" t="s">
        <v>58</v>
      </c>
      <c r="C273" s="106" t="s">
        <v>1128</v>
      </c>
      <c r="D273" s="107" t="s">
        <v>185</v>
      </c>
      <c r="E273" s="106" t="s">
        <v>1102</v>
      </c>
      <c r="F273" s="126">
        <v>399.33</v>
      </c>
      <c r="G273" s="105" t="s">
        <v>394</v>
      </c>
      <c r="H273" s="126" t="s">
        <v>394</v>
      </c>
      <c r="I273" s="126" t="s">
        <v>394</v>
      </c>
      <c r="J273" s="126" t="s">
        <v>85</v>
      </c>
      <c r="K273" s="126" t="s">
        <v>749</v>
      </c>
      <c r="L273" s="126" t="s">
        <v>749</v>
      </c>
      <c r="M273" s="108">
        <v>43983.0</v>
      </c>
      <c r="N273" s="106" t="s">
        <v>701</v>
      </c>
      <c r="O273" s="131"/>
      <c r="P273" s="126" t="s">
        <v>750</v>
      </c>
      <c r="Q273" s="126" t="s">
        <v>750</v>
      </c>
      <c r="R273" s="130"/>
      <c r="S273" s="130"/>
      <c r="T273" s="130"/>
      <c r="U273" s="130"/>
      <c r="V273" s="130"/>
      <c r="W273" s="130"/>
      <c r="X273" s="130"/>
      <c r="Y273" s="130"/>
      <c r="Z273" s="130"/>
    </row>
    <row r="274" ht="15.75" customHeight="1">
      <c r="A274" s="105" t="s">
        <v>1129</v>
      </c>
      <c r="B274" s="105" t="s">
        <v>58</v>
      </c>
      <c r="C274" s="106" t="s">
        <v>1130</v>
      </c>
      <c r="D274" s="107" t="s">
        <v>185</v>
      </c>
      <c r="E274" s="106" t="s">
        <v>1102</v>
      </c>
      <c r="F274" s="126">
        <v>599.0</v>
      </c>
      <c r="G274" s="126" t="s">
        <v>394</v>
      </c>
      <c r="H274" s="126" t="s">
        <v>394</v>
      </c>
      <c r="I274" s="126" t="s">
        <v>394</v>
      </c>
      <c r="J274" s="126" t="s">
        <v>85</v>
      </c>
      <c r="K274" s="126" t="s">
        <v>749</v>
      </c>
      <c r="L274" s="126" t="s">
        <v>749</v>
      </c>
      <c r="M274" s="108">
        <v>43983.0</v>
      </c>
      <c r="N274" s="106" t="s">
        <v>701</v>
      </c>
      <c r="O274" s="131"/>
      <c r="P274" s="126" t="s">
        <v>750</v>
      </c>
      <c r="Q274" s="126" t="s">
        <v>750</v>
      </c>
      <c r="R274" s="130"/>
      <c r="S274" s="130"/>
      <c r="T274" s="130"/>
      <c r="U274" s="130"/>
      <c r="V274" s="130"/>
      <c r="W274" s="130"/>
      <c r="X274" s="130"/>
      <c r="Y274" s="130"/>
      <c r="Z274" s="130"/>
    </row>
    <row r="275" ht="15.75" customHeight="1">
      <c r="A275" s="105" t="s">
        <v>1131</v>
      </c>
      <c r="B275" s="105" t="s">
        <v>58</v>
      </c>
      <c r="C275" s="106" t="s">
        <v>1132</v>
      </c>
      <c r="D275" s="107" t="s">
        <v>185</v>
      </c>
      <c r="E275" s="106" t="s">
        <v>1102</v>
      </c>
      <c r="F275" s="126">
        <v>599.0</v>
      </c>
      <c r="G275" s="126" t="s">
        <v>394</v>
      </c>
      <c r="H275" s="126" t="s">
        <v>394</v>
      </c>
      <c r="I275" s="126" t="s">
        <v>394</v>
      </c>
      <c r="J275" s="126" t="s">
        <v>85</v>
      </c>
      <c r="K275" s="126" t="s">
        <v>749</v>
      </c>
      <c r="L275" s="126" t="s">
        <v>749</v>
      </c>
      <c r="M275" s="108">
        <v>43983.0</v>
      </c>
      <c r="N275" s="106" t="s">
        <v>701</v>
      </c>
      <c r="O275" s="131"/>
      <c r="P275" s="126" t="s">
        <v>750</v>
      </c>
      <c r="Q275" s="126" t="s">
        <v>750</v>
      </c>
      <c r="R275" s="130"/>
      <c r="S275" s="130"/>
      <c r="T275" s="130"/>
      <c r="U275" s="130"/>
      <c r="V275" s="130"/>
      <c r="W275" s="130"/>
      <c r="X275" s="130"/>
      <c r="Y275" s="130"/>
      <c r="Z275" s="130"/>
    </row>
    <row r="276" ht="15.75" customHeight="1">
      <c r="A276" s="105" t="s">
        <v>1133</v>
      </c>
      <c r="B276" s="105" t="s">
        <v>197</v>
      </c>
      <c r="C276" s="106" t="s">
        <v>1134</v>
      </c>
      <c r="D276" s="107" t="s">
        <v>185</v>
      </c>
      <c r="E276" s="106" t="s">
        <v>1102</v>
      </c>
      <c r="F276" s="126">
        <v>340.0</v>
      </c>
      <c r="G276" s="126" t="s">
        <v>723</v>
      </c>
      <c r="H276" s="105" t="s">
        <v>723</v>
      </c>
      <c r="I276" s="106" t="s">
        <v>723</v>
      </c>
      <c r="J276" s="126" t="s">
        <v>85</v>
      </c>
      <c r="K276" s="126" t="s">
        <v>687</v>
      </c>
      <c r="L276" s="126" t="s">
        <v>760</v>
      </c>
      <c r="M276" s="108">
        <v>44041.0</v>
      </c>
      <c r="N276" s="106" t="s">
        <v>692</v>
      </c>
      <c r="O276" s="109" t="s">
        <v>690</v>
      </c>
      <c r="P276" s="126" t="s">
        <v>724</v>
      </c>
      <c r="Q276" s="126" t="s">
        <v>724</v>
      </c>
      <c r="R276" s="130"/>
      <c r="S276" s="130"/>
      <c r="T276" s="130"/>
      <c r="U276" s="130"/>
      <c r="V276" s="130"/>
      <c r="W276" s="130"/>
      <c r="X276" s="130"/>
      <c r="Y276" s="130"/>
      <c r="Z276" s="130"/>
    </row>
    <row r="277" ht="15.75" customHeight="1">
      <c r="A277" s="105" t="s">
        <v>1135</v>
      </c>
      <c r="B277" s="105" t="s">
        <v>197</v>
      </c>
      <c r="C277" s="106" t="s">
        <v>1136</v>
      </c>
      <c r="D277" s="107" t="s">
        <v>185</v>
      </c>
      <c r="E277" s="106" t="s">
        <v>1102</v>
      </c>
      <c r="F277" s="126">
        <v>37.0</v>
      </c>
      <c r="G277" s="126" t="s">
        <v>723</v>
      </c>
      <c r="H277" s="105" t="s">
        <v>723</v>
      </c>
      <c r="I277" s="106" t="s">
        <v>723</v>
      </c>
      <c r="J277" s="126" t="s">
        <v>85</v>
      </c>
      <c r="K277" s="126" t="s">
        <v>687</v>
      </c>
      <c r="L277" s="126" t="s">
        <v>760</v>
      </c>
      <c r="M277" s="108">
        <v>44041.0</v>
      </c>
      <c r="N277" s="106" t="s">
        <v>692</v>
      </c>
      <c r="O277" s="109" t="s">
        <v>690</v>
      </c>
      <c r="P277" s="126" t="s">
        <v>724</v>
      </c>
      <c r="Q277" s="126" t="s">
        <v>724</v>
      </c>
      <c r="R277" s="130"/>
      <c r="S277" s="130"/>
      <c r="T277" s="130"/>
      <c r="U277" s="130"/>
      <c r="V277" s="130"/>
      <c r="W277" s="130"/>
      <c r="X277" s="130"/>
      <c r="Y277" s="130"/>
      <c r="Z277" s="130"/>
    </row>
    <row r="278" ht="15.75" customHeight="1">
      <c r="A278" s="105" t="s">
        <v>1137</v>
      </c>
      <c r="B278" s="105" t="s">
        <v>197</v>
      </c>
      <c r="C278" s="106" t="s">
        <v>1138</v>
      </c>
      <c r="D278" s="107" t="s">
        <v>185</v>
      </c>
      <c r="E278" s="106" t="s">
        <v>1102</v>
      </c>
      <c r="F278" s="126">
        <v>73.0</v>
      </c>
      <c r="G278" s="126" t="s">
        <v>723</v>
      </c>
      <c r="H278" s="105" t="s">
        <v>723</v>
      </c>
      <c r="I278" s="106" t="s">
        <v>723</v>
      </c>
      <c r="J278" s="126" t="s">
        <v>85</v>
      </c>
      <c r="K278" s="126" t="s">
        <v>687</v>
      </c>
      <c r="L278" s="126" t="s">
        <v>760</v>
      </c>
      <c r="M278" s="108">
        <v>44041.0</v>
      </c>
      <c r="N278" s="106" t="s">
        <v>692</v>
      </c>
      <c r="O278" s="109" t="s">
        <v>690</v>
      </c>
      <c r="P278" s="126" t="s">
        <v>724</v>
      </c>
      <c r="Q278" s="126" t="s">
        <v>724</v>
      </c>
      <c r="R278" s="130"/>
      <c r="S278" s="130"/>
      <c r="T278" s="130"/>
      <c r="U278" s="130"/>
      <c r="V278" s="130"/>
      <c r="W278" s="130"/>
      <c r="X278" s="130"/>
      <c r="Y278" s="130"/>
      <c r="Z278" s="130"/>
    </row>
    <row r="279" ht="15.75" customHeight="1">
      <c r="A279" s="105" t="s">
        <v>1139</v>
      </c>
      <c r="B279" s="105" t="s">
        <v>197</v>
      </c>
      <c r="C279" s="106" t="s">
        <v>1140</v>
      </c>
      <c r="D279" s="107" t="s">
        <v>185</v>
      </c>
      <c r="E279" s="106" t="s">
        <v>1115</v>
      </c>
      <c r="F279" s="126">
        <v>1.0</v>
      </c>
      <c r="G279" s="126" t="s">
        <v>394</v>
      </c>
      <c r="H279" s="126" t="s">
        <v>394</v>
      </c>
      <c r="I279" s="126" t="s">
        <v>394</v>
      </c>
      <c r="J279" s="126" t="s">
        <v>85</v>
      </c>
      <c r="K279" s="126" t="s">
        <v>687</v>
      </c>
      <c r="L279" s="126" t="s">
        <v>760</v>
      </c>
      <c r="M279" s="108">
        <v>44041.0</v>
      </c>
      <c r="N279" s="106" t="s">
        <v>735</v>
      </c>
      <c r="O279" s="131"/>
      <c r="P279" s="126" t="s">
        <v>761</v>
      </c>
      <c r="Q279" s="126" t="s">
        <v>761</v>
      </c>
      <c r="R279" s="130"/>
      <c r="S279" s="130"/>
      <c r="T279" s="130"/>
      <c r="U279" s="130"/>
      <c r="V279" s="130"/>
      <c r="W279" s="130"/>
      <c r="X279" s="130"/>
      <c r="Y279" s="130"/>
      <c r="Z279" s="130"/>
    </row>
    <row r="280" ht="15.75" customHeight="1">
      <c r="A280" s="105" t="s">
        <v>1141</v>
      </c>
      <c r="B280" s="105" t="s">
        <v>197</v>
      </c>
      <c r="C280" s="106" t="s">
        <v>1142</v>
      </c>
      <c r="D280" s="107" t="s">
        <v>185</v>
      </c>
      <c r="E280" s="106" t="s">
        <v>1115</v>
      </c>
      <c r="F280" s="126">
        <v>4.0</v>
      </c>
      <c r="G280" s="126" t="s">
        <v>394</v>
      </c>
      <c r="H280" s="126" t="s">
        <v>394</v>
      </c>
      <c r="I280" s="126" t="s">
        <v>394</v>
      </c>
      <c r="J280" s="126" t="s">
        <v>85</v>
      </c>
      <c r="K280" s="126" t="s">
        <v>687</v>
      </c>
      <c r="L280" s="126" t="s">
        <v>760</v>
      </c>
      <c r="M280" s="108">
        <v>44041.0</v>
      </c>
      <c r="N280" s="106" t="s">
        <v>735</v>
      </c>
      <c r="O280" s="131"/>
      <c r="P280" s="126" t="s">
        <v>761</v>
      </c>
      <c r="Q280" s="126" t="s">
        <v>761</v>
      </c>
      <c r="R280" s="130"/>
      <c r="S280" s="130"/>
      <c r="T280" s="130"/>
      <c r="U280" s="130"/>
      <c r="V280" s="130"/>
      <c r="W280" s="130"/>
      <c r="X280" s="130"/>
      <c r="Y280" s="130"/>
      <c r="Z280" s="130"/>
    </row>
    <row r="281" ht="15.75" customHeight="1">
      <c r="A281" s="105" t="s">
        <v>1143</v>
      </c>
      <c r="B281" s="105" t="s">
        <v>197</v>
      </c>
      <c r="C281" s="106" t="s">
        <v>1144</v>
      </c>
      <c r="D281" s="107" t="s">
        <v>185</v>
      </c>
      <c r="E281" s="106" t="s">
        <v>1115</v>
      </c>
      <c r="F281" s="126">
        <v>6.0</v>
      </c>
      <c r="G281" s="126" t="s">
        <v>394</v>
      </c>
      <c r="H281" s="126" t="s">
        <v>394</v>
      </c>
      <c r="I281" s="126" t="s">
        <v>394</v>
      </c>
      <c r="J281" s="126" t="s">
        <v>85</v>
      </c>
      <c r="K281" s="126" t="s">
        <v>687</v>
      </c>
      <c r="L281" s="126" t="s">
        <v>760</v>
      </c>
      <c r="M281" s="108">
        <v>44041.0</v>
      </c>
      <c r="N281" s="106" t="s">
        <v>692</v>
      </c>
      <c r="O281" s="109" t="s">
        <v>690</v>
      </c>
      <c r="P281" s="126" t="s">
        <v>761</v>
      </c>
      <c r="Q281" s="126" t="s">
        <v>761</v>
      </c>
      <c r="R281" s="130"/>
      <c r="S281" s="130"/>
      <c r="T281" s="130"/>
      <c r="U281" s="130"/>
      <c r="V281" s="130"/>
      <c r="W281" s="130"/>
      <c r="X281" s="130"/>
      <c r="Y281" s="130"/>
      <c r="Z281" s="130"/>
    </row>
    <row r="282" ht="15.75" customHeight="1">
      <c r="A282" s="105" t="s">
        <v>1145</v>
      </c>
      <c r="B282" s="105" t="s">
        <v>58</v>
      </c>
      <c r="C282" s="106" t="s">
        <v>1146</v>
      </c>
      <c r="D282" s="107" t="s">
        <v>185</v>
      </c>
      <c r="E282" s="106" t="s">
        <v>1102</v>
      </c>
      <c r="F282" s="126">
        <v>20.25</v>
      </c>
      <c r="G282" s="126" t="s">
        <v>394</v>
      </c>
      <c r="H282" s="126" t="s">
        <v>394</v>
      </c>
      <c r="I282" s="126" t="s">
        <v>394</v>
      </c>
      <c r="J282" s="126" t="s">
        <v>85</v>
      </c>
      <c r="K282" s="126" t="s">
        <v>749</v>
      </c>
      <c r="L282" s="126" t="s">
        <v>749</v>
      </c>
      <c r="M282" s="108">
        <v>43983.0</v>
      </c>
      <c r="N282" s="106" t="s">
        <v>701</v>
      </c>
      <c r="O282" s="131"/>
      <c r="P282" s="126" t="s">
        <v>750</v>
      </c>
      <c r="Q282" s="126" t="s">
        <v>750</v>
      </c>
      <c r="R282" s="130"/>
      <c r="S282" s="130"/>
      <c r="T282" s="130"/>
      <c r="U282" s="130"/>
      <c r="V282" s="130"/>
      <c r="W282" s="130"/>
      <c r="X282" s="130"/>
      <c r="Y282" s="130"/>
      <c r="Z282" s="130"/>
    </row>
    <row r="283" ht="15.75" customHeight="1">
      <c r="A283" s="105" t="s">
        <v>1147</v>
      </c>
      <c r="B283" s="105" t="s">
        <v>58</v>
      </c>
      <c r="C283" s="106" t="s">
        <v>1148</v>
      </c>
      <c r="D283" s="107" t="s">
        <v>185</v>
      </c>
      <c r="E283" s="106" t="s">
        <v>1102</v>
      </c>
      <c r="F283" s="126">
        <v>20.25</v>
      </c>
      <c r="G283" s="126" t="s">
        <v>394</v>
      </c>
      <c r="H283" s="126" t="s">
        <v>394</v>
      </c>
      <c r="I283" s="126" t="s">
        <v>394</v>
      </c>
      <c r="J283" s="126" t="s">
        <v>85</v>
      </c>
      <c r="K283" s="126" t="s">
        <v>749</v>
      </c>
      <c r="L283" s="126" t="s">
        <v>749</v>
      </c>
      <c r="M283" s="108">
        <v>43983.0</v>
      </c>
      <c r="N283" s="106" t="s">
        <v>701</v>
      </c>
      <c r="O283" s="131"/>
      <c r="P283" s="126" t="s">
        <v>750</v>
      </c>
      <c r="Q283" s="126" t="s">
        <v>750</v>
      </c>
      <c r="R283" s="130"/>
      <c r="S283" s="130"/>
      <c r="T283" s="130"/>
      <c r="U283" s="130"/>
      <c r="V283" s="130"/>
      <c r="W283" s="130"/>
      <c r="X283" s="130"/>
      <c r="Y283" s="130"/>
      <c r="Z283" s="130"/>
    </row>
    <row r="284" ht="15.75" customHeight="1">
      <c r="A284" s="105" t="s">
        <v>1149</v>
      </c>
      <c r="B284" s="105" t="s">
        <v>58</v>
      </c>
      <c r="C284" s="106" t="s">
        <v>1150</v>
      </c>
      <c r="D284" s="107" t="s">
        <v>185</v>
      </c>
      <c r="E284" s="106" t="s">
        <v>1102</v>
      </c>
      <c r="F284" s="126">
        <v>20.25</v>
      </c>
      <c r="G284" s="126" t="s">
        <v>394</v>
      </c>
      <c r="H284" s="126" t="s">
        <v>394</v>
      </c>
      <c r="I284" s="126" t="s">
        <v>394</v>
      </c>
      <c r="J284" s="126" t="s">
        <v>85</v>
      </c>
      <c r="K284" s="126" t="s">
        <v>749</v>
      </c>
      <c r="L284" s="126" t="s">
        <v>749</v>
      </c>
      <c r="M284" s="108">
        <v>43983.0</v>
      </c>
      <c r="N284" s="106" t="s">
        <v>701</v>
      </c>
      <c r="O284" s="131"/>
      <c r="P284" s="126" t="s">
        <v>750</v>
      </c>
      <c r="Q284" s="126" t="s">
        <v>750</v>
      </c>
      <c r="R284" s="130"/>
      <c r="S284" s="130"/>
      <c r="T284" s="130"/>
      <c r="U284" s="130"/>
      <c r="V284" s="130"/>
      <c r="W284" s="130"/>
      <c r="X284" s="130"/>
      <c r="Y284" s="130"/>
      <c r="Z284" s="130"/>
    </row>
    <row r="285" ht="15.75" customHeight="1">
      <c r="A285" s="105" t="s">
        <v>1151</v>
      </c>
      <c r="B285" s="105" t="s">
        <v>197</v>
      </c>
      <c r="C285" s="106" t="s">
        <v>1152</v>
      </c>
      <c r="D285" s="107" t="s">
        <v>135</v>
      </c>
      <c r="E285" s="106" t="s">
        <v>1102</v>
      </c>
      <c r="F285" s="126">
        <v>66.78</v>
      </c>
      <c r="G285" s="126" t="s">
        <v>136</v>
      </c>
      <c r="H285" s="126" t="s">
        <v>136</v>
      </c>
      <c r="I285" s="126" t="s">
        <v>835</v>
      </c>
      <c r="J285" s="117" t="s">
        <v>85</v>
      </c>
      <c r="K285" s="126" t="s">
        <v>749</v>
      </c>
      <c r="L285" s="126" t="s">
        <v>1153</v>
      </c>
      <c r="M285" s="108">
        <v>43983.0</v>
      </c>
      <c r="N285" s="106" t="s">
        <v>692</v>
      </c>
      <c r="O285" s="131"/>
      <c r="P285" s="126" t="s">
        <v>721</v>
      </c>
      <c r="Q285" s="126" t="s">
        <v>721</v>
      </c>
      <c r="R285" s="130"/>
      <c r="S285" s="130"/>
      <c r="T285" s="130"/>
      <c r="U285" s="130"/>
      <c r="V285" s="130"/>
      <c r="W285" s="130"/>
      <c r="X285" s="130"/>
      <c r="Y285" s="130"/>
      <c r="Z285" s="130"/>
    </row>
    <row r="286" ht="15.75" customHeight="1">
      <c r="A286" s="105" t="s">
        <v>1154</v>
      </c>
      <c r="B286" s="105" t="s">
        <v>197</v>
      </c>
      <c r="C286" s="106" t="s">
        <v>1155</v>
      </c>
      <c r="D286" s="107" t="s">
        <v>185</v>
      </c>
      <c r="E286" s="106" t="s">
        <v>1115</v>
      </c>
      <c r="F286" s="126">
        <v>289.0</v>
      </c>
      <c r="G286" s="126" t="s">
        <v>723</v>
      </c>
      <c r="H286" s="126" t="s">
        <v>91</v>
      </c>
      <c r="I286" s="106" t="s">
        <v>723</v>
      </c>
      <c r="J286" s="117" t="s">
        <v>85</v>
      </c>
      <c r="K286" s="126" t="s">
        <v>687</v>
      </c>
      <c r="L286" s="126" t="s">
        <v>688</v>
      </c>
      <c r="M286" s="108">
        <v>44041.0</v>
      </c>
      <c r="N286" s="106" t="s">
        <v>692</v>
      </c>
      <c r="O286" s="109" t="s">
        <v>690</v>
      </c>
      <c r="P286" s="126" t="s">
        <v>724</v>
      </c>
      <c r="Q286" s="126" t="s">
        <v>724</v>
      </c>
      <c r="R286" s="130"/>
      <c r="S286" s="130"/>
      <c r="T286" s="130"/>
      <c r="U286" s="130"/>
      <c r="V286" s="130"/>
      <c r="W286" s="130"/>
      <c r="X286" s="130"/>
      <c r="Y286" s="130"/>
      <c r="Z286" s="130"/>
    </row>
    <row r="287" ht="15.75" customHeight="1">
      <c r="A287" s="105" t="s">
        <v>1156</v>
      </c>
      <c r="B287" s="105" t="s">
        <v>52</v>
      </c>
      <c r="C287" s="106" t="s">
        <v>1157</v>
      </c>
      <c r="D287" s="107" t="s">
        <v>185</v>
      </c>
      <c r="E287" s="106" t="s">
        <v>698</v>
      </c>
      <c r="F287" s="115">
        <v>43971.333333333336</v>
      </c>
      <c r="G287" s="126" t="s">
        <v>723</v>
      </c>
      <c r="H287" s="126" t="s">
        <v>723</v>
      </c>
      <c r="I287" s="126" t="s">
        <v>723</v>
      </c>
      <c r="J287" s="117" t="s">
        <v>85</v>
      </c>
      <c r="K287" s="126" t="s">
        <v>687</v>
      </c>
      <c r="L287" s="126" t="s">
        <v>688</v>
      </c>
      <c r="M287" s="108">
        <v>44042.0</v>
      </c>
      <c r="N287" s="106" t="s">
        <v>735</v>
      </c>
      <c r="O287" s="116" t="s">
        <v>736</v>
      </c>
      <c r="P287" s="126" t="s">
        <v>721</v>
      </c>
      <c r="Q287" s="126" t="s">
        <v>721</v>
      </c>
      <c r="R287" s="130"/>
      <c r="S287" s="130"/>
      <c r="T287" s="130"/>
      <c r="U287" s="130"/>
      <c r="V287" s="130"/>
      <c r="W287" s="130"/>
      <c r="X287" s="130"/>
      <c r="Y287" s="130"/>
      <c r="Z287" s="130"/>
    </row>
    <row r="288" ht="15.75" customHeight="1">
      <c r="A288" s="105" t="s">
        <v>1158</v>
      </c>
      <c r="B288" s="105" t="s">
        <v>52</v>
      </c>
      <c r="C288" s="106" t="s">
        <v>1159</v>
      </c>
      <c r="D288" s="107" t="s">
        <v>185</v>
      </c>
      <c r="E288" s="106" t="s">
        <v>1102</v>
      </c>
      <c r="F288" s="126">
        <v>33.5</v>
      </c>
      <c r="G288" s="126" t="s">
        <v>723</v>
      </c>
      <c r="H288" s="126" t="s">
        <v>723</v>
      </c>
      <c r="I288" s="126" t="s">
        <v>723</v>
      </c>
      <c r="J288" s="117" t="s">
        <v>85</v>
      </c>
      <c r="K288" s="126" t="s">
        <v>687</v>
      </c>
      <c r="L288" s="126" t="s">
        <v>688</v>
      </c>
      <c r="M288" s="108">
        <v>44042.0</v>
      </c>
      <c r="N288" s="106" t="s">
        <v>735</v>
      </c>
      <c r="O288" s="116" t="s">
        <v>736</v>
      </c>
      <c r="P288" s="126" t="s">
        <v>721</v>
      </c>
      <c r="Q288" s="126" t="s">
        <v>721</v>
      </c>
      <c r="R288" s="130"/>
      <c r="S288" s="130"/>
      <c r="T288" s="130"/>
      <c r="U288" s="130"/>
      <c r="V288" s="130"/>
      <c r="W288" s="130"/>
      <c r="X288" s="130"/>
      <c r="Y288" s="130"/>
      <c r="Z288" s="130"/>
    </row>
    <row r="289" ht="15.75" customHeight="1">
      <c r="A289" s="105" t="s">
        <v>1160</v>
      </c>
      <c r="B289" s="105" t="s">
        <v>52</v>
      </c>
      <c r="C289" s="106" t="s">
        <v>1161</v>
      </c>
      <c r="D289" s="107" t="s">
        <v>185</v>
      </c>
      <c r="E289" s="106" t="s">
        <v>698</v>
      </c>
      <c r="F289" s="115">
        <v>43971.333333333336</v>
      </c>
      <c r="G289" s="126" t="s">
        <v>723</v>
      </c>
      <c r="H289" s="126" t="s">
        <v>723</v>
      </c>
      <c r="I289" s="126" t="s">
        <v>723</v>
      </c>
      <c r="J289" s="117" t="s">
        <v>85</v>
      </c>
      <c r="K289" s="126" t="s">
        <v>687</v>
      </c>
      <c r="L289" s="126" t="s">
        <v>688</v>
      </c>
      <c r="M289" s="108">
        <v>44042.0</v>
      </c>
      <c r="N289" s="106" t="s">
        <v>735</v>
      </c>
      <c r="O289" s="116" t="s">
        <v>736</v>
      </c>
      <c r="P289" s="126" t="s">
        <v>721</v>
      </c>
      <c r="Q289" s="126" t="s">
        <v>721</v>
      </c>
      <c r="R289" s="130"/>
      <c r="S289" s="130"/>
      <c r="T289" s="130"/>
      <c r="U289" s="130"/>
      <c r="V289" s="130"/>
      <c r="W289" s="130"/>
      <c r="X289" s="130"/>
      <c r="Y289" s="130"/>
      <c r="Z289" s="130"/>
    </row>
    <row r="290" ht="15.75" customHeight="1">
      <c r="A290" s="105" t="s">
        <v>1162</v>
      </c>
      <c r="B290" s="105" t="s">
        <v>52</v>
      </c>
      <c r="C290" s="106" t="s">
        <v>1163</v>
      </c>
      <c r="D290" s="107" t="s">
        <v>185</v>
      </c>
      <c r="E290" s="106" t="s">
        <v>1102</v>
      </c>
      <c r="F290" s="126">
        <v>33.5</v>
      </c>
      <c r="G290" s="126" t="s">
        <v>723</v>
      </c>
      <c r="H290" s="126" t="s">
        <v>723</v>
      </c>
      <c r="I290" s="126" t="s">
        <v>723</v>
      </c>
      <c r="J290" s="117" t="s">
        <v>85</v>
      </c>
      <c r="K290" s="126" t="s">
        <v>687</v>
      </c>
      <c r="L290" s="126" t="s">
        <v>688</v>
      </c>
      <c r="M290" s="108">
        <v>44042.0</v>
      </c>
      <c r="N290" s="106" t="s">
        <v>735</v>
      </c>
      <c r="O290" s="116" t="s">
        <v>736</v>
      </c>
      <c r="P290" s="126" t="s">
        <v>721</v>
      </c>
      <c r="Q290" s="126" t="s">
        <v>721</v>
      </c>
      <c r="R290" s="130"/>
      <c r="S290" s="130"/>
      <c r="T290" s="130"/>
      <c r="U290" s="130"/>
      <c r="V290" s="130"/>
      <c r="W290" s="130"/>
      <c r="X290" s="130"/>
      <c r="Y290" s="130"/>
      <c r="Z290" s="130"/>
    </row>
    <row r="291" ht="15.75" customHeight="1">
      <c r="A291" s="105" t="s">
        <v>1164</v>
      </c>
      <c r="B291" s="105" t="s">
        <v>52</v>
      </c>
      <c r="C291" s="106" t="s">
        <v>1165</v>
      </c>
      <c r="D291" s="107" t="s">
        <v>185</v>
      </c>
      <c r="E291" s="106" t="s">
        <v>1115</v>
      </c>
      <c r="F291" s="126">
        <v>12.0</v>
      </c>
      <c r="G291" s="126" t="s">
        <v>723</v>
      </c>
      <c r="H291" s="126" t="s">
        <v>723</v>
      </c>
      <c r="I291" s="126" t="s">
        <v>723</v>
      </c>
      <c r="J291" s="117" t="s">
        <v>85</v>
      </c>
      <c r="K291" s="126" t="s">
        <v>687</v>
      </c>
      <c r="L291" s="126" t="s">
        <v>688</v>
      </c>
      <c r="M291" s="108">
        <v>44042.0</v>
      </c>
      <c r="N291" s="106" t="s">
        <v>735</v>
      </c>
      <c r="O291" s="116" t="s">
        <v>736</v>
      </c>
      <c r="P291" s="126" t="s">
        <v>721</v>
      </c>
      <c r="Q291" s="126" t="s">
        <v>721</v>
      </c>
      <c r="R291" s="130"/>
      <c r="S291" s="130"/>
      <c r="T291" s="130"/>
      <c r="U291" s="130"/>
      <c r="V291" s="130"/>
      <c r="W291" s="130"/>
      <c r="X291" s="130"/>
      <c r="Y291" s="130"/>
      <c r="Z291" s="130"/>
    </row>
    <row r="292" ht="15.75" customHeight="1">
      <c r="A292" s="105" t="s">
        <v>1166</v>
      </c>
      <c r="B292" s="105" t="s">
        <v>52</v>
      </c>
      <c r="C292" s="106" t="s">
        <v>1167</v>
      </c>
      <c r="D292" s="107" t="s">
        <v>185</v>
      </c>
      <c r="E292" s="106" t="s">
        <v>1102</v>
      </c>
      <c r="F292" s="126">
        <v>33.5</v>
      </c>
      <c r="G292" s="126" t="s">
        <v>723</v>
      </c>
      <c r="H292" s="126" t="s">
        <v>723</v>
      </c>
      <c r="I292" s="126" t="s">
        <v>723</v>
      </c>
      <c r="J292" s="117" t="s">
        <v>85</v>
      </c>
      <c r="K292" s="126" t="s">
        <v>687</v>
      </c>
      <c r="L292" s="126" t="s">
        <v>688</v>
      </c>
      <c r="M292" s="108">
        <v>44042.0</v>
      </c>
      <c r="N292" s="106" t="s">
        <v>735</v>
      </c>
      <c r="O292" s="116" t="s">
        <v>736</v>
      </c>
      <c r="P292" s="126" t="s">
        <v>721</v>
      </c>
      <c r="Q292" s="126" t="s">
        <v>721</v>
      </c>
      <c r="R292" s="130"/>
      <c r="S292" s="130"/>
      <c r="T292" s="130"/>
      <c r="U292" s="130"/>
      <c r="V292" s="130"/>
      <c r="W292" s="130"/>
      <c r="X292" s="130"/>
      <c r="Y292" s="130"/>
      <c r="Z292" s="130"/>
    </row>
    <row r="293" ht="15.75" customHeight="1">
      <c r="A293" s="105" t="s">
        <v>1168</v>
      </c>
      <c r="B293" s="105" t="s">
        <v>52</v>
      </c>
      <c r="C293" s="106" t="s">
        <v>1169</v>
      </c>
      <c r="D293" s="107" t="s">
        <v>185</v>
      </c>
      <c r="E293" s="106" t="s">
        <v>1102</v>
      </c>
      <c r="F293" s="126">
        <v>33.5</v>
      </c>
      <c r="G293" s="126" t="s">
        <v>723</v>
      </c>
      <c r="H293" s="126" t="s">
        <v>723</v>
      </c>
      <c r="I293" s="126" t="s">
        <v>723</v>
      </c>
      <c r="J293" s="117" t="s">
        <v>85</v>
      </c>
      <c r="K293" s="126" t="s">
        <v>687</v>
      </c>
      <c r="L293" s="126" t="s">
        <v>688</v>
      </c>
      <c r="M293" s="108">
        <v>44042.0</v>
      </c>
      <c r="N293" s="106" t="s">
        <v>735</v>
      </c>
      <c r="O293" s="116" t="s">
        <v>736</v>
      </c>
      <c r="P293" s="126" t="s">
        <v>721</v>
      </c>
      <c r="Q293" s="126" t="s">
        <v>721</v>
      </c>
      <c r="R293" s="130"/>
      <c r="S293" s="130"/>
      <c r="T293" s="130"/>
      <c r="U293" s="130"/>
      <c r="V293" s="130"/>
      <c r="W293" s="130"/>
      <c r="X293" s="130"/>
      <c r="Y293" s="130"/>
      <c r="Z293" s="130"/>
    </row>
    <row r="294" ht="15.75" customHeight="1">
      <c r="A294" s="105" t="s">
        <v>1170</v>
      </c>
      <c r="B294" s="105" t="s">
        <v>52</v>
      </c>
      <c r="C294" s="106" t="s">
        <v>1171</v>
      </c>
      <c r="D294" s="107" t="s">
        <v>185</v>
      </c>
      <c r="E294" s="106" t="s">
        <v>698</v>
      </c>
      <c r="F294" s="115">
        <v>43971.333333333336</v>
      </c>
      <c r="G294" s="126" t="s">
        <v>723</v>
      </c>
      <c r="H294" s="126" t="s">
        <v>723</v>
      </c>
      <c r="I294" s="126" t="s">
        <v>723</v>
      </c>
      <c r="J294" s="117" t="s">
        <v>85</v>
      </c>
      <c r="K294" s="126" t="s">
        <v>687</v>
      </c>
      <c r="L294" s="126" t="s">
        <v>688</v>
      </c>
      <c r="M294" s="108">
        <v>44042.0</v>
      </c>
      <c r="N294" s="106" t="s">
        <v>735</v>
      </c>
      <c r="O294" s="116" t="s">
        <v>736</v>
      </c>
      <c r="P294" s="126" t="s">
        <v>721</v>
      </c>
      <c r="Q294" s="126" t="s">
        <v>721</v>
      </c>
      <c r="R294" s="130"/>
      <c r="S294" s="130"/>
      <c r="T294" s="130"/>
      <c r="U294" s="130"/>
      <c r="V294" s="130"/>
      <c r="W294" s="130"/>
      <c r="X294" s="130"/>
      <c r="Y294" s="130"/>
      <c r="Z294" s="130"/>
    </row>
    <row r="295" ht="15.75" customHeight="1">
      <c r="A295" s="105" t="s">
        <v>1172</v>
      </c>
      <c r="B295" s="105" t="s">
        <v>52</v>
      </c>
      <c r="C295" s="106" t="s">
        <v>1173</v>
      </c>
      <c r="D295" s="107" t="s">
        <v>185</v>
      </c>
      <c r="E295" s="106" t="s">
        <v>698</v>
      </c>
      <c r="F295" s="115">
        <v>43971.333333333336</v>
      </c>
      <c r="G295" s="126" t="s">
        <v>723</v>
      </c>
      <c r="H295" s="126" t="s">
        <v>723</v>
      </c>
      <c r="I295" s="126" t="s">
        <v>723</v>
      </c>
      <c r="J295" s="117" t="s">
        <v>85</v>
      </c>
      <c r="K295" s="126" t="s">
        <v>687</v>
      </c>
      <c r="L295" s="126" t="s">
        <v>688</v>
      </c>
      <c r="M295" s="108">
        <v>44042.0</v>
      </c>
      <c r="N295" s="106" t="s">
        <v>735</v>
      </c>
      <c r="O295" s="116" t="s">
        <v>736</v>
      </c>
      <c r="P295" s="126" t="s">
        <v>721</v>
      </c>
      <c r="Q295" s="126" t="s">
        <v>721</v>
      </c>
      <c r="R295" s="130"/>
      <c r="S295" s="130"/>
      <c r="T295" s="130"/>
      <c r="U295" s="130"/>
      <c r="V295" s="130"/>
      <c r="W295" s="130"/>
      <c r="X295" s="130"/>
      <c r="Y295" s="130"/>
      <c r="Z295" s="130"/>
    </row>
    <row r="296" ht="15.75" customHeight="1">
      <c r="A296" s="105" t="s">
        <v>1174</v>
      </c>
      <c r="B296" s="105" t="s">
        <v>52</v>
      </c>
      <c r="C296" s="106" t="s">
        <v>1175</v>
      </c>
      <c r="D296" s="107" t="s">
        <v>185</v>
      </c>
      <c r="E296" s="106" t="s">
        <v>1102</v>
      </c>
      <c r="F296" s="126">
        <v>33.5</v>
      </c>
      <c r="G296" s="126" t="s">
        <v>723</v>
      </c>
      <c r="H296" s="126" t="s">
        <v>723</v>
      </c>
      <c r="I296" s="126" t="s">
        <v>723</v>
      </c>
      <c r="J296" s="117" t="s">
        <v>85</v>
      </c>
      <c r="K296" s="126" t="s">
        <v>687</v>
      </c>
      <c r="L296" s="126" t="s">
        <v>688</v>
      </c>
      <c r="M296" s="108">
        <v>44042.0</v>
      </c>
      <c r="N296" s="106" t="s">
        <v>735</v>
      </c>
      <c r="O296" s="116" t="s">
        <v>736</v>
      </c>
      <c r="P296" s="126" t="s">
        <v>721</v>
      </c>
      <c r="Q296" s="126" t="s">
        <v>721</v>
      </c>
      <c r="R296" s="130"/>
      <c r="S296" s="130"/>
      <c r="T296" s="130"/>
      <c r="U296" s="130"/>
      <c r="V296" s="130"/>
      <c r="W296" s="130"/>
      <c r="X296" s="130"/>
      <c r="Y296" s="130"/>
      <c r="Z296" s="130"/>
    </row>
    <row r="297" ht="15.75" customHeight="1">
      <c r="A297" s="105" t="s">
        <v>1176</v>
      </c>
      <c r="B297" s="105" t="s">
        <v>52</v>
      </c>
      <c r="C297" s="106" t="s">
        <v>1177</v>
      </c>
      <c r="D297" s="107" t="s">
        <v>185</v>
      </c>
      <c r="E297" s="106" t="s">
        <v>698</v>
      </c>
      <c r="F297" s="115">
        <v>43971.333333333336</v>
      </c>
      <c r="G297" s="126" t="s">
        <v>723</v>
      </c>
      <c r="H297" s="126" t="s">
        <v>723</v>
      </c>
      <c r="I297" s="126" t="s">
        <v>723</v>
      </c>
      <c r="J297" s="117" t="s">
        <v>85</v>
      </c>
      <c r="K297" s="126" t="s">
        <v>687</v>
      </c>
      <c r="L297" s="126" t="s">
        <v>688</v>
      </c>
      <c r="M297" s="108">
        <v>44042.0</v>
      </c>
      <c r="N297" s="106" t="s">
        <v>735</v>
      </c>
      <c r="O297" s="116" t="s">
        <v>736</v>
      </c>
      <c r="P297" s="126" t="s">
        <v>721</v>
      </c>
      <c r="Q297" s="126" t="s">
        <v>721</v>
      </c>
      <c r="R297" s="130"/>
      <c r="S297" s="130"/>
      <c r="T297" s="130"/>
      <c r="U297" s="130"/>
      <c r="V297" s="130"/>
      <c r="W297" s="130"/>
      <c r="X297" s="130"/>
      <c r="Y297" s="130"/>
      <c r="Z297" s="130"/>
    </row>
    <row r="298" ht="15.75" customHeight="1">
      <c r="A298" s="105" t="s">
        <v>1178</v>
      </c>
      <c r="B298" s="105" t="s">
        <v>60</v>
      </c>
      <c r="C298" s="106" t="s">
        <v>1179</v>
      </c>
      <c r="D298" s="107" t="s">
        <v>135</v>
      </c>
      <c r="E298" s="106" t="s">
        <v>720</v>
      </c>
      <c r="F298" s="115" t="b">
        <v>1</v>
      </c>
      <c r="G298" s="126" t="s">
        <v>136</v>
      </c>
      <c r="H298" s="126" t="s">
        <v>1180</v>
      </c>
      <c r="I298" s="126" t="s">
        <v>1180</v>
      </c>
      <c r="J298" s="117" t="s">
        <v>85</v>
      </c>
      <c r="K298" s="126" t="s">
        <v>749</v>
      </c>
      <c r="L298" s="126"/>
      <c r="M298" s="108">
        <v>43983.0</v>
      </c>
      <c r="N298" s="126" t="s">
        <v>701</v>
      </c>
      <c r="O298" s="116"/>
      <c r="P298" s="126" t="s">
        <v>782</v>
      </c>
      <c r="Q298" s="126" t="s">
        <v>782</v>
      </c>
      <c r="R298" s="130"/>
      <c r="S298" s="130"/>
      <c r="T298" s="130"/>
      <c r="U298" s="130"/>
      <c r="V298" s="130"/>
      <c r="W298" s="130"/>
      <c r="X298" s="130"/>
      <c r="Y298" s="130"/>
      <c r="Z298" s="130"/>
    </row>
    <row r="299" ht="15.75" customHeight="1">
      <c r="A299" s="105" t="s">
        <v>1181</v>
      </c>
      <c r="B299" s="105" t="s">
        <v>60</v>
      </c>
      <c r="C299" s="106" t="s">
        <v>1182</v>
      </c>
      <c r="D299" s="107" t="s">
        <v>135</v>
      </c>
      <c r="E299" s="106" t="s">
        <v>1183</v>
      </c>
      <c r="F299" s="126">
        <v>0.435</v>
      </c>
      <c r="G299" s="126" t="s">
        <v>136</v>
      </c>
      <c r="H299" s="126" t="s">
        <v>1180</v>
      </c>
      <c r="I299" s="126" t="s">
        <v>1180</v>
      </c>
      <c r="J299" s="117" t="s">
        <v>85</v>
      </c>
      <c r="K299" s="126" t="s">
        <v>749</v>
      </c>
      <c r="L299" s="126"/>
      <c r="M299" s="108">
        <v>43983.0</v>
      </c>
      <c r="N299" s="126" t="s">
        <v>701</v>
      </c>
      <c r="O299" s="116"/>
      <c r="P299" s="126" t="s">
        <v>782</v>
      </c>
      <c r="Q299" s="126" t="s">
        <v>782</v>
      </c>
      <c r="R299" s="130"/>
      <c r="S299" s="130"/>
      <c r="T299" s="130"/>
      <c r="U299" s="130"/>
      <c r="V299" s="130"/>
      <c r="W299" s="130"/>
      <c r="X299" s="130"/>
      <c r="Y299" s="130"/>
      <c r="Z299" s="130"/>
    </row>
    <row r="300" ht="15.75" customHeight="1">
      <c r="A300" s="105" t="s">
        <v>193</v>
      </c>
      <c r="B300" s="105" t="s">
        <v>696</v>
      </c>
      <c r="C300" s="106" t="s">
        <v>1184</v>
      </c>
      <c r="D300" s="107" t="s">
        <v>185</v>
      </c>
      <c r="E300" s="106" t="s">
        <v>685</v>
      </c>
      <c r="F300" s="126" t="s">
        <v>195</v>
      </c>
      <c r="G300" s="126" t="s">
        <v>686</v>
      </c>
      <c r="H300" s="126" t="s">
        <v>91</v>
      </c>
      <c r="I300" s="126" t="s">
        <v>91</v>
      </c>
      <c r="J300" s="126" t="s">
        <v>85</v>
      </c>
      <c r="K300" s="126" t="s">
        <v>687</v>
      </c>
      <c r="L300" s="126"/>
      <c r="M300" s="108">
        <v>44040.0</v>
      </c>
      <c r="N300" s="106" t="s">
        <v>692</v>
      </c>
      <c r="O300" s="109" t="s">
        <v>690</v>
      </c>
      <c r="P300" s="126" t="s">
        <v>782</v>
      </c>
      <c r="Q300" s="126" t="s">
        <v>782</v>
      </c>
      <c r="R300" s="130"/>
      <c r="S300" s="130"/>
      <c r="T300" s="130"/>
      <c r="U300" s="130"/>
      <c r="V300" s="130"/>
      <c r="W300" s="130"/>
      <c r="X300" s="130"/>
      <c r="Y300" s="130"/>
      <c r="Z300" s="130"/>
    </row>
    <row r="301" ht="15.75" customHeight="1">
      <c r="A301" s="105" t="s">
        <v>1185</v>
      </c>
      <c r="B301" s="105" t="s">
        <v>52</v>
      </c>
      <c r="C301" s="106" t="s">
        <v>1186</v>
      </c>
      <c r="D301" s="107" t="s">
        <v>185</v>
      </c>
      <c r="E301" s="106" t="s">
        <v>1115</v>
      </c>
      <c r="F301" s="126">
        <v>35.0</v>
      </c>
      <c r="G301" s="126" t="s">
        <v>394</v>
      </c>
      <c r="H301" s="126" t="s">
        <v>394</v>
      </c>
      <c r="I301" s="126" t="s">
        <v>394</v>
      </c>
      <c r="J301" s="126" t="s">
        <v>85</v>
      </c>
      <c r="K301" s="126" t="s">
        <v>687</v>
      </c>
      <c r="L301" s="126" t="s">
        <v>688</v>
      </c>
      <c r="M301" s="108">
        <v>44042.0</v>
      </c>
      <c r="N301" s="126" t="s">
        <v>735</v>
      </c>
      <c r="O301" s="131"/>
      <c r="P301" s="126" t="s">
        <v>761</v>
      </c>
      <c r="Q301" s="126" t="s">
        <v>761</v>
      </c>
      <c r="R301" s="132"/>
      <c r="S301" s="132"/>
      <c r="T301" s="132"/>
      <c r="U301" s="132"/>
      <c r="V301" s="132"/>
      <c r="W301" s="132"/>
      <c r="X301" s="132"/>
      <c r="Y301" s="132"/>
      <c r="Z301" s="132"/>
    </row>
    <row r="302" ht="15.75" customHeight="1">
      <c r="A302" s="105" t="s">
        <v>1187</v>
      </c>
      <c r="B302" s="105" t="s">
        <v>52</v>
      </c>
      <c r="C302" s="106" t="s">
        <v>1188</v>
      </c>
      <c r="D302" s="107" t="s">
        <v>185</v>
      </c>
      <c r="E302" s="106" t="s">
        <v>1102</v>
      </c>
      <c r="F302" s="126">
        <v>23.56</v>
      </c>
      <c r="G302" s="126" t="s">
        <v>394</v>
      </c>
      <c r="H302" s="126" t="s">
        <v>394</v>
      </c>
      <c r="I302" s="126" t="s">
        <v>394</v>
      </c>
      <c r="J302" s="126" t="s">
        <v>85</v>
      </c>
      <c r="K302" s="126" t="s">
        <v>687</v>
      </c>
      <c r="L302" s="126" t="s">
        <v>688</v>
      </c>
      <c r="M302" s="108">
        <v>44042.0</v>
      </c>
      <c r="N302" s="126" t="s">
        <v>735</v>
      </c>
      <c r="O302" s="131"/>
      <c r="P302" s="126" t="s">
        <v>761</v>
      </c>
      <c r="Q302" s="126" t="s">
        <v>761</v>
      </c>
      <c r="R302" s="132"/>
      <c r="S302" s="132"/>
      <c r="T302" s="132"/>
      <c r="U302" s="132"/>
      <c r="V302" s="132"/>
      <c r="W302" s="132"/>
      <c r="X302" s="132"/>
      <c r="Y302" s="132"/>
      <c r="Z302" s="132"/>
    </row>
    <row r="303" ht="15.75" customHeight="1">
      <c r="A303" s="105" t="s">
        <v>1189</v>
      </c>
      <c r="B303" s="105" t="s">
        <v>52</v>
      </c>
      <c r="C303" s="106" t="s">
        <v>1190</v>
      </c>
      <c r="D303" s="107" t="s">
        <v>185</v>
      </c>
      <c r="E303" s="106" t="s">
        <v>1191</v>
      </c>
      <c r="F303" s="115">
        <v>43967.333333333336</v>
      </c>
      <c r="G303" s="126" t="s">
        <v>723</v>
      </c>
      <c r="H303" s="126" t="s">
        <v>723</v>
      </c>
      <c r="I303" s="126" t="s">
        <v>723</v>
      </c>
      <c r="J303" s="126" t="s">
        <v>85</v>
      </c>
      <c r="K303" s="126" t="s">
        <v>687</v>
      </c>
      <c r="L303" s="126" t="s">
        <v>760</v>
      </c>
      <c r="M303" s="108">
        <v>44042.0</v>
      </c>
      <c r="N303" s="126" t="s">
        <v>735</v>
      </c>
      <c r="O303" s="131"/>
      <c r="P303" s="126" t="s">
        <v>721</v>
      </c>
      <c r="Q303" s="126" t="s">
        <v>721</v>
      </c>
      <c r="R303" s="132"/>
      <c r="S303" s="132"/>
      <c r="T303" s="132"/>
      <c r="U303" s="132"/>
      <c r="V303" s="132"/>
      <c r="W303" s="132"/>
      <c r="X303" s="132"/>
      <c r="Y303" s="132"/>
      <c r="Z303" s="132"/>
    </row>
    <row r="304" ht="15.75" customHeight="1">
      <c r="A304" s="105" t="s">
        <v>1192</v>
      </c>
      <c r="B304" s="105" t="s">
        <v>197</v>
      </c>
      <c r="C304" s="106" t="s">
        <v>1193</v>
      </c>
      <c r="D304" s="107" t="s">
        <v>185</v>
      </c>
      <c r="E304" s="106" t="s">
        <v>685</v>
      </c>
      <c r="F304" s="126" t="s">
        <v>1194</v>
      </c>
      <c r="G304" s="126" t="s">
        <v>723</v>
      </c>
      <c r="H304" s="126" t="s">
        <v>723</v>
      </c>
      <c r="I304" s="126" t="s">
        <v>723</v>
      </c>
      <c r="J304" s="126" t="s">
        <v>85</v>
      </c>
      <c r="K304" s="126" t="s">
        <v>687</v>
      </c>
      <c r="L304" s="126" t="s">
        <v>688</v>
      </c>
      <c r="M304" s="108">
        <v>44042.0</v>
      </c>
      <c r="N304" s="126" t="s">
        <v>741</v>
      </c>
      <c r="O304" s="131"/>
      <c r="P304" s="126" t="s">
        <v>745</v>
      </c>
      <c r="Q304" s="126" t="s">
        <v>745</v>
      </c>
      <c r="R304" s="132"/>
      <c r="S304" s="132"/>
      <c r="T304" s="132"/>
      <c r="U304" s="132"/>
      <c r="V304" s="132"/>
      <c r="W304" s="132"/>
      <c r="X304" s="132"/>
      <c r="Y304" s="132"/>
      <c r="Z304" s="132"/>
    </row>
    <row r="305" ht="15.75" customHeight="1">
      <c r="A305" s="105" t="s">
        <v>1195</v>
      </c>
      <c r="B305" s="105" t="s">
        <v>197</v>
      </c>
      <c r="C305" s="106" t="s">
        <v>1196</v>
      </c>
      <c r="D305" s="107" t="s">
        <v>185</v>
      </c>
      <c r="E305" s="106" t="s">
        <v>1115</v>
      </c>
      <c r="F305" s="126">
        <v>35.0</v>
      </c>
      <c r="G305" s="126" t="s">
        <v>723</v>
      </c>
      <c r="H305" s="126" t="s">
        <v>723</v>
      </c>
      <c r="I305" s="126" t="s">
        <v>723</v>
      </c>
      <c r="J305" s="126" t="s">
        <v>85</v>
      </c>
      <c r="K305" s="126" t="s">
        <v>687</v>
      </c>
      <c r="L305" s="126" t="s">
        <v>688</v>
      </c>
      <c r="M305" s="108">
        <v>44042.0</v>
      </c>
      <c r="N305" s="126" t="s">
        <v>741</v>
      </c>
      <c r="O305" s="131"/>
      <c r="P305" s="126" t="s">
        <v>745</v>
      </c>
      <c r="Q305" s="126" t="s">
        <v>745</v>
      </c>
      <c r="R305" s="132"/>
      <c r="S305" s="132"/>
      <c r="T305" s="132"/>
      <c r="U305" s="132"/>
      <c r="V305" s="132"/>
      <c r="W305" s="132"/>
      <c r="X305" s="132"/>
      <c r="Y305" s="132"/>
      <c r="Z305" s="132"/>
    </row>
    <row r="306" ht="15.75" customHeight="1">
      <c r="A306" s="105" t="s">
        <v>1197</v>
      </c>
      <c r="B306" s="105" t="s">
        <v>52</v>
      </c>
      <c r="C306" s="106" t="s">
        <v>1198</v>
      </c>
      <c r="D306" s="107" t="s">
        <v>185</v>
      </c>
      <c r="E306" s="106" t="s">
        <v>1102</v>
      </c>
      <c r="F306" s="126">
        <v>23.56</v>
      </c>
      <c r="G306" s="126" t="s">
        <v>394</v>
      </c>
      <c r="H306" s="126" t="s">
        <v>394</v>
      </c>
      <c r="I306" s="126" t="s">
        <v>394</v>
      </c>
      <c r="J306" s="126" t="s">
        <v>85</v>
      </c>
      <c r="K306" s="126" t="s">
        <v>687</v>
      </c>
      <c r="L306" s="126" t="s">
        <v>688</v>
      </c>
      <c r="M306" s="108">
        <v>44042.0</v>
      </c>
      <c r="N306" s="126" t="s">
        <v>735</v>
      </c>
      <c r="O306" s="116" t="s">
        <v>736</v>
      </c>
      <c r="P306" s="126" t="s">
        <v>761</v>
      </c>
      <c r="Q306" s="126" t="s">
        <v>761</v>
      </c>
      <c r="R306" s="132"/>
      <c r="S306" s="132"/>
      <c r="T306" s="132"/>
      <c r="U306" s="132"/>
      <c r="V306" s="132"/>
      <c r="W306" s="132"/>
      <c r="X306" s="132"/>
      <c r="Y306" s="132"/>
      <c r="Z306" s="132"/>
    </row>
    <row r="307" ht="15.75" customHeight="1">
      <c r="A307" s="105" t="s">
        <v>1199</v>
      </c>
      <c r="B307" s="105" t="s">
        <v>52</v>
      </c>
      <c r="C307" s="106" t="s">
        <v>1200</v>
      </c>
      <c r="D307" s="107" t="s">
        <v>185</v>
      </c>
      <c r="E307" s="106" t="s">
        <v>1102</v>
      </c>
      <c r="F307" s="126">
        <v>23.56</v>
      </c>
      <c r="G307" s="126" t="s">
        <v>394</v>
      </c>
      <c r="H307" s="126" t="s">
        <v>394</v>
      </c>
      <c r="I307" s="126" t="s">
        <v>394</v>
      </c>
      <c r="J307" s="126" t="s">
        <v>85</v>
      </c>
      <c r="K307" s="126" t="s">
        <v>687</v>
      </c>
      <c r="L307" s="126" t="s">
        <v>688</v>
      </c>
      <c r="M307" s="108">
        <v>44042.0</v>
      </c>
      <c r="N307" s="126" t="s">
        <v>735</v>
      </c>
      <c r="O307" s="116" t="s">
        <v>736</v>
      </c>
      <c r="P307" s="126" t="s">
        <v>761</v>
      </c>
      <c r="Q307" s="126" t="s">
        <v>761</v>
      </c>
      <c r="R307" s="132"/>
      <c r="S307" s="132"/>
      <c r="T307" s="132"/>
      <c r="U307" s="132"/>
      <c r="V307" s="132"/>
      <c r="W307" s="132"/>
      <c r="X307" s="132"/>
      <c r="Y307" s="132"/>
      <c r="Z307" s="132"/>
    </row>
    <row r="308" ht="15.75" customHeight="1">
      <c r="A308" s="105" t="s">
        <v>1201</v>
      </c>
      <c r="B308" s="105" t="s">
        <v>52</v>
      </c>
      <c r="C308" s="106" t="s">
        <v>1202</v>
      </c>
      <c r="D308" s="107" t="s">
        <v>185</v>
      </c>
      <c r="E308" s="106" t="s">
        <v>1102</v>
      </c>
      <c r="F308" s="126">
        <v>23.56</v>
      </c>
      <c r="G308" s="126" t="s">
        <v>394</v>
      </c>
      <c r="H308" s="126" t="s">
        <v>394</v>
      </c>
      <c r="I308" s="126" t="s">
        <v>394</v>
      </c>
      <c r="J308" s="126" t="s">
        <v>85</v>
      </c>
      <c r="K308" s="126" t="s">
        <v>687</v>
      </c>
      <c r="L308" s="126" t="s">
        <v>688</v>
      </c>
      <c r="M308" s="108">
        <v>44042.0</v>
      </c>
      <c r="N308" s="126" t="s">
        <v>735</v>
      </c>
      <c r="O308" s="116" t="s">
        <v>736</v>
      </c>
      <c r="P308" s="126" t="s">
        <v>761</v>
      </c>
      <c r="Q308" s="126" t="s">
        <v>761</v>
      </c>
      <c r="R308" s="132"/>
      <c r="S308" s="132"/>
      <c r="T308" s="132"/>
      <c r="U308" s="132"/>
      <c r="V308" s="132"/>
      <c r="W308" s="132"/>
      <c r="X308" s="132"/>
      <c r="Y308" s="132"/>
      <c r="Z308" s="132"/>
    </row>
    <row r="309" ht="15.75" customHeight="1">
      <c r="A309" s="105" t="s">
        <v>1203</v>
      </c>
      <c r="B309" s="105" t="s">
        <v>52</v>
      </c>
      <c r="C309" s="106" t="s">
        <v>1204</v>
      </c>
      <c r="D309" s="107" t="s">
        <v>185</v>
      </c>
      <c r="E309" s="106" t="s">
        <v>720</v>
      </c>
      <c r="F309" s="126" t="b">
        <v>1</v>
      </c>
      <c r="G309" s="126" t="s">
        <v>394</v>
      </c>
      <c r="H309" s="126" t="s">
        <v>394</v>
      </c>
      <c r="I309" s="126" t="s">
        <v>394</v>
      </c>
      <c r="J309" s="126" t="s">
        <v>85</v>
      </c>
      <c r="K309" s="126" t="s">
        <v>687</v>
      </c>
      <c r="L309" s="126" t="s">
        <v>688</v>
      </c>
      <c r="M309" s="108">
        <v>44042.0</v>
      </c>
      <c r="N309" s="126" t="s">
        <v>735</v>
      </c>
      <c r="O309" s="131"/>
      <c r="P309" s="126" t="s">
        <v>761</v>
      </c>
      <c r="Q309" s="126" t="s">
        <v>761</v>
      </c>
      <c r="R309" s="132"/>
      <c r="S309" s="132"/>
      <c r="T309" s="132"/>
      <c r="U309" s="132"/>
      <c r="V309" s="132"/>
      <c r="W309" s="132"/>
      <c r="X309" s="132"/>
      <c r="Y309" s="132"/>
      <c r="Z309" s="132"/>
    </row>
    <row r="310" ht="15.75" customHeight="1">
      <c r="A310" s="105" t="s">
        <v>1205</v>
      </c>
      <c r="B310" s="105" t="s">
        <v>52</v>
      </c>
      <c r="C310" s="106" t="s">
        <v>1206</v>
      </c>
      <c r="D310" s="107" t="s">
        <v>185</v>
      </c>
      <c r="E310" s="106" t="s">
        <v>720</v>
      </c>
      <c r="F310" s="126" t="b">
        <v>1</v>
      </c>
      <c r="G310" s="126" t="s">
        <v>394</v>
      </c>
      <c r="H310" s="126" t="s">
        <v>394</v>
      </c>
      <c r="I310" s="126" t="s">
        <v>394</v>
      </c>
      <c r="J310" s="126" t="s">
        <v>85</v>
      </c>
      <c r="K310" s="126" t="s">
        <v>687</v>
      </c>
      <c r="L310" s="126" t="s">
        <v>688</v>
      </c>
      <c r="M310" s="108">
        <v>44042.0</v>
      </c>
      <c r="N310" s="126" t="s">
        <v>735</v>
      </c>
      <c r="O310" s="131"/>
      <c r="P310" s="126" t="s">
        <v>761</v>
      </c>
      <c r="Q310" s="126" t="s">
        <v>761</v>
      </c>
      <c r="R310" s="132"/>
      <c r="S310" s="132"/>
      <c r="T310" s="132"/>
      <c r="U310" s="132"/>
      <c r="V310" s="132"/>
      <c r="W310" s="132"/>
      <c r="X310" s="132"/>
      <c r="Y310" s="132"/>
      <c r="Z310" s="132"/>
    </row>
    <row r="311" ht="15.75" customHeight="1">
      <c r="A311" s="105" t="s">
        <v>1207</v>
      </c>
      <c r="B311" s="105" t="s">
        <v>52</v>
      </c>
      <c r="C311" s="106" t="s">
        <v>1208</v>
      </c>
      <c r="D311" s="107" t="s">
        <v>185</v>
      </c>
      <c r="E311" s="106" t="s">
        <v>720</v>
      </c>
      <c r="F311" s="126" t="b">
        <v>1</v>
      </c>
      <c r="G311" s="126" t="s">
        <v>394</v>
      </c>
      <c r="H311" s="126" t="s">
        <v>394</v>
      </c>
      <c r="I311" s="126" t="s">
        <v>394</v>
      </c>
      <c r="J311" s="126" t="s">
        <v>85</v>
      </c>
      <c r="K311" s="126" t="s">
        <v>687</v>
      </c>
      <c r="L311" s="126" t="s">
        <v>688</v>
      </c>
      <c r="M311" s="108">
        <v>44042.0</v>
      </c>
      <c r="N311" s="126" t="s">
        <v>735</v>
      </c>
      <c r="O311" s="131"/>
      <c r="P311" s="126" t="s">
        <v>761</v>
      </c>
      <c r="Q311" s="126" t="s">
        <v>761</v>
      </c>
      <c r="R311" s="132"/>
      <c r="S311" s="132"/>
      <c r="T311" s="132"/>
      <c r="U311" s="132"/>
      <c r="V311" s="132"/>
      <c r="W311" s="132"/>
      <c r="X311" s="132"/>
      <c r="Y311" s="132"/>
      <c r="Z311" s="132"/>
    </row>
    <row r="312" ht="15.75" customHeight="1">
      <c r="A312" s="105" t="s">
        <v>1209</v>
      </c>
      <c r="B312" s="105" t="s">
        <v>52</v>
      </c>
      <c r="C312" s="106" t="s">
        <v>1210</v>
      </c>
      <c r="D312" s="107" t="s">
        <v>185</v>
      </c>
      <c r="E312" s="106" t="s">
        <v>1102</v>
      </c>
      <c r="F312" s="126">
        <v>23.56</v>
      </c>
      <c r="G312" s="126" t="s">
        <v>394</v>
      </c>
      <c r="H312" s="126" t="s">
        <v>394</v>
      </c>
      <c r="I312" s="126" t="s">
        <v>394</v>
      </c>
      <c r="J312" s="126" t="s">
        <v>85</v>
      </c>
      <c r="K312" s="126" t="s">
        <v>687</v>
      </c>
      <c r="L312" s="126" t="s">
        <v>688</v>
      </c>
      <c r="M312" s="108">
        <v>44042.0</v>
      </c>
      <c r="N312" s="126" t="s">
        <v>735</v>
      </c>
      <c r="O312" s="116" t="s">
        <v>736</v>
      </c>
      <c r="P312" s="126" t="s">
        <v>761</v>
      </c>
      <c r="Q312" s="126" t="s">
        <v>761</v>
      </c>
      <c r="R312" s="132"/>
      <c r="S312" s="132"/>
      <c r="T312" s="132"/>
      <c r="U312" s="132"/>
      <c r="V312" s="132"/>
      <c r="W312" s="132"/>
      <c r="X312" s="132"/>
      <c r="Y312" s="132"/>
      <c r="Z312" s="132"/>
    </row>
    <row r="313" ht="15.75" customHeight="1">
      <c r="A313" s="105" t="s">
        <v>1211</v>
      </c>
      <c r="B313" s="105" t="s">
        <v>52</v>
      </c>
      <c r="C313" s="106" t="s">
        <v>1212</v>
      </c>
      <c r="D313" s="107" t="s">
        <v>185</v>
      </c>
      <c r="E313" s="106" t="s">
        <v>1102</v>
      </c>
      <c r="F313" s="126">
        <v>23.56</v>
      </c>
      <c r="G313" s="126" t="s">
        <v>394</v>
      </c>
      <c r="H313" s="126" t="s">
        <v>394</v>
      </c>
      <c r="I313" s="126" t="s">
        <v>394</v>
      </c>
      <c r="J313" s="126" t="s">
        <v>85</v>
      </c>
      <c r="K313" s="126" t="s">
        <v>687</v>
      </c>
      <c r="L313" s="126" t="s">
        <v>688</v>
      </c>
      <c r="M313" s="108">
        <v>44042.0</v>
      </c>
      <c r="N313" s="126" t="s">
        <v>735</v>
      </c>
      <c r="O313" s="116" t="s">
        <v>736</v>
      </c>
      <c r="P313" s="126" t="s">
        <v>761</v>
      </c>
      <c r="Q313" s="126" t="s">
        <v>761</v>
      </c>
      <c r="R313" s="132"/>
      <c r="S313" s="132"/>
      <c r="T313" s="132"/>
      <c r="U313" s="132"/>
      <c r="V313" s="132"/>
      <c r="W313" s="132"/>
      <c r="X313" s="132"/>
      <c r="Y313" s="132"/>
      <c r="Z313" s="132"/>
    </row>
    <row r="314" ht="15.75" customHeight="1">
      <c r="A314" s="105" t="s">
        <v>1213</v>
      </c>
      <c r="B314" s="105" t="s">
        <v>52</v>
      </c>
      <c r="C314" s="106" t="s">
        <v>1214</v>
      </c>
      <c r="D314" s="107" t="s">
        <v>185</v>
      </c>
      <c r="E314" s="106" t="s">
        <v>1102</v>
      </c>
      <c r="F314" s="126">
        <v>23.56</v>
      </c>
      <c r="G314" s="126" t="s">
        <v>394</v>
      </c>
      <c r="H314" s="126" t="s">
        <v>394</v>
      </c>
      <c r="I314" s="126" t="s">
        <v>394</v>
      </c>
      <c r="J314" s="126" t="s">
        <v>85</v>
      </c>
      <c r="K314" s="126" t="s">
        <v>687</v>
      </c>
      <c r="L314" s="126" t="s">
        <v>688</v>
      </c>
      <c r="M314" s="108">
        <v>44042.0</v>
      </c>
      <c r="N314" s="126" t="s">
        <v>735</v>
      </c>
      <c r="O314" s="116" t="s">
        <v>736</v>
      </c>
      <c r="P314" s="126" t="s">
        <v>761</v>
      </c>
      <c r="Q314" s="126" t="s">
        <v>761</v>
      </c>
      <c r="R314" s="132"/>
      <c r="S314" s="132"/>
      <c r="T314" s="132"/>
      <c r="U314" s="132"/>
      <c r="V314" s="132"/>
      <c r="W314" s="132"/>
      <c r="X314" s="132"/>
      <c r="Y314" s="132"/>
      <c r="Z314" s="132"/>
    </row>
    <row r="315" ht="15.75" customHeight="1">
      <c r="A315" s="105" t="s">
        <v>1215</v>
      </c>
      <c r="B315" s="105" t="s">
        <v>52</v>
      </c>
      <c r="C315" s="106" t="s">
        <v>1216</v>
      </c>
      <c r="D315" s="107" t="s">
        <v>185</v>
      </c>
      <c r="E315" s="106" t="s">
        <v>1115</v>
      </c>
      <c r="F315" s="126">
        <v>35.0</v>
      </c>
      <c r="G315" s="126" t="s">
        <v>394</v>
      </c>
      <c r="H315" s="126" t="s">
        <v>394</v>
      </c>
      <c r="I315" s="126" t="s">
        <v>394</v>
      </c>
      <c r="J315" s="126" t="s">
        <v>85</v>
      </c>
      <c r="K315" s="126" t="s">
        <v>687</v>
      </c>
      <c r="L315" s="126" t="s">
        <v>688</v>
      </c>
      <c r="M315" s="108">
        <v>44042.0</v>
      </c>
      <c r="N315" s="126" t="s">
        <v>735</v>
      </c>
      <c r="O315" s="116" t="s">
        <v>736</v>
      </c>
      <c r="P315" s="126" t="s">
        <v>761</v>
      </c>
      <c r="Q315" s="126" t="s">
        <v>761</v>
      </c>
      <c r="R315" s="132"/>
      <c r="S315" s="132"/>
      <c r="T315" s="132"/>
      <c r="U315" s="132"/>
      <c r="V315" s="132"/>
      <c r="W315" s="132"/>
      <c r="X315" s="132"/>
      <c r="Y315" s="132"/>
      <c r="Z315" s="132"/>
    </row>
    <row r="316" ht="15.75" customHeight="1">
      <c r="A316" s="105" t="s">
        <v>1217</v>
      </c>
      <c r="B316" s="105" t="s">
        <v>52</v>
      </c>
      <c r="C316" s="106" t="s">
        <v>1218</v>
      </c>
      <c r="D316" s="107" t="s">
        <v>185</v>
      </c>
      <c r="E316" s="106" t="s">
        <v>1115</v>
      </c>
      <c r="F316" s="126">
        <v>35.0</v>
      </c>
      <c r="G316" s="126" t="s">
        <v>394</v>
      </c>
      <c r="H316" s="126" t="s">
        <v>394</v>
      </c>
      <c r="I316" s="126" t="s">
        <v>394</v>
      </c>
      <c r="J316" s="126" t="s">
        <v>85</v>
      </c>
      <c r="K316" s="126" t="s">
        <v>687</v>
      </c>
      <c r="L316" s="126" t="s">
        <v>688</v>
      </c>
      <c r="M316" s="108">
        <v>44042.0</v>
      </c>
      <c r="N316" s="126" t="s">
        <v>735</v>
      </c>
      <c r="O316" s="116" t="s">
        <v>736</v>
      </c>
      <c r="P316" s="126" t="s">
        <v>761</v>
      </c>
      <c r="Q316" s="126" t="s">
        <v>761</v>
      </c>
      <c r="R316" s="132"/>
      <c r="S316" s="132"/>
      <c r="T316" s="132"/>
      <c r="U316" s="132"/>
      <c r="V316" s="132"/>
      <c r="W316" s="132"/>
      <c r="X316" s="132"/>
      <c r="Y316" s="132"/>
      <c r="Z316" s="132"/>
    </row>
    <row r="317" ht="15.75" customHeight="1">
      <c r="A317" s="105" t="s">
        <v>1219</v>
      </c>
      <c r="B317" s="105" t="s">
        <v>52</v>
      </c>
      <c r="C317" s="106" t="s">
        <v>1220</v>
      </c>
      <c r="D317" s="107" t="s">
        <v>185</v>
      </c>
      <c r="E317" s="106" t="s">
        <v>1115</v>
      </c>
      <c r="F317" s="126">
        <v>35.0</v>
      </c>
      <c r="G317" s="126" t="s">
        <v>394</v>
      </c>
      <c r="H317" s="126" t="s">
        <v>394</v>
      </c>
      <c r="I317" s="126" t="s">
        <v>394</v>
      </c>
      <c r="J317" s="126" t="s">
        <v>85</v>
      </c>
      <c r="K317" s="126" t="s">
        <v>687</v>
      </c>
      <c r="L317" s="126" t="s">
        <v>688</v>
      </c>
      <c r="M317" s="108">
        <v>44042.0</v>
      </c>
      <c r="N317" s="126" t="s">
        <v>735</v>
      </c>
      <c r="O317" s="116" t="s">
        <v>736</v>
      </c>
      <c r="P317" s="126" t="s">
        <v>761</v>
      </c>
      <c r="Q317" s="126" t="s">
        <v>761</v>
      </c>
      <c r="R317" s="132"/>
      <c r="S317" s="132"/>
      <c r="T317" s="132"/>
      <c r="U317" s="132"/>
      <c r="V317" s="132"/>
      <c r="W317" s="132"/>
      <c r="X317" s="132"/>
      <c r="Y317" s="132"/>
      <c r="Z317" s="132"/>
    </row>
    <row r="318" ht="15.75" customHeight="1">
      <c r="A318" s="105" t="s">
        <v>1221</v>
      </c>
      <c r="B318" s="105" t="s">
        <v>52</v>
      </c>
      <c r="C318" s="106" t="s">
        <v>1222</v>
      </c>
      <c r="D318" s="107" t="s">
        <v>185</v>
      </c>
      <c r="E318" s="106" t="s">
        <v>1102</v>
      </c>
      <c r="F318" s="126">
        <v>23.56</v>
      </c>
      <c r="G318" s="126" t="s">
        <v>394</v>
      </c>
      <c r="H318" s="126" t="s">
        <v>394</v>
      </c>
      <c r="I318" s="126" t="s">
        <v>394</v>
      </c>
      <c r="J318" s="126" t="s">
        <v>85</v>
      </c>
      <c r="K318" s="126" t="s">
        <v>687</v>
      </c>
      <c r="L318" s="126" t="s">
        <v>688</v>
      </c>
      <c r="M318" s="108">
        <v>44042.0</v>
      </c>
      <c r="N318" s="126" t="s">
        <v>735</v>
      </c>
      <c r="O318" s="131"/>
      <c r="P318" s="126" t="s">
        <v>761</v>
      </c>
      <c r="Q318" s="126" t="s">
        <v>761</v>
      </c>
      <c r="R318" s="132"/>
      <c r="S318" s="132"/>
      <c r="T318" s="132"/>
      <c r="U318" s="132"/>
      <c r="V318" s="132"/>
      <c r="W318" s="132"/>
      <c r="X318" s="132"/>
      <c r="Y318" s="132"/>
      <c r="Z318" s="132"/>
    </row>
    <row r="319" ht="15.75" customHeight="1">
      <c r="A319" s="105" t="s">
        <v>1223</v>
      </c>
      <c r="B319" s="105" t="s">
        <v>52</v>
      </c>
      <c r="C319" s="106" t="s">
        <v>1224</v>
      </c>
      <c r="D319" s="107" t="s">
        <v>185</v>
      </c>
      <c r="E319" s="106" t="s">
        <v>1102</v>
      </c>
      <c r="F319" s="126">
        <v>23.56</v>
      </c>
      <c r="G319" s="126" t="s">
        <v>394</v>
      </c>
      <c r="H319" s="126" t="s">
        <v>394</v>
      </c>
      <c r="I319" s="126" t="s">
        <v>394</v>
      </c>
      <c r="J319" s="126" t="s">
        <v>85</v>
      </c>
      <c r="K319" s="126" t="s">
        <v>687</v>
      </c>
      <c r="L319" s="126" t="s">
        <v>688</v>
      </c>
      <c r="M319" s="108">
        <v>44042.0</v>
      </c>
      <c r="N319" s="126" t="s">
        <v>735</v>
      </c>
      <c r="O319" s="131"/>
      <c r="P319" s="126" t="s">
        <v>761</v>
      </c>
      <c r="Q319" s="126" t="s">
        <v>761</v>
      </c>
      <c r="R319" s="132"/>
      <c r="S319" s="132"/>
      <c r="T319" s="132"/>
      <c r="U319" s="132"/>
      <c r="V319" s="132"/>
      <c r="W319" s="132"/>
      <c r="X319" s="132"/>
      <c r="Y319" s="132"/>
      <c r="Z319" s="132"/>
    </row>
    <row r="320" ht="15.75" customHeight="1">
      <c r="A320" s="105" t="s">
        <v>1225</v>
      </c>
      <c r="B320" s="105" t="s">
        <v>52</v>
      </c>
      <c r="C320" s="106" t="s">
        <v>1226</v>
      </c>
      <c r="D320" s="107" t="s">
        <v>185</v>
      </c>
      <c r="E320" s="106" t="s">
        <v>1115</v>
      </c>
      <c r="F320" s="126">
        <v>35.0</v>
      </c>
      <c r="G320" s="126" t="s">
        <v>394</v>
      </c>
      <c r="H320" s="126" t="s">
        <v>394</v>
      </c>
      <c r="I320" s="126" t="s">
        <v>394</v>
      </c>
      <c r="J320" s="126" t="s">
        <v>85</v>
      </c>
      <c r="K320" s="126" t="s">
        <v>687</v>
      </c>
      <c r="L320" s="126" t="s">
        <v>688</v>
      </c>
      <c r="M320" s="108">
        <v>44042.0</v>
      </c>
      <c r="N320" s="126" t="s">
        <v>735</v>
      </c>
      <c r="O320" s="131"/>
      <c r="P320" s="126" t="s">
        <v>721</v>
      </c>
      <c r="Q320" s="126" t="s">
        <v>721</v>
      </c>
      <c r="R320" s="132"/>
      <c r="S320" s="132"/>
      <c r="T320" s="132"/>
      <c r="U320" s="132"/>
      <c r="V320" s="132"/>
      <c r="W320" s="132"/>
      <c r="X320" s="132"/>
      <c r="Y320" s="132"/>
      <c r="Z320" s="132"/>
    </row>
    <row r="321" ht="15.75" customHeight="1">
      <c r="A321" s="105" t="s">
        <v>1227</v>
      </c>
      <c r="B321" s="105" t="s">
        <v>52</v>
      </c>
      <c r="C321" s="106" t="s">
        <v>1228</v>
      </c>
      <c r="D321" s="107" t="s">
        <v>185</v>
      </c>
      <c r="E321" s="106" t="s">
        <v>1115</v>
      </c>
      <c r="F321" s="126">
        <v>35.0</v>
      </c>
      <c r="G321" s="126" t="s">
        <v>394</v>
      </c>
      <c r="H321" s="126" t="s">
        <v>394</v>
      </c>
      <c r="I321" s="126" t="s">
        <v>394</v>
      </c>
      <c r="J321" s="126" t="s">
        <v>85</v>
      </c>
      <c r="K321" s="126" t="s">
        <v>687</v>
      </c>
      <c r="L321" s="126" t="s">
        <v>688</v>
      </c>
      <c r="M321" s="108">
        <v>44042.0</v>
      </c>
      <c r="N321" s="126" t="s">
        <v>735</v>
      </c>
      <c r="O321" s="131"/>
      <c r="P321" s="126" t="s">
        <v>721</v>
      </c>
      <c r="Q321" s="126" t="s">
        <v>721</v>
      </c>
      <c r="R321" s="132"/>
      <c r="S321" s="132"/>
      <c r="T321" s="132"/>
      <c r="U321" s="132"/>
      <c r="V321" s="132"/>
      <c r="W321" s="132"/>
      <c r="X321" s="132"/>
      <c r="Y321" s="132"/>
      <c r="Z321" s="132"/>
    </row>
    <row r="322" ht="15.75" customHeight="1">
      <c r="A322" s="105" t="s">
        <v>1229</v>
      </c>
      <c r="B322" s="105" t="s">
        <v>52</v>
      </c>
      <c r="C322" s="106" t="s">
        <v>1230</v>
      </c>
      <c r="D322" s="107" t="s">
        <v>185</v>
      </c>
      <c r="E322" s="106" t="s">
        <v>1115</v>
      </c>
      <c r="F322" s="126">
        <v>35.0</v>
      </c>
      <c r="G322" s="126" t="s">
        <v>394</v>
      </c>
      <c r="H322" s="126" t="s">
        <v>394</v>
      </c>
      <c r="I322" s="126" t="s">
        <v>394</v>
      </c>
      <c r="J322" s="126" t="s">
        <v>85</v>
      </c>
      <c r="K322" s="126" t="s">
        <v>687</v>
      </c>
      <c r="L322" s="126" t="s">
        <v>688</v>
      </c>
      <c r="M322" s="108">
        <v>44042.0</v>
      </c>
      <c r="N322" s="126" t="s">
        <v>735</v>
      </c>
      <c r="O322" s="131"/>
      <c r="P322" s="126" t="s">
        <v>721</v>
      </c>
      <c r="Q322" s="126" t="s">
        <v>721</v>
      </c>
      <c r="R322" s="132"/>
      <c r="S322" s="132"/>
      <c r="T322" s="132"/>
      <c r="U322" s="132"/>
      <c r="V322" s="132"/>
      <c r="W322" s="132"/>
      <c r="X322" s="132"/>
      <c r="Y322" s="132"/>
      <c r="Z322" s="132"/>
    </row>
    <row r="323" ht="15.75" customHeight="1">
      <c r="A323" s="105" t="s">
        <v>1231</v>
      </c>
      <c r="B323" s="105" t="s">
        <v>52</v>
      </c>
      <c r="C323" s="106" t="s">
        <v>1232</v>
      </c>
      <c r="D323" s="107" t="s">
        <v>185</v>
      </c>
      <c r="E323" s="106" t="s">
        <v>1102</v>
      </c>
      <c r="F323" s="126">
        <v>35.0</v>
      </c>
      <c r="G323" s="126" t="s">
        <v>394</v>
      </c>
      <c r="H323" s="126" t="s">
        <v>394</v>
      </c>
      <c r="I323" s="126" t="s">
        <v>394</v>
      </c>
      <c r="J323" s="126" t="s">
        <v>85</v>
      </c>
      <c r="K323" s="126" t="s">
        <v>687</v>
      </c>
      <c r="L323" s="126" t="s">
        <v>688</v>
      </c>
      <c r="M323" s="108">
        <v>44042.0</v>
      </c>
      <c r="N323" s="126" t="s">
        <v>735</v>
      </c>
      <c r="O323" s="131"/>
      <c r="P323" s="126" t="s">
        <v>721</v>
      </c>
      <c r="Q323" s="126" t="s">
        <v>721</v>
      </c>
      <c r="R323" s="132"/>
      <c r="S323" s="132"/>
      <c r="T323" s="132"/>
      <c r="U323" s="132"/>
      <c r="V323" s="132"/>
      <c r="W323" s="132"/>
      <c r="X323" s="132"/>
      <c r="Y323" s="132"/>
      <c r="Z323" s="132"/>
    </row>
    <row r="324" ht="15.75" customHeight="1">
      <c r="A324" s="105" t="s">
        <v>1233</v>
      </c>
      <c r="B324" s="105" t="s">
        <v>52</v>
      </c>
      <c r="C324" s="106" t="s">
        <v>1234</v>
      </c>
      <c r="D324" s="107" t="s">
        <v>185</v>
      </c>
      <c r="E324" s="106" t="s">
        <v>1102</v>
      </c>
      <c r="F324" s="126">
        <v>35.0</v>
      </c>
      <c r="G324" s="126" t="s">
        <v>394</v>
      </c>
      <c r="H324" s="126" t="s">
        <v>394</v>
      </c>
      <c r="I324" s="126" t="s">
        <v>394</v>
      </c>
      <c r="J324" s="126" t="s">
        <v>85</v>
      </c>
      <c r="K324" s="126" t="s">
        <v>687</v>
      </c>
      <c r="L324" s="126" t="s">
        <v>688</v>
      </c>
      <c r="M324" s="108">
        <v>44042.0</v>
      </c>
      <c r="N324" s="126" t="s">
        <v>735</v>
      </c>
      <c r="O324" s="131"/>
      <c r="P324" s="126" t="s">
        <v>721</v>
      </c>
      <c r="Q324" s="126" t="s">
        <v>721</v>
      </c>
      <c r="R324" s="132"/>
      <c r="S324" s="132"/>
      <c r="T324" s="132"/>
      <c r="U324" s="132"/>
      <c r="V324" s="132"/>
      <c r="W324" s="132"/>
      <c r="X324" s="132"/>
      <c r="Y324" s="132"/>
      <c r="Z324" s="132"/>
    </row>
    <row r="325" ht="15.75" customHeight="1">
      <c r="A325" s="105" t="s">
        <v>1235</v>
      </c>
      <c r="B325" s="105" t="s">
        <v>52</v>
      </c>
      <c r="C325" s="106" t="s">
        <v>1236</v>
      </c>
      <c r="D325" s="107" t="s">
        <v>185</v>
      </c>
      <c r="E325" s="106" t="s">
        <v>1102</v>
      </c>
      <c r="F325" s="126">
        <v>35.0</v>
      </c>
      <c r="G325" s="126" t="s">
        <v>394</v>
      </c>
      <c r="H325" s="126" t="s">
        <v>394</v>
      </c>
      <c r="I325" s="126" t="s">
        <v>394</v>
      </c>
      <c r="J325" s="126" t="s">
        <v>85</v>
      </c>
      <c r="K325" s="126" t="s">
        <v>687</v>
      </c>
      <c r="L325" s="126" t="s">
        <v>688</v>
      </c>
      <c r="M325" s="108">
        <v>44042.0</v>
      </c>
      <c r="N325" s="126" t="s">
        <v>735</v>
      </c>
      <c r="O325" s="131"/>
      <c r="P325" s="126" t="s">
        <v>721</v>
      </c>
      <c r="Q325" s="126" t="s">
        <v>721</v>
      </c>
      <c r="R325" s="132"/>
      <c r="S325" s="132"/>
      <c r="T325" s="132"/>
      <c r="U325" s="132"/>
      <c r="V325" s="132"/>
      <c r="W325" s="132"/>
      <c r="X325" s="132"/>
      <c r="Y325" s="132"/>
      <c r="Z325" s="132"/>
    </row>
    <row r="326" ht="15.75" customHeight="1">
      <c r="A326" s="105" t="s">
        <v>1237</v>
      </c>
      <c r="B326" s="105" t="s">
        <v>52</v>
      </c>
      <c r="C326" s="106" t="s">
        <v>1238</v>
      </c>
      <c r="D326" s="107" t="s">
        <v>185</v>
      </c>
      <c r="E326" s="106" t="s">
        <v>1102</v>
      </c>
      <c r="F326" s="126">
        <v>23.56</v>
      </c>
      <c r="G326" s="126" t="s">
        <v>394</v>
      </c>
      <c r="H326" s="126" t="s">
        <v>394</v>
      </c>
      <c r="I326" s="126" t="s">
        <v>394</v>
      </c>
      <c r="J326" s="126" t="s">
        <v>85</v>
      </c>
      <c r="K326" s="126" t="s">
        <v>687</v>
      </c>
      <c r="L326" s="126" t="s">
        <v>688</v>
      </c>
      <c r="M326" s="108">
        <v>44042.0</v>
      </c>
      <c r="N326" s="126" t="s">
        <v>735</v>
      </c>
      <c r="O326" s="131"/>
      <c r="P326" s="126" t="s">
        <v>721</v>
      </c>
      <c r="Q326" s="126" t="s">
        <v>721</v>
      </c>
      <c r="R326" s="132"/>
      <c r="S326" s="132"/>
      <c r="T326" s="132"/>
      <c r="U326" s="132"/>
      <c r="V326" s="132"/>
      <c r="W326" s="132"/>
      <c r="X326" s="132"/>
      <c r="Y326" s="132"/>
      <c r="Z326" s="132"/>
    </row>
    <row r="327" ht="15.75" customHeight="1">
      <c r="A327" s="105" t="s">
        <v>1239</v>
      </c>
      <c r="B327" s="105" t="s">
        <v>52</v>
      </c>
      <c r="C327" s="106" t="s">
        <v>1240</v>
      </c>
      <c r="D327" s="107" t="s">
        <v>185</v>
      </c>
      <c r="E327" s="106" t="s">
        <v>685</v>
      </c>
      <c r="F327" s="126" t="s">
        <v>1241</v>
      </c>
      <c r="G327" s="126" t="s">
        <v>394</v>
      </c>
      <c r="H327" s="126" t="s">
        <v>394</v>
      </c>
      <c r="I327" s="126" t="s">
        <v>394</v>
      </c>
      <c r="J327" s="126" t="s">
        <v>85</v>
      </c>
      <c r="K327" s="126" t="s">
        <v>687</v>
      </c>
      <c r="L327" s="126" t="s">
        <v>688</v>
      </c>
      <c r="M327" s="108">
        <v>44042.0</v>
      </c>
      <c r="N327" s="126" t="s">
        <v>735</v>
      </c>
      <c r="O327" s="131"/>
      <c r="P327" s="126" t="s">
        <v>721</v>
      </c>
      <c r="Q327" s="126" t="s">
        <v>721</v>
      </c>
      <c r="R327" s="132"/>
      <c r="S327" s="132"/>
      <c r="T327" s="132"/>
      <c r="U327" s="132"/>
      <c r="V327" s="132"/>
      <c r="W327" s="132"/>
      <c r="X327" s="132"/>
      <c r="Y327" s="132"/>
      <c r="Z327" s="132"/>
    </row>
    <row r="328" ht="15.75" customHeight="1">
      <c r="A328" s="105" t="s">
        <v>1242</v>
      </c>
      <c r="B328" s="105" t="s">
        <v>197</v>
      </c>
      <c r="C328" s="106" t="s">
        <v>1243</v>
      </c>
      <c r="D328" s="107" t="s">
        <v>185</v>
      </c>
      <c r="E328" s="106" t="s">
        <v>1115</v>
      </c>
      <c r="F328" s="126">
        <v>35.0</v>
      </c>
      <c r="G328" s="126" t="s">
        <v>723</v>
      </c>
      <c r="H328" s="126" t="s">
        <v>723</v>
      </c>
      <c r="I328" s="126" t="s">
        <v>723</v>
      </c>
      <c r="J328" s="126" t="s">
        <v>85</v>
      </c>
      <c r="K328" s="126" t="s">
        <v>687</v>
      </c>
      <c r="L328" s="126" t="s">
        <v>760</v>
      </c>
      <c r="M328" s="108">
        <v>44041.0</v>
      </c>
      <c r="N328" s="126" t="s">
        <v>735</v>
      </c>
      <c r="O328" s="116" t="s">
        <v>736</v>
      </c>
      <c r="P328" s="126" t="s">
        <v>761</v>
      </c>
      <c r="Q328" s="126" t="s">
        <v>761</v>
      </c>
      <c r="R328" s="132"/>
      <c r="S328" s="132"/>
      <c r="T328" s="132"/>
      <c r="U328" s="132"/>
      <c r="V328" s="132"/>
      <c r="W328" s="132"/>
      <c r="X328" s="132"/>
      <c r="Y328" s="132"/>
      <c r="Z328" s="132"/>
    </row>
    <row r="329" ht="15.75" customHeight="1">
      <c r="A329" s="105" t="s">
        <v>1244</v>
      </c>
      <c r="B329" s="105" t="s">
        <v>197</v>
      </c>
      <c r="C329" s="106" t="s">
        <v>1245</v>
      </c>
      <c r="D329" s="107" t="s">
        <v>185</v>
      </c>
      <c r="E329" s="106" t="s">
        <v>1102</v>
      </c>
      <c r="F329" s="126">
        <v>23.56</v>
      </c>
      <c r="G329" s="126" t="s">
        <v>723</v>
      </c>
      <c r="H329" s="126" t="s">
        <v>723</v>
      </c>
      <c r="I329" s="126" t="s">
        <v>723</v>
      </c>
      <c r="J329" s="126" t="s">
        <v>85</v>
      </c>
      <c r="K329" s="126" t="s">
        <v>687</v>
      </c>
      <c r="L329" s="126" t="s">
        <v>760</v>
      </c>
      <c r="M329" s="108">
        <v>44041.0</v>
      </c>
      <c r="N329" s="126" t="s">
        <v>735</v>
      </c>
      <c r="O329" s="116" t="s">
        <v>736</v>
      </c>
      <c r="P329" s="126" t="s">
        <v>761</v>
      </c>
      <c r="Q329" s="126" t="s">
        <v>761</v>
      </c>
      <c r="R329" s="132"/>
      <c r="S329" s="132"/>
      <c r="T329" s="132"/>
      <c r="U329" s="132"/>
      <c r="V329" s="132"/>
      <c r="W329" s="132"/>
      <c r="X329" s="132"/>
      <c r="Y329" s="132"/>
      <c r="Z329" s="132"/>
    </row>
    <row r="330" ht="15.75" customHeight="1">
      <c r="A330" s="105" t="s">
        <v>1246</v>
      </c>
      <c r="B330" s="105" t="s">
        <v>197</v>
      </c>
      <c r="C330" s="106" t="s">
        <v>1247</v>
      </c>
      <c r="D330" s="107" t="s">
        <v>185</v>
      </c>
      <c r="E330" s="106" t="s">
        <v>1102</v>
      </c>
      <c r="F330" s="126">
        <v>23.56</v>
      </c>
      <c r="G330" s="126" t="s">
        <v>723</v>
      </c>
      <c r="H330" s="126" t="s">
        <v>723</v>
      </c>
      <c r="I330" s="126" t="s">
        <v>723</v>
      </c>
      <c r="J330" s="126" t="s">
        <v>85</v>
      </c>
      <c r="K330" s="126" t="s">
        <v>687</v>
      </c>
      <c r="L330" s="126" t="s">
        <v>760</v>
      </c>
      <c r="M330" s="108">
        <v>44041.0</v>
      </c>
      <c r="N330" s="126" t="s">
        <v>735</v>
      </c>
      <c r="O330" s="116" t="s">
        <v>736</v>
      </c>
      <c r="P330" s="126" t="s">
        <v>761</v>
      </c>
      <c r="Q330" s="126" t="s">
        <v>761</v>
      </c>
      <c r="R330" s="132"/>
      <c r="S330" s="132"/>
      <c r="T330" s="132"/>
      <c r="U330" s="132"/>
      <c r="V330" s="132"/>
      <c r="W330" s="132"/>
      <c r="X330" s="132"/>
      <c r="Y330" s="132"/>
      <c r="Z330" s="132"/>
    </row>
    <row r="331" ht="15.75" customHeight="1">
      <c r="A331" s="105" t="s">
        <v>1248</v>
      </c>
      <c r="B331" s="105" t="s">
        <v>197</v>
      </c>
      <c r="C331" s="106" t="s">
        <v>1249</v>
      </c>
      <c r="D331" s="107" t="s">
        <v>185</v>
      </c>
      <c r="E331" s="106" t="s">
        <v>1102</v>
      </c>
      <c r="F331" s="126">
        <v>35.0</v>
      </c>
      <c r="G331" s="126" t="s">
        <v>394</v>
      </c>
      <c r="H331" s="126" t="s">
        <v>394</v>
      </c>
      <c r="I331" s="126" t="s">
        <v>394</v>
      </c>
      <c r="J331" s="126" t="s">
        <v>85</v>
      </c>
      <c r="K331" s="126" t="s">
        <v>687</v>
      </c>
      <c r="L331" s="126" t="s">
        <v>688</v>
      </c>
      <c r="M331" s="108">
        <v>44041.0</v>
      </c>
      <c r="N331" s="126" t="s">
        <v>735</v>
      </c>
      <c r="O331" s="116" t="s">
        <v>736</v>
      </c>
      <c r="P331" s="126" t="s">
        <v>761</v>
      </c>
      <c r="Q331" s="126" t="s">
        <v>761</v>
      </c>
      <c r="R331" s="132"/>
      <c r="S331" s="132"/>
      <c r="T331" s="132"/>
      <c r="U331" s="132"/>
      <c r="V331" s="132"/>
      <c r="W331" s="132"/>
      <c r="X331" s="132"/>
      <c r="Y331" s="132"/>
      <c r="Z331" s="132"/>
    </row>
    <row r="332" ht="15.75" customHeight="1">
      <c r="A332" s="105" t="s">
        <v>1250</v>
      </c>
      <c r="B332" s="105" t="s">
        <v>197</v>
      </c>
      <c r="C332" s="106" t="s">
        <v>1251</v>
      </c>
      <c r="D332" s="107" t="s">
        <v>185</v>
      </c>
      <c r="E332" s="106" t="s">
        <v>1102</v>
      </c>
      <c r="F332" s="126">
        <v>23.56</v>
      </c>
      <c r="G332" s="126" t="s">
        <v>394</v>
      </c>
      <c r="H332" s="126" t="s">
        <v>394</v>
      </c>
      <c r="I332" s="126" t="s">
        <v>394</v>
      </c>
      <c r="J332" s="126" t="s">
        <v>85</v>
      </c>
      <c r="K332" s="126" t="s">
        <v>687</v>
      </c>
      <c r="L332" s="126" t="s">
        <v>688</v>
      </c>
      <c r="M332" s="108">
        <v>44041.0</v>
      </c>
      <c r="N332" s="126" t="s">
        <v>735</v>
      </c>
      <c r="O332" s="116" t="s">
        <v>736</v>
      </c>
      <c r="P332" s="126" t="s">
        <v>761</v>
      </c>
      <c r="Q332" s="126" t="s">
        <v>761</v>
      </c>
      <c r="R332" s="132"/>
      <c r="S332" s="132"/>
      <c r="T332" s="132"/>
      <c r="U332" s="132"/>
      <c r="V332" s="132"/>
      <c r="W332" s="132"/>
      <c r="X332" s="132"/>
      <c r="Y332" s="132"/>
      <c r="Z332" s="132"/>
    </row>
    <row r="333" ht="15.75" customHeight="1">
      <c r="A333" s="105" t="s">
        <v>1252</v>
      </c>
      <c r="B333" s="105" t="s">
        <v>197</v>
      </c>
      <c r="C333" s="106" t="s">
        <v>1253</v>
      </c>
      <c r="D333" s="107" t="s">
        <v>185</v>
      </c>
      <c r="E333" s="106" t="s">
        <v>1102</v>
      </c>
      <c r="F333" s="133">
        <v>100.0</v>
      </c>
      <c r="G333" s="126" t="s">
        <v>394</v>
      </c>
      <c r="H333" s="126" t="s">
        <v>394</v>
      </c>
      <c r="I333" s="126" t="s">
        <v>394</v>
      </c>
      <c r="J333" s="126" t="s">
        <v>85</v>
      </c>
      <c r="K333" s="126" t="s">
        <v>687</v>
      </c>
      <c r="L333" s="126" t="s">
        <v>688</v>
      </c>
      <c r="M333" s="108">
        <v>44041.0</v>
      </c>
      <c r="N333" s="126" t="s">
        <v>735</v>
      </c>
      <c r="O333" s="116" t="s">
        <v>736</v>
      </c>
      <c r="P333" s="126" t="s">
        <v>761</v>
      </c>
      <c r="Q333" s="126" t="s">
        <v>761</v>
      </c>
      <c r="R333" s="132"/>
      <c r="S333" s="132"/>
      <c r="T333" s="132"/>
      <c r="U333" s="132"/>
      <c r="V333" s="132"/>
      <c r="W333" s="132"/>
      <c r="X333" s="132"/>
      <c r="Y333" s="132"/>
      <c r="Z333" s="132"/>
    </row>
    <row r="334" ht="15.75" customHeight="1">
      <c r="A334" s="105" t="s">
        <v>1254</v>
      </c>
      <c r="B334" s="105" t="s">
        <v>197</v>
      </c>
      <c r="C334" s="106" t="s">
        <v>1255</v>
      </c>
      <c r="D334" s="107" t="s">
        <v>185</v>
      </c>
      <c r="E334" s="106" t="s">
        <v>1115</v>
      </c>
      <c r="F334" s="126">
        <v>8.0</v>
      </c>
      <c r="G334" s="126" t="s">
        <v>394</v>
      </c>
      <c r="H334" s="126" t="s">
        <v>394</v>
      </c>
      <c r="I334" s="126" t="s">
        <v>394</v>
      </c>
      <c r="J334" s="126" t="s">
        <v>85</v>
      </c>
      <c r="K334" s="126" t="s">
        <v>687</v>
      </c>
      <c r="L334" s="126" t="s">
        <v>688</v>
      </c>
      <c r="M334" s="108">
        <v>44041.0</v>
      </c>
      <c r="N334" s="126" t="s">
        <v>735</v>
      </c>
      <c r="O334" s="116" t="s">
        <v>736</v>
      </c>
      <c r="P334" s="126" t="s">
        <v>761</v>
      </c>
      <c r="Q334" s="126" t="s">
        <v>761</v>
      </c>
      <c r="R334" s="132"/>
      <c r="S334" s="132"/>
      <c r="T334" s="132"/>
      <c r="U334" s="132"/>
      <c r="V334" s="132"/>
      <c r="W334" s="132"/>
      <c r="X334" s="132"/>
      <c r="Y334" s="132"/>
      <c r="Z334" s="132"/>
    </row>
    <row r="335" ht="15.75" customHeight="1">
      <c r="A335" s="105" t="s">
        <v>1256</v>
      </c>
      <c r="B335" s="105" t="s">
        <v>197</v>
      </c>
      <c r="C335" s="106" t="s">
        <v>1048</v>
      </c>
      <c r="D335" s="107" t="s">
        <v>185</v>
      </c>
      <c r="E335" s="106" t="s">
        <v>1115</v>
      </c>
      <c r="F335" s="126">
        <v>20.0</v>
      </c>
      <c r="G335" s="126" t="s">
        <v>723</v>
      </c>
      <c r="H335" s="126" t="s">
        <v>723</v>
      </c>
      <c r="I335" s="126" t="s">
        <v>723</v>
      </c>
      <c r="J335" s="126" t="s">
        <v>85</v>
      </c>
      <c r="K335" s="126" t="s">
        <v>687</v>
      </c>
      <c r="L335" s="126" t="s">
        <v>688</v>
      </c>
      <c r="M335" s="108">
        <v>44041.0</v>
      </c>
      <c r="N335" s="126" t="s">
        <v>735</v>
      </c>
      <c r="O335" s="116" t="s">
        <v>736</v>
      </c>
      <c r="P335" s="126" t="s">
        <v>761</v>
      </c>
      <c r="Q335" s="126" t="s">
        <v>761</v>
      </c>
      <c r="R335" s="132"/>
      <c r="S335" s="132"/>
      <c r="T335" s="132"/>
      <c r="U335" s="132"/>
      <c r="V335" s="132"/>
      <c r="W335" s="132"/>
      <c r="X335" s="132"/>
      <c r="Y335" s="132"/>
      <c r="Z335" s="132"/>
    </row>
    <row r="336" ht="15.75" customHeight="1">
      <c r="A336" s="105" t="s">
        <v>1257</v>
      </c>
      <c r="B336" s="105" t="s">
        <v>197</v>
      </c>
      <c r="C336" s="106" t="s">
        <v>1258</v>
      </c>
      <c r="D336" s="107" t="s">
        <v>185</v>
      </c>
      <c r="E336" s="106" t="s">
        <v>1115</v>
      </c>
      <c r="F336" s="126">
        <v>4.0</v>
      </c>
      <c r="G336" s="126" t="s">
        <v>394</v>
      </c>
      <c r="H336" s="126" t="s">
        <v>394</v>
      </c>
      <c r="I336" s="126" t="s">
        <v>394</v>
      </c>
      <c r="J336" s="126" t="s">
        <v>85</v>
      </c>
      <c r="K336" s="126" t="s">
        <v>687</v>
      </c>
      <c r="L336" s="126" t="s">
        <v>688</v>
      </c>
      <c r="M336" s="108">
        <v>44042.0</v>
      </c>
      <c r="N336" s="126" t="s">
        <v>735</v>
      </c>
      <c r="O336" s="116" t="s">
        <v>736</v>
      </c>
      <c r="P336" s="126" t="s">
        <v>761</v>
      </c>
      <c r="Q336" s="126" t="s">
        <v>761</v>
      </c>
      <c r="R336" s="132"/>
      <c r="S336" s="132"/>
      <c r="T336" s="132"/>
      <c r="U336" s="132"/>
      <c r="V336" s="132"/>
      <c r="W336" s="132"/>
      <c r="X336" s="132"/>
      <c r="Y336" s="132"/>
      <c r="Z336" s="132"/>
    </row>
    <row r="337" ht="15.75" customHeight="1">
      <c r="A337" s="105" t="s">
        <v>1259</v>
      </c>
      <c r="B337" s="105" t="s">
        <v>197</v>
      </c>
      <c r="C337" s="106" t="s">
        <v>1260</v>
      </c>
      <c r="D337" s="107" t="s">
        <v>185</v>
      </c>
      <c r="E337" s="106" t="s">
        <v>1115</v>
      </c>
      <c r="F337" s="126">
        <v>5.0</v>
      </c>
      <c r="G337" s="126" t="s">
        <v>394</v>
      </c>
      <c r="H337" s="126" t="s">
        <v>394</v>
      </c>
      <c r="I337" s="126" t="s">
        <v>394</v>
      </c>
      <c r="J337" s="126" t="s">
        <v>85</v>
      </c>
      <c r="K337" s="126" t="s">
        <v>687</v>
      </c>
      <c r="L337" s="126" t="s">
        <v>688</v>
      </c>
      <c r="M337" s="108">
        <v>44042.0</v>
      </c>
      <c r="N337" s="126" t="s">
        <v>735</v>
      </c>
      <c r="O337" s="116" t="s">
        <v>736</v>
      </c>
      <c r="P337" s="126" t="s">
        <v>761</v>
      </c>
      <c r="Q337" s="126" t="s">
        <v>761</v>
      </c>
      <c r="R337" s="132"/>
      <c r="S337" s="132"/>
      <c r="T337" s="132"/>
      <c r="U337" s="132"/>
      <c r="V337" s="132"/>
      <c r="W337" s="132"/>
      <c r="X337" s="132"/>
      <c r="Y337" s="132"/>
      <c r="Z337" s="132"/>
    </row>
    <row r="338" ht="15.75" customHeight="1">
      <c r="A338" s="105" t="s">
        <v>1261</v>
      </c>
      <c r="B338" s="105" t="s">
        <v>197</v>
      </c>
      <c r="C338" s="106" t="s">
        <v>1262</v>
      </c>
      <c r="D338" s="107" t="s">
        <v>185</v>
      </c>
      <c r="E338" s="106" t="s">
        <v>1115</v>
      </c>
      <c r="F338" s="126">
        <v>18.0</v>
      </c>
      <c r="G338" s="126" t="s">
        <v>394</v>
      </c>
      <c r="H338" s="126" t="s">
        <v>394</v>
      </c>
      <c r="I338" s="126" t="s">
        <v>394</v>
      </c>
      <c r="J338" s="126" t="s">
        <v>85</v>
      </c>
      <c r="K338" s="126" t="s">
        <v>687</v>
      </c>
      <c r="L338" s="126" t="s">
        <v>688</v>
      </c>
      <c r="M338" s="108">
        <v>44042.0</v>
      </c>
      <c r="N338" s="126" t="s">
        <v>735</v>
      </c>
      <c r="O338" s="116" t="s">
        <v>736</v>
      </c>
      <c r="P338" s="126" t="s">
        <v>761</v>
      </c>
      <c r="Q338" s="126" t="s">
        <v>761</v>
      </c>
      <c r="R338" s="132"/>
      <c r="S338" s="132"/>
      <c r="T338" s="132"/>
      <c r="U338" s="132"/>
      <c r="V338" s="132"/>
      <c r="W338" s="132"/>
      <c r="X338" s="132"/>
      <c r="Y338" s="132"/>
      <c r="Z338" s="132"/>
    </row>
    <row r="339" ht="15.75" customHeight="1">
      <c r="A339" s="105" t="s">
        <v>1263</v>
      </c>
      <c r="B339" s="105" t="s">
        <v>197</v>
      </c>
      <c r="C339" s="106" t="s">
        <v>1264</v>
      </c>
      <c r="D339" s="107" t="s">
        <v>185</v>
      </c>
      <c r="E339" s="106" t="s">
        <v>1102</v>
      </c>
      <c r="F339" s="126">
        <v>35.0</v>
      </c>
      <c r="G339" s="126" t="s">
        <v>394</v>
      </c>
      <c r="H339" s="126" t="s">
        <v>394</v>
      </c>
      <c r="I339" s="126" t="s">
        <v>394</v>
      </c>
      <c r="J339" s="126" t="s">
        <v>85</v>
      </c>
      <c r="K339" s="126" t="s">
        <v>687</v>
      </c>
      <c r="L339" s="126" t="s">
        <v>688</v>
      </c>
      <c r="M339" s="108">
        <v>44042.0</v>
      </c>
      <c r="N339" s="126" t="s">
        <v>735</v>
      </c>
      <c r="O339" s="116" t="s">
        <v>736</v>
      </c>
      <c r="P339" s="126" t="s">
        <v>761</v>
      </c>
      <c r="Q339" s="126" t="s">
        <v>761</v>
      </c>
      <c r="R339" s="132"/>
      <c r="S339" s="132"/>
      <c r="T339" s="132"/>
      <c r="U339" s="132"/>
      <c r="V339" s="132"/>
      <c r="W339" s="132"/>
      <c r="X339" s="132"/>
      <c r="Y339" s="132"/>
      <c r="Z339" s="132"/>
    </row>
    <row r="340" ht="15.75" customHeight="1">
      <c r="A340" s="105" t="s">
        <v>1265</v>
      </c>
      <c r="B340" s="105" t="s">
        <v>197</v>
      </c>
      <c r="C340" s="106" t="s">
        <v>1266</v>
      </c>
      <c r="D340" s="107" t="s">
        <v>185</v>
      </c>
      <c r="E340" s="106" t="s">
        <v>1102</v>
      </c>
      <c r="F340" s="126">
        <v>90.0</v>
      </c>
      <c r="G340" s="126" t="s">
        <v>394</v>
      </c>
      <c r="H340" s="126" t="s">
        <v>394</v>
      </c>
      <c r="I340" s="126" t="s">
        <v>394</v>
      </c>
      <c r="J340" s="126" t="s">
        <v>85</v>
      </c>
      <c r="K340" s="126" t="s">
        <v>687</v>
      </c>
      <c r="L340" s="126" t="s">
        <v>688</v>
      </c>
      <c r="M340" s="108">
        <v>44042.0</v>
      </c>
      <c r="N340" s="126" t="s">
        <v>735</v>
      </c>
      <c r="O340" s="116" t="s">
        <v>736</v>
      </c>
      <c r="P340" s="126" t="s">
        <v>761</v>
      </c>
      <c r="Q340" s="126" t="s">
        <v>761</v>
      </c>
      <c r="R340" s="132"/>
      <c r="S340" s="132"/>
      <c r="T340" s="132"/>
      <c r="U340" s="132"/>
      <c r="V340" s="132"/>
      <c r="W340" s="132"/>
      <c r="X340" s="132"/>
      <c r="Y340" s="132"/>
      <c r="Z340" s="132"/>
    </row>
    <row r="341" ht="15.75" customHeight="1">
      <c r="A341" s="105" t="s">
        <v>1267</v>
      </c>
      <c r="B341" s="105" t="s">
        <v>197</v>
      </c>
      <c r="C341" s="106" t="s">
        <v>1268</v>
      </c>
      <c r="D341" s="107" t="s">
        <v>185</v>
      </c>
      <c r="E341" s="106" t="s">
        <v>1102</v>
      </c>
      <c r="F341" s="126">
        <v>220.0</v>
      </c>
      <c r="G341" s="126" t="s">
        <v>394</v>
      </c>
      <c r="H341" s="126" t="s">
        <v>394</v>
      </c>
      <c r="I341" s="126" t="s">
        <v>394</v>
      </c>
      <c r="J341" s="126" t="s">
        <v>85</v>
      </c>
      <c r="K341" s="126" t="s">
        <v>687</v>
      </c>
      <c r="L341" s="126" t="s">
        <v>688</v>
      </c>
      <c r="M341" s="108">
        <v>44042.0</v>
      </c>
      <c r="N341" s="126" t="s">
        <v>735</v>
      </c>
      <c r="O341" s="116" t="s">
        <v>736</v>
      </c>
      <c r="P341" s="126" t="s">
        <v>761</v>
      </c>
      <c r="Q341" s="126" t="s">
        <v>761</v>
      </c>
      <c r="R341" s="132"/>
      <c r="S341" s="132"/>
      <c r="T341" s="132"/>
      <c r="U341" s="132"/>
      <c r="V341" s="132"/>
      <c r="W341" s="132"/>
      <c r="X341" s="132"/>
      <c r="Y341" s="132"/>
      <c r="Z341" s="132"/>
    </row>
    <row r="342" ht="15.75" customHeight="1">
      <c r="A342" s="105" t="s">
        <v>1269</v>
      </c>
      <c r="B342" s="105" t="s">
        <v>52</v>
      </c>
      <c r="C342" s="106" t="s">
        <v>1270</v>
      </c>
      <c r="D342" s="107" t="s">
        <v>185</v>
      </c>
      <c r="E342" s="106" t="s">
        <v>1115</v>
      </c>
      <c r="F342" s="126">
        <v>3.0</v>
      </c>
      <c r="G342" s="126" t="s">
        <v>394</v>
      </c>
      <c r="H342" s="126" t="s">
        <v>394</v>
      </c>
      <c r="I342" s="126" t="s">
        <v>394</v>
      </c>
      <c r="J342" s="126" t="s">
        <v>85</v>
      </c>
      <c r="K342" s="126" t="s">
        <v>687</v>
      </c>
      <c r="L342" s="126" t="s">
        <v>688</v>
      </c>
      <c r="M342" s="108">
        <v>44042.0</v>
      </c>
      <c r="N342" s="126" t="s">
        <v>735</v>
      </c>
      <c r="O342" s="116" t="s">
        <v>736</v>
      </c>
      <c r="P342" s="126" t="s">
        <v>761</v>
      </c>
      <c r="Q342" s="126" t="s">
        <v>761</v>
      </c>
      <c r="R342" s="132"/>
      <c r="S342" s="132"/>
      <c r="T342" s="132"/>
      <c r="U342" s="132"/>
      <c r="V342" s="132"/>
      <c r="W342" s="132"/>
      <c r="X342" s="132"/>
      <c r="Y342" s="132"/>
      <c r="Z342" s="132"/>
    </row>
    <row r="343" ht="15.75" customHeight="1">
      <c r="A343" s="105" t="s">
        <v>1271</v>
      </c>
      <c r="B343" s="105" t="s">
        <v>52</v>
      </c>
      <c r="C343" s="106" t="s">
        <v>1272</v>
      </c>
      <c r="D343" s="107" t="s">
        <v>185</v>
      </c>
      <c r="E343" s="106" t="s">
        <v>1115</v>
      </c>
      <c r="F343" s="126">
        <v>12.0</v>
      </c>
      <c r="G343" s="126" t="s">
        <v>394</v>
      </c>
      <c r="H343" s="126" t="s">
        <v>394</v>
      </c>
      <c r="I343" s="126" t="s">
        <v>394</v>
      </c>
      <c r="J343" s="126" t="s">
        <v>85</v>
      </c>
      <c r="K343" s="126" t="s">
        <v>687</v>
      </c>
      <c r="L343" s="126" t="s">
        <v>688</v>
      </c>
      <c r="M343" s="108">
        <v>44042.0</v>
      </c>
      <c r="N343" s="126" t="s">
        <v>735</v>
      </c>
      <c r="O343" s="116" t="s">
        <v>736</v>
      </c>
      <c r="P343" s="126" t="s">
        <v>761</v>
      </c>
      <c r="Q343" s="126" t="s">
        <v>761</v>
      </c>
      <c r="R343" s="132"/>
      <c r="S343" s="132"/>
      <c r="T343" s="132"/>
      <c r="U343" s="132"/>
      <c r="V343" s="132"/>
      <c r="W343" s="132"/>
      <c r="X343" s="132"/>
      <c r="Y343" s="132"/>
      <c r="Z343" s="132"/>
    </row>
    <row r="344" ht="15.75" customHeight="1">
      <c r="A344" s="105" t="s">
        <v>1273</v>
      </c>
      <c r="B344" s="105" t="s">
        <v>52</v>
      </c>
      <c r="C344" s="106" t="s">
        <v>1274</v>
      </c>
      <c r="D344" s="107" t="s">
        <v>185</v>
      </c>
      <c r="E344" s="106" t="s">
        <v>1115</v>
      </c>
      <c r="F344" s="126">
        <v>11.0</v>
      </c>
      <c r="G344" s="126" t="s">
        <v>394</v>
      </c>
      <c r="H344" s="126" t="s">
        <v>394</v>
      </c>
      <c r="I344" s="126" t="s">
        <v>394</v>
      </c>
      <c r="J344" s="126" t="s">
        <v>85</v>
      </c>
      <c r="K344" s="126" t="s">
        <v>687</v>
      </c>
      <c r="L344" s="126" t="s">
        <v>688</v>
      </c>
      <c r="M344" s="108">
        <v>44042.0</v>
      </c>
      <c r="N344" s="126" t="s">
        <v>735</v>
      </c>
      <c r="O344" s="116" t="s">
        <v>736</v>
      </c>
      <c r="P344" s="126" t="s">
        <v>761</v>
      </c>
      <c r="Q344" s="126" t="s">
        <v>761</v>
      </c>
      <c r="R344" s="132"/>
      <c r="S344" s="132"/>
      <c r="T344" s="132"/>
      <c r="U344" s="132"/>
      <c r="V344" s="132"/>
      <c r="W344" s="132"/>
      <c r="X344" s="132"/>
      <c r="Y344" s="132"/>
      <c r="Z344" s="132"/>
    </row>
    <row r="345" ht="15.75" customHeight="1">
      <c r="A345" s="105" t="s">
        <v>1275</v>
      </c>
      <c r="B345" s="105" t="s">
        <v>52</v>
      </c>
      <c r="C345" s="106" t="s">
        <v>1276</v>
      </c>
      <c r="D345" s="107" t="s">
        <v>185</v>
      </c>
      <c r="E345" s="106" t="s">
        <v>1102</v>
      </c>
      <c r="F345" s="126">
        <v>15.0</v>
      </c>
      <c r="G345" s="126" t="s">
        <v>394</v>
      </c>
      <c r="H345" s="126" t="s">
        <v>394</v>
      </c>
      <c r="I345" s="126" t="s">
        <v>394</v>
      </c>
      <c r="J345" s="126" t="s">
        <v>85</v>
      </c>
      <c r="K345" s="126" t="s">
        <v>687</v>
      </c>
      <c r="L345" s="126" t="s">
        <v>688</v>
      </c>
      <c r="M345" s="108">
        <v>44042.0</v>
      </c>
      <c r="N345" s="126" t="s">
        <v>735</v>
      </c>
      <c r="O345" s="116" t="s">
        <v>736</v>
      </c>
      <c r="P345" s="126" t="s">
        <v>761</v>
      </c>
      <c r="Q345" s="126" t="s">
        <v>761</v>
      </c>
      <c r="R345" s="132"/>
      <c r="S345" s="132"/>
      <c r="T345" s="132"/>
      <c r="U345" s="132"/>
      <c r="V345" s="132"/>
      <c r="W345" s="132"/>
      <c r="X345" s="132"/>
      <c r="Y345" s="132"/>
      <c r="Z345" s="132"/>
    </row>
    <row r="346" ht="15.75" customHeight="1">
      <c r="A346" s="105" t="s">
        <v>1277</v>
      </c>
      <c r="B346" s="105" t="s">
        <v>52</v>
      </c>
      <c r="C346" s="106" t="s">
        <v>1278</v>
      </c>
      <c r="D346" s="107" t="s">
        <v>185</v>
      </c>
      <c r="E346" s="106" t="s">
        <v>1102</v>
      </c>
      <c r="F346" s="126">
        <v>155.0</v>
      </c>
      <c r="G346" s="126" t="s">
        <v>394</v>
      </c>
      <c r="H346" s="126" t="s">
        <v>394</v>
      </c>
      <c r="I346" s="126" t="s">
        <v>394</v>
      </c>
      <c r="J346" s="126" t="s">
        <v>85</v>
      </c>
      <c r="K346" s="126" t="s">
        <v>687</v>
      </c>
      <c r="L346" s="126" t="s">
        <v>688</v>
      </c>
      <c r="M346" s="108">
        <v>44042.0</v>
      </c>
      <c r="N346" s="126" t="s">
        <v>735</v>
      </c>
      <c r="O346" s="116" t="s">
        <v>736</v>
      </c>
      <c r="P346" s="126" t="s">
        <v>761</v>
      </c>
      <c r="Q346" s="126" t="s">
        <v>761</v>
      </c>
      <c r="R346" s="132"/>
      <c r="S346" s="132"/>
      <c r="T346" s="132"/>
      <c r="U346" s="132"/>
      <c r="V346" s="132"/>
      <c r="W346" s="132"/>
      <c r="X346" s="132"/>
      <c r="Y346" s="132"/>
      <c r="Z346" s="132"/>
    </row>
    <row r="347" ht="15.75" customHeight="1">
      <c r="A347" s="105" t="s">
        <v>1279</v>
      </c>
      <c r="B347" s="105" t="s">
        <v>52</v>
      </c>
      <c r="C347" s="106" t="s">
        <v>1280</v>
      </c>
      <c r="D347" s="107" t="s">
        <v>185</v>
      </c>
      <c r="E347" s="106" t="s">
        <v>1102</v>
      </c>
      <c r="F347" s="126">
        <v>120.0</v>
      </c>
      <c r="G347" s="126" t="s">
        <v>394</v>
      </c>
      <c r="H347" s="126" t="s">
        <v>394</v>
      </c>
      <c r="I347" s="126" t="s">
        <v>394</v>
      </c>
      <c r="J347" s="126" t="s">
        <v>85</v>
      </c>
      <c r="K347" s="126" t="s">
        <v>687</v>
      </c>
      <c r="L347" s="126" t="s">
        <v>688</v>
      </c>
      <c r="M347" s="108">
        <v>44042.0</v>
      </c>
      <c r="N347" s="126" t="s">
        <v>735</v>
      </c>
      <c r="O347" s="116" t="s">
        <v>736</v>
      </c>
      <c r="P347" s="126" t="s">
        <v>761</v>
      </c>
      <c r="Q347" s="126" t="s">
        <v>761</v>
      </c>
      <c r="R347" s="132"/>
      <c r="S347" s="132"/>
      <c r="T347" s="132"/>
      <c r="U347" s="132"/>
      <c r="V347" s="132"/>
      <c r="W347" s="132"/>
      <c r="X347" s="132"/>
      <c r="Y347" s="132"/>
      <c r="Z347" s="132"/>
    </row>
    <row r="348" ht="15.75" customHeight="1">
      <c r="A348" s="105" t="s">
        <v>1281</v>
      </c>
      <c r="B348" s="105" t="s">
        <v>197</v>
      </c>
      <c r="C348" s="106" t="s">
        <v>1282</v>
      </c>
      <c r="D348" s="107" t="s">
        <v>185</v>
      </c>
      <c r="E348" s="106" t="s">
        <v>685</v>
      </c>
      <c r="F348" s="126" t="s">
        <v>1283</v>
      </c>
      <c r="G348" s="126" t="s">
        <v>394</v>
      </c>
      <c r="H348" s="126" t="s">
        <v>394</v>
      </c>
      <c r="I348" s="126" t="s">
        <v>394</v>
      </c>
      <c r="J348" s="126" t="s">
        <v>85</v>
      </c>
      <c r="K348" s="126" t="s">
        <v>687</v>
      </c>
      <c r="L348" s="126" t="s">
        <v>760</v>
      </c>
      <c r="M348" s="108">
        <v>44041.0</v>
      </c>
      <c r="N348" s="126" t="s">
        <v>735</v>
      </c>
      <c r="O348" s="116" t="s">
        <v>736</v>
      </c>
      <c r="P348" s="126" t="s">
        <v>761</v>
      </c>
      <c r="Q348" s="126" t="s">
        <v>761</v>
      </c>
      <c r="R348" s="132"/>
      <c r="S348" s="132"/>
      <c r="T348" s="132"/>
      <c r="U348" s="132"/>
      <c r="V348" s="132"/>
      <c r="W348" s="132"/>
      <c r="X348" s="132"/>
      <c r="Y348" s="132"/>
      <c r="Z348" s="132"/>
    </row>
    <row r="349" ht="15.75" customHeight="1">
      <c r="A349" s="105" t="s">
        <v>1284</v>
      </c>
      <c r="B349" s="105" t="s">
        <v>197</v>
      </c>
      <c r="C349" s="106" t="s">
        <v>1285</v>
      </c>
      <c r="D349" s="107" t="s">
        <v>185</v>
      </c>
      <c r="E349" s="106" t="s">
        <v>685</v>
      </c>
      <c r="F349" s="126" t="s">
        <v>1283</v>
      </c>
      <c r="G349" s="126" t="s">
        <v>394</v>
      </c>
      <c r="H349" s="126" t="s">
        <v>394</v>
      </c>
      <c r="I349" s="126" t="s">
        <v>394</v>
      </c>
      <c r="J349" s="126" t="s">
        <v>85</v>
      </c>
      <c r="K349" s="126" t="s">
        <v>687</v>
      </c>
      <c r="L349" s="126" t="s">
        <v>760</v>
      </c>
      <c r="M349" s="108">
        <v>44041.0</v>
      </c>
      <c r="N349" s="126" t="s">
        <v>735</v>
      </c>
      <c r="O349" s="116" t="s">
        <v>736</v>
      </c>
      <c r="P349" s="126" t="s">
        <v>761</v>
      </c>
      <c r="Q349" s="126" t="s">
        <v>761</v>
      </c>
      <c r="R349" s="132"/>
      <c r="S349" s="132"/>
      <c r="T349" s="132"/>
      <c r="U349" s="132"/>
      <c r="V349" s="132"/>
      <c r="W349" s="132"/>
      <c r="X349" s="132"/>
      <c r="Y349" s="132"/>
      <c r="Z349" s="132"/>
    </row>
    <row r="350" ht="15.75" customHeight="1">
      <c r="A350" s="105" t="s">
        <v>1286</v>
      </c>
      <c r="B350" s="105" t="s">
        <v>197</v>
      </c>
      <c r="C350" s="106" t="s">
        <v>1287</v>
      </c>
      <c r="D350" s="107" t="s">
        <v>185</v>
      </c>
      <c r="E350" s="106" t="s">
        <v>685</v>
      </c>
      <c r="F350" s="126" t="s">
        <v>1283</v>
      </c>
      <c r="G350" s="126" t="s">
        <v>394</v>
      </c>
      <c r="H350" s="126" t="s">
        <v>394</v>
      </c>
      <c r="I350" s="126" t="s">
        <v>394</v>
      </c>
      <c r="J350" s="126" t="s">
        <v>85</v>
      </c>
      <c r="K350" s="126" t="s">
        <v>687</v>
      </c>
      <c r="L350" s="126" t="s">
        <v>760</v>
      </c>
      <c r="M350" s="108">
        <v>44041.0</v>
      </c>
      <c r="N350" s="126" t="s">
        <v>735</v>
      </c>
      <c r="O350" s="116" t="s">
        <v>736</v>
      </c>
      <c r="P350" s="126" t="s">
        <v>761</v>
      </c>
      <c r="Q350" s="126" t="s">
        <v>761</v>
      </c>
      <c r="R350" s="132"/>
      <c r="S350" s="132"/>
      <c r="T350" s="132"/>
      <c r="U350" s="132"/>
      <c r="V350" s="132"/>
      <c r="W350" s="132"/>
      <c r="X350" s="132"/>
      <c r="Y350" s="132"/>
      <c r="Z350" s="132"/>
    </row>
    <row r="351" ht="15.75" customHeight="1">
      <c r="A351" s="105" t="s">
        <v>1288</v>
      </c>
      <c r="B351" s="105" t="s">
        <v>197</v>
      </c>
      <c r="C351" s="106" t="s">
        <v>1289</v>
      </c>
      <c r="D351" s="107" t="s">
        <v>185</v>
      </c>
      <c r="E351" s="106" t="s">
        <v>685</v>
      </c>
      <c r="F351" s="126" t="s">
        <v>1283</v>
      </c>
      <c r="G351" s="126" t="s">
        <v>394</v>
      </c>
      <c r="H351" s="126" t="s">
        <v>394</v>
      </c>
      <c r="I351" s="126" t="s">
        <v>394</v>
      </c>
      <c r="J351" s="126" t="s">
        <v>85</v>
      </c>
      <c r="K351" s="126" t="s">
        <v>687</v>
      </c>
      <c r="L351" s="126" t="s">
        <v>760</v>
      </c>
      <c r="M351" s="108">
        <v>44041.0</v>
      </c>
      <c r="N351" s="126" t="s">
        <v>735</v>
      </c>
      <c r="O351" s="116" t="s">
        <v>736</v>
      </c>
      <c r="P351" s="126" t="s">
        <v>761</v>
      </c>
      <c r="Q351" s="126" t="s">
        <v>761</v>
      </c>
      <c r="R351" s="132"/>
      <c r="S351" s="132"/>
      <c r="T351" s="132"/>
      <c r="U351" s="132"/>
      <c r="V351" s="132"/>
      <c r="W351" s="132"/>
      <c r="X351" s="132"/>
      <c r="Y351" s="132"/>
      <c r="Z351" s="132"/>
    </row>
    <row r="352" ht="15.75" customHeight="1">
      <c r="A352" s="105" t="s">
        <v>1290</v>
      </c>
      <c r="B352" s="105" t="s">
        <v>197</v>
      </c>
      <c r="C352" s="106" t="s">
        <v>1291</v>
      </c>
      <c r="D352" s="107" t="s">
        <v>185</v>
      </c>
      <c r="E352" s="106" t="s">
        <v>685</v>
      </c>
      <c r="F352" s="126" t="s">
        <v>1283</v>
      </c>
      <c r="G352" s="126" t="s">
        <v>394</v>
      </c>
      <c r="H352" s="126" t="s">
        <v>394</v>
      </c>
      <c r="I352" s="126" t="s">
        <v>394</v>
      </c>
      <c r="J352" s="126" t="s">
        <v>85</v>
      </c>
      <c r="K352" s="126" t="s">
        <v>687</v>
      </c>
      <c r="L352" s="126" t="s">
        <v>760</v>
      </c>
      <c r="M352" s="108">
        <v>44041.0</v>
      </c>
      <c r="N352" s="126" t="s">
        <v>735</v>
      </c>
      <c r="O352" s="116" t="s">
        <v>736</v>
      </c>
      <c r="P352" s="126" t="s">
        <v>761</v>
      </c>
      <c r="Q352" s="126" t="s">
        <v>761</v>
      </c>
      <c r="R352" s="132"/>
      <c r="S352" s="132"/>
      <c r="T352" s="132"/>
      <c r="U352" s="132"/>
      <c r="V352" s="132"/>
      <c r="W352" s="132"/>
      <c r="X352" s="132"/>
      <c r="Y352" s="132"/>
      <c r="Z352" s="132"/>
    </row>
    <row r="353" ht="15.75" customHeight="1">
      <c r="A353" s="105" t="s">
        <v>1292</v>
      </c>
      <c r="B353" s="105" t="s">
        <v>197</v>
      </c>
      <c r="C353" s="106" t="s">
        <v>1293</v>
      </c>
      <c r="D353" s="107" t="s">
        <v>185</v>
      </c>
      <c r="E353" s="106" t="s">
        <v>685</v>
      </c>
      <c r="F353" s="126" t="s">
        <v>1283</v>
      </c>
      <c r="G353" s="126" t="s">
        <v>394</v>
      </c>
      <c r="H353" s="126" t="s">
        <v>394</v>
      </c>
      <c r="I353" s="126" t="s">
        <v>394</v>
      </c>
      <c r="J353" s="126" t="s">
        <v>85</v>
      </c>
      <c r="K353" s="126" t="s">
        <v>687</v>
      </c>
      <c r="L353" s="126" t="s">
        <v>760</v>
      </c>
      <c r="M353" s="108">
        <v>44041.0</v>
      </c>
      <c r="N353" s="126" t="s">
        <v>735</v>
      </c>
      <c r="O353" s="116" t="s">
        <v>736</v>
      </c>
      <c r="P353" s="126" t="s">
        <v>761</v>
      </c>
      <c r="Q353" s="126" t="s">
        <v>761</v>
      </c>
      <c r="R353" s="132"/>
      <c r="S353" s="132"/>
      <c r="T353" s="132"/>
      <c r="U353" s="132"/>
      <c r="V353" s="132"/>
      <c r="W353" s="132"/>
      <c r="X353" s="132"/>
      <c r="Y353" s="132"/>
      <c r="Z353" s="132"/>
    </row>
    <row r="354" ht="15.75" customHeight="1">
      <c r="A354" s="105" t="s">
        <v>1294</v>
      </c>
      <c r="B354" s="105" t="s">
        <v>197</v>
      </c>
      <c r="C354" s="106" t="s">
        <v>1295</v>
      </c>
      <c r="D354" s="107" t="s">
        <v>185</v>
      </c>
      <c r="E354" s="106" t="s">
        <v>685</v>
      </c>
      <c r="F354" s="126" t="s">
        <v>1296</v>
      </c>
      <c r="G354" s="126" t="s">
        <v>394</v>
      </c>
      <c r="H354" s="126" t="s">
        <v>394</v>
      </c>
      <c r="I354" s="126" t="s">
        <v>394</v>
      </c>
      <c r="J354" s="126" t="s">
        <v>85</v>
      </c>
      <c r="K354" s="126" t="s">
        <v>687</v>
      </c>
      <c r="L354" s="126" t="s">
        <v>688</v>
      </c>
      <c r="M354" s="108">
        <v>44042.0</v>
      </c>
      <c r="N354" s="126" t="s">
        <v>701</v>
      </c>
      <c r="O354" s="116" t="s">
        <v>736</v>
      </c>
      <c r="P354" s="126" t="s">
        <v>744</v>
      </c>
      <c r="Q354" s="126" t="s">
        <v>744</v>
      </c>
      <c r="R354" s="132"/>
      <c r="S354" s="132"/>
      <c r="T354" s="132"/>
      <c r="U354" s="132"/>
      <c r="V354" s="132"/>
      <c r="W354" s="132"/>
      <c r="X354" s="132"/>
      <c r="Y354" s="132"/>
      <c r="Z354" s="132"/>
    </row>
    <row r="355" ht="15.75" customHeight="1">
      <c r="A355" s="105" t="s">
        <v>1297</v>
      </c>
      <c r="B355" s="105" t="s">
        <v>197</v>
      </c>
      <c r="C355" s="106" t="s">
        <v>1298</v>
      </c>
      <c r="D355" s="107" t="s">
        <v>185</v>
      </c>
      <c r="E355" s="106" t="s">
        <v>1299</v>
      </c>
      <c r="F355" s="134">
        <v>56.67</v>
      </c>
      <c r="G355" s="136" t="s">
        <v>394</v>
      </c>
      <c r="H355" s="136" t="s">
        <v>394</v>
      </c>
      <c r="I355" s="136" t="s">
        <v>394</v>
      </c>
      <c r="J355" s="135" t="s">
        <v>85</v>
      </c>
      <c r="K355" s="136" t="s">
        <v>687</v>
      </c>
      <c r="L355" s="135"/>
      <c r="M355" s="135"/>
      <c r="N355" s="135"/>
      <c r="O355" s="135"/>
      <c r="P355" s="134" t="s">
        <v>750</v>
      </c>
      <c r="Q355" s="134" t="s">
        <v>750</v>
      </c>
      <c r="R355" s="132"/>
      <c r="S355" s="132"/>
      <c r="T355" s="132"/>
      <c r="U355" s="132"/>
      <c r="V355" s="132"/>
      <c r="W355" s="132"/>
      <c r="X355" s="132"/>
      <c r="Y355" s="132"/>
      <c r="Z355" s="132"/>
    </row>
    <row r="356" ht="15.75" customHeight="1">
      <c r="A356" s="105" t="s">
        <v>1300</v>
      </c>
      <c r="B356" s="105" t="s">
        <v>197</v>
      </c>
      <c r="C356" s="106" t="s">
        <v>1301</v>
      </c>
      <c r="D356" s="107" t="s">
        <v>185</v>
      </c>
      <c r="E356" s="106" t="s">
        <v>1299</v>
      </c>
      <c r="F356" s="134">
        <v>86.5</v>
      </c>
      <c r="G356" s="136" t="s">
        <v>394</v>
      </c>
      <c r="H356" s="136" t="s">
        <v>394</v>
      </c>
      <c r="I356" s="136" t="s">
        <v>394</v>
      </c>
      <c r="J356" s="135" t="s">
        <v>85</v>
      </c>
      <c r="K356" s="136" t="s">
        <v>687</v>
      </c>
      <c r="L356" s="135"/>
      <c r="M356" s="135"/>
      <c r="N356" s="135"/>
      <c r="O356" s="135"/>
      <c r="P356" s="134" t="s">
        <v>750</v>
      </c>
      <c r="Q356" s="134" t="s">
        <v>750</v>
      </c>
      <c r="R356" s="132"/>
      <c r="S356" s="132"/>
      <c r="T356" s="132"/>
      <c r="U356" s="132"/>
      <c r="V356" s="132"/>
      <c r="W356" s="132"/>
      <c r="X356" s="132"/>
      <c r="Y356" s="132"/>
      <c r="Z356" s="132"/>
    </row>
    <row r="357" ht="15.75" customHeight="1">
      <c r="A357" s="105" t="s">
        <v>1302</v>
      </c>
      <c r="B357" s="105" t="s">
        <v>197</v>
      </c>
      <c r="C357" s="106" t="s">
        <v>1303</v>
      </c>
      <c r="D357" s="107" t="s">
        <v>185</v>
      </c>
      <c r="E357" s="106" t="s">
        <v>1299</v>
      </c>
      <c r="F357" s="134">
        <v>61.0</v>
      </c>
      <c r="G357" s="136" t="s">
        <v>394</v>
      </c>
      <c r="H357" s="136" t="s">
        <v>394</v>
      </c>
      <c r="I357" s="136" t="s">
        <v>394</v>
      </c>
      <c r="J357" s="135" t="s">
        <v>85</v>
      </c>
      <c r="K357" s="136" t="s">
        <v>687</v>
      </c>
      <c r="L357" s="135"/>
      <c r="M357" s="135"/>
      <c r="N357" s="135"/>
      <c r="O357" s="135"/>
      <c r="P357" s="134" t="s">
        <v>750</v>
      </c>
      <c r="Q357" s="134" t="s">
        <v>750</v>
      </c>
      <c r="R357" s="132"/>
      <c r="S357" s="132"/>
      <c r="T357" s="132"/>
      <c r="U357" s="132"/>
      <c r="V357" s="132"/>
      <c r="W357" s="132"/>
      <c r="X357" s="132"/>
      <c r="Y357" s="132"/>
      <c r="Z357" s="132"/>
    </row>
    <row r="358" ht="15.75" customHeight="1">
      <c r="A358" s="105" t="s">
        <v>1304</v>
      </c>
      <c r="B358" s="105" t="s">
        <v>696</v>
      </c>
      <c r="C358" s="106" t="s">
        <v>1305</v>
      </c>
      <c r="D358" s="107" t="s">
        <v>83</v>
      </c>
      <c r="E358" s="106" t="s">
        <v>1306</v>
      </c>
      <c r="F358" s="134" t="s">
        <v>1307</v>
      </c>
      <c r="G358" s="136" t="s">
        <v>394</v>
      </c>
      <c r="H358" s="136" t="s">
        <v>394</v>
      </c>
      <c r="I358" s="136" t="s">
        <v>394</v>
      </c>
      <c r="J358" s="135" t="s">
        <v>85</v>
      </c>
      <c r="K358" s="136" t="s">
        <v>687</v>
      </c>
      <c r="L358" s="135"/>
      <c r="M358" s="135"/>
      <c r="N358" s="135"/>
      <c r="O358" s="135"/>
      <c r="P358" s="134" t="s">
        <v>744</v>
      </c>
      <c r="Q358" s="139" t="s">
        <v>744</v>
      </c>
      <c r="R358" s="132"/>
      <c r="S358" s="132"/>
      <c r="T358" s="132"/>
      <c r="U358" s="132"/>
      <c r="V358" s="132"/>
      <c r="W358" s="132"/>
      <c r="X358" s="132"/>
      <c r="Y358" s="132"/>
      <c r="Z358" s="132"/>
    </row>
    <row r="359" ht="15.75" customHeight="1">
      <c r="A359" s="105" t="s">
        <v>1308</v>
      </c>
      <c r="B359" s="105" t="s">
        <v>197</v>
      </c>
      <c r="C359" s="106" t="s">
        <v>1341</v>
      </c>
      <c r="D359" s="107" t="s">
        <v>185</v>
      </c>
      <c r="E359" s="106" t="s">
        <v>1299</v>
      </c>
      <c r="F359" s="134">
        <v>25.0</v>
      </c>
      <c r="G359" s="136" t="s">
        <v>394</v>
      </c>
      <c r="H359" s="136" t="s">
        <v>1310</v>
      </c>
      <c r="I359" s="136" t="s">
        <v>394</v>
      </c>
      <c r="J359" s="135" t="s">
        <v>85</v>
      </c>
      <c r="K359" s="136" t="s">
        <v>687</v>
      </c>
      <c r="L359" s="135"/>
      <c r="M359" s="135"/>
      <c r="N359" s="135"/>
      <c r="O359" s="135"/>
      <c r="P359" s="134" t="s">
        <v>724</v>
      </c>
      <c r="Q359" s="134" t="s">
        <v>724</v>
      </c>
      <c r="R359" s="132"/>
      <c r="S359" s="132"/>
      <c r="T359" s="132"/>
      <c r="U359" s="132"/>
      <c r="V359" s="132"/>
      <c r="W359" s="132"/>
      <c r="X359" s="132"/>
      <c r="Y359" s="132"/>
      <c r="Z359" s="132"/>
    </row>
    <row r="360" ht="15.75" customHeight="1">
      <c r="A360" s="105" t="s">
        <v>1311</v>
      </c>
      <c r="B360" s="105" t="s">
        <v>197</v>
      </c>
      <c r="C360" s="106" t="s">
        <v>1342</v>
      </c>
      <c r="D360" s="107" t="s">
        <v>185</v>
      </c>
      <c r="E360" s="106" t="s">
        <v>1299</v>
      </c>
      <c r="F360" s="134">
        <v>5.0</v>
      </c>
      <c r="G360" s="136" t="s">
        <v>394</v>
      </c>
      <c r="H360" s="136" t="s">
        <v>1310</v>
      </c>
      <c r="I360" s="136" t="s">
        <v>394</v>
      </c>
      <c r="J360" s="135" t="s">
        <v>85</v>
      </c>
      <c r="K360" s="136" t="s">
        <v>687</v>
      </c>
      <c r="L360" s="135"/>
      <c r="M360" s="135"/>
      <c r="N360" s="135"/>
      <c r="O360" s="135"/>
      <c r="P360" s="134" t="s">
        <v>724</v>
      </c>
      <c r="Q360" s="134" t="s">
        <v>724</v>
      </c>
      <c r="R360" s="132"/>
      <c r="S360" s="132"/>
      <c r="T360" s="132"/>
      <c r="U360" s="132"/>
      <c r="V360" s="132"/>
      <c r="W360" s="132"/>
      <c r="X360" s="132"/>
      <c r="Y360" s="132"/>
      <c r="Z360" s="132"/>
    </row>
    <row r="361" ht="15.75" customHeight="1">
      <c r="A361" s="105" t="s">
        <v>210</v>
      </c>
      <c r="B361" s="105" t="s">
        <v>197</v>
      </c>
      <c r="C361" s="106" t="s">
        <v>211</v>
      </c>
      <c r="D361" s="107" t="s">
        <v>185</v>
      </c>
      <c r="E361" s="106" t="s">
        <v>720</v>
      </c>
      <c r="F361" s="134" t="b">
        <v>1</v>
      </c>
      <c r="G361" s="136" t="s">
        <v>394</v>
      </c>
      <c r="H361" s="136" t="s">
        <v>91</v>
      </c>
      <c r="I361" s="136" t="s">
        <v>394</v>
      </c>
      <c r="J361" s="135" t="s">
        <v>85</v>
      </c>
      <c r="K361" s="136" t="s">
        <v>749</v>
      </c>
      <c r="L361" s="135"/>
      <c r="M361" s="135"/>
      <c r="N361" s="135" t="s">
        <v>735</v>
      </c>
      <c r="O361" s="135" t="s">
        <v>732</v>
      </c>
      <c r="P361" s="134" t="s">
        <v>702</v>
      </c>
      <c r="Q361" s="134" t="s">
        <v>702</v>
      </c>
      <c r="R361" s="132"/>
      <c r="S361" s="132"/>
      <c r="T361" s="132"/>
      <c r="U361" s="132"/>
      <c r="V361" s="132"/>
      <c r="W361" s="132"/>
      <c r="X361" s="132"/>
      <c r="Y361" s="132"/>
      <c r="Z361" s="132"/>
    </row>
    <row r="362" ht="15.75" customHeight="1">
      <c r="A362" s="105" t="s">
        <v>1343</v>
      </c>
      <c r="B362" s="105" t="s">
        <v>197</v>
      </c>
      <c r="C362" s="106" t="s">
        <v>1344</v>
      </c>
      <c r="D362" s="107" t="s">
        <v>185</v>
      </c>
      <c r="E362" s="106" t="s">
        <v>1345</v>
      </c>
      <c r="F362" s="134">
        <v>43666.333333333336</v>
      </c>
      <c r="G362" s="136" t="s">
        <v>3650</v>
      </c>
      <c r="H362" s="136" t="s">
        <v>3651</v>
      </c>
      <c r="I362" s="136" t="s">
        <v>3652</v>
      </c>
      <c r="J362" s="135" t="s">
        <v>85</v>
      </c>
      <c r="K362" s="136" t="s">
        <v>687</v>
      </c>
      <c r="L362" s="135" t="s">
        <v>760</v>
      </c>
      <c r="M362" s="135"/>
      <c r="N362" s="135"/>
      <c r="O362" s="135"/>
      <c r="P362" s="134" t="s">
        <v>724</v>
      </c>
      <c r="Q362" s="134" t="s">
        <v>724</v>
      </c>
      <c r="R362" s="132"/>
      <c r="S362" s="132"/>
      <c r="T362" s="132"/>
      <c r="U362" s="132"/>
      <c r="V362" s="132"/>
      <c r="W362" s="132"/>
      <c r="X362" s="132"/>
      <c r="Y362" s="132"/>
      <c r="Z362" s="132"/>
    </row>
    <row r="363" ht="15.75" customHeight="1">
      <c r="A363" s="105" t="s">
        <v>1347</v>
      </c>
      <c r="B363" s="105" t="s">
        <v>52</v>
      </c>
      <c r="C363" s="106" t="s">
        <v>1348</v>
      </c>
      <c r="D363" s="107" t="s">
        <v>185</v>
      </c>
      <c r="E363" s="106" t="s">
        <v>1299</v>
      </c>
      <c r="F363" s="134">
        <v>120.0</v>
      </c>
      <c r="G363" s="136" t="s">
        <v>3650</v>
      </c>
      <c r="H363" s="136" t="s">
        <v>3651</v>
      </c>
      <c r="I363" s="136" t="s">
        <v>3652</v>
      </c>
      <c r="J363" s="135" t="s">
        <v>85</v>
      </c>
      <c r="K363" s="136" t="s">
        <v>687</v>
      </c>
      <c r="L363" s="135" t="s">
        <v>760</v>
      </c>
      <c r="M363" s="135"/>
      <c r="N363" s="135"/>
      <c r="O363" s="135"/>
      <c r="P363" s="134" t="s">
        <v>721</v>
      </c>
      <c r="Q363" s="134" t="s">
        <v>721</v>
      </c>
      <c r="R363" s="132"/>
      <c r="S363" s="132"/>
      <c r="T363" s="132"/>
      <c r="U363" s="132"/>
      <c r="V363" s="132"/>
      <c r="W363" s="132"/>
      <c r="X363" s="132"/>
      <c r="Y363" s="132"/>
      <c r="Z363" s="132"/>
    </row>
    <row r="364" ht="15.75" customHeight="1">
      <c r="A364" s="105" t="s">
        <v>1349</v>
      </c>
      <c r="B364" s="105" t="s">
        <v>52</v>
      </c>
      <c r="C364" s="106" t="s">
        <v>1350</v>
      </c>
      <c r="D364" s="107" t="s">
        <v>185</v>
      </c>
      <c r="E364" s="106" t="s">
        <v>1299</v>
      </c>
      <c r="F364" s="134">
        <v>120.0</v>
      </c>
      <c r="G364" s="136" t="s">
        <v>3650</v>
      </c>
      <c r="H364" s="136" t="s">
        <v>3651</v>
      </c>
      <c r="I364" s="136" t="s">
        <v>3652</v>
      </c>
      <c r="J364" s="135" t="s">
        <v>85</v>
      </c>
      <c r="K364" s="136" t="s">
        <v>687</v>
      </c>
      <c r="L364" s="135" t="s">
        <v>760</v>
      </c>
      <c r="M364" s="135"/>
      <c r="N364" s="135"/>
      <c r="O364" s="135"/>
      <c r="P364" s="134" t="s">
        <v>721</v>
      </c>
      <c r="Q364" s="134" t="s">
        <v>721</v>
      </c>
      <c r="R364" s="132"/>
      <c r="S364" s="132"/>
      <c r="T364" s="132"/>
      <c r="U364" s="132"/>
      <c r="V364" s="132"/>
      <c r="W364" s="132"/>
      <c r="X364" s="132"/>
      <c r="Y364" s="132"/>
      <c r="Z364" s="132"/>
    </row>
    <row r="365" ht="15.75" customHeight="1">
      <c r="A365" s="105" t="s">
        <v>1351</v>
      </c>
      <c r="B365" s="105" t="s">
        <v>197</v>
      </c>
      <c r="C365" s="106" t="s">
        <v>1352</v>
      </c>
      <c r="D365" s="107" t="s">
        <v>185</v>
      </c>
      <c r="E365" s="106" t="s">
        <v>1299</v>
      </c>
      <c r="F365" s="134">
        <v>20.25</v>
      </c>
      <c r="G365" s="136" t="s">
        <v>3650</v>
      </c>
      <c r="H365" s="136" t="s">
        <v>3651</v>
      </c>
      <c r="I365" s="136" t="s">
        <v>3652</v>
      </c>
      <c r="J365" s="135" t="s">
        <v>85</v>
      </c>
      <c r="K365" s="136" t="s">
        <v>687</v>
      </c>
      <c r="L365" s="135" t="s">
        <v>760</v>
      </c>
      <c r="M365" s="135"/>
      <c r="N365" s="135"/>
      <c r="O365" s="135"/>
      <c r="P365" s="134" t="s">
        <v>750</v>
      </c>
      <c r="Q365" s="134" t="s">
        <v>750</v>
      </c>
      <c r="R365" s="132"/>
      <c r="S365" s="132"/>
      <c r="T365" s="132"/>
      <c r="U365" s="132"/>
      <c r="V365" s="132"/>
      <c r="W365" s="132"/>
      <c r="X365" s="132"/>
      <c r="Y365" s="132"/>
      <c r="Z365" s="132"/>
    </row>
    <row r="366" ht="15.75" customHeight="1">
      <c r="A366" s="105" t="s">
        <v>1353</v>
      </c>
      <c r="B366" s="105" t="s">
        <v>52</v>
      </c>
      <c r="C366" s="106" t="s">
        <v>1354</v>
      </c>
      <c r="D366" s="107" t="s">
        <v>185</v>
      </c>
      <c r="E366" s="106" t="s">
        <v>1345</v>
      </c>
      <c r="F366" s="134">
        <v>43678.333333333336</v>
      </c>
      <c r="G366" s="136" t="s">
        <v>3650</v>
      </c>
      <c r="H366" s="136" t="s">
        <v>3651</v>
      </c>
      <c r="I366" s="136" t="s">
        <v>3652</v>
      </c>
      <c r="J366" s="135" t="s">
        <v>85</v>
      </c>
      <c r="K366" s="136" t="s">
        <v>687</v>
      </c>
      <c r="L366" s="135" t="s">
        <v>760</v>
      </c>
      <c r="M366" s="135"/>
      <c r="N366" s="135"/>
      <c r="O366" s="135"/>
      <c r="P366" s="134" t="s">
        <v>721</v>
      </c>
      <c r="Q366" s="134" t="s">
        <v>721</v>
      </c>
      <c r="R366" s="132"/>
      <c r="S366" s="132"/>
      <c r="T366" s="132"/>
      <c r="U366" s="132"/>
      <c r="V366" s="132"/>
      <c r="W366" s="132"/>
      <c r="X366" s="132"/>
      <c r="Y366" s="132"/>
      <c r="Z366" s="132"/>
    </row>
    <row r="367" ht="15.75" customHeight="1">
      <c r="A367" s="105" t="s">
        <v>1355</v>
      </c>
      <c r="B367" s="105" t="s">
        <v>152</v>
      </c>
      <c r="C367" s="106" t="s">
        <v>1356</v>
      </c>
      <c r="D367" s="107" t="s">
        <v>185</v>
      </c>
      <c r="E367" s="106" t="s">
        <v>1306</v>
      </c>
      <c r="F367" s="134" t="s">
        <v>1357</v>
      </c>
      <c r="G367" s="136" t="s">
        <v>3650</v>
      </c>
      <c r="H367" s="136" t="s">
        <v>3653</v>
      </c>
      <c r="I367" s="136" t="s">
        <v>3654</v>
      </c>
      <c r="J367" s="135" t="s">
        <v>85</v>
      </c>
      <c r="K367" s="136" t="s">
        <v>1359</v>
      </c>
      <c r="L367" s="135" t="s">
        <v>1360</v>
      </c>
      <c r="M367" s="135"/>
      <c r="N367" s="135"/>
      <c r="O367" s="135"/>
      <c r="P367" s="134" t="s">
        <v>782</v>
      </c>
      <c r="Q367" s="134" t="s">
        <v>782</v>
      </c>
      <c r="R367" s="132"/>
      <c r="S367" s="132"/>
      <c r="T367" s="132"/>
      <c r="U367" s="132"/>
      <c r="V367" s="132"/>
      <c r="W367" s="132"/>
      <c r="X367" s="132"/>
      <c r="Y367" s="132"/>
      <c r="Z367" s="132"/>
    </row>
    <row r="368" ht="15.75" customHeight="1">
      <c r="A368" s="105" t="s">
        <v>1361</v>
      </c>
      <c r="B368" s="105" t="s">
        <v>152</v>
      </c>
      <c r="C368" s="106" t="s">
        <v>1362</v>
      </c>
      <c r="D368" s="107" t="s">
        <v>185</v>
      </c>
      <c r="E368" s="106" t="s">
        <v>1306</v>
      </c>
      <c r="F368" s="134" t="s">
        <v>1363</v>
      </c>
      <c r="G368" s="136" t="s">
        <v>3650</v>
      </c>
      <c r="H368" s="136" t="s">
        <v>3653</v>
      </c>
      <c r="I368" s="136" t="s">
        <v>3654</v>
      </c>
      <c r="J368" s="135" t="s">
        <v>85</v>
      </c>
      <c r="K368" s="136" t="s">
        <v>1359</v>
      </c>
      <c r="L368" s="135" t="s">
        <v>1360</v>
      </c>
      <c r="M368" s="135"/>
      <c r="N368" s="135"/>
      <c r="O368" s="135"/>
      <c r="P368" s="134" t="s">
        <v>782</v>
      </c>
      <c r="Q368" s="134" t="s">
        <v>782</v>
      </c>
      <c r="R368" s="132"/>
      <c r="S368" s="132"/>
      <c r="T368" s="132"/>
      <c r="U368" s="132"/>
      <c r="V368" s="132"/>
      <c r="W368" s="132"/>
      <c r="X368" s="132"/>
      <c r="Y368" s="132"/>
      <c r="Z368" s="132"/>
    </row>
    <row r="369" ht="15.75" customHeight="1">
      <c r="A369" s="105" t="s">
        <v>1364</v>
      </c>
      <c r="B369" s="105" t="s">
        <v>152</v>
      </c>
      <c r="C369" s="106" t="s">
        <v>1365</v>
      </c>
      <c r="D369" s="107" t="s">
        <v>185</v>
      </c>
      <c r="E369" s="106" t="s">
        <v>1306</v>
      </c>
      <c r="F369" s="134" t="s">
        <v>1357</v>
      </c>
      <c r="G369" s="136" t="s">
        <v>3650</v>
      </c>
      <c r="H369" s="136" t="s">
        <v>3653</v>
      </c>
      <c r="I369" s="136" t="s">
        <v>3654</v>
      </c>
      <c r="J369" s="135" t="s">
        <v>85</v>
      </c>
      <c r="K369" s="136" t="s">
        <v>1359</v>
      </c>
      <c r="L369" s="135" t="s">
        <v>1360</v>
      </c>
      <c r="M369" s="135"/>
      <c r="N369" s="135"/>
      <c r="O369" s="135"/>
      <c r="P369" s="134" t="s">
        <v>782</v>
      </c>
      <c r="Q369" s="134" t="s">
        <v>782</v>
      </c>
      <c r="R369" s="132"/>
      <c r="S369" s="132"/>
      <c r="T369" s="132"/>
      <c r="U369" s="132"/>
      <c r="V369" s="132"/>
      <c r="W369" s="132"/>
      <c r="X369" s="132"/>
      <c r="Y369" s="132"/>
      <c r="Z369" s="132"/>
    </row>
    <row r="370" ht="15.75" customHeight="1">
      <c r="A370" s="105" t="s">
        <v>1366</v>
      </c>
      <c r="B370" s="105" t="s">
        <v>152</v>
      </c>
      <c r="C370" s="106" t="s">
        <v>1367</v>
      </c>
      <c r="D370" s="107" t="s">
        <v>185</v>
      </c>
      <c r="E370" s="106" t="s">
        <v>1306</v>
      </c>
      <c r="F370" s="134" t="s">
        <v>1363</v>
      </c>
      <c r="G370" s="136" t="s">
        <v>3650</v>
      </c>
      <c r="H370" s="136" t="s">
        <v>3653</v>
      </c>
      <c r="I370" s="136" t="s">
        <v>3654</v>
      </c>
      <c r="J370" s="135" t="s">
        <v>85</v>
      </c>
      <c r="K370" s="136" t="s">
        <v>1359</v>
      </c>
      <c r="L370" s="135" t="s">
        <v>1360</v>
      </c>
      <c r="M370" s="135"/>
      <c r="N370" s="135"/>
      <c r="O370" s="135"/>
      <c r="P370" s="134" t="s">
        <v>782</v>
      </c>
      <c r="Q370" s="134" t="s">
        <v>782</v>
      </c>
      <c r="R370" s="132"/>
      <c r="S370" s="132"/>
      <c r="T370" s="132"/>
      <c r="U370" s="132"/>
      <c r="V370" s="132"/>
      <c r="W370" s="132"/>
      <c r="X370" s="132"/>
      <c r="Y370" s="132"/>
      <c r="Z370" s="132"/>
    </row>
    <row r="371" ht="15.75" customHeight="1">
      <c r="A371" s="105" t="s">
        <v>3655</v>
      </c>
      <c r="B371" s="105" t="s">
        <v>152</v>
      </c>
      <c r="C371" s="106" t="s">
        <v>1369</v>
      </c>
      <c r="D371" s="107" t="s">
        <v>83</v>
      </c>
      <c r="E371" s="106" t="s">
        <v>685</v>
      </c>
      <c r="F371" s="134" t="s">
        <v>1370</v>
      </c>
      <c r="G371" s="136" t="s">
        <v>1371</v>
      </c>
      <c r="H371" s="136" t="s">
        <v>686</v>
      </c>
      <c r="I371" s="136" t="s">
        <v>686</v>
      </c>
      <c r="J371" s="135" t="s">
        <v>85</v>
      </c>
      <c r="K371" s="136" t="s">
        <v>749</v>
      </c>
      <c r="L371" s="136" t="s">
        <v>749</v>
      </c>
      <c r="M371" s="108">
        <v>44042.0</v>
      </c>
      <c r="N371" s="135" t="s">
        <v>3656</v>
      </c>
      <c r="O371" s="138" t="s">
        <v>1372</v>
      </c>
      <c r="P371" s="134" t="s">
        <v>782</v>
      </c>
      <c r="Q371" s="134" t="s">
        <v>782</v>
      </c>
      <c r="R371" s="132"/>
      <c r="S371" s="132"/>
      <c r="T371" s="132"/>
      <c r="U371" s="132"/>
      <c r="V371" s="132"/>
      <c r="W371" s="132"/>
      <c r="X371" s="132"/>
      <c r="Y371" s="132"/>
      <c r="Z371" s="132"/>
    </row>
    <row r="372" ht="15.75" customHeight="1">
      <c r="A372" s="105" t="s">
        <v>3657</v>
      </c>
      <c r="B372" s="105" t="s">
        <v>152</v>
      </c>
      <c r="C372" s="106" t="s">
        <v>1374</v>
      </c>
      <c r="D372" s="107" t="s">
        <v>83</v>
      </c>
      <c r="E372" s="106" t="s">
        <v>685</v>
      </c>
      <c r="F372" s="134" t="s">
        <v>1375</v>
      </c>
      <c r="G372" s="136" t="s">
        <v>1371</v>
      </c>
      <c r="H372" s="136" t="s">
        <v>686</v>
      </c>
      <c r="I372" s="136" t="s">
        <v>686</v>
      </c>
      <c r="J372" s="135" t="s">
        <v>85</v>
      </c>
      <c r="K372" s="136" t="s">
        <v>749</v>
      </c>
      <c r="L372" s="136" t="s">
        <v>749</v>
      </c>
      <c r="M372" s="108">
        <v>44042.0</v>
      </c>
      <c r="N372" s="135" t="s">
        <v>3656</v>
      </c>
      <c r="O372" s="138" t="s">
        <v>1372</v>
      </c>
      <c r="P372" s="134" t="s">
        <v>782</v>
      </c>
      <c r="Q372" s="134" t="s">
        <v>782</v>
      </c>
      <c r="R372" s="132"/>
      <c r="S372" s="132"/>
      <c r="T372" s="132"/>
      <c r="U372" s="132"/>
      <c r="V372" s="132"/>
      <c r="W372" s="132"/>
      <c r="X372" s="132"/>
      <c r="Y372" s="132"/>
      <c r="Z372" s="132"/>
    </row>
    <row r="373" ht="15.75" customHeight="1">
      <c r="A373" s="105" t="s">
        <v>3658</v>
      </c>
      <c r="B373" s="105" t="s">
        <v>152</v>
      </c>
      <c r="C373" s="106" t="s">
        <v>1377</v>
      </c>
      <c r="D373" s="107" t="s">
        <v>83</v>
      </c>
      <c r="E373" s="106" t="s">
        <v>685</v>
      </c>
      <c r="F373" s="134" t="s">
        <v>1378</v>
      </c>
      <c r="G373" s="136" t="s">
        <v>1371</v>
      </c>
      <c r="H373" s="136" t="s">
        <v>686</v>
      </c>
      <c r="I373" s="136" t="s">
        <v>686</v>
      </c>
      <c r="J373" s="135" t="s">
        <v>85</v>
      </c>
      <c r="K373" s="136" t="s">
        <v>749</v>
      </c>
      <c r="L373" s="136" t="s">
        <v>749</v>
      </c>
      <c r="M373" s="108">
        <v>44042.0</v>
      </c>
      <c r="N373" s="135" t="s">
        <v>3656</v>
      </c>
      <c r="O373" s="138" t="s">
        <v>1372</v>
      </c>
      <c r="P373" s="134" t="s">
        <v>782</v>
      </c>
      <c r="Q373" s="134" t="s">
        <v>782</v>
      </c>
      <c r="R373" s="132"/>
      <c r="S373" s="132"/>
      <c r="T373" s="132"/>
      <c r="U373" s="132"/>
      <c r="V373" s="132"/>
      <c r="W373" s="132"/>
      <c r="X373" s="132"/>
      <c r="Y373" s="132"/>
      <c r="Z373" s="132"/>
    </row>
    <row r="374" ht="15.75" customHeight="1">
      <c r="A374" s="105" t="s">
        <v>3659</v>
      </c>
      <c r="B374" s="105" t="s">
        <v>152</v>
      </c>
      <c r="C374" s="106" t="s">
        <v>1380</v>
      </c>
      <c r="D374" s="107" t="s">
        <v>83</v>
      </c>
      <c r="E374" s="106" t="s">
        <v>685</v>
      </c>
      <c r="F374" s="134" t="s">
        <v>1381</v>
      </c>
      <c r="G374" s="136" t="s">
        <v>1371</v>
      </c>
      <c r="H374" s="136" t="s">
        <v>686</v>
      </c>
      <c r="I374" s="136" t="s">
        <v>686</v>
      </c>
      <c r="J374" s="135" t="s">
        <v>85</v>
      </c>
      <c r="K374" s="136" t="s">
        <v>749</v>
      </c>
      <c r="L374" s="136" t="s">
        <v>749</v>
      </c>
      <c r="M374" s="108">
        <v>44042.0</v>
      </c>
      <c r="N374" s="135" t="s">
        <v>3656</v>
      </c>
      <c r="O374" s="138" t="s">
        <v>1372</v>
      </c>
      <c r="P374" s="134" t="s">
        <v>782</v>
      </c>
      <c r="Q374" s="134" t="s">
        <v>782</v>
      </c>
      <c r="R374" s="132"/>
      <c r="S374" s="132"/>
      <c r="T374" s="132"/>
      <c r="U374" s="132"/>
      <c r="V374" s="132"/>
      <c r="W374" s="132"/>
      <c r="X374" s="132"/>
      <c r="Y374" s="132"/>
      <c r="Z374" s="132"/>
    </row>
    <row r="375" ht="15.75" customHeight="1">
      <c r="A375" s="105" t="s">
        <v>1382</v>
      </c>
      <c r="B375" s="105" t="s">
        <v>197</v>
      </c>
      <c r="C375" s="106" t="s">
        <v>1383</v>
      </c>
      <c r="D375" s="107" t="s">
        <v>185</v>
      </c>
      <c r="E375" s="106" t="s">
        <v>1102</v>
      </c>
      <c r="F375" s="112">
        <v>23.55</v>
      </c>
      <c r="G375" s="136"/>
      <c r="H375" s="273" t="s">
        <v>3660</v>
      </c>
      <c r="I375" s="273" t="s">
        <v>723</v>
      </c>
      <c r="J375" s="135"/>
      <c r="K375" s="138" t="s">
        <v>687</v>
      </c>
      <c r="L375" s="135" t="s">
        <v>760</v>
      </c>
      <c r="M375" s="135"/>
      <c r="N375" s="135" t="s">
        <v>692</v>
      </c>
      <c r="O375" s="138" t="s">
        <v>690</v>
      </c>
      <c r="P375" s="141" t="s">
        <v>761</v>
      </c>
      <c r="Q375" s="141" t="s">
        <v>761</v>
      </c>
      <c r="R375" s="132"/>
      <c r="S375" s="132"/>
      <c r="T375" s="132"/>
      <c r="U375" s="132"/>
      <c r="V375" s="132"/>
      <c r="W375" s="132"/>
      <c r="X375" s="132"/>
      <c r="Y375" s="132"/>
      <c r="Z375" s="132"/>
    </row>
    <row r="376" ht="15.75" customHeight="1">
      <c r="A376" s="105" t="s">
        <v>1384</v>
      </c>
      <c r="B376" s="105" t="s">
        <v>197</v>
      </c>
      <c r="C376" s="106" t="s">
        <v>1385</v>
      </c>
      <c r="D376" s="107" t="s">
        <v>185</v>
      </c>
      <c r="E376" s="106" t="s">
        <v>1306</v>
      </c>
      <c r="F376" s="141" t="s">
        <v>1386</v>
      </c>
      <c r="G376" s="136"/>
      <c r="H376" s="273" t="s">
        <v>3660</v>
      </c>
      <c r="I376" s="273" t="s">
        <v>723</v>
      </c>
      <c r="J376" s="135"/>
      <c r="K376" s="138" t="s">
        <v>749</v>
      </c>
      <c r="L376" s="112" t="s">
        <v>749</v>
      </c>
      <c r="M376" s="135"/>
      <c r="N376" s="135" t="s">
        <v>692</v>
      </c>
      <c r="O376" s="138" t="s">
        <v>690</v>
      </c>
      <c r="P376" s="141" t="s">
        <v>761</v>
      </c>
      <c r="Q376" s="141" t="s">
        <v>761</v>
      </c>
      <c r="R376" s="132"/>
      <c r="S376" s="132"/>
      <c r="T376" s="132"/>
      <c r="U376" s="132"/>
      <c r="V376" s="132"/>
      <c r="W376" s="132"/>
      <c r="X376" s="132"/>
      <c r="Y376" s="132"/>
      <c r="Z376" s="132"/>
    </row>
    <row r="377" ht="15.75" customHeight="1">
      <c r="A377" s="105" t="s">
        <v>1387</v>
      </c>
      <c r="B377" s="105" t="s">
        <v>696</v>
      </c>
      <c r="C377" s="106" t="s">
        <v>1388</v>
      </c>
      <c r="D377" s="107" t="s">
        <v>185</v>
      </c>
      <c r="E377" s="106" t="s">
        <v>1313</v>
      </c>
      <c r="F377" s="141">
        <v>4977716.0</v>
      </c>
      <c r="G377" s="136"/>
      <c r="H377" s="136"/>
      <c r="I377" s="136"/>
      <c r="J377" s="135"/>
      <c r="K377" s="138" t="s">
        <v>687</v>
      </c>
      <c r="L377" s="138" t="s">
        <v>688</v>
      </c>
      <c r="M377" s="135"/>
      <c r="N377" s="135" t="s">
        <v>1318</v>
      </c>
      <c r="O377" s="138" t="s">
        <v>690</v>
      </c>
      <c r="P377" s="141" t="s">
        <v>702</v>
      </c>
      <c r="Q377" s="141" t="s">
        <v>702</v>
      </c>
      <c r="R377" s="132"/>
      <c r="S377" s="132"/>
      <c r="T377" s="132"/>
      <c r="U377" s="132"/>
      <c r="V377" s="132"/>
      <c r="W377" s="132"/>
      <c r="X377" s="132"/>
      <c r="Y377" s="132"/>
      <c r="Z377" s="132"/>
    </row>
    <row r="378" ht="15.75" customHeight="1">
      <c r="A378" s="105" t="s">
        <v>1390</v>
      </c>
      <c r="B378" s="105" t="s">
        <v>696</v>
      </c>
      <c r="C378" s="106" t="s">
        <v>1391</v>
      </c>
      <c r="D378" s="107" t="s">
        <v>83</v>
      </c>
      <c r="E378" s="106" t="s">
        <v>1313</v>
      </c>
      <c r="F378" s="141" t="s">
        <v>1392</v>
      </c>
      <c r="G378" s="136"/>
      <c r="H378" s="273" t="s">
        <v>3661</v>
      </c>
      <c r="I378" s="273" t="s">
        <v>723</v>
      </c>
      <c r="J378" s="135"/>
      <c r="K378" s="138" t="s">
        <v>687</v>
      </c>
      <c r="L378" s="138" t="s">
        <v>688</v>
      </c>
      <c r="M378" s="135"/>
      <c r="N378" s="135" t="s">
        <v>1318</v>
      </c>
      <c r="O378" s="138" t="s">
        <v>690</v>
      </c>
      <c r="P378" s="141" t="s">
        <v>702</v>
      </c>
      <c r="Q378" s="141" t="s">
        <v>702</v>
      </c>
      <c r="R378" s="132"/>
      <c r="S378" s="132"/>
      <c r="T378" s="132"/>
      <c r="U378" s="132"/>
      <c r="V378" s="132"/>
      <c r="W378" s="132"/>
      <c r="X378" s="132"/>
      <c r="Y378" s="132"/>
      <c r="Z378" s="132"/>
    </row>
    <row r="379" ht="15.75" customHeight="1">
      <c r="A379" s="105" t="s">
        <v>1393</v>
      </c>
      <c r="B379" s="105" t="s">
        <v>44</v>
      </c>
      <c r="C379" s="106" t="s">
        <v>1394</v>
      </c>
      <c r="D379" s="107" t="s">
        <v>185</v>
      </c>
      <c r="E379" s="106" t="s">
        <v>1323</v>
      </c>
      <c r="F379" s="112">
        <v>2500.0055</v>
      </c>
      <c r="G379" s="274"/>
      <c r="H379" s="275" t="s">
        <v>3661</v>
      </c>
      <c r="I379" s="126" t="s">
        <v>723</v>
      </c>
      <c r="J379" s="135" t="s">
        <v>85</v>
      </c>
      <c r="K379" s="138" t="s">
        <v>687</v>
      </c>
      <c r="L379" s="138" t="s">
        <v>688</v>
      </c>
      <c r="M379" s="135"/>
      <c r="N379" s="135" t="s">
        <v>1324</v>
      </c>
      <c r="O379" s="138" t="s">
        <v>690</v>
      </c>
      <c r="P379" s="141" t="s">
        <v>744</v>
      </c>
      <c r="Q379" s="141" t="s">
        <v>744</v>
      </c>
      <c r="R379" s="132"/>
      <c r="S379" s="132"/>
      <c r="T379" s="132"/>
      <c r="U379" s="132"/>
      <c r="V379" s="132"/>
      <c r="W379" s="132"/>
      <c r="X379" s="132"/>
      <c r="Y379" s="132"/>
      <c r="Z379" s="132"/>
    </row>
    <row r="380" ht="15.75" customHeight="1">
      <c r="A380" s="105" t="s">
        <v>1395</v>
      </c>
      <c r="B380" s="105" t="s">
        <v>696</v>
      </c>
      <c r="C380" s="106" t="s">
        <v>1396</v>
      </c>
      <c r="D380" s="107" t="s">
        <v>185</v>
      </c>
      <c r="E380" s="106" t="s">
        <v>698</v>
      </c>
      <c r="F380" s="143">
        <v>44044.333333333336</v>
      </c>
      <c r="G380" s="136"/>
      <c r="H380" s="136"/>
      <c r="I380" s="136"/>
      <c r="J380" s="135" t="s">
        <v>85</v>
      </c>
      <c r="K380" s="138" t="s">
        <v>687</v>
      </c>
      <c r="L380" s="138" t="s">
        <v>688</v>
      </c>
      <c r="M380" s="135"/>
      <c r="N380" s="135" t="s">
        <v>1327</v>
      </c>
      <c r="O380" s="138" t="s">
        <v>690</v>
      </c>
      <c r="P380" s="141" t="s">
        <v>744</v>
      </c>
      <c r="Q380" s="141" t="s">
        <v>744</v>
      </c>
      <c r="R380" s="132"/>
      <c r="S380" s="132"/>
      <c r="T380" s="132"/>
      <c r="U380" s="132"/>
      <c r="V380" s="132"/>
      <c r="W380" s="132"/>
      <c r="X380" s="132"/>
      <c r="Y380" s="132"/>
      <c r="Z380" s="132"/>
    </row>
    <row r="381" ht="15.75" customHeight="1">
      <c r="A381" s="105" t="s">
        <v>1398</v>
      </c>
      <c r="B381" s="105" t="s">
        <v>197</v>
      </c>
      <c r="C381" s="106" t="s">
        <v>1399</v>
      </c>
      <c r="D381" s="107" t="s">
        <v>83</v>
      </c>
      <c r="E381" s="106" t="s">
        <v>1313</v>
      </c>
      <c r="F381" s="141" t="s">
        <v>1400</v>
      </c>
      <c r="G381" s="136"/>
      <c r="H381" s="117" t="s">
        <v>3661</v>
      </c>
      <c r="I381" s="117" t="s">
        <v>723</v>
      </c>
      <c r="J381" s="135" t="s">
        <v>85</v>
      </c>
      <c r="K381" s="138" t="s">
        <v>687</v>
      </c>
      <c r="L381" s="138" t="s">
        <v>688</v>
      </c>
      <c r="M381" s="135"/>
      <c r="N381" s="135" t="s">
        <v>1401</v>
      </c>
      <c r="O381" s="138" t="s">
        <v>1402</v>
      </c>
      <c r="P381" s="141" t="s">
        <v>744</v>
      </c>
      <c r="Q381" s="141" t="s">
        <v>744</v>
      </c>
      <c r="R381" s="132"/>
      <c r="S381" s="132"/>
      <c r="T381" s="132"/>
      <c r="U381" s="132"/>
      <c r="V381" s="132"/>
      <c r="W381" s="132"/>
      <c r="X381" s="132"/>
      <c r="Y381" s="132"/>
      <c r="Z381" s="132"/>
    </row>
    <row r="382" ht="15.75" customHeight="1">
      <c r="A382" s="105" t="s">
        <v>1403</v>
      </c>
      <c r="B382" s="105" t="s">
        <v>197</v>
      </c>
      <c r="C382" s="106" t="s">
        <v>1404</v>
      </c>
      <c r="D382" s="107" t="s">
        <v>185</v>
      </c>
      <c r="E382" s="106" t="s">
        <v>1313</v>
      </c>
      <c r="F382" s="141" t="s">
        <v>1400</v>
      </c>
      <c r="G382" s="136"/>
      <c r="H382" s="117" t="s">
        <v>3661</v>
      </c>
      <c r="I382" s="117" t="s">
        <v>723</v>
      </c>
      <c r="J382" s="135" t="s">
        <v>85</v>
      </c>
      <c r="K382" s="138" t="s">
        <v>687</v>
      </c>
      <c r="L382" s="138" t="s">
        <v>688</v>
      </c>
      <c r="M382" s="135"/>
      <c r="N382" s="135" t="s">
        <v>1401</v>
      </c>
      <c r="O382" s="138" t="s">
        <v>1402</v>
      </c>
      <c r="P382" s="141" t="s">
        <v>744</v>
      </c>
      <c r="Q382" s="141" t="s">
        <v>744</v>
      </c>
      <c r="R382" s="132"/>
      <c r="S382" s="132"/>
      <c r="T382" s="132"/>
      <c r="U382" s="132"/>
      <c r="V382" s="132"/>
      <c r="W382" s="132"/>
      <c r="X382" s="132"/>
      <c r="Y382" s="132"/>
      <c r="Z382" s="132"/>
    </row>
    <row r="383" ht="15.75" customHeight="1">
      <c r="A383" s="105" t="s">
        <v>1405</v>
      </c>
      <c r="B383" s="105" t="s">
        <v>197</v>
      </c>
      <c r="C383" s="106" t="s">
        <v>1406</v>
      </c>
      <c r="D383" s="107" t="s">
        <v>185</v>
      </c>
      <c r="E383" s="106" t="s">
        <v>713</v>
      </c>
      <c r="F383" s="141">
        <v>15.0</v>
      </c>
      <c r="G383" s="136"/>
      <c r="H383" s="117" t="s">
        <v>3661</v>
      </c>
      <c r="I383" s="117" t="s">
        <v>723</v>
      </c>
      <c r="J383" s="135" t="s">
        <v>85</v>
      </c>
      <c r="K383" s="138" t="s">
        <v>687</v>
      </c>
      <c r="L383" s="138" t="s">
        <v>688</v>
      </c>
      <c r="M383" s="135"/>
      <c r="N383" s="135" t="s">
        <v>1327</v>
      </c>
      <c r="O383" s="138" t="s">
        <v>690</v>
      </c>
      <c r="P383" s="141" t="s">
        <v>744</v>
      </c>
      <c r="Q383" s="141" t="s">
        <v>744</v>
      </c>
      <c r="R383" s="132"/>
      <c r="S383" s="132"/>
      <c r="T383" s="132"/>
      <c r="U383" s="132"/>
      <c r="V383" s="132"/>
      <c r="W383" s="132"/>
      <c r="X383" s="132"/>
      <c r="Y383" s="132"/>
      <c r="Z383" s="132"/>
    </row>
    <row r="384" ht="15.75" customHeight="1">
      <c r="A384" s="105" t="s">
        <v>1407</v>
      </c>
      <c r="B384" s="105" t="s">
        <v>197</v>
      </c>
      <c r="C384" s="106" t="s">
        <v>1408</v>
      </c>
      <c r="D384" s="107" t="s">
        <v>185</v>
      </c>
      <c r="E384" s="106" t="s">
        <v>713</v>
      </c>
      <c r="F384" s="141">
        <v>15.0</v>
      </c>
      <c r="G384" s="136"/>
      <c r="H384" s="117" t="s">
        <v>3661</v>
      </c>
      <c r="I384" s="117" t="s">
        <v>723</v>
      </c>
      <c r="J384" s="135" t="s">
        <v>85</v>
      </c>
      <c r="K384" s="138" t="s">
        <v>687</v>
      </c>
      <c r="L384" s="138" t="s">
        <v>688</v>
      </c>
      <c r="M384" s="135"/>
      <c r="N384" s="135" t="s">
        <v>1327</v>
      </c>
      <c r="O384" s="138" t="s">
        <v>690</v>
      </c>
      <c r="P384" s="141" t="s">
        <v>744</v>
      </c>
      <c r="Q384" s="141" t="s">
        <v>744</v>
      </c>
      <c r="R384" s="132"/>
      <c r="S384" s="132"/>
      <c r="T384" s="132"/>
      <c r="U384" s="132"/>
      <c r="V384" s="132"/>
      <c r="W384" s="132"/>
      <c r="X384" s="132"/>
      <c r="Y384" s="132"/>
      <c r="Z384" s="132"/>
    </row>
    <row r="385" ht="15.75" customHeight="1">
      <c r="A385" s="105" t="s">
        <v>1409</v>
      </c>
      <c r="B385" s="105" t="s">
        <v>696</v>
      </c>
      <c r="C385" s="106" t="s">
        <v>1410</v>
      </c>
      <c r="D385" s="107" t="s">
        <v>83</v>
      </c>
      <c r="E385" s="106" t="s">
        <v>713</v>
      </c>
      <c r="F385" s="141">
        <v>15.0</v>
      </c>
      <c r="G385" s="136"/>
      <c r="H385" s="273" t="s">
        <v>3661</v>
      </c>
      <c r="I385" s="273" t="s">
        <v>723</v>
      </c>
      <c r="J385" s="135" t="s">
        <v>85</v>
      </c>
      <c r="K385" s="138" t="s">
        <v>687</v>
      </c>
      <c r="L385" s="138" t="s">
        <v>688</v>
      </c>
      <c r="M385" s="135"/>
      <c r="N385" s="135" t="s">
        <v>1318</v>
      </c>
      <c r="O385" s="138" t="s">
        <v>690</v>
      </c>
      <c r="P385" s="141" t="s">
        <v>788</v>
      </c>
      <c r="Q385" s="141" t="s">
        <v>788</v>
      </c>
      <c r="R385" s="132"/>
      <c r="S385" s="132"/>
      <c r="T385" s="132"/>
      <c r="U385" s="132"/>
      <c r="V385" s="132"/>
      <c r="W385" s="132"/>
      <c r="X385" s="132"/>
      <c r="Y385" s="132"/>
      <c r="Z385" s="132"/>
    </row>
    <row r="386" ht="15.75" customHeight="1">
      <c r="A386" s="105" t="s">
        <v>1411</v>
      </c>
      <c r="B386" s="105" t="s">
        <v>44</v>
      </c>
      <c r="C386" s="106" t="s">
        <v>1412</v>
      </c>
      <c r="D386" s="107" t="s">
        <v>83</v>
      </c>
      <c r="E386" s="106" t="s">
        <v>1313</v>
      </c>
      <c r="F386" s="144" t="s">
        <v>1413</v>
      </c>
      <c r="G386" s="136"/>
      <c r="H386" s="273" t="s">
        <v>3661</v>
      </c>
      <c r="I386" s="273" t="s">
        <v>723</v>
      </c>
      <c r="J386" s="135" t="s">
        <v>85</v>
      </c>
      <c r="K386" s="138" t="s">
        <v>687</v>
      </c>
      <c r="L386" s="138" t="s">
        <v>688</v>
      </c>
      <c r="M386" s="135"/>
      <c r="N386" s="135" t="s">
        <v>1318</v>
      </c>
      <c r="O386" s="138" t="s">
        <v>690</v>
      </c>
      <c r="P386" s="141" t="s">
        <v>691</v>
      </c>
      <c r="Q386" s="141" t="s">
        <v>691</v>
      </c>
      <c r="R386" s="132"/>
      <c r="S386" s="132"/>
      <c r="T386" s="132"/>
      <c r="U386" s="132"/>
      <c r="V386" s="132"/>
      <c r="W386" s="132"/>
      <c r="X386" s="132"/>
      <c r="Y386" s="132"/>
      <c r="Z386" s="132"/>
    </row>
    <row r="387" ht="15.75" customHeight="1">
      <c r="A387" s="105" t="s">
        <v>1414</v>
      </c>
      <c r="B387" s="105" t="s">
        <v>44</v>
      </c>
      <c r="C387" s="106" t="s">
        <v>1415</v>
      </c>
      <c r="D387" s="107" t="s">
        <v>185</v>
      </c>
      <c r="E387" s="106" t="s">
        <v>1313</v>
      </c>
      <c r="F387" s="112">
        <v>9.176888895E9</v>
      </c>
      <c r="G387" s="136"/>
      <c r="H387" s="273" t="s">
        <v>3661</v>
      </c>
      <c r="I387" s="273" t="s">
        <v>723</v>
      </c>
      <c r="J387" s="135" t="s">
        <v>85</v>
      </c>
      <c r="K387" s="138" t="s">
        <v>687</v>
      </c>
      <c r="L387" s="138" t="s">
        <v>688</v>
      </c>
      <c r="M387" s="135"/>
      <c r="N387" s="135" t="s">
        <v>1318</v>
      </c>
      <c r="O387" s="138" t="s">
        <v>690</v>
      </c>
      <c r="P387" s="141" t="s">
        <v>691</v>
      </c>
      <c r="Q387" s="141" t="s">
        <v>691</v>
      </c>
      <c r="R387" s="132"/>
      <c r="S387" s="132"/>
      <c r="T387" s="132"/>
      <c r="U387" s="132"/>
      <c r="V387" s="132"/>
      <c r="W387" s="132"/>
      <c r="X387" s="132"/>
      <c r="Y387" s="132"/>
      <c r="Z387" s="132"/>
    </row>
    <row r="388" ht="15.75" customHeight="1">
      <c r="A388" s="105" t="s">
        <v>1416</v>
      </c>
      <c r="B388" s="105" t="s">
        <v>696</v>
      </c>
      <c r="C388" s="106" t="s">
        <v>1417</v>
      </c>
      <c r="D388" s="107" t="s">
        <v>83</v>
      </c>
      <c r="E388" s="106" t="s">
        <v>1313</v>
      </c>
      <c r="F388" s="141">
        <v>1.0</v>
      </c>
      <c r="G388" s="136"/>
      <c r="H388" s="117" t="s">
        <v>3661</v>
      </c>
      <c r="I388" s="117" t="s">
        <v>723</v>
      </c>
      <c r="J388" s="135" t="s">
        <v>85</v>
      </c>
      <c r="K388" s="138" t="s">
        <v>687</v>
      </c>
      <c r="L388" s="138" t="s">
        <v>688</v>
      </c>
      <c r="M388" s="135"/>
      <c r="N388" s="135" t="s">
        <v>1418</v>
      </c>
      <c r="O388" s="138" t="s">
        <v>1419</v>
      </c>
      <c r="P388" s="141" t="s">
        <v>744</v>
      </c>
      <c r="Q388" s="141" t="s">
        <v>744</v>
      </c>
      <c r="R388" s="132"/>
      <c r="S388" s="132"/>
      <c r="T388" s="132"/>
      <c r="U388" s="132"/>
      <c r="V388" s="132"/>
      <c r="W388" s="132"/>
      <c r="X388" s="132"/>
      <c r="Y388" s="132"/>
      <c r="Z388" s="132"/>
    </row>
    <row r="389" ht="15.75" customHeight="1">
      <c r="A389" s="105" t="s">
        <v>1420</v>
      </c>
      <c r="B389" s="105" t="s">
        <v>197</v>
      </c>
      <c r="C389" s="106" t="s">
        <v>1421</v>
      </c>
      <c r="D389" s="107" t="s">
        <v>185</v>
      </c>
      <c r="E389" s="106" t="s">
        <v>720</v>
      </c>
      <c r="F389" s="117" t="s">
        <v>839</v>
      </c>
      <c r="G389" s="136"/>
      <c r="H389" s="136"/>
      <c r="I389" s="136"/>
      <c r="J389" s="135" t="s">
        <v>85</v>
      </c>
      <c r="K389" s="145" t="s">
        <v>749</v>
      </c>
      <c r="L389" s="135"/>
      <c r="M389" s="135"/>
      <c r="N389" s="135" t="s">
        <v>764</v>
      </c>
      <c r="O389" s="138" t="s">
        <v>732</v>
      </c>
      <c r="P389" s="141" t="s">
        <v>782</v>
      </c>
      <c r="Q389" s="141" t="s">
        <v>782</v>
      </c>
      <c r="R389" s="132"/>
      <c r="S389" s="132"/>
      <c r="T389" s="132"/>
      <c r="U389" s="132"/>
      <c r="V389" s="132"/>
      <c r="W389" s="132"/>
      <c r="X389" s="132"/>
      <c r="Y389" s="132"/>
      <c r="Z389" s="132"/>
    </row>
    <row r="390" ht="15.75" customHeight="1">
      <c r="A390" s="105" t="s">
        <v>1423</v>
      </c>
      <c r="B390" s="105" t="s">
        <v>197</v>
      </c>
      <c r="C390" s="106" t="s">
        <v>1424</v>
      </c>
      <c r="D390" s="107" t="s">
        <v>185</v>
      </c>
      <c r="E390" s="106" t="s">
        <v>720</v>
      </c>
      <c r="F390" s="117" t="s">
        <v>839</v>
      </c>
      <c r="G390" s="136"/>
      <c r="H390" s="136"/>
      <c r="I390" s="136"/>
      <c r="J390" s="135" t="s">
        <v>85</v>
      </c>
      <c r="K390" s="145" t="s">
        <v>749</v>
      </c>
      <c r="L390" s="135"/>
      <c r="M390" s="135"/>
      <c r="N390" s="135" t="s">
        <v>764</v>
      </c>
      <c r="O390" s="138" t="s">
        <v>732</v>
      </c>
      <c r="P390" s="141" t="s">
        <v>782</v>
      </c>
      <c r="Q390" s="141" t="s">
        <v>782</v>
      </c>
      <c r="R390" s="132"/>
      <c r="S390" s="132"/>
      <c r="T390" s="132"/>
      <c r="U390" s="132"/>
      <c r="V390" s="132"/>
      <c r="W390" s="132"/>
      <c r="X390" s="132"/>
      <c r="Y390" s="132"/>
      <c r="Z390" s="132"/>
    </row>
    <row r="391" ht="15.75" customHeight="1">
      <c r="A391" s="105" t="s">
        <v>1425</v>
      </c>
      <c r="B391" s="105" t="s">
        <v>197</v>
      </c>
      <c r="C391" s="106" t="s">
        <v>1426</v>
      </c>
      <c r="D391" s="107" t="s">
        <v>185</v>
      </c>
      <c r="E391" s="106" t="s">
        <v>720</v>
      </c>
      <c r="F391" s="117" t="s">
        <v>839</v>
      </c>
      <c r="G391" s="136"/>
      <c r="H391" s="136"/>
      <c r="I391" s="136"/>
      <c r="J391" s="135" t="s">
        <v>85</v>
      </c>
      <c r="K391" s="145" t="s">
        <v>749</v>
      </c>
      <c r="L391" s="135"/>
      <c r="M391" s="135"/>
      <c r="N391" s="135" t="s">
        <v>764</v>
      </c>
      <c r="O391" s="138" t="s">
        <v>732</v>
      </c>
      <c r="P391" s="141" t="s">
        <v>782</v>
      </c>
      <c r="Q391" s="141" t="s">
        <v>782</v>
      </c>
      <c r="R391" s="132"/>
      <c r="S391" s="132"/>
      <c r="T391" s="132"/>
      <c r="U391" s="132"/>
      <c r="V391" s="132"/>
      <c r="W391" s="132"/>
      <c r="X391" s="132"/>
      <c r="Y391" s="132"/>
      <c r="Z391" s="132"/>
    </row>
    <row r="392" ht="15.75" customHeight="1">
      <c r="A392" s="105" t="s">
        <v>1427</v>
      </c>
      <c r="B392" s="105" t="s">
        <v>197</v>
      </c>
      <c r="C392" s="106" t="s">
        <v>1428</v>
      </c>
      <c r="D392" s="107" t="s">
        <v>185</v>
      </c>
      <c r="E392" s="106" t="s">
        <v>720</v>
      </c>
      <c r="F392" s="117" t="s">
        <v>839</v>
      </c>
      <c r="G392" s="136"/>
      <c r="H392" s="136"/>
      <c r="I392" s="136"/>
      <c r="J392" s="135" t="s">
        <v>85</v>
      </c>
      <c r="K392" s="145" t="s">
        <v>749</v>
      </c>
      <c r="L392" s="135"/>
      <c r="M392" s="135"/>
      <c r="N392" s="135" t="s">
        <v>764</v>
      </c>
      <c r="O392" s="138" t="s">
        <v>732</v>
      </c>
      <c r="P392" s="141" t="s">
        <v>782</v>
      </c>
      <c r="Q392" s="141" t="s">
        <v>782</v>
      </c>
      <c r="R392" s="132"/>
      <c r="S392" s="132"/>
      <c r="T392" s="132"/>
      <c r="U392" s="132"/>
      <c r="V392" s="132"/>
      <c r="W392" s="132"/>
      <c r="X392" s="132"/>
      <c r="Y392" s="132"/>
      <c r="Z392" s="132"/>
    </row>
    <row r="393" ht="15.75" customHeight="1">
      <c r="A393" s="105" t="s">
        <v>1429</v>
      </c>
      <c r="B393" s="105" t="s">
        <v>197</v>
      </c>
      <c r="C393" s="106" t="s">
        <v>1430</v>
      </c>
      <c r="D393" s="107" t="s">
        <v>185</v>
      </c>
      <c r="E393" s="106" t="s">
        <v>720</v>
      </c>
      <c r="F393" s="117" t="s">
        <v>839</v>
      </c>
      <c r="G393" s="136"/>
      <c r="H393" s="136"/>
      <c r="I393" s="136"/>
      <c r="J393" s="135" t="s">
        <v>85</v>
      </c>
      <c r="K393" s="145" t="s">
        <v>749</v>
      </c>
      <c r="L393" s="135"/>
      <c r="M393" s="135"/>
      <c r="N393" s="135" t="s">
        <v>764</v>
      </c>
      <c r="O393" s="138" t="s">
        <v>732</v>
      </c>
      <c r="P393" s="141" t="s">
        <v>782</v>
      </c>
      <c r="Q393" s="141" t="s">
        <v>782</v>
      </c>
      <c r="R393" s="132"/>
      <c r="S393" s="132"/>
      <c r="T393" s="132"/>
      <c r="U393" s="132"/>
      <c r="V393" s="132"/>
      <c r="W393" s="132"/>
      <c r="X393" s="132"/>
      <c r="Y393" s="132"/>
      <c r="Z393" s="132"/>
    </row>
    <row r="394" ht="15.75" customHeight="1">
      <c r="A394" s="105" t="s">
        <v>1431</v>
      </c>
      <c r="B394" s="105" t="s">
        <v>197</v>
      </c>
      <c r="C394" s="106" t="s">
        <v>1432</v>
      </c>
      <c r="D394" s="107" t="s">
        <v>185</v>
      </c>
      <c r="E394" s="106" t="s">
        <v>720</v>
      </c>
      <c r="F394" s="117" t="s">
        <v>839</v>
      </c>
      <c r="G394" s="136"/>
      <c r="H394" s="136"/>
      <c r="I394" s="136"/>
      <c r="J394" s="135" t="s">
        <v>85</v>
      </c>
      <c r="K394" s="145" t="s">
        <v>749</v>
      </c>
      <c r="L394" s="135"/>
      <c r="M394" s="135"/>
      <c r="N394" s="135" t="s">
        <v>764</v>
      </c>
      <c r="O394" s="138" t="s">
        <v>732</v>
      </c>
      <c r="P394" s="141" t="s">
        <v>782</v>
      </c>
      <c r="Q394" s="141" t="s">
        <v>782</v>
      </c>
      <c r="R394" s="132"/>
      <c r="S394" s="132"/>
      <c r="T394" s="132"/>
      <c r="U394" s="132"/>
      <c r="V394" s="132"/>
      <c r="W394" s="132"/>
      <c r="X394" s="132"/>
      <c r="Y394" s="132"/>
      <c r="Z394" s="132"/>
    </row>
    <row r="395" ht="15.75" customHeight="1">
      <c r="A395" s="105" t="s">
        <v>1433</v>
      </c>
      <c r="B395" s="105" t="s">
        <v>197</v>
      </c>
      <c r="C395" s="106" t="s">
        <v>1434</v>
      </c>
      <c r="D395" s="107" t="s">
        <v>185</v>
      </c>
      <c r="E395" s="106" t="s">
        <v>720</v>
      </c>
      <c r="F395" s="117" t="s">
        <v>839</v>
      </c>
      <c r="G395" s="136"/>
      <c r="H395" s="136"/>
      <c r="I395" s="136"/>
      <c r="J395" s="135" t="s">
        <v>85</v>
      </c>
      <c r="K395" s="145" t="s">
        <v>749</v>
      </c>
      <c r="L395" s="135"/>
      <c r="M395" s="135"/>
      <c r="N395" s="135" t="s">
        <v>692</v>
      </c>
      <c r="O395" s="138" t="s">
        <v>690</v>
      </c>
      <c r="P395" s="141" t="s">
        <v>782</v>
      </c>
      <c r="Q395" s="141" t="s">
        <v>782</v>
      </c>
      <c r="R395" s="132"/>
      <c r="S395" s="132"/>
      <c r="T395" s="132"/>
      <c r="U395" s="132"/>
      <c r="V395" s="132"/>
      <c r="W395" s="132"/>
      <c r="X395" s="132"/>
      <c r="Y395" s="132"/>
      <c r="Z395" s="132"/>
    </row>
    <row r="396" ht="15.75" customHeight="1">
      <c r="A396" s="105" t="s">
        <v>1435</v>
      </c>
      <c r="B396" s="105" t="s">
        <v>197</v>
      </c>
      <c r="C396" s="106" t="s">
        <v>1436</v>
      </c>
      <c r="D396" s="107" t="s">
        <v>83</v>
      </c>
      <c r="E396" s="106" t="s">
        <v>1306</v>
      </c>
      <c r="F396" s="117" t="s">
        <v>977</v>
      </c>
      <c r="G396" s="136"/>
      <c r="H396" s="136"/>
      <c r="I396" s="136"/>
      <c r="J396" s="135" t="s">
        <v>85</v>
      </c>
      <c r="K396" s="145" t="s">
        <v>749</v>
      </c>
      <c r="L396" s="135"/>
      <c r="M396" s="135"/>
      <c r="N396" s="135" t="s">
        <v>692</v>
      </c>
      <c r="O396" s="138" t="s">
        <v>690</v>
      </c>
      <c r="P396" s="141" t="s">
        <v>782</v>
      </c>
      <c r="Q396" s="141" t="s">
        <v>782</v>
      </c>
      <c r="R396" s="132"/>
      <c r="S396" s="132"/>
      <c r="T396" s="132"/>
      <c r="U396" s="132"/>
      <c r="V396" s="132"/>
      <c r="W396" s="132"/>
      <c r="X396" s="132"/>
      <c r="Y396" s="132"/>
      <c r="Z396" s="132"/>
    </row>
    <row r="397" ht="15.75" customHeight="1">
      <c r="A397" s="105" t="s">
        <v>1437</v>
      </c>
      <c r="B397" s="105" t="s">
        <v>197</v>
      </c>
      <c r="C397" s="106" t="s">
        <v>1438</v>
      </c>
      <c r="D397" s="107" t="s">
        <v>185</v>
      </c>
      <c r="E397" s="106" t="s">
        <v>1439</v>
      </c>
      <c r="F397" s="117" t="s">
        <v>1440</v>
      </c>
      <c r="G397" s="136"/>
      <c r="H397" s="136"/>
      <c r="I397" s="136"/>
      <c r="J397" s="135" t="s">
        <v>85</v>
      </c>
      <c r="K397" s="145" t="s">
        <v>714</v>
      </c>
      <c r="L397" s="135"/>
      <c r="M397" s="135"/>
      <c r="N397" s="135" t="s">
        <v>692</v>
      </c>
      <c r="O397" s="138" t="s">
        <v>690</v>
      </c>
      <c r="P397" s="141" t="s">
        <v>782</v>
      </c>
      <c r="Q397" s="141" t="s">
        <v>782</v>
      </c>
      <c r="R397" s="132"/>
      <c r="S397" s="132"/>
      <c r="T397" s="132"/>
      <c r="U397" s="132"/>
      <c r="V397" s="132"/>
      <c r="W397" s="132"/>
      <c r="X397" s="132"/>
      <c r="Y397" s="132"/>
      <c r="Z397" s="132"/>
    </row>
    <row r="398" ht="15.75" customHeight="1">
      <c r="A398" s="105" t="s">
        <v>1441</v>
      </c>
      <c r="B398" s="105" t="s">
        <v>197</v>
      </c>
      <c r="C398" s="106" t="s">
        <v>1442</v>
      </c>
      <c r="D398" s="107" t="s">
        <v>185</v>
      </c>
      <c r="E398" s="106" t="s">
        <v>720</v>
      </c>
      <c r="F398" s="117" t="s">
        <v>839</v>
      </c>
      <c r="G398" s="136"/>
      <c r="H398" s="136"/>
      <c r="I398" s="136"/>
      <c r="J398" s="135" t="s">
        <v>85</v>
      </c>
      <c r="K398" s="145" t="s">
        <v>714</v>
      </c>
      <c r="L398" s="135"/>
      <c r="M398" s="135"/>
      <c r="N398" s="135" t="s">
        <v>692</v>
      </c>
      <c r="O398" s="138" t="s">
        <v>690</v>
      </c>
      <c r="P398" s="141" t="s">
        <v>782</v>
      </c>
      <c r="Q398" s="141" t="s">
        <v>782</v>
      </c>
      <c r="R398" s="132"/>
      <c r="S398" s="132"/>
      <c r="T398" s="132"/>
      <c r="U398" s="132"/>
      <c r="V398" s="132"/>
      <c r="W398" s="132"/>
      <c r="X398" s="132"/>
      <c r="Y398" s="132"/>
      <c r="Z398" s="132"/>
    </row>
    <row r="399" ht="15.75" customHeight="1">
      <c r="A399" s="105" t="s">
        <v>1443</v>
      </c>
      <c r="B399" s="105" t="s">
        <v>197</v>
      </c>
      <c r="C399" s="106" t="s">
        <v>1444</v>
      </c>
      <c r="D399" s="107" t="s">
        <v>83</v>
      </c>
      <c r="E399" s="106" t="s">
        <v>1306</v>
      </c>
      <c r="F399" s="117" t="s">
        <v>977</v>
      </c>
      <c r="G399" s="136"/>
      <c r="H399" s="136"/>
      <c r="I399" s="136"/>
      <c r="J399" s="135" t="s">
        <v>85</v>
      </c>
      <c r="K399" s="145" t="s">
        <v>714</v>
      </c>
      <c r="L399" s="135"/>
      <c r="M399" s="135"/>
      <c r="N399" s="135" t="s">
        <v>692</v>
      </c>
      <c r="O399" s="138" t="s">
        <v>690</v>
      </c>
      <c r="P399" s="141" t="s">
        <v>782</v>
      </c>
      <c r="Q399" s="141" t="s">
        <v>782</v>
      </c>
      <c r="R399" s="132"/>
      <c r="S399" s="132"/>
      <c r="T399" s="132"/>
      <c r="U399" s="132"/>
      <c r="V399" s="132"/>
      <c r="W399" s="132"/>
      <c r="X399" s="132"/>
      <c r="Y399" s="132"/>
      <c r="Z399" s="132"/>
    </row>
    <row r="400" ht="15.75" customHeight="1">
      <c r="A400" s="105" t="s">
        <v>1445</v>
      </c>
      <c r="B400" s="105" t="s">
        <v>197</v>
      </c>
      <c r="C400" s="106" t="s">
        <v>1446</v>
      </c>
      <c r="D400" s="107" t="s">
        <v>185</v>
      </c>
      <c r="E400" s="106" t="s">
        <v>1439</v>
      </c>
      <c r="F400" s="146" t="s">
        <v>1447</v>
      </c>
      <c r="G400" s="276"/>
      <c r="H400" s="276"/>
      <c r="I400" s="276"/>
      <c r="J400" s="147" t="s">
        <v>85</v>
      </c>
      <c r="K400" s="148" t="s">
        <v>714</v>
      </c>
      <c r="L400" s="147"/>
      <c r="M400" s="147"/>
      <c r="N400" s="147" t="s">
        <v>692</v>
      </c>
      <c r="O400" s="150" t="s">
        <v>690</v>
      </c>
      <c r="P400" s="141" t="s">
        <v>782</v>
      </c>
      <c r="Q400" s="141" t="s">
        <v>782</v>
      </c>
      <c r="R400" s="132"/>
      <c r="S400" s="132"/>
      <c r="T400" s="132"/>
      <c r="U400" s="132"/>
      <c r="V400" s="132"/>
      <c r="W400" s="132"/>
      <c r="X400" s="132"/>
      <c r="Y400" s="132"/>
      <c r="Z400" s="132"/>
    </row>
    <row r="401" ht="14.25" customHeight="1">
      <c r="A401" s="277"/>
      <c r="B401" s="278"/>
      <c r="C401" s="277"/>
      <c r="D401" s="279"/>
      <c r="E401" s="279"/>
      <c r="F401" s="280"/>
      <c r="G401" s="281"/>
      <c r="H401" s="281"/>
      <c r="I401" s="281"/>
      <c r="J401" s="279"/>
      <c r="K401" s="282"/>
      <c r="L401" s="279"/>
      <c r="M401" s="283"/>
      <c r="N401" s="279"/>
      <c r="O401" s="279"/>
      <c r="P401" s="284"/>
      <c r="Q401" s="284"/>
      <c r="R401" s="285"/>
      <c r="S401" s="285"/>
      <c r="T401" s="285"/>
      <c r="U401" s="285"/>
      <c r="V401" s="285"/>
      <c r="W401" s="285"/>
      <c r="X401" s="285"/>
      <c r="Y401" s="285"/>
      <c r="Z401" s="285"/>
    </row>
    <row r="402" ht="15.75" customHeight="1">
      <c r="A402" s="83"/>
      <c r="B402" s="94"/>
      <c r="C402" s="83"/>
      <c r="D402" s="95"/>
      <c r="E402" s="95"/>
      <c r="F402" s="96"/>
      <c r="G402" s="97"/>
      <c r="H402" s="97"/>
      <c r="I402" s="97"/>
      <c r="J402" s="95"/>
      <c r="K402" s="286"/>
      <c r="L402" s="95"/>
      <c r="M402" s="99"/>
      <c r="N402" s="95"/>
      <c r="O402" s="95"/>
      <c r="P402" s="100"/>
      <c r="Q402" s="100"/>
      <c r="R402" s="81"/>
      <c r="S402" s="81"/>
      <c r="T402" s="81"/>
      <c r="U402" s="81"/>
      <c r="V402" s="81"/>
      <c r="W402" s="81"/>
      <c r="X402" s="81"/>
      <c r="Y402" s="81"/>
      <c r="Z402" s="81"/>
    </row>
    <row r="403" ht="15.75" customHeight="1">
      <c r="A403" s="83"/>
      <c r="B403" s="94"/>
      <c r="C403" s="83"/>
      <c r="D403" s="95"/>
      <c r="E403" s="95"/>
      <c r="F403" s="96"/>
      <c r="G403" s="97"/>
      <c r="H403" s="97"/>
      <c r="I403" s="97"/>
      <c r="J403" s="95"/>
      <c r="K403" s="98"/>
      <c r="L403" s="95"/>
      <c r="M403" s="99"/>
      <c r="N403" s="95"/>
      <c r="O403" s="95"/>
      <c r="P403" s="100"/>
      <c r="Q403" s="100"/>
      <c r="R403" s="81"/>
      <c r="S403" s="81"/>
      <c r="T403" s="81"/>
      <c r="U403" s="81"/>
      <c r="V403" s="81"/>
      <c r="W403" s="81"/>
      <c r="X403" s="81"/>
      <c r="Y403" s="81"/>
      <c r="Z403" s="81"/>
    </row>
    <row r="404" ht="15.75" customHeight="1">
      <c r="A404" s="83"/>
      <c r="B404" s="94"/>
      <c r="C404" s="83"/>
      <c r="D404" s="95"/>
      <c r="E404" s="95"/>
      <c r="F404" s="96"/>
      <c r="G404" s="97"/>
      <c r="H404" s="97"/>
      <c r="I404" s="97"/>
      <c r="J404" s="95"/>
      <c r="K404" s="98"/>
      <c r="L404" s="95"/>
      <c r="M404" s="99"/>
      <c r="N404" s="95"/>
      <c r="O404" s="95"/>
      <c r="P404" s="100"/>
      <c r="Q404" s="100"/>
      <c r="R404" s="81"/>
      <c r="S404" s="81"/>
      <c r="T404" s="81"/>
      <c r="U404" s="81"/>
      <c r="V404" s="81"/>
      <c r="W404" s="81"/>
      <c r="X404" s="81"/>
      <c r="Y404" s="81"/>
      <c r="Z404" s="81"/>
    </row>
    <row r="405" ht="15.75" customHeight="1">
      <c r="A405" s="83"/>
      <c r="B405" s="94"/>
      <c r="C405" s="83"/>
      <c r="D405" s="95"/>
      <c r="E405" s="95"/>
      <c r="F405" s="96"/>
      <c r="G405" s="97"/>
      <c r="H405" s="97"/>
      <c r="I405" s="97"/>
      <c r="J405" s="95"/>
      <c r="K405" s="98"/>
      <c r="L405" s="95"/>
      <c r="M405" s="99"/>
      <c r="N405" s="95"/>
      <c r="O405" s="95"/>
      <c r="P405" s="100"/>
      <c r="Q405" s="100"/>
      <c r="R405" s="81"/>
      <c r="S405" s="81"/>
      <c r="T405" s="81"/>
      <c r="U405" s="81"/>
      <c r="V405" s="81"/>
      <c r="W405" s="81"/>
      <c r="X405" s="81"/>
      <c r="Y405" s="81"/>
      <c r="Z405" s="81"/>
    </row>
    <row r="406" ht="15.75" customHeight="1">
      <c r="A406" s="83"/>
      <c r="B406" s="94"/>
      <c r="C406" s="83"/>
      <c r="D406" s="95"/>
      <c r="E406" s="95"/>
      <c r="F406" s="96"/>
      <c r="G406" s="97"/>
      <c r="H406" s="97"/>
      <c r="I406" s="97"/>
      <c r="J406" s="95"/>
      <c r="K406" s="98"/>
      <c r="L406" s="95"/>
      <c r="M406" s="99"/>
      <c r="N406" s="95"/>
      <c r="O406" s="95"/>
      <c r="P406" s="100"/>
      <c r="Q406" s="100"/>
      <c r="R406" s="81"/>
      <c r="S406" s="81"/>
      <c r="T406" s="81"/>
      <c r="U406" s="81"/>
      <c r="V406" s="81"/>
      <c r="W406" s="81"/>
      <c r="X406" s="81"/>
      <c r="Y406" s="81"/>
      <c r="Z406" s="81"/>
    </row>
    <row r="407" ht="15.75" customHeight="1">
      <c r="A407" s="83"/>
      <c r="B407" s="94"/>
      <c r="C407" s="83"/>
      <c r="D407" s="95"/>
      <c r="E407" s="95"/>
      <c r="F407" s="96"/>
      <c r="G407" s="97"/>
      <c r="H407" s="97"/>
      <c r="I407" s="97"/>
      <c r="J407" s="95"/>
      <c r="K407" s="98"/>
      <c r="L407" s="95"/>
      <c r="M407" s="99"/>
      <c r="N407" s="95"/>
      <c r="O407" s="95"/>
      <c r="P407" s="100"/>
      <c r="Q407" s="100"/>
      <c r="R407" s="81"/>
      <c r="S407" s="81"/>
      <c r="T407" s="81"/>
      <c r="U407" s="81"/>
      <c r="V407" s="81"/>
      <c r="W407" s="81"/>
      <c r="X407" s="81"/>
      <c r="Y407" s="81"/>
      <c r="Z407" s="81"/>
    </row>
    <row r="408" ht="15.75" customHeight="1">
      <c r="A408" s="83"/>
      <c r="B408" s="94"/>
      <c r="C408" s="83"/>
      <c r="D408" s="95"/>
      <c r="E408" s="95"/>
      <c r="F408" s="96"/>
      <c r="G408" s="97"/>
      <c r="H408" s="97"/>
      <c r="I408" s="97"/>
      <c r="J408" s="95"/>
      <c r="K408" s="98"/>
      <c r="L408" s="95"/>
      <c r="M408" s="99"/>
      <c r="N408" s="95"/>
      <c r="O408" s="95"/>
      <c r="P408" s="100"/>
      <c r="Q408" s="100"/>
      <c r="R408" s="81"/>
      <c r="S408" s="81"/>
      <c r="T408" s="81"/>
      <c r="U408" s="81"/>
      <c r="V408" s="81"/>
      <c r="W408" s="81"/>
      <c r="X408" s="81"/>
      <c r="Y408" s="81"/>
      <c r="Z408" s="81"/>
    </row>
    <row r="409" ht="15.75" customHeight="1">
      <c r="A409" s="83"/>
      <c r="B409" s="94"/>
      <c r="C409" s="83"/>
      <c r="D409" s="95"/>
      <c r="E409" s="95"/>
      <c r="F409" s="96"/>
      <c r="G409" s="97"/>
      <c r="H409" s="97"/>
      <c r="I409" s="97"/>
      <c r="J409" s="95"/>
      <c r="K409" s="98"/>
      <c r="L409" s="95"/>
      <c r="M409" s="99"/>
      <c r="N409" s="95"/>
      <c r="O409" s="95"/>
      <c r="P409" s="100"/>
      <c r="Q409" s="100"/>
      <c r="R409" s="81"/>
      <c r="S409" s="81"/>
      <c r="T409" s="81"/>
      <c r="U409" s="81"/>
      <c r="V409" s="81"/>
      <c r="W409" s="81"/>
      <c r="X409" s="81"/>
      <c r="Y409" s="81"/>
      <c r="Z409" s="81"/>
    </row>
    <row r="410" ht="15.75" customHeight="1">
      <c r="A410" s="83"/>
      <c r="B410" s="94"/>
      <c r="C410" s="83"/>
      <c r="D410" s="95"/>
      <c r="E410" s="95"/>
      <c r="F410" s="96"/>
      <c r="G410" s="97"/>
      <c r="H410" s="97"/>
      <c r="I410" s="97"/>
      <c r="J410" s="95"/>
      <c r="K410" s="98"/>
      <c r="L410" s="95"/>
      <c r="M410" s="99"/>
      <c r="N410" s="95"/>
      <c r="O410" s="95"/>
      <c r="P410" s="100"/>
      <c r="Q410" s="100"/>
      <c r="R410" s="81"/>
      <c r="S410" s="81"/>
      <c r="T410" s="81"/>
      <c r="U410" s="81"/>
      <c r="V410" s="81"/>
      <c r="W410" s="81"/>
      <c r="X410" s="81"/>
      <c r="Y410" s="81"/>
      <c r="Z410" s="81"/>
    </row>
    <row r="411" ht="15.75" customHeight="1">
      <c r="A411" s="83"/>
      <c r="B411" s="94"/>
      <c r="C411" s="83"/>
      <c r="D411" s="95"/>
      <c r="E411" s="95"/>
      <c r="F411" s="96"/>
      <c r="G411" s="97"/>
      <c r="H411" s="97"/>
      <c r="I411" s="97"/>
      <c r="J411" s="95"/>
      <c r="K411" s="98"/>
      <c r="L411" s="95"/>
      <c r="M411" s="99"/>
      <c r="N411" s="95"/>
      <c r="O411" s="95"/>
      <c r="P411" s="100"/>
      <c r="Q411" s="100"/>
      <c r="R411" s="81"/>
      <c r="S411" s="81"/>
      <c r="T411" s="81"/>
      <c r="U411" s="81"/>
      <c r="V411" s="81"/>
      <c r="W411" s="81"/>
      <c r="X411" s="81"/>
      <c r="Y411" s="81"/>
      <c r="Z411" s="81"/>
    </row>
    <row r="412" ht="15.75" customHeight="1">
      <c r="A412" s="83"/>
      <c r="B412" s="94"/>
      <c r="C412" s="83"/>
      <c r="D412" s="95"/>
      <c r="E412" s="95"/>
      <c r="F412" s="96"/>
      <c r="G412" s="97"/>
      <c r="H412" s="97"/>
      <c r="I412" s="97"/>
      <c r="J412" s="95"/>
      <c r="K412" s="98"/>
      <c r="L412" s="95"/>
      <c r="M412" s="99"/>
      <c r="N412" s="95"/>
      <c r="O412" s="95"/>
      <c r="P412" s="100"/>
      <c r="Q412" s="100"/>
      <c r="R412" s="81"/>
      <c r="S412" s="81"/>
      <c r="T412" s="81"/>
      <c r="U412" s="81"/>
      <c r="V412" s="81"/>
      <c r="W412" s="81"/>
      <c r="X412" s="81"/>
      <c r="Y412" s="81"/>
      <c r="Z412" s="81"/>
    </row>
    <row r="413" ht="15.75" customHeight="1">
      <c r="A413" s="83"/>
      <c r="B413" s="94"/>
      <c r="C413" s="83"/>
      <c r="D413" s="95"/>
      <c r="E413" s="95"/>
      <c r="F413" s="96"/>
      <c r="G413" s="97"/>
      <c r="H413" s="97"/>
      <c r="I413" s="97"/>
      <c r="J413" s="95"/>
      <c r="K413" s="98"/>
      <c r="L413" s="95"/>
      <c r="M413" s="99"/>
      <c r="N413" s="95"/>
      <c r="O413" s="95"/>
      <c r="P413" s="100"/>
      <c r="Q413" s="100"/>
      <c r="R413" s="81"/>
      <c r="S413" s="81"/>
      <c r="T413" s="81"/>
      <c r="U413" s="81"/>
      <c r="V413" s="81"/>
      <c r="W413" s="81"/>
      <c r="X413" s="81"/>
      <c r="Y413" s="81"/>
      <c r="Z413" s="81"/>
    </row>
    <row r="414" ht="15.75" customHeight="1">
      <c r="A414" s="83"/>
      <c r="B414" s="94"/>
      <c r="C414" s="83"/>
      <c r="D414" s="95"/>
      <c r="E414" s="95"/>
      <c r="F414" s="96"/>
      <c r="G414" s="97"/>
      <c r="H414" s="97"/>
      <c r="I414" s="97"/>
      <c r="J414" s="95"/>
      <c r="K414" s="98"/>
      <c r="L414" s="95"/>
      <c r="M414" s="99"/>
      <c r="N414" s="95"/>
      <c r="O414" s="95"/>
      <c r="P414" s="100"/>
      <c r="Q414" s="100"/>
      <c r="R414" s="81"/>
      <c r="S414" s="81"/>
      <c r="T414" s="81"/>
      <c r="U414" s="81"/>
      <c r="V414" s="81"/>
      <c r="W414" s="81"/>
      <c r="X414" s="81"/>
      <c r="Y414" s="81"/>
      <c r="Z414" s="81"/>
    </row>
    <row r="415" ht="15.75" customHeight="1">
      <c r="A415" s="83"/>
      <c r="B415" s="94"/>
      <c r="C415" s="83"/>
      <c r="D415" s="95"/>
      <c r="E415" s="95"/>
      <c r="F415" s="96"/>
      <c r="G415" s="97"/>
      <c r="H415" s="97"/>
      <c r="I415" s="97"/>
      <c r="J415" s="95"/>
      <c r="K415" s="98"/>
      <c r="L415" s="95"/>
      <c r="M415" s="99"/>
      <c r="N415" s="95"/>
      <c r="O415" s="95"/>
      <c r="P415" s="100"/>
      <c r="Q415" s="100"/>
      <c r="R415" s="81"/>
      <c r="S415" s="81"/>
      <c r="T415" s="81"/>
      <c r="U415" s="81"/>
      <c r="V415" s="81"/>
      <c r="W415" s="81"/>
      <c r="X415" s="81"/>
      <c r="Y415" s="81"/>
      <c r="Z415" s="81"/>
    </row>
    <row r="416" ht="15.75" customHeight="1">
      <c r="A416" s="83"/>
      <c r="B416" s="94"/>
      <c r="C416" s="83"/>
      <c r="D416" s="95"/>
      <c r="E416" s="95"/>
      <c r="F416" s="96"/>
      <c r="G416" s="97"/>
      <c r="H416" s="97"/>
      <c r="I416" s="97"/>
      <c r="J416" s="95"/>
      <c r="K416" s="98"/>
      <c r="L416" s="95"/>
      <c r="M416" s="99"/>
      <c r="N416" s="95"/>
      <c r="O416" s="95"/>
      <c r="P416" s="100"/>
      <c r="Q416" s="100"/>
      <c r="R416" s="81"/>
      <c r="S416" s="81"/>
      <c r="T416" s="81"/>
      <c r="U416" s="81"/>
      <c r="V416" s="81"/>
      <c r="W416" s="81"/>
      <c r="X416" s="81"/>
      <c r="Y416" s="81"/>
      <c r="Z416" s="81"/>
    </row>
    <row r="417" ht="15.75" customHeight="1">
      <c r="A417" s="83"/>
      <c r="B417" s="94"/>
      <c r="C417" s="83"/>
      <c r="D417" s="95"/>
      <c r="E417" s="95"/>
      <c r="F417" s="96"/>
      <c r="G417" s="97"/>
      <c r="H417" s="97"/>
      <c r="I417" s="97"/>
      <c r="J417" s="95"/>
      <c r="K417" s="98"/>
      <c r="L417" s="95"/>
      <c r="M417" s="99"/>
      <c r="N417" s="95"/>
      <c r="O417" s="95"/>
      <c r="P417" s="100"/>
      <c r="Q417" s="100"/>
      <c r="R417" s="81"/>
      <c r="S417" s="81"/>
      <c r="T417" s="81"/>
      <c r="U417" s="81"/>
      <c r="V417" s="81"/>
      <c r="W417" s="81"/>
      <c r="X417" s="81"/>
      <c r="Y417" s="81"/>
      <c r="Z417" s="81"/>
    </row>
    <row r="418" ht="15.75" customHeight="1">
      <c r="A418" s="83"/>
      <c r="B418" s="94"/>
      <c r="C418" s="83"/>
      <c r="D418" s="95"/>
      <c r="E418" s="95"/>
      <c r="F418" s="96"/>
      <c r="G418" s="97"/>
      <c r="H418" s="97"/>
      <c r="I418" s="97"/>
      <c r="J418" s="95"/>
      <c r="K418" s="98"/>
      <c r="L418" s="95"/>
      <c r="M418" s="99"/>
      <c r="N418" s="95"/>
      <c r="O418" s="95"/>
      <c r="P418" s="100"/>
      <c r="Q418" s="100"/>
      <c r="R418" s="81"/>
      <c r="S418" s="81"/>
      <c r="T418" s="81"/>
      <c r="U418" s="81"/>
      <c r="V418" s="81"/>
      <c r="W418" s="81"/>
      <c r="X418" s="81"/>
      <c r="Y418" s="81"/>
      <c r="Z418" s="81"/>
    </row>
    <row r="419" ht="15.75" customHeight="1">
      <c r="A419" s="83"/>
      <c r="B419" s="94"/>
      <c r="C419" s="83"/>
      <c r="D419" s="95"/>
      <c r="E419" s="95"/>
      <c r="F419" s="96"/>
      <c r="G419" s="97"/>
      <c r="H419" s="97"/>
      <c r="I419" s="97"/>
      <c r="J419" s="95"/>
      <c r="K419" s="98"/>
      <c r="L419" s="95"/>
      <c r="M419" s="99"/>
      <c r="N419" s="95"/>
      <c r="O419" s="95"/>
      <c r="P419" s="100"/>
      <c r="Q419" s="100"/>
      <c r="R419" s="81"/>
      <c r="S419" s="81"/>
      <c r="T419" s="81"/>
      <c r="U419" s="81"/>
      <c r="V419" s="81"/>
      <c r="W419" s="81"/>
      <c r="X419" s="81"/>
      <c r="Y419" s="81"/>
      <c r="Z419" s="81"/>
    </row>
    <row r="420" ht="15.75" customHeight="1">
      <c r="A420" s="83"/>
      <c r="B420" s="94"/>
      <c r="C420" s="83"/>
      <c r="D420" s="95"/>
      <c r="E420" s="95"/>
      <c r="F420" s="96"/>
      <c r="G420" s="97"/>
      <c r="H420" s="97"/>
      <c r="I420" s="97"/>
      <c r="J420" s="95"/>
      <c r="K420" s="98"/>
      <c r="L420" s="95"/>
      <c r="M420" s="99"/>
      <c r="N420" s="95"/>
      <c r="O420" s="95"/>
      <c r="P420" s="100"/>
      <c r="Q420" s="100"/>
      <c r="R420" s="81"/>
      <c r="S420" s="81"/>
      <c r="T420" s="81"/>
      <c r="U420" s="81"/>
      <c r="V420" s="81"/>
      <c r="W420" s="81"/>
      <c r="X420" s="81"/>
      <c r="Y420" s="81"/>
      <c r="Z420" s="81"/>
    </row>
    <row r="421" ht="15.75" customHeight="1">
      <c r="A421" s="83"/>
      <c r="B421" s="94"/>
      <c r="C421" s="83"/>
      <c r="D421" s="95"/>
      <c r="E421" s="95"/>
      <c r="F421" s="96"/>
      <c r="G421" s="97"/>
      <c r="H421" s="97"/>
      <c r="I421" s="97"/>
      <c r="J421" s="95"/>
      <c r="K421" s="98"/>
      <c r="L421" s="95"/>
      <c r="M421" s="99"/>
      <c r="N421" s="95"/>
      <c r="O421" s="95"/>
      <c r="P421" s="100"/>
      <c r="Q421" s="100"/>
      <c r="R421" s="81"/>
      <c r="S421" s="81"/>
      <c r="T421" s="81"/>
      <c r="U421" s="81"/>
      <c r="V421" s="81"/>
      <c r="W421" s="81"/>
      <c r="X421" s="81"/>
      <c r="Y421" s="81"/>
      <c r="Z421" s="81"/>
    </row>
    <row r="422" ht="15.75" customHeight="1">
      <c r="A422" s="83"/>
      <c r="B422" s="94"/>
      <c r="C422" s="83"/>
      <c r="D422" s="95"/>
      <c r="E422" s="95"/>
      <c r="F422" s="96"/>
      <c r="G422" s="97"/>
      <c r="H422" s="97"/>
      <c r="I422" s="97"/>
      <c r="J422" s="95"/>
      <c r="K422" s="98"/>
      <c r="L422" s="95"/>
      <c r="M422" s="99"/>
      <c r="N422" s="95"/>
      <c r="O422" s="95"/>
      <c r="P422" s="100"/>
      <c r="Q422" s="100"/>
      <c r="R422" s="81"/>
      <c r="S422" s="81"/>
      <c r="T422" s="81"/>
      <c r="U422" s="81"/>
      <c r="V422" s="81"/>
      <c r="W422" s="81"/>
      <c r="X422" s="81"/>
      <c r="Y422" s="81"/>
      <c r="Z422" s="81"/>
    </row>
    <row r="423" ht="15.75" customHeight="1">
      <c r="A423" s="83"/>
      <c r="B423" s="94"/>
      <c r="C423" s="83"/>
      <c r="D423" s="95"/>
      <c r="E423" s="95"/>
      <c r="F423" s="96"/>
      <c r="G423" s="97"/>
      <c r="H423" s="97"/>
      <c r="I423" s="97"/>
      <c r="J423" s="95"/>
      <c r="K423" s="98"/>
      <c r="L423" s="95"/>
      <c r="M423" s="99"/>
      <c r="N423" s="95"/>
      <c r="O423" s="95"/>
      <c r="P423" s="100"/>
      <c r="Q423" s="100"/>
      <c r="R423" s="81"/>
      <c r="S423" s="81"/>
      <c r="T423" s="81"/>
      <c r="U423" s="81"/>
      <c r="V423" s="81"/>
      <c r="W423" s="81"/>
      <c r="X423" s="81"/>
      <c r="Y423" s="81"/>
      <c r="Z423" s="81"/>
    </row>
    <row r="424" ht="15.75" customHeight="1">
      <c r="A424" s="83"/>
      <c r="B424" s="94"/>
      <c r="C424" s="83"/>
      <c r="D424" s="95"/>
      <c r="E424" s="95"/>
      <c r="F424" s="96"/>
      <c r="G424" s="97"/>
      <c r="H424" s="97"/>
      <c r="I424" s="97"/>
      <c r="J424" s="95"/>
      <c r="K424" s="98"/>
      <c r="L424" s="95"/>
      <c r="M424" s="99"/>
      <c r="N424" s="95"/>
      <c r="O424" s="95"/>
      <c r="P424" s="100"/>
      <c r="Q424" s="100"/>
      <c r="R424" s="81"/>
      <c r="S424" s="81"/>
      <c r="T424" s="81"/>
      <c r="U424" s="81"/>
      <c r="V424" s="81"/>
      <c r="W424" s="81"/>
      <c r="X424" s="81"/>
      <c r="Y424" s="81"/>
      <c r="Z424" s="81"/>
    </row>
    <row r="425" ht="15.75" customHeight="1">
      <c r="A425" s="83"/>
      <c r="B425" s="94"/>
      <c r="C425" s="83"/>
      <c r="D425" s="95"/>
      <c r="E425" s="95"/>
      <c r="F425" s="96"/>
      <c r="G425" s="97"/>
      <c r="H425" s="97"/>
      <c r="I425" s="97"/>
      <c r="J425" s="95"/>
      <c r="K425" s="98"/>
      <c r="L425" s="95"/>
      <c r="M425" s="99"/>
      <c r="N425" s="95"/>
      <c r="O425" s="95"/>
      <c r="P425" s="100"/>
      <c r="Q425" s="100"/>
      <c r="R425" s="81"/>
      <c r="S425" s="81"/>
      <c r="T425" s="81"/>
      <c r="U425" s="81"/>
      <c r="V425" s="81"/>
      <c r="W425" s="81"/>
      <c r="X425" s="81"/>
      <c r="Y425" s="81"/>
      <c r="Z425" s="81"/>
    </row>
    <row r="426" ht="15.75" customHeight="1">
      <c r="A426" s="83"/>
      <c r="B426" s="94"/>
      <c r="C426" s="83"/>
      <c r="D426" s="95"/>
      <c r="E426" s="95"/>
      <c r="F426" s="96"/>
      <c r="G426" s="97"/>
      <c r="H426" s="97"/>
      <c r="I426" s="97"/>
      <c r="J426" s="95"/>
      <c r="K426" s="98"/>
      <c r="L426" s="95"/>
      <c r="M426" s="99"/>
      <c r="N426" s="95"/>
      <c r="O426" s="95"/>
      <c r="P426" s="100"/>
      <c r="Q426" s="100"/>
      <c r="R426" s="81"/>
      <c r="S426" s="81"/>
      <c r="T426" s="81"/>
      <c r="U426" s="81"/>
      <c r="V426" s="81"/>
      <c r="W426" s="81"/>
      <c r="X426" s="81"/>
      <c r="Y426" s="81"/>
      <c r="Z426" s="81"/>
    </row>
    <row r="427" ht="15.75" customHeight="1">
      <c r="A427" s="83"/>
      <c r="B427" s="94"/>
      <c r="C427" s="83"/>
      <c r="D427" s="95"/>
      <c r="E427" s="95"/>
      <c r="F427" s="96"/>
      <c r="G427" s="97"/>
      <c r="H427" s="97"/>
      <c r="I427" s="97"/>
      <c r="J427" s="95"/>
      <c r="K427" s="98"/>
      <c r="L427" s="95"/>
      <c r="M427" s="99"/>
      <c r="N427" s="95"/>
      <c r="O427" s="95"/>
      <c r="P427" s="100"/>
      <c r="Q427" s="100"/>
      <c r="R427" s="81"/>
      <c r="S427" s="81"/>
      <c r="T427" s="81"/>
      <c r="U427" s="81"/>
      <c r="V427" s="81"/>
      <c r="W427" s="81"/>
      <c r="X427" s="81"/>
      <c r="Y427" s="81"/>
      <c r="Z427" s="81"/>
    </row>
    <row r="428" ht="15.75" customHeight="1">
      <c r="A428" s="83"/>
      <c r="B428" s="94"/>
      <c r="C428" s="83"/>
      <c r="D428" s="95"/>
      <c r="E428" s="95"/>
      <c r="F428" s="96"/>
      <c r="G428" s="97"/>
      <c r="H428" s="97"/>
      <c r="I428" s="97"/>
      <c r="J428" s="95"/>
      <c r="K428" s="98"/>
      <c r="L428" s="95"/>
      <c r="M428" s="99"/>
      <c r="N428" s="95"/>
      <c r="O428" s="95"/>
      <c r="P428" s="100"/>
      <c r="Q428" s="100"/>
      <c r="R428" s="81"/>
      <c r="S428" s="81"/>
      <c r="T428" s="81"/>
      <c r="U428" s="81"/>
      <c r="V428" s="81"/>
      <c r="W428" s="81"/>
      <c r="X428" s="81"/>
      <c r="Y428" s="81"/>
      <c r="Z428" s="81"/>
    </row>
    <row r="429" ht="15.75" customHeight="1">
      <c r="A429" s="83"/>
      <c r="B429" s="94"/>
      <c r="C429" s="83"/>
      <c r="D429" s="95"/>
      <c r="E429" s="95"/>
      <c r="F429" s="96"/>
      <c r="G429" s="97"/>
      <c r="H429" s="97"/>
      <c r="I429" s="97"/>
      <c r="J429" s="95"/>
      <c r="K429" s="98"/>
      <c r="L429" s="95"/>
      <c r="M429" s="99"/>
      <c r="N429" s="95"/>
      <c r="O429" s="95"/>
      <c r="P429" s="100"/>
      <c r="Q429" s="100"/>
      <c r="R429" s="81"/>
      <c r="S429" s="81"/>
      <c r="T429" s="81"/>
      <c r="U429" s="81"/>
      <c r="V429" s="81"/>
      <c r="W429" s="81"/>
      <c r="X429" s="81"/>
      <c r="Y429" s="81"/>
      <c r="Z429" s="81"/>
    </row>
    <row r="430" ht="15.75" customHeight="1">
      <c r="A430" s="83"/>
      <c r="B430" s="94"/>
      <c r="C430" s="83"/>
      <c r="D430" s="95"/>
      <c r="E430" s="95"/>
      <c r="F430" s="96"/>
      <c r="G430" s="97"/>
      <c r="H430" s="97"/>
      <c r="I430" s="97"/>
      <c r="J430" s="95"/>
      <c r="K430" s="98"/>
      <c r="L430" s="95"/>
      <c r="M430" s="99"/>
      <c r="N430" s="95"/>
      <c r="O430" s="95"/>
      <c r="P430" s="100"/>
      <c r="Q430" s="100"/>
      <c r="R430" s="81"/>
      <c r="S430" s="81"/>
      <c r="T430" s="81"/>
      <c r="U430" s="81"/>
      <c r="V430" s="81"/>
      <c r="W430" s="81"/>
      <c r="X430" s="81"/>
      <c r="Y430" s="81"/>
      <c r="Z430" s="81"/>
    </row>
    <row r="431" ht="15.75" customHeight="1">
      <c r="A431" s="83"/>
      <c r="B431" s="94"/>
      <c r="C431" s="83"/>
      <c r="D431" s="95"/>
      <c r="E431" s="95"/>
      <c r="F431" s="96"/>
      <c r="G431" s="97"/>
      <c r="H431" s="97"/>
      <c r="I431" s="97"/>
      <c r="J431" s="95"/>
      <c r="K431" s="98"/>
      <c r="L431" s="95"/>
      <c r="M431" s="99"/>
      <c r="N431" s="95"/>
      <c r="O431" s="95"/>
      <c r="P431" s="100"/>
      <c r="Q431" s="100"/>
      <c r="R431" s="81"/>
      <c r="S431" s="81"/>
      <c r="T431" s="81"/>
      <c r="U431" s="81"/>
      <c r="V431" s="81"/>
      <c r="W431" s="81"/>
      <c r="X431" s="81"/>
      <c r="Y431" s="81"/>
      <c r="Z431" s="81"/>
    </row>
    <row r="432" ht="15.75" customHeight="1">
      <c r="A432" s="83"/>
      <c r="B432" s="94"/>
      <c r="C432" s="83"/>
      <c r="D432" s="95"/>
      <c r="E432" s="95"/>
      <c r="F432" s="96"/>
      <c r="G432" s="97"/>
      <c r="H432" s="97"/>
      <c r="I432" s="97"/>
      <c r="J432" s="95"/>
      <c r="K432" s="98"/>
      <c r="L432" s="95"/>
      <c r="M432" s="99"/>
      <c r="N432" s="95"/>
      <c r="O432" s="95"/>
      <c r="P432" s="100"/>
      <c r="Q432" s="100"/>
      <c r="R432" s="81"/>
      <c r="S432" s="81"/>
      <c r="T432" s="81"/>
      <c r="U432" s="81"/>
      <c r="V432" s="81"/>
      <c r="W432" s="81"/>
      <c r="X432" s="81"/>
      <c r="Y432" s="81"/>
      <c r="Z432" s="81"/>
    </row>
    <row r="433" ht="15.75" customHeight="1">
      <c r="A433" s="83"/>
      <c r="B433" s="94"/>
      <c r="C433" s="83"/>
      <c r="D433" s="95"/>
      <c r="E433" s="95"/>
      <c r="F433" s="96"/>
      <c r="G433" s="97"/>
      <c r="H433" s="97"/>
      <c r="I433" s="97"/>
      <c r="J433" s="95"/>
      <c r="K433" s="98"/>
      <c r="L433" s="95"/>
      <c r="M433" s="99"/>
      <c r="N433" s="95"/>
      <c r="O433" s="95"/>
      <c r="P433" s="100"/>
      <c r="Q433" s="100"/>
      <c r="R433" s="81"/>
      <c r="S433" s="81"/>
      <c r="T433" s="81"/>
      <c r="U433" s="81"/>
      <c r="V433" s="81"/>
      <c r="W433" s="81"/>
      <c r="X433" s="81"/>
      <c r="Y433" s="81"/>
      <c r="Z433" s="81"/>
    </row>
    <row r="434" ht="15.75" customHeight="1">
      <c r="A434" s="83"/>
      <c r="B434" s="94"/>
      <c r="C434" s="83"/>
      <c r="D434" s="95"/>
      <c r="E434" s="95"/>
      <c r="F434" s="96"/>
      <c r="G434" s="97"/>
      <c r="H434" s="97"/>
      <c r="I434" s="97"/>
      <c r="J434" s="95"/>
      <c r="K434" s="98"/>
      <c r="L434" s="95"/>
      <c r="M434" s="99"/>
      <c r="N434" s="95"/>
      <c r="O434" s="95"/>
      <c r="P434" s="100"/>
      <c r="Q434" s="100"/>
      <c r="R434" s="81"/>
      <c r="S434" s="81"/>
      <c r="T434" s="81"/>
      <c r="U434" s="81"/>
      <c r="V434" s="81"/>
      <c r="W434" s="81"/>
      <c r="X434" s="81"/>
      <c r="Y434" s="81"/>
      <c r="Z434" s="81"/>
    </row>
    <row r="435" ht="15.75" customHeight="1">
      <c r="A435" s="83"/>
      <c r="B435" s="94"/>
      <c r="C435" s="83"/>
      <c r="D435" s="95"/>
      <c r="E435" s="95"/>
      <c r="F435" s="96"/>
      <c r="G435" s="97"/>
      <c r="H435" s="97"/>
      <c r="I435" s="97"/>
      <c r="J435" s="95"/>
      <c r="K435" s="98"/>
      <c r="L435" s="95"/>
      <c r="M435" s="99"/>
      <c r="N435" s="95"/>
      <c r="O435" s="95"/>
      <c r="P435" s="100"/>
      <c r="Q435" s="100"/>
      <c r="R435" s="81"/>
      <c r="S435" s="81"/>
      <c r="T435" s="81"/>
      <c r="U435" s="81"/>
      <c r="V435" s="81"/>
      <c r="W435" s="81"/>
      <c r="X435" s="81"/>
      <c r="Y435" s="81"/>
      <c r="Z435" s="81"/>
    </row>
    <row r="436" ht="15.75" customHeight="1">
      <c r="A436" s="83"/>
      <c r="B436" s="94"/>
      <c r="C436" s="83"/>
      <c r="D436" s="95"/>
      <c r="E436" s="95"/>
      <c r="F436" s="96"/>
      <c r="G436" s="97"/>
      <c r="H436" s="97"/>
      <c r="I436" s="97"/>
      <c r="J436" s="95"/>
      <c r="K436" s="98"/>
      <c r="L436" s="95"/>
      <c r="M436" s="99"/>
      <c r="N436" s="95"/>
      <c r="O436" s="95"/>
      <c r="P436" s="100"/>
      <c r="Q436" s="100"/>
      <c r="R436" s="81"/>
      <c r="S436" s="81"/>
      <c r="T436" s="81"/>
      <c r="U436" s="81"/>
      <c r="V436" s="81"/>
      <c r="W436" s="81"/>
      <c r="X436" s="81"/>
      <c r="Y436" s="81"/>
      <c r="Z436" s="81"/>
    </row>
    <row r="437" ht="15.75" customHeight="1">
      <c r="A437" s="83"/>
      <c r="B437" s="94"/>
      <c r="C437" s="83"/>
      <c r="D437" s="95"/>
      <c r="E437" s="95"/>
      <c r="F437" s="96"/>
      <c r="G437" s="97"/>
      <c r="H437" s="97"/>
      <c r="I437" s="97"/>
      <c r="J437" s="95"/>
      <c r="K437" s="98"/>
      <c r="L437" s="95"/>
      <c r="M437" s="99"/>
      <c r="N437" s="95"/>
      <c r="O437" s="95"/>
      <c r="P437" s="100"/>
      <c r="Q437" s="100"/>
      <c r="R437" s="81"/>
      <c r="S437" s="81"/>
      <c r="T437" s="81"/>
      <c r="U437" s="81"/>
      <c r="V437" s="81"/>
      <c r="W437" s="81"/>
      <c r="X437" s="81"/>
      <c r="Y437" s="81"/>
      <c r="Z437" s="81"/>
    </row>
    <row r="438" ht="15.75" customHeight="1">
      <c r="A438" s="83"/>
      <c r="B438" s="94"/>
      <c r="C438" s="83"/>
      <c r="D438" s="95"/>
      <c r="E438" s="95"/>
      <c r="F438" s="96"/>
      <c r="G438" s="97"/>
      <c r="H438" s="97"/>
      <c r="I438" s="97"/>
      <c r="J438" s="95"/>
      <c r="K438" s="98"/>
      <c r="L438" s="95"/>
      <c r="M438" s="99"/>
      <c r="N438" s="95"/>
      <c r="O438" s="95"/>
      <c r="P438" s="100"/>
      <c r="Q438" s="100"/>
      <c r="R438" s="81"/>
      <c r="S438" s="81"/>
      <c r="T438" s="81"/>
      <c r="U438" s="81"/>
      <c r="V438" s="81"/>
      <c r="W438" s="81"/>
      <c r="X438" s="81"/>
      <c r="Y438" s="81"/>
      <c r="Z438" s="81"/>
    </row>
    <row r="439" ht="15.75" customHeight="1">
      <c r="A439" s="83"/>
      <c r="B439" s="94"/>
      <c r="C439" s="83"/>
      <c r="D439" s="95"/>
      <c r="E439" s="95"/>
      <c r="F439" s="96"/>
      <c r="G439" s="97"/>
      <c r="H439" s="97"/>
      <c r="I439" s="97"/>
      <c r="J439" s="95"/>
      <c r="K439" s="98"/>
      <c r="L439" s="95"/>
      <c r="M439" s="99"/>
      <c r="N439" s="95"/>
      <c r="O439" s="95"/>
      <c r="P439" s="100"/>
      <c r="Q439" s="100"/>
      <c r="R439" s="81"/>
      <c r="S439" s="81"/>
      <c r="T439" s="81"/>
      <c r="U439" s="81"/>
      <c r="V439" s="81"/>
      <c r="W439" s="81"/>
      <c r="X439" s="81"/>
      <c r="Y439" s="81"/>
      <c r="Z439" s="81"/>
    </row>
    <row r="440" ht="15.75" customHeight="1">
      <c r="A440" s="83"/>
      <c r="B440" s="94"/>
      <c r="C440" s="83"/>
      <c r="D440" s="95"/>
      <c r="E440" s="95"/>
      <c r="F440" s="96"/>
      <c r="G440" s="97"/>
      <c r="H440" s="97"/>
      <c r="I440" s="97"/>
      <c r="J440" s="95"/>
      <c r="K440" s="98"/>
      <c r="L440" s="95"/>
      <c r="M440" s="99"/>
      <c r="N440" s="95"/>
      <c r="O440" s="95"/>
      <c r="P440" s="100"/>
      <c r="Q440" s="100"/>
      <c r="R440" s="81"/>
      <c r="S440" s="81"/>
      <c r="T440" s="81"/>
      <c r="U440" s="81"/>
      <c r="V440" s="81"/>
      <c r="W440" s="81"/>
      <c r="X440" s="81"/>
      <c r="Y440" s="81"/>
      <c r="Z440" s="81"/>
    </row>
    <row r="441" ht="15.75" customHeight="1">
      <c r="A441" s="83"/>
      <c r="B441" s="94"/>
      <c r="C441" s="83"/>
      <c r="D441" s="95"/>
      <c r="E441" s="95"/>
      <c r="F441" s="96"/>
      <c r="G441" s="97"/>
      <c r="H441" s="97"/>
      <c r="I441" s="97"/>
      <c r="J441" s="95"/>
      <c r="K441" s="98"/>
      <c r="L441" s="95"/>
      <c r="M441" s="99"/>
      <c r="N441" s="95"/>
      <c r="O441" s="95"/>
      <c r="P441" s="100"/>
      <c r="Q441" s="100"/>
      <c r="R441" s="81"/>
      <c r="S441" s="81"/>
      <c r="T441" s="81"/>
      <c r="U441" s="81"/>
      <c r="V441" s="81"/>
      <c r="W441" s="81"/>
      <c r="X441" s="81"/>
      <c r="Y441" s="81"/>
      <c r="Z441" s="81"/>
    </row>
    <row r="442" ht="15.75" customHeight="1">
      <c r="A442" s="83"/>
      <c r="B442" s="94"/>
      <c r="C442" s="83"/>
      <c r="D442" s="95"/>
      <c r="E442" s="95"/>
      <c r="F442" s="96"/>
      <c r="G442" s="97"/>
      <c r="H442" s="97"/>
      <c r="I442" s="97"/>
      <c r="J442" s="95"/>
      <c r="K442" s="98"/>
      <c r="L442" s="95"/>
      <c r="M442" s="99"/>
      <c r="N442" s="95"/>
      <c r="O442" s="95"/>
      <c r="P442" s="100"/>
      <c r="Q442" s="100"/>
      <c r="R442" s="81"/>
      <c r="S442" s="81"/>
      <c r="T442" s="81"/>
      <c r="U442" s="81"/>
      <c r="V442" s="81"/>
      <c r="W442" s="81"/>
      <c r="X442" s="81"/>
      <c r="Y442" s="81"/>
      <c r="Z442" s="81"/>
    </row>
    <row r="443" ht="15.75" customHeight="1">
      <c r="A443" s="83"/>
      <c r="B443" s="94"/>
      <c r="C443" s="83"/>
      <c r="D443" s="95"/>
      <c r="E443" s="95"/>
      <c r="F443" s="96"/>
      <c r="G443" s="97"/>
      <c r="H443" s="97"/>
      <c r="I443" s="97"/>
      <c r="J443" s="95"/>
      <c r="K443" s="98"/>
      <c r="L443" s="95"/>
      <c r="M443" s="99"/>
      <c r="N443" s="95"/>
      <c r="O443" s="95"/>
      <c r="P443" s="100"/>
      <c r="Q443" s="100"/>
      <c r="R443" s="81"/>
      <c r="S443" s="81"/>
      <c r="T443" s="81"/>
      <c r="U443" s="81"/>
      <c r="V443" s="81"/>
      <c r="W443" s="81"/>
      <c r="X443" s="81"/>
      <c r="Y443" s="81"/>
      <c r="Z443" s="81"/>
    </row>
    <row r="444" ht="15.75" customHeight="1">
      <c r="A444" s="83"/>
      <c r="B444" s="94"/>
      <c r="C444" s="83"/>
      <c r="D444" s="95"/>
      <c r="E444" s="95"/>
      <c r="F444" s="96"/>
      <c r="G444" s="97"/>
      <c r="H444" s="97"/>
      <c r="I444" s="97"/>
      <c r="J444" s="95"/>
      <c r="K444" s="98"/>
      <c r="L444" s="95"/>
      <c r="M444" s="99"/>
      <c r="N444" s="95"/>
      <c r="O444" s="95"/>
      <c r="P444" s="100"/>
      <c r="Q444" s="100"/>
      <c r="R444" s="81"/>
      <c r="S444" s="81"/>
      <c r="T444" s="81"/>
      <c r="U444" s="81"/>
      <c r="V444" s="81"/>
      <c r="W444" s="81"/>
      <c r="X444" s="81"/>
      <c r="Y444" s="81"/>
      <c r="Z444" s="81"/>
    </row>
    <row r="445" ht="15.75" customHeight="1">
      <c r="A445" s="83"/>
      <c r="B445" s="94"/>
      <c r="C445" s="83"/>
      <c r="D445" s="95"/>
      <c r="E445" s="95"/>
      <c r="F445" s="96"/>
      <c r="G445" s="97"/>
      <c r="H445" s="97"/>
      <c r="I445" s="97"/>
      <c r="J445" s="95"/>
      <c r="K445" s="98"/>
      <c r="L445" s="95"/>
      <c r="M445" s="99"/>
      <c r="N445" s="95"/>
      <c r="O445" s="95"/>
      <c r="P445" s="100"/>
      <c r="Q445" s="100"/>
      <c r="R445" s="81"/>
      <c r="S445" s="81"/>
      <c r="T445" s="81"/>
      <c r="U445" s="81"/>
      <c r="V445" s="81"/>
      <c r="W445" s="81"/>
      <c r="X445" s="81"/>
      <c r="Y445" s="81"/>
      <c r="Z445" s="81"/>
    </row>
    <row r="446" ht="15.75" customHeight="1">
      <c r="A446" s="83"/>
      <c r="B446" s="94"/>
      <c r="C446" s="83"/>
      <c r="D446" s="95"/>
      <c r="E446" s="95"/>
      <c r="F446" s="96"/>
      <c r="G446" s="97"/>
      <c r="H446" s="97"/>
      <c r="I446" s="97"/>
      <c r="J446" s="95"/>
      <c r="K446" s="98"/>
      <c r="L446" s="95"/>
      <c r="M446" s="99"/>
      <c r="N446" s="95"/>
      <c r="O446" s="95"/>
      <c r="P446" s="100"/>
      <c r="Q446" s="100"/>
      <c r="R446" s="81"/>
      <c r="S446" s="81"/>
      <c r="T446" s="81"/>
      <c r="U446" s="81"/>
      <c r="V446" s="81"/>
      <c r="W446" s="81"/>
      <c r="X446" s="81"/>
      <c r="Y446" s="81"/>
      <c r="Z446" s="81"/>
    </row>
    <row r="447" ht="15.75" customHeight="1">
      <c r="A447" s="83"/>
      <c r="B447" s="94"/>
      <c r="C447" s="83"/>
      <c r="D447" s="95"/>
      <c r="E447" s="95"/>
      <c r="F447" s="96"/>
      <c r="G447" s="97"/>
      <c r="H447" s="97"/>
      <c r="I447" s="97"/>
      <c r="J447" s="95"/>
      <c r="K447" s="98"/>
      <c r="L447" s="95"/>
      <c r="M447" s="99"/>
      <c r="N447" s="95"/>
      <c r="O447" s="95"/>
      <c r="P447" s="100"/>
      <c r="Q447" s="100"/>
      <c r="R447" s="81"/>
      <c r="S447" s="81"/>
      <c r="T447" s="81"/>
      <c r="U447" s="81"/>
      <c r="V447" s="81"/>
      <c r="W447" s="81"/>
      <c r="X447" s="81"/>
      <c r="Y447" s="81"/>
      <c r="Z447" s="81"/>
    </row>
    <row r="448" ht="15.75" customHeight="1">
      <c r="A448" s="83"/>
      <c r="B448" s="94"/>
      <c r="C448" s="83"/>
      <c r="D448" s="95"/>
      <c r="E448" s="95"/>
      <c r="F448" s="96"/>
      <c r="G448" s="97"/>
      <c r="H448" s="97"/>
      <c r="I448" s="97"/>
      <c r="J448" s="95"/>
      <c r="K448" s="98"/>
      <c r="L448" s="95"/>
      <c r="M448" s="99"/>
      <c r="N448" s="95"/>
      <c r="O448" s="95"/>
      <c r="P448" s="100"/>
      <c r="Q448" s="100"/>
      <c r="R448" s="81"/>
      <c r="S448" s="81"/>
      <c r="T448" s="81"/>
      <c r="U448" s="81"/>
      <c r="V448" s="81"/>
      <c r="W448" s="81"/>
      <c r="X448" s="81"/>
      <c r="Y448" s="81"/>
      <c r="Z448" s="81"/>
    </row>
    <row r="449" ht="15.75" customHeight="1">
      <c r="A449" s="83"/>
      <c r="B449" s="94"/>
      <c r="C449" s="83"/>
      <c r="D449" s="95"/>
      <c r="E449" s="95"/>
      <c r="F449" s="96"/>
      <c r="G449" s="97"/>
      <c r="H449" s="97"/>
      <c r="I449" s="97"/>
      <c r="J449" s="95"/>
      <c r="K449" s="98"/>
      <c r="L449" s="95"/>
      <c r="M449" s="99"/>
      <c r="N449" s="95"/>
      <c r="O449" s="95"/>
      <c r="P449" s="100"/>
      <c r="Q449" s="100"/>
      <c r="R449" s="81"/>
      <c r="S449" s="81"/>
      <c r="T449" s="81"/>
      <c r="U449" s="81"/>
      <c r="V449" s="81"/>
      <c r="W449" s="81"/>
      <c r="X449" s="81"/>
      <c r="Y449" s="81"/>
      <c r="Z449" s="81"/>
    </row>
    <row r="450" ht="15.75" customHeight="1">
      <c r="A450" s="83"/>
      <c r="B450" s="94"/>
      <c r="C450" s="83"/>
      <c r="D450" s="95"/>
      <c r="E450" s="95"/>
      <c r="F450" s="96"/>
      <c r="G450" s="97"/>
      <c r="H450" s="97"/>
      <c r="I450" s="97"/>
      <c r="J450" s="95"/>
      <c r="K450" s="98"/>
      <c r="L450" s="95"/>
      <c r="M450" s="99"/>
      <c r="N450" s="95"/>
      <c r="O450" s="95"/>
      <c r="P450" s="100"/>
      <c r="Q450" s="100"/>
      <c r="R450" s="81"/>
      <c r="S450" s="81"/>
      <c r="T450" s="81"/>
      <c r="U450" s="81"/>
      <c r="V450" s="81"/>
      <c r="W450" s="81"/>
      <c r="X450" s="81"/>
      <c r="Y450" s="81"/>
      <c r="Z450" s="81"/>
    </row>
    <row r="451" ht="15.75" customHeight="1">
      <c r="A451" s="83"/>
      <c r="B451" s="94"/>
      <c r="C451" s="83"/>
      <c r="D451" s="95"/>
      <c r="E451" s="95"/>
      <c r="F451" s="96"/>
      <c r="G451" s="97"/>
      <c r="H451" s="97"/>
      <c r="I451" s="97"/>
      <c r="J451" s="95"/>
      <c r="K451" s="98"/>
      <c r="L451" s="95"/>
      <c r="M451" s="99"/>
      <c r="N451" s="95"/>
      <c r="O451" s="95"/>
      <c r="P451" s="100"/>
      <c r="Q451" s="100"/>
      <c r="R451" s="81"/>
      <c r="S451" s="81"/>
      <c r="T451" s="81"/>
      <c r="U451" s="81"/>
      <c r="V451" s="81"/>
      <c r="W451" s="81"/>
      <c r="X451" s="81"/>
      <c r="Y451" s="81"/>
      <c r="Z451" s="81"/>
    </row>
    <row r="452" ht="15.75" customHeight="1">
      <c r="A452" s="83"/>
      <c r="B452" s="94"/>
      <c r="C452" s="83"/>
      <c r="D452" s="95"/>
      <c r="E452" s="95"/>
      <c r="F452" s="96"/>
      <c r="G452" s="97"/>
      <c r="H452" s="97"/>
      <c r="I452" s="97"/>
      <c r="J452" s="95"/>
      <c r="K452" s="98"/>
      <c r="L452" s="95"/>
      <c r="M452" s="99"/>
      <c r="N452" s="95"/>
      <c r="O452" s="95"/>
      <c r="P452" s="100"/>
      <c r="Q452" s="100"/>
      <c r="R452" s="81"/>
      <c r="S452" s="81"/>
      <c r="T452" s="81"/>
      <c r="U452" s="81"/>
      <c r="V452" s="81"/>
      <c r="W452" s="81"/>
      <c r="X452" s="81"/>
      <c r="Y452" s="81"/>
      <c r="Z452" s="81"/>
    </row>
    <row r="453" ht="15.75" customHeight="1">
      <c r="A453" s="83"/>
      <c r="B453" s="94"/>
      <c r="C453" s="83"/>
      <c r="D453" s="95"/>
      <c r="E453" s="95"/>
      <c r="F453" s="96"/>
      <c r="G453" s="97"/>
      <c r="H453" s="97"/>
      <c r="I453" s="97"/>
      <c r="J453" s="95"/>
      <c r="K453" s="98"/>
      <c r="L453" s="95"/>
      <c r="M453" s="99"/>
      <c r="N453" s="95"/>
      <c r="O453" s="95"/>
      <c r="P453" s="100"/>
      <c r="Q453" s="100"/>
      <c r="R453" s="81"/>
      <c r="S453" s="81"/>
      <c r="T453" s="81"/>
      <c r="U453" s="81"/>
      <c r="V453" s="81"/>
      <c r="W453" s="81"/>
      <c r="X453" s="81"/>
      <c r="Y453" s="81"/>
      <c r="Z453" s="81"/>
    </row>
    <row r="454" ht="15.75" customHeight="1">
      <c r="A454" s="83"/>
      <c r="B454" s="94"/>
      <c r="C454" s="83"/>
      <c r="D454" s="95"/>
      <c r="E454" s="95"/>
      <c r="F454" s="96"/>
      <c r="G454" s="97"/>
      <c r="H454" s="97"/>
      <c r="I454" s="97"/>
      <c r="J454" s="95"/>
      <c r="K454" s="98"/>
      <c r="L454" s="95"/>
      <c r="M454" s="99"/>
      <c r="N454" s="95"/>
      <c r="O454" s="95"/>
      <c r="P454" s="100"/>
      <c r="Q454" s="100"/>
      <c r="R454" s="81"/>
      <c r="S454" s="81"/>
      <c r="T454" s="81"/>
      <c r="U454" s="81"/>
      <c r="V454" s="81"/>
      <c r="W454" s="81"/>
      <c r="X454" s="81"/>
      <c r="Y454" s="81"/>
      <c r="Z454" s="81"/>
    </row>
    <row r="455" ht="15.75" customHeight="1">
      <c r="A455" s="83"/>
      <c r="B455" s="94"/>
      <c r="C455" s="83"/>
      <c r="D455" s="95"/>
      <c r="E455" s="95"/>
      <c r="F455" s="96"/>
      <c r="G455" s="97"/>
      <c r="H455" s="97"/>
      <c r="I455" s="97"/>
      <c r="J455" s="95"/>
      <c r="K455" s="98"/>
      <c r="L455" s="95"/>
      <c r="M455" s="99"/>
      <c r="N455" s="95"/>
      <c r="O455" s="95"/>
      <c r="P455" s="100"/>
      <c r="Q455" s="100"/>
      <c r="R455" s="81"/>
      <c r="S455" s="81"/>
      <c r="T455" s="81"/>
      <c r="U455" s="81"/>
      <c r="V455" s="81"/>
      <c r="W455" s="81"/>
      <c r="X455" s="81"/>
      <c r="Y455" s="81"/>
      <c r="Z455" s="81"/>
    </row>
    <row r="456" ht="15.75" customHeight="1">
      <c r="A456" s="83"/>
      <c r="B456" s="94"/>
      <c r="C456" s="83"/>
      <c r="D456" s="95"/>
      <c r="E456" s="95"/>
      <c r="F456" s="96"/>
      <c r="G456" s="97"/>
      <c r="H456" s="97"/>
      <c r="I456" s="97"/>
      <c r="J456" s="95"/>
      <c r="K456" s="98"/>
      <c r="L456" s="95"/>
      <c r="M456" s="99"/>
      <c r="N456" s="95"/>
      <c r="O456" s="95"/>
      <c r="P456" s="100"/>
      <c r="Q456" s="100"/>
      <c r="R456" s="81"/>
      <c r="S456" s="81"/>
      <c r="T456" s="81"/>
      <c r="U456" s="81"/>
      <c r="V456" s="81"/>
      <c r="W456" s="81"/>
      <c r="X456" s="81"/>
      <c r="Y456" s="81"/>
      <c r="Z456" s="81"/>
    </row>
    <row r="457" ht="15.75" customHeight="1">
      <c r="A457" s="83"/>
      <c r="B457" s="94"/>
      <c r="C457" s="83"/>
      <c r="D457" s="95"/>
      <c r="E457" s="95"/>
      <c r="F457" s="96"/>
      <c r="G457" s="97"/>
      <c r="H457" s="97"/>
      <c r="I457" s="97"/>
      <c r="J457" s="95"/>
      <c r="K457" s="98"/>
      <c r="L457" s="95"/>
      <c r="M457" s="99"/>
      <c r="N457" s="95"/>
      <c r="O457" s="95"/>
      <c r="P457" s="100"/>
      <c r="Q457" s="100"/>
      <c r="R457" s="81"/>
      <c r="S457" s="81"/>
      <c r="T457" s="81"/>
      <c r="U457" s="81"/>
      <c r="V457" s="81"/>
      <c r="W457" s="81"/>
      <c r="X457" s="81"/>
      <c r="Y457" s="81"/>
      <c r="Z457" s="81"/>
    </row>
    <row r="458" ht="15.75" customHeight="1">
      <c r="A458" s="83"/>
      <c r="B458" s="94"/>
      <c r="C458" s="83"/>
      <c r="D458" s="95"/>
      <c r="E458" s="95"/>
      <c r="F458" s="96"/>
      <c r="G458" s="97"/>
      <c r="H458" s="97"/>
      <c r="I458" s="97"/>
      <c r="J458" s="95"/>
      <c r="K458" s="98"/>
      <c r="L458" s="95"/>
      <c r="M458" s="99"/>
      <c r="N458" s="95"/>
      <c r="O458" s="95"/>
      <c r="P458" s="100"/>
      <c r="Q458" s="100"/>
      <c r="R458" s="81"/>
      <c r="S458" s="81"/>
      <c r="T458" s="81"/>
      <c r="U458" s="81"/>
      <c r="V458" s="81"/>
      <c r="W458" s="81"/>
      <c r="X458" s="81"/>
      <c r="Y458" s="81"/>
      <c r="Z458" s="81"/>
    </row>
    <row r="459" ht="15.75" customHeight="1">
      <c r="A459" s="83"/>
      <c r="B459" s="94"/>
      <c r="C459" s="83"/>
      <c r="D459" s="95"/>
      <c r="E459" s="95"/>
      <c r="F459" s="96"/>
      <c r="G459" s="97"/>
      <c r="H459" s="97"/>
      <c r="I459" s="97"/>
      <c r="J459" s="95"/>
      <c r="K459" s="98"/>
      <c r="L459" s="95"/>
      <c r="M459" s="99"/>
      <c r="N459" s="95"/>
      <c r="O459" s="95"/>
      <c r="P459" s="100"/>
      <c r="Q459" s="100"/>
      <c r="R459" s="81"/>
      <c r="S459" s="81"/>
      <c r="T459" s="81"/>
      <c r="U459" s="81"/>
      <c r="V459" s="81"/>
      <c r="W459" s="81"/>
      <c r="X459" s="81"/>
      <c r="Y459" s="81"/>
      <c r="Z459" s="81"/>
    </row>
    <row r="460" ht="15.75" customHeight="1">
      <c r="A460" s="83"/>
      <c r="B460" s="94"/>
      <c r="C460" s="83"/>
      <c r="D460" s="95"/>
      <c r="E460" s="95"/>
      <c r="F460" s="96"/>
      <c r="G460" s="97"/>
      <c r="H460" s="97"/>
      <c r="I460" s="97"/>
      <c r="J460" s="95"/>
      <c r="K460" s="98"/>
      <c r="L460" s="95"/>
      <c r="M460" s="99"/>
      <c r="N460" s="95"/>
      <c r="O460" s="95"/>
      <c r="P460" s="100"/>
      <c r="Q460" s="100"/>
      <c r="R460" s="81"/>
      <c r="S460" s="81"/>
      <c r="T460" s="81"/>
      <c r="U460" s="81"/>
      <c r="V460" s="81"/>
      <c r="W460" s="81"/>
      <c r="X460" s="81"/>
      <c r="Y460" s="81"/>
      <c r="Z460" s="81"/>
    </row>
    <row r="461" ht="15.75" customHeight="1">
      <c r="A461" s="83"/>
      <c r="B461" s="94"/>
      <c r="C461" s="83"/>
      <c r="D461" s="95"/>
      <c r="E461" s="95"/>
      <c r="F461" s="96"/>
      <c r="G461" s="97"/>
      <c r="H461" s="97"/>
      <c r="I461" s="97"/>
      <c r="J461" s="95"/>
      <c r="K461" s="98"/>
      <c r="L461" s="95"/>
      <c r="M461" s="99"/>
      <c r="N461" s="95"/>
      <c r="O461" s="95"/>
      <c r="P461" s="100"/>
      <c r="Q461" s="100"/>
      <c r="R461" s="81"/>
      <c r="S461" s="81"/>
      <c r="T461" s="81"/>
      <c r="U461" s="81"/>
      <c r="V461" s="81"/>
      <c r="W461" s="81"/>
      <c r="X461" s="81"/>
      <c r="Y461" s="81"/>
      <c r="Z461" s="81"/>
    </row>
  </sheetData>
  <conditionalFormatting sqref="A1:A461">
    <cfRule type="expression" dxfId="0" priority="1">
      <formula>if(countif(A:A,A1)&gt;1,1,0)</formula>
    </cfRule>
  </conditionalFormatting>
  <dataValidations>
    <dataValidation type="list" allowBlank="1" sqref="N2:N297 N300">
      <formula1>Reference!$B$1:$B$13</formula1>
    </dataValidation>
  </dataValidations>
  <hyperlinks>
    <hyperlink r:id="rId2" ref="F386"/>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34.57"/>
  </cols>
  <sheetData>
    <row r="1">
      <c r="B1" s="287" t="s">
        <v>34</v>
      </c>
    </row>
    <row r="2">
      <c r="B2" s="288" t="s">
        <v>701</v>
      </c>
    </row>
    <row r="3">
      <c r="B3" s="288" t="s">
        <v>3082</v>
      </c>
    </row>
    <row r="4">
      <c r="B4" s="288" t="s">
        <v>112</v>
      </c>
    </row>
    <row r="5">
      <c r="B5" s="288" t="s">
        <v>913</v>
      </c>
    </row>
    <row r="6">
      <c r="B6" s="288" t="s">
        <v>3272</v>
      </c>
    </row>
    <row r="7">
      <c r="B7" s="289" t="s">
        <v>727</v>
      </c>
    </row>
    <row r="8">
      <c r="B8" s="289" t="s">
        <v>3662</v>
      </c>
    </row>
    <row r="9">
      <c r="B9" s="289" t="s">
        <v>692</v>
      </c>
    </row>
    <row r="10">
      <c r="B10" s="290" t="s">
        <v>689</v>
      </c>
    </row>
    <row r="11">
      <c r="B11" s="289" t="s">
        <v>741</v>
      </c>
    </row>
    <row r="12">
      <c r="B12" s="289" t="s">
        <v>735</v>
      </c>
    </row>
    <row r="13">
      <c r="B13" s="289" t="s">
        <v>764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8.57"/>
    <col customWidth="1" min="2" max="2" width="18.43"/>
    <col customWidth="1" min="3" max="3" width="19.0"/>
    <col customWidth="1" min="4" max="4" width="72.0"/>
    <col customWidth="1" min="5" max="5" width="16.57"/>
    <col customWidth="1" min="6" max="6" width="82.57"/>
    <col customWidth="1" min="7" max="7" width="16.57"/>
    <col customWidth="1" min="8" max="8" width="19.29"/>
    <col customWidth="1" min="9" max="9" width="21.14"/>
    <col customWidth="1" min="10" max="10" width="15.71"/>
    <col customWidth="1" min="11" max="11" width="23.71"/>
    <col customWidth="1" hidden="1" min="12" max="31" width="14.43"/>
  </cols>
  <sheetData>
    <row r="1" ht="15.0" customHeight="1">
      <c r="A1" s="18" t="s">
        <v>69</v>
      </c>
      <c r="B1" s="18" t="s">
        <v>70</v>
      </c>
      <c r="C1" s="18" t="s">
        <v>6</v>
      </c>
      <c r="D1" s="18" t="s">
        <v>71</v>
      </c>
      <c r="E1" s="18" t="s">
        <v>72</v>
      </c>
      <c r="F1" s="18" t="s">
        <v>73</v>
      </c>
      <c r="G1" s="18" t="s">
        <v>74</v>
      </c>
      <c r="H1" s="18" t="s">
        <v>75</v>
      </c>
      <c r="I1" s="19" t="s">
        <v>76</v>
      </c>
      <c r="J1" s="18" t="s">
        <v>77</v>
      </c>
      <c r="K1" s="18" t="s">
        <v>78</v>
      </c>
      <c r="L1" s="20"/>
      <c r="M1" s="20"/>
      <c r="N1" s="20"/>
      <c r="O1" s="20"/>
      <c r="P1" s="20"/>
      <c r="Q1" s="20"/>
      <c r="R1" s="20"/>
      <c r="S1" s="20"/>
      <c r="T1" s="20"/>
      <c r="U1" s="20"/>
      <c r="V1" s="20"/>
      <c r="W1" s="20"/>
      <c r="X1" s="20"/>
      <c r="Y1" s="20"/>
      <c r="Z1" s="20"/>
      <c r="AA1" s="20"/>
      <c r="AB1" s="20"/>
      <c r="AC1" s="20"/>
      <c r="AD1" s="20"/>
      <c r="AE1" s="20"/>
    </row>
    <row r="2" ht="15.0" customHeight="1">
      <c r="A2" s="21" t="s">
        <v>79</v>
      </c>
      <c r="B2" s="21" t="s">
        <v>80</v>
      </c>
      <c r="C2" s="21" t="s">
        <v>81</v>
      </c>
      <c r="D2" s="21" t="s">
        <v>82</v>
      </c>
      <c r="E2" s="22" t="s">
        <v>83</v>
      </c>
      <c r="F2" s="21">
        <v>9.17588242E9</v>
      </c>
      <c r="G2" s="23" t="s">
        <v>84</v>
      </c>
      <c r="H2" s="22" t="s">
        <v>85</v>
      </c>
      <c r="I2" s="24" t="s">
        <v>86</v>
      </c>
      <c r="J2" s="23" t="s">
        <v>87</v>
      </c>
      <c r="K2" s="22" t="s">
        <v>85</v>
      </c>
      <c r="L2" s="23"/>
      <c r="M2" s="23"/>
      <c r="N2" s="23"/>
      <c r="O2" s="23"/>
      <c r="P2" s="23"/>
      <c r="Q2" s="23"/>
      <c r="R2" s="23"/>
      <c r="S2" s="23"/>
      <c r="T2" s="23"/>
      <c r="U2" s="23"/>
      <c r="V2" s="23"/>
      <c r="W2" s="23"/>
      <c r="X2" s="23"/>
      <c r="Y2" s="23"/>
      <c r="Z2" s="23"/>
      <c r="AA2" s="23"/>
      <c r="AB2" s="23"/>
      <c r="AC2" s="23"/>
      <c r="AD2" s="23"/>
      <c r="AE2" s="23"/>
    </row>
    <row r="3" ht="15.0" customHeight="1">
      <c r="A3" s="21" t="s">
        <v>88</v>
      </c>
      <c r="B3" s="21" t="s">
        <v>80</v>
      </c>
      <c r="C3" s="21" t="s">
        <v>81</v>
      </c>
      <c r="D3" s="21" t="s">
        <v>89</v>
      </c>
      <c r="E3" s="22" t="s">
        <v>83</v>
      </c>
      <c r="F3" s="21">
        <v>5123.0</v>
      </c>
      <c r="G3" s="23" t="s">
        <v>90</v>
      </c>
      <c r="H3" s="22" t="s">
        <v>85</v>
      </c>
      <c r="I3" s="24" t="s">
        <v>86</v>
      </c>
      <c r="J3" s="22" t="s">
        <v>91</v>
      </c>
      <c r="K3" s="22" t="s">
        <v>85</v>
      </c>
      <c r="L3" s="23"/>
      <c r="M3" s="23"/>
      <c r="N3" s="23"/>
      <c r="O3" s="23"/>
      <c r="P3" s="23"/>
      <c r="Q3" s="23"/>
      <c r="R3" s="23"/>
      <c r="S3" s="23"/>
      <c r="T3" s="23"/>
      <c r="U3" s="23"/>
      <c r="V3" s="23"/>
      <c r="W3" s="23"/>
      <c r="X3" s="23"/>
      <c r="Y3" s="23"/>
      <c r="Z3" s="23"/>
      <c r="AA3" s="23"/>
      <c r="AB3" s="23"/>
      <c r="AC3" s="23"/>
      <c r="AD3" s="23"/>
      <c r="AE3" s="23"/>
    </row>
    <row r="4" ht="15.0" customHeight="1">
      <c r="A4" s="21" t="s">
        <v>92</v>
      </c>
      <c r="B4" s="21" t="s">
        <v>80</v>
      </c>
      <c r="C4" s="21" t="s">
        <v>81</v>
      </c>
      <c r="D4" s="21" t="s">
        <v>93</v>
      </c>
      <c r="E4" s="22" t="s">
        <v>83</v>
      </c>
      <c r="F4" s="21">
        <v>1024.0</v>
      </c>
      <c r="G4" s="23" t="s">
        <v>90</v>
      </c>
      <c r="H4" s="22" t="s">
        <v>85</v>
      </c>
      <c r="I4" s="24" t="s">
        <v>91</v>
      </c>
      <c r="J4" s="22" t="s">
        <v>91</v>
      </c>
      <c r="K4" s="22" t="s">
        <v>85</v>
      </c>
      <c r="L4" s="23"/>
      <c r="M4" s="23"/>
      <c r="N4" s="23"/>
      <c r="O4" s="23"/>
      <c r="P4" s="23"/>
      <c r="Q4" s="23"/>
      <c r="R4" s="23"/>
      <c r="S4" s="23"/>
      <c r="T4" s="23"/>
      <c r="U4" s="23"/>
      <c r="V4" s="23"/>
      <c r="W4" s="23"/>
      <c r="X4" s="23"/>
      <c r="Y4" s="23"/>
      <c r="Z4" s="23"/>
      <c r="AA4" s="23"/>
      <c r="AB4" s="23"/>
      <c r="AC4" s="23"/>
      <c r="AD4" s="23"/>
      <c r="AE4" s="23"/>
    </row>
    <row r="5" ht="15.0" customHeight="1">
      <c r="A5" s="21" t="s">
        <v>94</v>
      </c>
      <c r="B5" s="21" t="s">
        <v>80</v>
      </c>
      <c r="C5" s="21" t="s">
        <v>81</v>
      </c>
      <c r="D5" s="21" t="s">
        <v>95</v>
      </c>
      <c r="E5" s="22" t="s">
        <v>83</v>
      </c>
      <c r="F5" s="21" t="s">
        <v>96</v>
      </c>
      <c r="G5" s="23" t="s">
        <v>90</v>
      </c>
      <c r="H5" s="22" t="s">
        <v>85</v>
      </c>
      <c r="I5" s="24" t="s">
        <v>86</v>
      </c>
      <c r="J5" s="22" t="s">
        <v>86</v>
      </c>
      <c r="K5" s="22" t="s">
        <v>85</v>
      </c>
      <c r="L5" s="23"/>
      <c r="M5" s="23"/>
      <c r="N5" s="23"/>
      <c r="O5" s="23"/>
      <c r="P5" s="23"/>
      <c r="Q5" s="23"/>
      <c r="R5" s="23"/>
      <c r="S5" s="23"/>
      <c r="T5" s="23"/>
      <c r="U5" s="23"/>
      <c r="V5" s="23"/>
      <c r="W5" s="23"/>
      <c r="X5" s="23"/>
      <c r="Y5" s="23"/>
      <c r="Z5" s="23"/>
      <c r="AA5" s="23"/>
      <c r="AB5" s="23"/>
      <c r="AC5" s="23"/>
      <c r="AD5" s="23"/>
      <c r="AE5" s="23"/>
    </row>
    <row r="6" ht="15.0" customHeight="1">
      <c r="A6" s="21" t="s">
        <v>97</v>
      </c>
      <c r="B6" s="21" t="s">
        <v>80</v>
      </c>
      <c r="C6" s="21" t="s">
        <v>81</v>
      </c>
      <c r="D6" s="21" t="s">
        <v>98</v>
      </c>
      <c r="E6" s="25" t="s">
        <v>83</v>
      </c>
      <c r="F6" s="25" t="s">
        <v>99</v>
      </c>
      <c r="G6" s="23" t="s">
        <v>90</v>
      </c>
      <c r="H6" s="22" t="s">
        <v>85</v>
      </c>
      <c r="I6" s="24" t="s">
        <v>91</v>
      </c>
      <c r="J6" s="22" t="s">
        <v>91</v>
      </c>
      <c r="K6" s="22" t="s">
        <v>85</v>
      </c>
      <c r="L6" s="23"/>
      <c r="M6" s="23"/>
      <c r="N6" s="23"/>
      <c r="O6" s="23"/>
      <c r="P6" s="23"/>
      <c r="Q6" s="23"/>
      <c r="R6" s="23"/>
      <c r="S6" s="23"/>
      <c r="T6" s="23"/>
      <c r="U6" s="23"/>
      <c r="V6" s="23"/>
      <c r="W6" s="23"/>
      <c r="X6" s="23"/>
      <c r="Y6" s="23"/>
      <c r="Z6" s="23"/>
      <c r="AA6" s="23"/>
      <c r="AB6" s="23"/>
      <c r="AC6" s="23"/>
      <c r="AD6" s="23"/>
      <c r="AE6" s="23"/>
    </row>
    <row r="7" ht="15.0" customHeight="1">
      <c r="A7" s="21" t="s">
        <v>100</v>
      </c>
      <c r="B7" s="21" t="s">
        <v>80</v>
      </c>
      <c r="C7" s="21" t="s">
        <v>81</v>
      </c>
      <c r="D7" s="21" t="s">
        <v>101</v>
      </c>
      <c r="E7" s="22" t="s">
        <v>102</v>
      </c>
      <c r="F7" s="21" t="s">
        <v>103</v>
      </c>
      <c r="G7" s="21" t="s">
        <v>91</v>
      </c>
      <c r="H7" s="22" t="s">
        <v>85</v>
      </c>
      <c r="I7" s="24" t="s">
        <v>91</v>
      </c>
      <c r="J7" s="22" t="s">
        <v>91</v>
      </c>
      <c r="K7" s="22" t="s">
        <v>85</v>
      </c>
      <c r="L7" s="23"/>
      <c r="M7" s="23"/>
      <c r="N7" s="23"/>
      <c r="O7" s="23"/>
      <c r="P7" s="23"/>
      <c r="Q7" s="23"/>
      <c r="R7" s="23"/>
      <c r="S7" s="23"/>
      <c r="T7" s="23"/>
      <c r="U7" s="23"/>
      <c r="V7" s="23"/>
      <c r="W7" s="23"/>
      <c r="X7" s="23"/>
      <c r="Y7" s="23"/>
      <c r="Z7" s="23"/>
      <c r="AA7" s="23"/>
      <c r="AB7" s="23"/>
      <c r="AC7" s="23"/>
      <c r="AD7" s="23"/>
      <c r="AE7" s="23"/>
    </row>
    <row r="8" ht="15.0" customHeight="1">
      <c r="A8" s="21" t="s">
        <v>104</v>
      </c>
      <c r="B8" s="21" t="s">
        <v>80</v>
      </c>
      <c r="C8" s="21" t="s">
        <v>81</v>
      </c>
      <c r="D8" s="21" t="s">
        <v>105</v>
      </c>
      <c r="E8" s="22" t="s">
        <v>83</v>
      </c>
      <c r="F8" s="21" t="s">
        <v>106</v>
      </c>
      <c r="G8" s="23" t="s">
        <v>90</v>
      </c>
      <c r="H8" s="22" t="s">
        <v>85</v>
      </c>
      <c r="I8" s="24" t="s">
        <v>91</v>
      </c>
      <c r="J8" s="22" t="s">
        <v>91</v>
      </c>
      <c r="K8" s="22" t="s">
        <v>85</v>
      </c>
      <c r="L8" s="23"/>
      <c r="M8" s="23"/>
      <c r="N8" s="23"/>
      <c r="O8" s="23"/>
      <c r="P8" s="23"/>
      <c r="Q8" s="23"/>
      <c r="R8" s="23"/>
      <c r="S8" s="23"/>
      <c r="T8" s="23"/>
      <c r="U8" s="23"/>
      <c r="V8" s="23"/>
      <c r="W8" s="23"/>
      <c r="X8" s="23"/>
      <c r="Y8" s="23"/>
      <c r="Z8" s="23"/>
      <c r="AA8" s="23"/>
      <c r="AB8" s="23"/>
      <c r="AC8" s="23"/>
      <c r="AD8" s="23"/>
      <c r="AE8" s="23"/>
    </row>
    <row r="9" ht="15.0" customHeight="1">
      <c r="A9" s="21" t="s">
        <v>107</v>
      </c>
      <c r="B9" s="21" t="s">
        <v>80</v>
      </c>
      <c r="C9" s="21" t="s">
        <v>81</v>
      </c>
      <c r="D9" s="21" t="s">
        <v>108</v>
      </c>
      <c r="E9" s="22" t="s">
        <v>83</v>
      </c>
      <c r="F9" s="21" t="s">
        <v>109</v>
      </c>
      <c r="G9" s="23" t="s">
        <v>90</v>
      </c>
      <c r="H9" s="22" t="s">
        <v>85</v>
      </c>
      <c r="I9" s="24" t="s">
        <v>86</v>
      </c>
      <c r="J9" s="23" t="s">
        <v>87</v>
      </c>
      <c r="K9" s="22" t="s">
        <v>85</v>
      </c>
      <c r="L9" s="23"/>
      <c r="M9" s="23"/>
      <c r="N9" s="23"/>
      <c r="O9" s="23"/>
      <c r="P9" s="23"/>
      <c r="Q9" s="23"/>
      <c r="R9" s="23"/>
      <c r="S9" s="23"/>
      <c r="T9" s="23"/>
      <c r="U9" s="23"/>
      <c r="V9" s="23"/>
      <c r="W9" s="23"/>
      <c r="X9" s="23"/>
      <c r="Y9" s="23"/>
      <c r="Z9" s="23"/>
      <c r="AA9" s="23"/>
      <c r="AB9" s="23"/>
      <c r="AC9" s="23"/>
      <c r="AD9" s="23"/>
      <c r="AE9" s="23"/>
    </row>
    <row r="10" ht="15.0" customHeight="1">
      <c r="A10" s="21" t="s">
        <v>110</v>
      </c>
      <c r="B10" s="21" t="s">
        <v>80</v>
      </c>
      <c r="C10" s="21" t="s">
        <v>81</v>
      </c>
      <c r="D10" s="21" t="s">
        <v>111</v>
      </c>
      <c r="E10" s="22" t="s">
        <v>83</v>
      </c>
      <c r="F10" s="26" t="s">
        <v>112</v>
      </c>
      <c r="G10" s="23" t="s">
        <v>90</v>
      </c>
      <c r="H10" s="22" t="s">
        <v>85</v>
      </c>
      <c r="I10" s="24" t="s">
        <v>86</v>
      </c>
      <c r="J10" s="23" t="s">
        <v>87</v>
      </c>
      <c r="K10" s="22" t="s">
        <v>85</v>
      </c>
      <c r="L10" s="23"/>
      <c r="M10" s="23"/>
      <c r="N10" s="23"/>
      <c r="O10" s="23"/>
      <c r="P10" s="23"/>
      <c r="Q10" s="23"/>
      <c r="R10" s="23"/>
      <c r="S10" s="23"/>
      <c r="T10" s="23"/>
      <c r="U10" s="23"/>
      <c r="V10" s="23"/>
      <c r="W10" s="23"/>
      <c r="X10" s="23"/>
      <c r="Y10" s="23"/>
      <c r="Z10" s="23"/>
      <c r="AA10" s="23"/>
      <c r="AB10" s="23"/>
      <c r="AC10" s="23"/>
      <c r="AD10" s="23"/>
      <c r="AE10" s="23"/>
    </row>
    <row r="11" ht="15.0" customHeight="1">
      <c r="A11" s="21" t="s">
        <v>113</v>
      </c>
      <c r="B11" s="21" t="s">
        <v>80</v>
      </c>
      <c r="C11" s="21" t="s">
        <v>81</v>
      </c>
      <c r="D11" s="21" t="s">
        <v>114</v>
      </c>
      <c r="E11" s="25" t="s">
        <v>83</v>
      </c>
      <c r="F11" s="26" t="s">
        <v>115</v>
      </c>
      <c r="G11" s="23" t="s">
        <v>90</v>
      </c>
      <c r="H11" s="22" t="s">
        <v>85</v>
      </c>
      <c r="I11" s="24" t="s">
        <v>86</v>
      </c>
      <c r="J11" s="23" t="s">
        <v>87</v>
      </c>
      <c r="K11" s="22" t="s">
        <v>85</v>
      </c>
      <c r="L11" s="23"/>
      <c r="M11" s="23"/>
      <c r="N11" s="23"/>
      <c r="O11" s="23"/>
      <c r="P11" s="23"/>
      <c r="Q11" s="23"/>
      <c r="R11" s="23"/>
      <c r="S11" s="23"/>
      <c r="T11" s="23"/>
      <c r="U11" s="23"/>
      <c r="V11" s="23"/>
      <c r="W11" s="23"/>
      <c r="X11" s="23"/>
      <c r="Y11" s="23"/>
      <c r="Z11" s="23"/>
      <c r="AA11" s="23"/>
      <c r="AB11" s="23"/>
      <c r="AC11" s="23"/>
      <c r="AD11" s="23"/>
      <c r="AE11" s="23"/>
    </row>
    <row r="12" ht="15.0" customHeight="1">
      <c r="A12" s="21" t="s">
        <v>116</v>
      </c>
      <c r="B12" s="21" t="s">
        <v>80</v>
      </c>
      <c r="C12" s="21" t="s">
        <v>81</v>
      </c>
      <c r="D12" s="21" t="s">
        <v>117</v>
      </c>
      <c r="E12" s="22" t="s">
        <v>102</v>
      </c>
      <c r="F12" s="21">
        <v>12.0</v>
      </c>
      <c r="G12" s="21" t="s">
        <v>86</v>
      </c>
      <c r="H12" s="22" t="s">
        <v>85</v>
      </c>
      <c r="I12" s="24" t="s">
        <v>86</v>
      </c>
      <c r="J12" s="22" t="s">
        <v>86</v>
      </c>
      <c r="K12" s="22" t="s">
        <v>85</v>
      </c>
      <c r="L12" s="23"/>
      <c r="M12" s="23"/>
      <c r="N12" s="23"/>
      <c r="O12" s="23"/>
      <c r="P12" s="23"/>
      <c r="Q12" s="23"/>
      <c r="R12" s="23"/>
      <c r="S12" s="23"/>
      <c r="T12" s="23"/>
      <c r="U12" s="23"/>
      <c r="V12" s="23"/>
      <c r="W12" s="23"/>
      <c r="X12" s="23"/>
      <c r="Y12" s="23"/>
      <c r="Z12" s="23"/>
      <c r="AA12" s="23"/>
      <c r="AB12" s="23"/>
      <c r="AC12" s="23"/>
      <c r="AD12" s="23"/>
      <c r="AE12" s="23"/>
    </row>
    <row r="13" ht="15.0" customHeight="1">
      <c r="A13" s="21" t="s">
        <v>118</v>
      </c>
      <c r="B13" s="21" t="s">
        <v>80</v>
      </c>
      <c r="C13" s="21" t="s">
        <v>81</v>
      </c>
      <c r="D13" s="21" t="s">
        <v>119</v>
      </c>
      <c r="E13" s="25" t="s">
        <v>83</v>
      </c>
      <c r="F13" s="25" t="s">
        <v>99</v>
      </c>
      <c r="G13" s="23" t="s">
        <v>90</v>
      </c>
      <c r="H13" s="22" t="s">
        <v>85</v>
      </c>
      <c r="I13" s="24" t="s">
        <v>91</v>
      </c>
      <c r="J13" s="22" t="s">
        <v>91</v>
      </c>
      <c r="K13" s="22" t="s">
        <v>85</v>
      </c>
      <c r="L13" s="23"/>
      <c r="M13" s="23"/>
      <c r="N13" s="23"/>
      <c r="O13" s="23"/>
      <c r="P13" s="23"/>
      <c r="Q13" s="23"/>
      <c r="R13" s="23"/>
      <c r="S13" s="23"/>
      <c r="T13" s="23"/>
      <c r="U13" s="23"/>
      <c r="V13" s="23"/>
      <c r="W13" s="23"/>
      <c r="X13" s="23"/>
      <c r="Y13" s="23"/>
      <c r="Z13" s="23"/>
      <c r="AA13" s="23"/>
      <c r="AB13" s="23"/>
      <c r="AC13" s="23"/>
      <c r="AD13" s="23"/>
      <c r="AE13" s="23"/>
    </row>
    <row r="14" ht="15.0" customHeight="1">
      <c r="A14" s="21" t="s">
        <v>120</v>
      </c>
      <c r="B14" s="21" t="s">
        <v>80</v>
      </c>
      <c r="C14" s="21" t="s">
        <v>81</v>
      </c>
      <c r="D14" s="21" t="s">
        <v>121</v>
      </c>
      <c r="E14" s="22" t="s">
        <v>102</v>
      </c>
      <c r="F14" s="21" t="s">
        <v>122</v>
      </c>
      <c r="G14" s="21" t="s">
        <v>86</v>
      </c>
      <c r="H14" s="22" t="s">
        <v>85</v>
      </c>
      <c r="I14" s="24" t="s">
        <v>86</v>
      </c>
      <c r="J14" s="23" t="s">
        <v>87</v>
      </c>
      <c r="K14" s="22" t="s">
        <v>85</v>
      </c>
      <c r="L14" s="23"/>
      <c r="M14" s="23"/>
      <c r="N14" s="23"/>
      <c r="O14" s="23"/>
      <c r="P14" s="23"/>
      <c r="Q14" s="23"/>
      <c r="R14" s="23"/>
      <c r="S14" s="23"/>
      <c r="T14" s="23"/>
      <c r="U14" s="23"/>
      <c r="V14" s="23"/>
      <c r="W14" s="23"/>
      <c r="X14" s="23"/>
      <c r="Y14" s="23"/>
      <c r="Z14" s="23"/>
      <c r="AA14" s="23"/>
      <c r="AB14" s="23"/>
      <c r="AC14" s="23"/>
      <c r="AD14" s="23"/>
      <c r="AE14" s="23"/>
    </row>
    <row r="15" ht="15.0" customHeight="1">
      <c r="A15" s="21" t="s">
        <v>123</v>
      </c>
      <c r="B15" s="21" t="s">
        <v>80</v>
      </c>
      <c r="C15" s="21" t="s">
        <v>81</v>
      </c>
      <c r="D15" s="21" t="s">
        <v>124</v>
      </c>
      <c r="E15" s="22" t="s">
        <v>83</v>
      </c>
      <c r="F15" s="27">
        <v>42343.78292824074</v>
      </c>
      <c r="G15" s="23" t="s">
        <v>90</v>
      </c>
      <c r="H15" s="22" t="s">
        <v>85</v>
      </c>
      <c r="I15" s="24" t="s">
        <v>86</v>
      </c>
      <c r="J15" s="22" t="s">
        <v>91</v>
      </c>
      <c r="K15" s="22" t="s">
        <v>85</v>
      </c>
      <c r="L15" s="23"/>
      <c r="M15" s="23"/>
      <c r="N15" s="23"/>
      <c r="O15" s="23"/>
      <c r="P15" s="23"/>
      <c r="Q15" s="23"/>
      <c r="R15" s="23"/>
      <c r="S15" s="23"/>
      <c r="T15" s="23"/>
      <c r="U15" s="23"/>
      <c r="V15" s="23"/>
      <c r="W15" s="23"/>
      <c r="X15" s="23"/>
      <c r="Y15" s="23"/>
      <c r="Z15" s="23"/>
      <c r="AA15" s="23"/>
      <c r="AB15" s="23"/>
      <c r="AC15" s="23"/>
      <c r="AD15" s="23"/>
      <c r="AE15" s="23"/>
    </row>
    <row r="16" ht="15.0" customHeight="1">
      <c r="A16" s="21" t="s">
        <v>125</v>
      </c>
      <c r="B16" s="21" t="s">
        <v>126</v>
      </c>
      <c r="C16" s="21" t="s">
        <v>127</v>
      </c>
      <c r="D16" s="21" t="s">
        <v>128</v>
      </c>
      <c r="E16" s="25" t="s">
        <v>83</v>
      </c>
      <c r="F16" s="26" t="s">
        <v>129</v>
      </c>
      <c r="G16" s="23" t="s">
        <v>90</v>
      </c>
      <c r="H16" s="22" t="s">
        <v>85</v>
      </c>
      <c r="I16" s="24" t="s">
        <v>86</v>
      </c>
      <c r="J16" s="22" t="s">
        <v>90</v>
      </c>
      <c r="K16" s="22" t="s">
        <v>85</v>
      </c>
      <c r="L16" s="23"/>
      <c r="M16" s="23"/>
      <c r="N16" s="23"/>
      <c r="O16" s="23"/>
      <c r="P16" s="23"/>
      <c r="Q16" s="23"/>
      <c r="R16" s="23"/>
      <c r="S16" s="23"/>
      <c r="T16" s="23"/>
      <c r="U16" s="23"/>
      <c r="V16" s="23"/>
      <c r="W16" s="23"/>
      <c r="X16" s="23"/>
      <c r="Y16" s="23"/>
      <c r="Z16" s="23"/>
      <c r="AA16" s="23"/>
      <c r="AB16" s="23"/>
      <c r="AC16" s="23"/>
      <c r="AD16" s="23"/>
      <c r="AE16" s="23"/>
    </row>
    <row r="17" ht="15.0" customHeight="1">
      <c r="A17" s="21" t="s">
        <v>130</v>
      </c>
      <c r="B17" s="21" t="s">
        <v>126</v>
      </c>
      <c r="C17" s="21" t="s">
        <v>127</v>
      </c>
      <c r="D17" s="21" t="s">
        <v>131</v>
      </c>
      <c r="E17" s="22" t="s">
        <v>83</v>
      </c>
      <c r="F17" s="21" t="s">
        <v>132</v>
      </c>
      <c r="G17" s="23" t="s">
        <v>90</v>
      </c>
      <c r="H17" s="22" t="s">
        <v>85</v>
      </c>
      <c r="I17" s="24" t="s">
        <v>86</v>
      </c>
      <c r="J17" s="22" t="s">
        <v>90</v>
      </c>
      <c r="K17" s="22" t="s">
        <v>85</v>
      </c>
      <c r="L17" s="23"/>
      <c r="M17" s="23"/>
      <c r="N17" s="23"/>
      <c r="O17" s="23"/>
      <c r="P17" s="23"/>
      <c r="Q17" s="23"/>
      <c r="R17" s="23"/>
      <c r="S17" s="23"/>
      <c r="T17" s="23"/>
      <c r="U17" s="23"/>
      <c r="V17" s="23"/>
      <c r="W17" s="23"/>
      <c r="X17" s="23"/>
      <c r="Y17" s="23"/>
      <c r="Z17" s="23"/>
      <c r="AA17" s="23"/>
      <c r="AB17" s="23"/>
      <c r="AC17" s="23"/>
      <c r="AD17" s="23"/>
      <c r="AE17" s="23"/>
    </row>
    <row r="18" ht="15.0" customHeight="1">
      <c r="A18" s="21" t="s">
        <v>133</v>
      </c>
      <c r="B18" s="21" t="s">
        <v>126</v>
      </c>
      <c r="C18" s="21" t="s">
        <v>127</v>
      </c>
      <c r="D18" s="21" t="s">
        <v>134</v>
      </c>
      <c r="E18" s="22" t="s">
        <v>135</v>
      </c>
      <c r="F18" s="21">
        <v>20.0</v>
      </c>
      <c r="G18" s="21" t="s">
        <v>136</v>
      </c>
      <c r="H18" s="28">
        <v>0.125</v>
      </c>
      <c r="I18" s="24" t="s">
        <v>86</v>
      </c>
      <c r="J18" s="23" t="s">
        <v>87</v>
      </c>
      <c r="K18" s="29">
        <v>43709.0</v>
      </c>
      <c r="L18" s="23"/>
      <c r="M18" s="23"/>
      <c r="N18" s="23"/>
      <c r="O18" s="23"/>
      <c r="P18" s="23"/>
      <c r="Q18" s="23"/>
      <c r="R18" s="23"/>
      <c r="S18" s="23"/>
      <c r="T18" s="23"/>
      <c r="U18" s="23"/>
      <c r="V18" s="23"/>
      <c r="W18" s="23"/>
      <c r="X18" s="23"/>
      <c r="Y18" s="23"/>
      <c r="Z18" s="23"/>
      <c r="AA18" s="23"/>
      <c r="AB18" s="23"/>
      <c r="AC18" s="23"/>
      <c r="AD18" s="23"/>
      <c r="AE18" s="23"/>
    </row>
    <row r="19" ht="15.0" customHeight="1">
      <c r="A19" s="21" t="s">
        <v>137</v>
      </c>
      <c r="B19" s="21" t="s">
        <v>126</v>
      </c>
      <c r="C19" s="21" t="s">
        <v>127</v>
      </c>
      <c r="D19" s="21" t="s">
        <v>138</v>
      </c>
      <c r="E19" s="25" t="s">
        <v>102</v>
      </c>
      <c r="F19" s="25" t="s">
        <v>115</v>
      </c>
      <c r="G19" s="21" t="s">
        <v>136</v>
      </c>
      <c r="H19" s="22" t="s">
        <v>85</v>
      </c>
      <c r="I19" s="24" t="s">
        <v>86</v>
      </c>
      <c r="J19" s="23" t="s">
        <v>86</v>
      </c>
      <c r="K19" s="23" t="s">
        <v>90</v>
      </c>
      <c r="L19" s="23"/>
      <c r="M19" s="23"/>
      <c r="N19" s="23"/>
      <c r="O19" s="23"/>
      <c r="P19" s="23"/>
      <c r="Q19" s="23"/>
      <c r="R19" s="23"/>
      <c r="S19" s="23"/>
      <c r="T19" s="23"/>
      <c r="U19" s="23"/>
      <c r="V19" s="23"/>
      <c r="W19" s="23"/>
      <c r="X19" s="23"/>
      <c r="Y19" s="23"/>
      <c r="Z19" s="23"/>
      <c r="AA19" s="23"/>
      <c r="AB19" s="23"/>
      <c r="AC19" s="23"/>
      <c r="AD19" s="23"/>
      <c r="AE19" s="23"/>
    </row>
    <row r="20" ht="15.0" customHeight="1">
      <c r="A20" s="21" t="s">
        <v>139</v>
      </c>
      <c r="B20" s="21" t="s">
        <v>126</v>
      </c>
      <c r="C20" s="21" t="s">
        <v>127</v>
      </c>
      <c r="D20" s="21" t="s">
        <v>140</v>
      </c>
      <c r="E20" s="22" t="s">
        <v>141</v>
      </c>
      <c r="F20" s="21" t="s">
        <v>142</v>
      </c>
      <c r="G20" s="21" t="s">
        <v>136</v>
      </c>
      <c r="H20" s="28">
        <v>0.625</v>
      </c>
      <c r="I20" s="24" t="s">
        <v>86</v>
      </c>
      <c r="J20" s="23" t="s">
        <v>87</v>
      </c>
      <c r="K20" s="29">
        <v>43709.0</v>
      </c>
      <c r="L20" s="23"/>
      <c r="M20" s="23"/>
      <c r="N20" s="23"/>
      <c r="O20" s="23"/>
      <c r="P20" s="23"/>
      <c r="Q20" s="23"/>
      <c r="R20" s="23"/>
      <c r="S20" s="23"/>
      <c r="T20" s="23"/>
      <c r="U20" s="23"/>
      <c r="V20" s="23"/>
      <c r="W20" s="23"/>
      <c r="X20" s="23"/>
      <c r="Y20" s="23"/>
      <c r="Z20" s="23"/>
      <c r="AA20" s="23"/>
      <c r="AB20" s="23"/>
      <c r="AC20" s="23"/>
      <c r="AD20" s="23"/>
      <c r="AE20" s="23"/>
    </row>
    <row r="21" ht="15.0" customHeight="1">
      <c r="A21" s="21" t="s">
        <v>143</v>
      </c>
      <c r="B21" s="21" t="s">
        <v>126</v>
      </c>
      <c r="C21" s="21" t="s">
        <v>127</v>
      </c>
      <c r="D21" s="21" t="s">
        <v>144</v>
      </c>
      <c r="E21" s="22" t="s">
        <v>83</v>
      </c>
      <c r="F21" s="21" t="s">
        <v>145</v>
      </c>
      <c r="G21" s="23" t="s">
        <v>90</v>
      </c>
      <c r="H21" s="22" t="s">
        <v>85</v>
      </c>
      <c r="I21" s="24" t="s">
        <v>86</v>
      </c>
      <c r="J21" s="22" t="s">
        <v>90</v>
      </c>
      <c r="K21" s="22" t="s">
        <v>85</v>
      </c>
      <c r="L21" s="23"/>
      <c r="M21" s="23"/>
      <c r="N21" s="23"/>
      <c r="O21" s="23"/>
      <c r="P21" s="23"/>
      <c r="Q21" s="23"/>
      <c r="R21" s="23"/>
      <c r="S21" s="23"/>
      <c r="T21" s="23"/>
      <c r="U21" s="23"/>
      <c r="V21" s="23"/>
      <c r="W21" s="23"/>
      <c r="X21" s="23"/>
      <c r="Y21" s="23"/>
      <c r="Z21" s="23"/>
      <c r="AA21" s="23"/>
      <c r="AB21" s="23"/>
      <c r="AC21" s="23"/>
      <c r="AD21" s="23"/>
      <c r="AE21" s="23"/>
    </row>
    <row r="22" ht="15.0" customHeight="1">
      <c r="A22" s="21" t="s">
        <v>146</v>
      </c>
      <c r="B22" s="21" t="s">
        <v>126</v>
      </c>
      <c r="C22" s="21" t="s">
        <v>127</v>
      </c>
      <c r="D22" s="21" t="s">
        <v>147</v>
      </c>
      <c r="E22" s="22" t="s">
        <v>135</v>
      </c>
      <c r="F22" s="21" t="s">
        <v>148</v>
      </c>
      <c r="G22" s="21" t="s">
        <v>136</v>
      </c>
      <c r="H22" s="22" t="s">
        <v>85</v>
      </c>
      <c r="I22" s="24" t="s">
        <v>86</v>
      </c>
      <c r="J22" s="22" t="s">
        <v>86</v>
      </c>
      <c r="K22" s="22" t="s">
        <v>85</v>
      </c>
      <c r="L22" s="23"/>
      <c r="M22" s="23"/>
      <c r="N22" s="23"/>
      <c r="O22" s="23"/>
      <c r="P22" s="23"/>
      <c r="Q22" s="23"/>
      <c r="R22" s="23"/>
      <c r="S22" s="23"/>
      <c r="T22" s="23"/>
      <c r="U22" s="23"/>
      <c r="V22" s="23"/>
      <c r="W22" s="23"/>
      <c r="X22" s="23"/>
      <c r="Y22" s="23"/>
      <c r="Z22" s="23"/>
      <c r="AA22" s="23"/>
      <c r="AB22" s="23"/>
      <c r="AC22" s="23"/>
      <c r="AD22" s="23"/>
      <c r="AE22" s="23"/>
    </row>
    <row r="23" ht="15.0" customHeight="1">
      <c r="A23" s="21" t="s">
        <v>149</v>
      </c>
      <c r="B23" s="21" t="s">
        <v>126</v>
      </c>
      <c r="C23" s="21" t="s">
        <v>127</v>
      </c>
      <c r="D23" s="21" t="s">
        <v>150</v>
      </c>
      <c r="E23" s="22" t="s">
        <v>83</v>
      </c>
      <c r="F23" s="27">
        <v>31073.5</v>
      </c>
      <c r="G23" s="23" t="s">
        <v>90</v>
      </c>
      <c r="H23" s="22" t="s">
        <v>85</v>
      </c>
      <c r="I23" s="24" t="s">
        <v>86</v>
      </c>
      <c r="J23" s="22" t="s">
        <v>91</v>
      </c>
      <c r="K23" s="22" t="s">
        <v>85</v>
      </c>
      <c r="L23" s="23"/>
      <c r="M23" s="23"/>
      <c r="N23" s="23"/>
      <c r="O23" s="23"/>
      <c r="P23" s="23"/>
      <c r="Q23" s="23"/>
      <c r="R23" s="23"/>
      <c r="S23" s="23"/>
      <c r="T23" s="23"/>
      <c r="U23" s="23"/>
      <c r="V23" s="23"/>
      <c r="W23" s="23"/>
      <c r="X23" s="23"/>
      <c r="Y23" s="23"/>
      <c r="Z23" s="23"/>
      <c r="AA23" s="23"/>
      <c r="AB23" s="23"/>
      <c r="AC23" s="23"/>
      <c r="AD23" s="23"/>
      <c r="AE23" s="23"/>
    </row>
    <row r="24" ht="15.0" customHeight="1">
      <c r="A24" s="21" t="s">
        <v>151</v>
      </c>
      <c r="B24" s="21" t="s">
        <v>152</v>
      </c>
      <c r="C24" s="21" t="s">
        <v>152</v>
      </c>
      <c r="D24" s="21" t="s">
        <v>153</v>
      </c>
      <c r="E24" s="22" t="s">
        <v>135</v>
      </c>
      <c r="F24" s="21" t="s">
        <v>154</v>
      </c>
      <c r="G24" s="21" t="s">
        <v>136</v>
      </c>
      <c r="H24" s="28">
        <v>1.0</v>
      </c>
      <c r="I24" s="24" t="s">
        <v>86</v>
      </c>
      <c r="J24" s="23" t="s">
        <v>86</v>
      </c>
      <c r="K24" s="29">
        <v>43709.0</v>
      </c>
      <c r="L24" s="23"/>
      <c r="M24" s="23"/>
      <c r="N24" s="23"/>
      <c r="O24" s="23"/>
      <c r="P24" s="23"/>
      <c r="Q24" s="23"/>
      <c r="R24" s="23"/>
      <c r="S24" s="23"/>
      <c r="T24" s="23"/>
      <c r="U24" s="23"/>
      <c r="V24" s="23"/>
      <c r="W24" s="23"/>
      <c r="X24" s="23"/>
      <c r="Y24" s="23"/>
      <c r="Z24" s="23"/>
      <c r="AA24" s="23"/>
      <c r="AB24" s="23"/>
      <c r="AC24" s="23"/>
      <c r="AD24" s="23"/>
      <c r="AE24" s="23"/>
    </row>
    <row r="25" ht="15.0" customHeight="1">
      <c r="A25" s="21" t="s">
        <v>155</v>
      </c>
      <c r="B25" s="21" t="s">
        <v>152</v>
      </c>
      <c r="C25" s="21" t="s">
        <v>152</v>
      </c>
      <c r="D25" s="21" t="s">
        <v>156</v>
      </c>
      <c r="E25" s="25" t="s">
        <v>135</v>
      </c>
      <c r="F25" s="26" t="s">
        <v>157</v>
      </c>
      <c r="G25" s="21" t="s">
        <v>136</v>
      </c>
      <c r="H25" s="28">
        <v>1.0</v>
      </c>
      <c r="I25" s="24" t="s">
        <v>86</v>
      </c>
      <c r="J25" s="23" t="s">
        <v>86</v>
      </c>
      <c r="K25" s="29">
        <v>43709.0</v>
      </c>
      <c r="L25" s="23"/>
      <c r="M25" s="23"/>
      <c r="N25" s="23"/>
      <c r="O25" s="23"/>
      <c r="P25" s="23"/>
      <c r="Q25" s="23"/>
      <c r="R25" s="23"/>
      <c r="S25" s="23"/>
      <c r="T25" s="23"/>
      <c r="U25" s="23"/>
      <c r="V25" s="23"/>
      <c r="W25" s="23"/>
      <c r="X25" s="23"/>
      <c r="Y25" s="23"/>
      <c r="Z25" s="23"/>
      <c r="AA25" s="23"/>
      <c r="AB25" s="23"/>
      <c r="AC25" s="23"/>
      <c r="AD25" s="23"/>
      <c r="AE25" s="23"/>
    </row>
    <row r="26" ht="15.0" customHeight="1">
      <c r="A26" s="21" t="s">
        <v>158</v>
      </c>
      <c r="B26" s="21" t="s">
        <v>152</v>
      </c>
      <c r="C26" s="21" t="s">
        <v>152</v>
      </c>
      <c r="D26" s="21" t="s">
        <v>159</v>
      </c>
      <c r="E26" s="22" t="s">
        <v>135</v>
      </c>
      <c r="F26" s="21" t="s">
        <v>160</v>
      </c>
      <c r="G26" s="21" t="s">
        <v>136</v>
      </c>
      <c r="H26" s="28">
        <v>1.0</v>
      </c>
      <c r="I26" s="24" t="s">
        <v>86</v>
      </c>
      <c r="J26" s="23" t="s">
        <v>86</v>
      </c>
      <c r="K26" s="29">
        <v>43709.0</v>
      </c>
      <c r="L26" s="23"/>
      <c r="M26" s="23"/>
      <c r="N26" s="23"/>
      <c r="O26" s="23"/>
      <c r="P26" s="23"/>
      <c r="Q26" s="23"/>
      <c r="R26" s="23"/>
      <c r="S26" s="23"/>
      <c r="T26" s="23"/>
      <c r="U26" s="23"/>
      <c r="V26" s="23"/>
      <c r="W26" s="23"/>
      <c r="X26" s="23"/>
      <c r="Y26" s="23"/>
      <c r="Z26" s="23"/>
      <c r="AA26" s="23"/>
      <c r="AB26" s="23"/>
      <c r="AC26" s="23"/>
      <c r="AD26" s="23"/>
      <c r="AE26" s="23"/>
    </row>
    <row r="27" ht="15.0" customHeight="1">
      <c r="A27" s="21" t="s">
        <v>161</v>
      </c>
      <c r="B27" s="21" t="s">
        <v>152</v>
      </c>
      <c r="C27" s="21" t="s">
        <v>152</v>
      </c>
      <c r="D27" s="21" t="s">
        <v>162</v>
      </c>
      <c r="E27" s="22" t="s">
        <v>135</v>
      </c>
      <c r="F27" s="21" t="s">
        <v>163</v>
      </c>
      <c r="G27" s="21" t="s">
        <v>136</v>
      </c>
      <c r="H27" s="28">
        <v>1.0</v>
      </c>
      <c r="I27" s="24" t="s">
        <v>86</v>
      </c>
      <c r="J27" s="23" t="s">
        <v>86</v>
      </c>
      <c r="K27" s="29">
        <v>43709.0</v>
      </c>
      <c r="L27" s="23"/>
      <c r="M27" s="23"/>
      <c r="N27" s="23"/>
      <c r="O27" s="23"/>
      <c r="P27" s="23"/>
      <c r="Q27" s="23"/>
      <c r="R27" s="23"/>
      <c r="S27" s="23"/>
      <c r="T27" s="23"/>
      <c r="U27" s="23"/>
      <c r="V27" s="23"/>
      <c r="W27" s="23"/>
      <c r="X27" s="23"/>
      <c r="Y27" s="23"/>
      <c r="Z27" s="23"/>
      <c r="AA27" s="23"/>
      <c r="AB27" s="23"/>
      <c r="AC27" s="23"/>
      <c r="AD27" s="23"/>
      <c r="AE27" s="23"/>
    </row>
    <row r="28" ht="15.75" customHeight="1">
      <c r="A28" s="21" t="s">
        <v>164</v>
      </c>
      <c r="B28" s="21" t="s">
        <v>152</v>
      </c>
      <c r="C28" s="21" t="s">
        <v>152</v>
      </c>
      <c r="D28" s="21" t="s">
        <v>165</v>
      </c>
      <c r="E28" s="22" t="s">
        <v>135</v>
      </c>
      <c r="F28" s="21" t="s">
        <v>154</v>
      </c>
      <c r="G28" s="21" t="s">
        <v>136</v>
      </c>
      <c r="H28" s="28">
        <v>0.6765</v>
      </c>
      <c r="I28" s="24" t="s">
        <v>86</v>
      </c>
      <c r="J28" s="23" t="s">
        <v>86</v>
      </c>
      <c r="K28" s="29">
        <v>43709.0</v>
      </c>
      <c r="L28" s="23"/>
      <c r="M28" s="23"/>
      <c r="N28" s="23"/>
      <c r="O28" s="23"/>
      <c r="P28" s="23"/>
      <c r="Q28" s="23"/>
      <c r="R28" s="23"/>
      <c r="S28" s="23"/>
      <c r="T28" s="23"/>
      <c r="U28" s="23"/>
      <c r="V28" s="23"/>
      <c r="W28" s="23"/>
      <c r="X28" s="23"/>
      <c r="Y28" s="23"/>
      <c r="Z28" s="23"/>
      <c r="AA28" s="23"/>
      <c r="AB28" s="23"/>
      <c r="AC28" s="23"/>
      <c r="AD28" s="23"/>
      <c r="AE28" s="23"/>
    </row>
    <row r="29" ht="15.75" customHeight="1">
      <c r="A29" s="21" t="s">
        <v>166</v>
      </c>
      <c r="B29" s="21" t="s">
        <v>152</v>
      </c>
      <c r="C29" s="21" t="s">
        <v>152</v>
      </c>
      <c r="D29" s="21" t="s">
        <v>167</v>
      </c>
      <c r="E29" s="30" t="s">
        <v>135</v>
      </c>
      <c r="F29" s="31" t="s">
        <v>157</v>
      </c>
      <c r="G29" s="21" t="s">
        <v>136</v>
      </c>
      <c r="H29" s="28">
        <v>0.6765</v>
      </c>
      <c r="I29" s="24" t="s">
        <v>86</v>
      </c>
      <c r="J29" s="21" t="s">
        <v>86</v>
      </c>
      <c r="K29" s="29">
        <v>43709.0</v>
      </c>
      <c r="L29" s="23"/>
      <c r="M29" s="23"/>
      <c r="N29" s="23"/>
      <c r="O29" s="23"/>
      <c r="P29" s="23"/>
      <c r="Q29" s="23"/>
      <c r="R29" s="23"/>
      <c r="S29" s="23"/>
      <c r="T29" s="23"/>
      <c r="U29" s="23"/>
      <c r="V29" s="23"/>
      <c r="W29" s="23"/>
      <c r="X29" s="23"/>
      <c r="Y29" s="23"/>
      <c r="Z29" s="23"/>
      <c r="AA29" s="23"/>
      <c r="AB29" s="23"/>
      <c r="AC29" s="23"/>
      <c r="AD29" s="23"/>
      <c r="AE29" s="23"/>
    </row>
    <row r="30" ht="15.75" customHeight="1">
      <c r="A30" s="21" t="s">
        <v>168</v>
      </c>
      <c r="B30" s="21" t="s">
        <v>152</v>
      </c>
      <c r="C30" s="21" t="s">
        <v>152</v>
      </c>
      <c r="D30" s="21" t="s">
        <v>169</v>
      </c>
      <c r="E30" s="22" t="s">
        <v>135</v>
      </c>
      <c r="F30" s="21" t="s">
        <v>160</v>
      </c>
      <c r="G30" s="21" t="s">
        <v>136</v>
      </c>
      <c r="H30" s="28">
        <v>0.6765</v>
      </c>
      <c r="I30" s="24" t="s">
        <v>86</v>
      </c>
      <c r="J30" s="32" t="s">
        <v>86</v>
      </c>
      <c r="K30" s="29">
        <v>43709.0</v>
      </c>
      <c r="L30" s="23"/>
      <c r="M30" s="23"/>
      <c r="N30" s="23"/>
      <c r="O30" s="23"/>
      <c r="P30" s="23"/>
      <c r="Q30" s="23"/>
      <c r="R30" s="23"/>
      <c r="S30" s="23"/>
      <c r="T30" s="23"/>
      <c r="U30" s="23"/>
      <c r="V30" s="23"/>
      <c r="W30" s="23"/>
      <c r="X30" s="23"/>
      <c r="Y30" s="23"/>
      <c r="Z30" s="23"/>
      <c r="AA30" s="23"/>
      <c r="AB30" s="23"/>
      <c r="AC30" s="23"/>
      <c r="AD30" s="23"/>
      <c r="AE30" s="23"/>
    </row>
    <row r="31" ht="15.75" customHeight="1">
      <c r="A31" s="21" t="s">
        <v>170</v>
      </c>
      <c r="B31" s="21" t="s">
        <v>152</v>
      </c>
      <c r="C31" s="21" t="s">
        <v>152</v>
      </c>
      <c r="D31" s="21" t="s">
        <v>171</v>
      </c>
      <c r="E31" s="22" t="s">
        <v>135</v>
      </c>
      <c r="F31" s="21" t="s">
        <v>163</v>
      </c>
      <c r="G31" s="21" t="s">
        <v>136</v>
      </c>
      <c r="H31" s="28">
        <v>0.6765</v>
      </c>
      <c r="I31" s="24" t="s">
        <v>86</v>
      </c>
      <c r="J31" s="32" t="s">
        <v>86</v>
      </c>
      <c r="K31" s="29">
        <v>43709.0</v>
      </c>
      <c r="L31" s="23"/>
      <c r="M31" s="23"/>
      <c r="N31" s="23"/>
      <c r="O31" s="23"/>
      <c r="P31" s="23"/>
      <c r="Q31" s="23"/>
      <c r="R31" s="23"/>
      <c r="S31" s="23"/>
      <c r="T31" s="23"/>
      <c r="U31" s="23"/>
      <c r="V31" s="23"/>
      <c r="W31" s="23"/>
      <c r="X31" s="23"/>
      <c r="Y31" s="23"/>
      <c r="Z31" s="23"/>
      <c r="AA31" s="23"/>
      <c r="AB31" s="23"/>
      <c r="AC31" s="23"/>
      <c r="AD31" s="23"/>
      <c r="AE31" s="23"/>
    </row>
    <row r="32" ht="15.75" customHeight="1">
      <c r="A32" s="21" t="s">
        <v>172</v>
      </c>
      <c r="B32" s="21" t="s">
        <v>126</v>
      </c>
      <c r="C32" s="21" t="s">
        <v>127</v>
      </c>
      <c r="D32" s="21" t="s">
        <v>173</v>
      </c>
      <c r="E32" s="22" t="s">
        <v>83</v>
      </c>
      <c r="F32" s="21" t="s">
        <v>174</v>
      </c>
      <c r="G32" s="21" t="s">
        <v>86</v>
      </c>
      <c r="H32" s="22" t="s">
        <v>85</v>
      </c>
      <c r="I32" s="24" t="s">
        <v>86</v>
      </c>
      <c r="J32" s="23" t="s">
        <v>87</v>
      </c>
      <c r="K32" s="22" t="s">
        <v>85</v>
      </c>
      <c r="L32" s="21"/>
      <c r="M32" s="21"/>
      <c r="N32" s="21"/>
      <c r="O32" s="21"/>
      <c r="P32" s="21"/>
      <c r="Q32" s="21"/>
      <c r="R32" s="21"/>
      <c r="S32" s="21"/>
      <c r="T32" s="21"/>
      <c r="U32" s="21"/>
      <c r="V32" s="21"/>
      <c r="W32" s="21"/>
      <c r="X32" s="21"/>
      <c r="Y32" s="21"/>
      <c r="Z32" s="21"/>
      <c r="AA32" s="21"/>
      <c r="AB32" s="21"/>
      <c r="AC32" s="21"/>
      <c r="AD32" s="21"/>
      <c r="AE32" s="21"/>
    </row>
    <row r="33" ht="15.75" customHeight="1">
      <c r="A33" s="21" t="s">
        <v>175</v>
      </c>
      <c r="B33" s="21" t="s">
        <v>126</v>
      </c>
      <c r="C33" s="21" t="s">
        <v>176</v>
      </c>
      <c r="D33" s="21" t="s">
        <v>177</v>
      </c>
      <c r="E33" s="22" t="s">
        <v>83</v>
      </c>
      <c r="F33" s="21" t="s">
        <v>178</v>
      </c>
      <c r="G33" s="21" t="s">
        <v>179</v>
      </c>
      <c r="H33" s="22" t="s">
        <v>85</v>
      </c>
      <c r="I33" s="24" t="s">
        <v>86</v>
      </c>
      <c r="J33" s="23" t="s">
        <v>86</v>
      </c>
      <c r="K33" s="23" t="s">
        <v>90</v>
      </c>
      <c r="L33" s="23"/>
      <c r="M33" s="23"/>
      <c r="N33" s="23"/>
      <c r="O33" s="23"/>
      <c r="P33" s="23"/>
      <c r="Q33" s="23"/>
      <c r="R33" s="23"/>
      <c r="S33" s="23"/>
      <c r="T33" s="23"/>
      <c r="U33" s="23"/>
      <c r="V33" s="23"/>
      <c r="W33" s="23"/>
      <c r="X33" s="23"/>
      <c r="Y33" s="23"/>
      <c r="Z33" s="23"/>
      <c r="AA33" s="23"/>
      <c r="AB33" s="23"/>
      <c r="AC33" s="23"/>
      <c r="AD33" s="23"/>
      <c r="AE33" s="23"/>
    </row>
    <row r="34" ht="15.75" customHeight="1">
      <c r="A34" s="21" t="s">
        <v>180</v>
      </c>
      <c r="B34" s="21" t="s">
        <v>80</v>
      </c>
      <c r="C34" s="21" t="s">
        <v>181</v>
      </c>
      <c r="D34" s="21" t="s">
        <v>182</v>
      </c>
      <c r="E34" s="22" t="s">
        <v>102</v>
      </c>
      <c r="F34" s="21" t="s">
        <v>122</v>
      </c>
      <c r="G34" s="21" t="s">
        <v>91</v>
      </c>
      <c r="H34" s="22" t="s">
        <v>85</v>
      </c>
      <c r="I34" s="24" t="s">
        <v>91</v>
      </c>
      <c r="J34" s="22" t="s">
        <v>91</v>
      </c>
      <c r="K34" s="22" t="s">
        <v>85</v>
      </c>
      <c r="L34" s="23"/>
      <c r="M34" s="23"/>
      <c r="N34" s="23"/>
      <c r="O34" s="23"/>
      <c r="P34" s="23"/>
      <c r="Q34" s="23"/>
      <c r="R34" s="23"/>
      <c r="S34" s="23"/>
      <c r="T34" s="23"/>
      <c r="U34" s="23"/>
      <c r="V34" s="23"/>
      <c r="W34" s="23"/>
      <c r="X34" s="23"/>
      <c r="Y34" s="23"/>
      <c r="Z34" s="23"/>
      <c r="AA34" s="23"/>
      <c r="AB34" s="23"/>
      <c r="AC34" s="23"/>
      <c r="AD34" s="23"/>
      <c r="AE34" s="23"/>
    </row>
    <row r="35" ht="15.75" customHeight="1">
      <c r="A35" s="21" t="s">
        <v>183</v>
      </c>
      <c r="B35" s="21" t="s">
        <v>80</v>
      </c>
      <c r="C35" s="21" t="s">
        <v>181</v>
      </c>
      <c r="D35" s="21" t="s">
        <v>184</v>
      </c>
      <c r="E35" s="22" t="s">
        <v>185</v>
      </c>
      <c r="F35" s="21" t="s">
        <v>186</v>
      </c>
      <c r="G35" s="21" t="s">
        <v>86</v>
      </c>
      <c r="H35" s="22" t="s">
        <v>85</v>
      </c>
      <c r="I35" s="24" t="s">
        <v>86</v>
      </c>
      <c r="J35" s="23" t="s">
        <v>87</v>
      </c>
      <c r="K35" s="22" t="s">
        <v>85</v>
      </c>
      <c r="L35" s="23"/>
      <c r="M35" s="23"/>
      <c r="N35" s="23"/>
      <c r="O35" s="23"/>
      <c r="P35" s="23"/>
      <c r="Q35" s="23"/>
      <c r="R35" s="23"/>
      <c r="S35" s="23"/>
      <c r="T35" s="23"/>
      <c r="U35" s="23"/>
      <c r="V35" s="23"/>
      <c r="W35" s="23"/>
      <c r="X35" s="23"/>
      <c r="Y35" s="23"/>
      <c r="Z35" s="23"/>
      <c r="AA35" s="23"/>
      <c r="AB35" s="23"/>
      <c r="AC35" s="23"/>
      <c r="AD35" s="23"/>
      <c r="AE35" s="23"/>
    </row>
    <row r="36" ht="15.75" customHeight="1">
      <c r="A36" s="21" t="s">
        <v>187</v>
      </c>
      <c r="B36" s="21" t="s">
        <v>80</v>
      </c>
      <c r="C36" s="21" t="s">
        <v>181</v>
      </c>
      <c r="D36" s="21" t="s">
        <v>188</v>
      </c>
      <c r="E36" s="22" t="s">
        <v>185</v>
      </c>
      <c r="F36" s="21" t="s">
        <v>189</v>
      </c>
      <c r="G36" s="21" t="s">
        <v>86</v>
      </c>
      <c r="H36" s="22" t="s">
        <v>85</v>
      </c>
      <c r="I36" s="24" t="s">
        <v>86</v>
      </c>
      <c r="J36" s="23" t="s">
        <v>87</v>
      </c>
      <c r="K36" s="22" t="s">
        <v>85</v>
      </c>
      <c r="L36" s="21"/>
      <c r="M36" s="21"/>
      <c r="N36" s="21"/>
      <c r="O36" s="21"/>
      <c r="P36" s="21"/>
      <c r="Q36" s="21"/>
      <c r="R36" s="21"/>
      <c r="S36" s="21"/>
      <c r="T36" s="21"/>
      <c r="U36" s="21"/>
      <c r="V36" s="21"/>
      <c r="W36" s="21"/>
      <c r="X36" s="21"/>
      <c r="Y36" s="21"/>
      <c r="Z36" s="21"/>
      <c r="AA36" s="21"/>
      <c r="AB36" s="21"/>
      <c r="AC36" s="21"/>
      <c r="AD36" s="21"/>
      <c r="AE36" s="21"/>
    </row>
    <row r="37" ht="15.75" customHeight="1">
      <c r="A37" s="21" t="s">
        <v>190</v>
      </c>
      <c r="B37" s="21" t="s">
        <v>80</v>
      </c>
      <c r="C37" s="21" t="s">
        <v>181</v>
      </c>
      <c r="D37" s="21" t="s">
        <v>191</v>
      </c>
      <c r="E37" s="22" t="s">
        <v>185</v>
      </c>
      <c r="F37" s="21" t="s">
        <v>192</v>
      </c>
      <c r="G37" s="21" t="s">
        <v>86</v>
      </c>
      <c r="H37" s="22" t="s">
        <v>85</v>
      </c>
      <c r="I37" s="24" t="s">
        <v>86</v>
      </c>
      <c r="J37" s="23" t="s">
        <v>87</v>
      </c>
      <c r="K37" s="22" t="s">
        <v>85</v>
      </c>
      <c r="L37" s="21"/>
      <c r="M37" s="21"/>
      <c r="N37" s="21"/>
      <c r="O37" s="21"/>
      <c r="P37" s="21"/>
      <c r="Q37" s="21"/>
      <c r="R37" s="21"/>
      <c r="S37" s="21"/>
      <c r="T37" s="21"/>
      <c r="U37" s="21"/>
      <c r="V37" s="21"/>
      <c r="W37" s="21"/>
      <c r="X37" s="21"/>
      <c r="Y37" s="21"/>
      <c r="Z37" s="21"/>
      <c r="AA37" s="21"/>
      <c r="AB37" s="21"/>
      <c r="AC37" s="21"/>
      <c r="AD37" s="21"/>
      <c r="AE37" s="21"/>
    </row>
    <row r="38" ht="15.75" customHeight="1">
      <c r="A38" s="21" t="s">
        <v>193</v>
      </c>
      <c r="B38" s="21" t="s">
        <v>80</v>
      </c>
      <c r="C38" s="21" t="s">
        <v>181</v>
      </c>
      <c r="D38" s="21" t="s">
        <v>194</v>
      </c>
      <c r="E38" s="22" t="s">
        <v>185</v>
      </c>
      <c r="F38" s="21" t="s">
        <v>195</v>
      </c>
      <c r="G38" s="21" t="s">
        <v>86</v>
      </c>
      <c r="H38" s="22" t="s">
        <v>85</v>
      </c>
      <c r="I38" s="24" t="s">
        <v>86</v>
      </c>
      <c r="J38" s="23" t="s">
        <v>87</v>
      </c>
      <c r="K38" s="22" t="s">
        <v>85</v>
      </c>
      <c r="L38" s="23"/>
      <c r="M38" s="23"/>
      <c r="N38" s="23"/>
      <c r="O38" s="23"/>
      <c r="P38" s="23"/>
      <c r="Q38" s="23"/>
      <c r="R38" s="23"/>
      <c r="S38" s="23"/>
      <c r="T38" s="23"/>
      <c r="U38" s="23"/>
      <c r="V38" s="23"/>
      <c r="W38" s="23"/>
      <c r="X38" s="23"/>
      <c r="Y38" s="23"/>
      <c r="Z38" s="23"/>
      <c r="AA38" s="23"/>
      <c r="AB38" s="23"/>
      <c r="AC38" s="23"/>
      <c r="AD38" s="23"/>
      <c r="AE38" s="23"/>
    </row>
    <row r="39" ht="15.75" customHeight="1">
      <c r="A39" s="21" t="s">
        <v>196</v>
      </c>
      <c r="B39" s="33" t="s">
        <v>197</v>
      </c>
      <c r="C39" s="21" t="s">
        <v>198</v>
      </c>
      <c r="D39" s="21" t="s">
        <v>199</v>
      </c>
      <c r="E39" s="22" t="s">
        <v>185</v>
      </c>
      <c r="F39" s="21" t="s">
        <v>200</v>
      </c>
      <c r="G39" s="21" t="s">
        <v>201</v>
      </c>
      <c r="H39" s="22" t="s">
        <v>85</v>
      </c>
      <c r="I39" s="24" t="s">
        <v>91</v>
      </c>
      <c r="J39" s="23" t="s">
        <v>91</v>
      </c>
      <c r="K39" s="23" t="s">
        <v>90</v>
      </c>
      <c r="L39" s="23"/>
      <c r="M39" s="23"/>
      <c r="N39" s="23"/>
      <c r="O39" s="23"/>
      <c r="P39" s="23"/>
      <c r="Q39" s="23"/>
      <c r="R39" s="23"/>
      <c r="S39" s="23"/>
      <c r="T39" s="23"/>
      <c r="U39" s="23"/>
      <c r="V39" s="23"/>
      <c r="W39" s="23"/>
      <c r="X39" s="23"/>
      <c r="Y39" s="23"/>
      <c r="Z39" s="23"/>
      <c r="AA39" s="23"/>
      <c r="AB39" s="23"/>
      <c r="AC39" s="23"/>
      <c r="AD39" s="23"/>
      <c r="AE39" s="23"/>
    </row>
    <row r="40" ht="15.75" customHeight="1">
      <c r="A40" s="21" t="s">
        <v>202</v>
      </c>
      <c r="B40" s="33" t="s">
        <v>197</v>
      </c>
      <c r="C40" s="21" t="s">
        <v>198</v>
      </c>
      <c r="D40" s="21" t="s">
        <v>203</v>
      </c>
      <c r="E40" s="22" t="s">
        <v>185</v>
      </c>
      <c r="F40" s="21" t="s">
        <v>204</v>
      </c>
      <c r="G40" s="21" t="s">
        <v>201</v>
      </c>
      <c r="H40" s="22" t="s">
        <v>85</v>
      </c>
      <c r="I40" s="24" t="s">
        <v>91</v>
      </c>
      <c r="J40" s="23" t="s">
        <v>91</v>
      </c>
      <c r="K40" s="23" t="s">
        <v>90</v>
      </c>
      <c r="L40" s="23"/>
      <c r="M40" s="23"/>
      <c r="N40" s="23"/>
      <c r="O40" s="23"/>
      <c r="P40" s="23"/>
      <c r="Q40" s="23"/>
      <c r="R40" s="23"/>
      <c r="S40" s="23"/>
      <c r="T40" s="23"/>
      <c r="U40" s="23"/>
      <c r="V40" s="23"/>
      <c r="W40" s="23"/>
      <c r="X40" s="23"/>
      <c r="Y40" s="23"/>
      <c r="Z40" s="23"/>
      <c r="AA40" s="23"/>
      <c r="AB40" s="23"/>
      <c r="AC40" s="23"/>
      <c r="AD40" s="23"/>
      <c r="AE40" s="23"/>
    </row>
    <row r="41" ht="15.75" customHeight="1">
      <c r="A41" s="21" t="s">
        <v>205</v>
      </c>
      <c r="B41" s="33" t="s">
        <v>206</v>
      </c>
      <c r="C41" s="21" t="s">
        <v>207</v>
      </c>
      <c r="D41" s="21" t="s">
        <v>208</v>
      </c>
      <c r="E41" s="22" t="s">
        <v>185</v>
      </c>
      <c r="F41" s="21" t="s">
        <v>209</v>
      </c>
      <c r="G41" s="21" t="s">
        <v>201</v>
      </c>
      <c r="H41" s="22" t="s">
        <v>85</v>
      </c>
      <c r="I41" s="24" t="s">
        <v>91</v>
      </c>
      <c r="J41" s="23" t="s">
        <v>91</v>
      </c>
      <c r="K41" s="23" t="s">
        <v>90</v>
      </c>
      <c r="L41" s="23"/>
      <c r="M41" s="23"/>
      <c r="N41" s="23"/>
      <c r="O41" s="23"/>
      <c r="P41" s="23"/>
      <c r="Q41" s="23"/>
      <c r="R41" s="23"/>
      <c r="S41" s="23"/>
      <c r="T41" s="23"/>
      <c r="U41" s="23"/>
      <c r="V41" s="23"/>
      <c r="W41" s="23"/>
      <c r="X41" s="23"/>
      <c r="Y41" s="23"/>
      <c r="Z41" s="23"/>
      <c r="AA41" s="23"/>
      <c r="AB41" s="23"/>
      <c r="AC41" s="23"/>
      <c r="AD41" s="23"/>
      <c r="AE41" s="23"/>
    </row>
    <row r="42" ht="15.75" customHeight="1">
      <c r="A42" s="21" t="s">
        <v>210</v>
      </c>
      <c r="B42" s="21" t="s">
        <v>80</v>
      </c>
      <c r="C42" s="21" t="s">
        <v>81</v>
      </c>
      <c r="D42" s="21" t="s">
        <v>211</v>
      </c>
      <c r="E42" s="22" t="s">
        <v>185</v>
      </c>
      <c r="F42" s="21" t="s">
        <v>122</v>
      </c>
      <c r="G42" s="21" t="s">
        <v>201</v>
      </c>
      <c r="H42" s="22" t="s">
        <v>85</v>
      </c>
      <c r="I42" s="24" t="s">
        <v>91</v>
      </c>
      <c r="J42" s="21" t="s">
        <v>91</v>
      </c>
      <c r="K42" s="23" t="s">
        <v>90</v>
      </c>
      <c r="L42" s="23"/>
      <c r="M42" s="23"/>
      <c r="N42" s="23"/>
      <c r="O42" s="23"/>
      <c r="P42" s="23"/>
      <c r="Q42" s="23"/>
      <c r="R42" s="23"/>
      <c r="S42" s="23"/>
      <c r="T42" s="23"/>
      <c r="U42" s="23"/>
      <c r="V42" s="23"/>
      <c r="W42" s="23"/>
      <c r="X42" s="23"/>
      <c r="Y42" s="23"/>
      <c r="Z42" s="23"/>
      <c r="AA42" s="23"/>
      <c r="AB42" s="23"/>
      <c r="AC42" s="23"/>
      <c r="AD42" s="23"/>
      <c r="AE42" s="23"/>
    </row>
    <row r="43" ht="15.75" customHeight="1">
      <c r="A43" s="21" t="s">
        <v>212</v>
      </c>
      <c r="B43" s="33" t="s">
        <v>58</v>
      </c>
      <c r="C43" s="21" t="s">
        <v>198</v>
      </c>
      <c r="D43" s="21" t="s">
        <v>213</v>
      </c>
      <c r="E43" s="22" t="s">
        <v>135</v>
      </c>
      <c r="F43" s="21">
        <v>0.4452</v>
      </c>
      <c r="G43" s="21" t="s">
        <v>136</v>
      </c>
      <c r="H43" s="22" t="s">
        <v>85</v>
      </c>
      <c r="I43" s="24" t="s">
        <v>86</v>
      </c>
      <c r="J43" s="23" t="s">
        <v>86</v>
      </c>
      <c r="K43" s="23" t="s">
        <v>90</v>
      </c>
      <c r="L43" s="23"/>
      <c r="M43" s="23"/>
      <c r="N43" s="23"/>
      <c r="O43" s="23"/>
      <c r="P43" s="23"/>
      <c r="Q43" s="23"/>
      <c r="R43" s="23"/>
      <c r="S43" s="23"/>
      <c r="T43" s="23"/>
      <c r="U43" s="23"/>
      <c r="V43" s="23"/>
      <c r="W43" s="23"/>
      <c r="X43" s="23"/>
      <c r="Y43" s="23"/>
      <c r="Z43" s="23"/>
      <c r="AA43" s="23"/>
      <c r="AB43" s="23"/>
      <c r="AC43" s="23"/>
      <c r="AD43" s="23"/>
      <c r="AE43" s="23"/>
    </row>
    <row r="44" ht="15.75" customHeight="1">
      <c r="A44" s="21" t="s">
        <v>214</v>
      </c>
      <c r="B44" s="33" t="s">
        <v>58</v>
      </c>
      <c r="C44" s="21" t="s">
        <v>198</v>
      </c>
      <c r="D44" s="21" t="s">
        <v>215</v>
      </c>
      <c r="E44" s="22" t="s">
        <v>135</v>
      </c>
      <c r="F44" s="21">
        <v>0.6523</v>
      </c>
      <c r="G44" s="21" t="s">
        <v>136</v>
      </c>
      <c r="H44" s="22" t="s">
        <v>85</v>
      </c>
      <c r="I44" s="24" t="s">
        <v>86</v>
      </c>
      <c r="J44" s="23" t="s">
        <v>86</v>
      </c>
      <c r="K44" s="23" t="s">
        <v>90</v>
      </c>
      <c r="L44" s="23"/>
      <c r="M44" s="23"/>
      <c r="N44" s="23"/>
      <c r="O44" s="23"/>
      <c r="P44" s="23"/>
      <c r="Q44" s="23"/>
      <c r="R44" s="23"/>
      <c r="S44" s="23"/>
      <c r="T44" s="23"/>
      <c r="U44" s="23"/>
      <c r="V44" s="23"/>
      <c r="W44" s="23"/>
      <c r="X44" s="23"/>
      <c r="Y44" s="23"/>
      <c r="Z44" s="23"/>
      <c r="AA44" s="23"/>
      <c r="AB44" s="23"/>
      <c r="AC44" s="23"/>
      <c r="AD44" s="23"/>
      <c r="AE44" s="23"/>
    </row>
    <row r="45" ht="15.75" customHeight="1">
      <c r="A45" s="21" t="s">
        <v>216</v>
      </c>
      <c r="B45" s="33" t="s">
        <v>58</v>
      </c>
      <c r="C45" s="21" t="s">
        <v>198</v>
      </c>
      <c r="D45" s="21" t="s">
        <v>217</v>
      </c>
      <c r="E45" s="22" t="s">
        <v>135</v>
      </c>
      <c r="F45" s="21">
        <v>0.2456</v>
      </c>
      <c r="G45" s="21" t="s">
        <v>136</v>
      </c>
      <c r="H45" s="22" t="s">
        <v>85</v>
      </c>
      <c r="I45" s="24" t="s">
        <v>86</v>
      </c>
      <c r="J45" s="23" t="s">
        <v>86</v>
      </c>
      <c r="K45" s="23" t="s">
        <v>90</v>
      </c>
      <c r="L45" s="23"/>
      <c r="M45" s="23"/>
      <c r="N45" s="23"/>
      <c r="O45" s="23"/>
      <c r="P45" s="23"/>
      <c r="Q45" s="23"/>
      <c r="R45" s="23"/>
      <c r="S45" s="23"/>
      <c r="T45" s="23"/>
      <c r="U45" s="23"/>
      <c r="V45" s="23"/>
      <c r="W45" s="23"/>
      <c r="X45" s="23"/>
      <c r="Y45" s="23"/>
      <c r="Z45" s="23"/>
      <c r="AA45" s="23"/>
      <c r="AB45" s="23"/>
      <c r="AC45" s="23"/>
      <c r="AD45" s="23"/>
      <c r="AE45" s="23"/>
    </row>
    <row r="46" ht="15.75" customHeight="1">
      <c r="A46" s="21" t="s">
        <v>218</v>
      </c>
      <c r="B46" s="33" t="s">
        <v>58</v>
      </c>
      <c r="C46" s="21" t="s">
        <v>198</v>
      </c>
      <c r="D46" s="21" t="s">
        <v>219</v>
      </c>
      <c r="E46" s="22" t="s">
        <v>135</v>
      </c>
      <c r="F46" s="21">
        <v>0.5263</v>
      </c>
      <c r="G46" s="21" t="s">
        <v>136</v>
      </c>
      <c r="H46" s="22" t="s">
        <v>85</v>
      </c>
      <c r="I46" s="24" t="s">
        <v>86</v>
      </c>
      <c r="J46" s="23" t="s">
        <v>86</v>
      </c>
      <c r="K46" s="23" t="s">
        <v>90</v>
      </c>
      <c r="L46" s="23"/>
      <c r="M46" s="23"/>
      <c r="N46" s="23"/>
      <c r="O46" s="23"/>
      <c r="P46" s="23"/>
      <c r="Q46" s="23"/>
      <c r="R46" s="23"/>
      <c r="S46" s="23"/>
      <c r="T46" s="23"/>
      <c r="U46" s="23"/>
      <c r="V46" s="23"/>
      <c r="W46" s="23"/>
      <c r="X46" s="23"/>
      <c r="Y46" s="23"/>
      <c r="Z46" s="23"/>
      <c r="AA46" s="23"/>
      <c r="AB46" s="23"/>
      <c r="AC46" s="23"/>
      <c r="AD46" s="23"/>
      <c r="AE46" s="23"/>
    </row>
    <row r="47" ht="15.75" customHeight="1">
      <c r="A47" s="21" t="s">
        <v>220</v>
      </c>
      <c r="B47" s="33" t="s">
        <v>58</v>
      </c>
      <c r="C47" s="21" t="s">
        <v>198</v>
      </c>
      <c r="D47" s="21" t="s">
        <v>221</v>
      </c>
      <c r="E47" s="22" t="s">
        <v>135</v>
      </c>
      <c r="F47" s="21">
        <v>0.1829</v>
      </c>
      <c r="G47" s="21" t="s">
        <v>136</v>
      </c>
      <c r="H47" s="22" t="s">
        <v>85</v>
      </c>
      <c r="I47" s="24" t="s">
        <v>86</v>
      </c>
      <c r="J47" s="23" t="s">
        <v>86</v>
      </c>
      <c r="K47" s="23" t="s">
        <v>90</v>
      </c>
      <c r="L47" s="23"/>
      <c r="M47" s="23"/>
      <c r="N47" s="23"/>
      <c r="O47" s="23"/>
      <c r="P47" s="23"/>
      <c r="Q47" s="23"/>
      <c r="R47" s="23"/>
      <c r="S47" s="23"/>
      <c r="T47" s="23"/>
      <c r="U47" s="23"/>
      <c r="V47" s="23"/>
      <c r="W47" s="23"/>
      <c r="X47" s="23"/>
      <c r="Y47" s="23"/>
      <c r="Z47" s="23"/>
      <c r="AA47" s="23"/>
      <c r="AB47" s="23"/>
      <c r="AC47" s="23"/>
      <c r="AD47" s="23"/>
      <c r="AE47" s="23"/>
    </row>
    <row r="48" ht="15.75" customHeight="1">
      <c r="A48" s="21" t="s">
        <v>222</v>
      </c>
      <c r="B48" s="33" t="s">
        <v>58</v>
      </c>
      <c r="C48" s="21" t="s">
        <v>198</v>
      </c>
      <c r="D48" s="21" t="s">
        <v>223</v>
      </c>
      <c r="E48" s="22" t="s">
        <v>135</v>
      </c>
      <c r="F48" s="21">
        <v>0.9829</v>
      </c>
      <c r="G48" s="21" t="s">
        <v>136</v>
      </c>
      <c r="H48" s="22" t="s">
        <v>85</v>
      </c>
      <c r="I48" s="24" t="s">
        <v>86</v>
      </c>
      <c r="J48" s="23" t="s">
        <v>86</v>
      </c>
      <c r="K48" s="23" t="s">
        <v>90</v>
      </c>
      <c r="L48" s="23"/>
      <c r="M48" s="23"/>
      <c r="N48" s="23"/>
      <c r="O48" s="23"/>
      <c r="P48" s="23"/>
      <c r="Q48" s="23"/>
      <c r="R48" s="23"/>
      <c r="S48" s="23"/>
      <c r="T48" s="23"/>
      <c r="U48" s="23"/>
      <c r="V48" s="23"/>
      <c r="W48" s="23"/>
      <c r="X48" s="23"/>
      <c r="Y48" s="23"/>
      <c r="Z48" s="23"/>
      <c r="AA48" s="23"/>
      <c r="AB48" s="23"/>
      <c r="AC48" s="23"/>
      <c r="AD48" s="23"/>
      <c r="AE48" s="23"/>
    </row>
    <row r="49" ht="15.75" customHeight="1">
      <c r="A49" s="21" t="s">
        <v>224</v>
      </c>
      <c r="B49" s="33" t="s">
        <v>58</v>
      </c>
      <c r="C49" s="21" t="s">
        <v>198</v>
      </c>
      <c r="D49" s="21" t="s">
        <v>225</v>
      </c>
      <c r="E49" s="22" t="s">
        <v>135</v>
      </c>
      <c r="F49" s="21">
        <v>0.6592</v>
      </c>
      <c r="G49" s="21" t="s">
        <v>136</v>
      </c>
      <c r="H49" s="22" t="s">
        <v>85</v>
      </c>
      <c r="I49" s="24" t="s">
        <v>86</v>
      </c>
      <c r="J49" s="23" t="s">
        <v>86</v>
      </c>
      <c r="K49" s="23" t="s">
        <v>90</v>
      </c>
      <c r="L49" s="23"/>
      <c r="M49" s="23"/>
      <c r="N49" s="23"/>
      <c r="O49" s="23"/>
      <c r="P49" s="23"/>
      <c r="Q49" s="23"/>
      <c r="R49" s="23"/>
      <c r="S49" s="23"/>
      <c r="T49" s="23"/>
      <c r="U49" s="23"/>
      <c r="V49" s="23"/>
      <c r="W49" s="23"/>
      <c r="X49" s="23"/>
      <c r="Y49" s="23"/>
      <c r="Z49" s="23"/>
      <c r="AA49" s="23"/>
      <c r="AB49" s="23"/>
      <c r="AC49" s="23"/>
      <c r="AD49" s="23"/>
      <c r="AE49" s="23"/>
    </row>
    <row r="50" ht="15.75" customHeight="1">
      <c r="A50" s="21" t="s">
        <v>226</v>
      </c>
      <c r="B50" s="33" t="s">
        <v>58</v>
      </c>
      <c r="C50" s="21" t="s">
        <v>198</v>
      </c>
      <c r="D50" s="21" t="s">
        <v>227</v>
      </c>
      <c r="E50" s="22" t="s">
        <v>135</v>
      </c>
      <c r="F50" s="21">
        <v>0.492</v>
      </c>
      <c r="G50" s="21" t="s">
        <v>136</v>
      </c>
      <c r="H50" s="22" t="s">
        <v>85</v>
      </c>
      <c r="I50" s="24" t="s">
        <v>86</v>
      </c>
      <c r="J50" s="23" t="s">
        <v>86</v>
      </c>
      <c r="K50" s="23" t="s">
        <v>90</v>
      </c>
      <c r="L50" s="23"/>
      <c r="M50" s="23"/>
      <c r="N50" s="23"/>
      <c r="O50" s="23"/>
      <c r="P50" s="23"/>
      <c r="Q50" s="23"/>
      <c r="R50" s="23"/>
      <c r="S50" s="23"/>
      <c r="T50" s="23"/>
      <c r="U50" s="23"/>
      <c r="V50" s="23"/>
      <c r="W50" s="23"/>
      <c r="X50" s="23"/>
      <c r="Y50" s="23"/>
      <c r="Z50" s="23"/>
      <c r="AA50" s="23"/>
      <c r="AB50" s="23"/>
      <c r="AC50" s="23"/>
      <c r="AD50" s="23"/>
      <c r="AE50" s="23"/>
    </row>
    <row r="51" ht="15.75" customHeight="1">
      <c r="A51" s="21" t="s">
        <v>228</v>
      </c>
      <c r="B51" s="21" t="s">
        <v>58</v>
      </c>
      <c r="C51" s="21" t="s">
        <v>198</v>
      </c>
      <c r="D51" s="21" t="s">
        <v>229</v>
      </c>
      <c r="E51" s="22" t="s">
        <v>135</v>
      </c>
      <c r="F51" s="21" t="s">
        <v>230</v>
      </c>
      <c r="G51" s="21" t="s">
        <v>136</v>
      </c>
      <c r="H51" s="22" t="s">
        <v>85</v>
      </c>
      <c r="I51" s="24" t="s">
        <v>90</v>
      </c>
      <c r="J51" s="23" t="s">
        <v>90</v>
      </c>
      <c r="K51" s="23" t="s">
        <v>90</v>
      </c>
      <c r="L51" s="23"/>
      <c r="M51" s="23"/>
      <c r="N51" s="23"/>
      <c r="O51" s="23"/>
      <c r="P51" s="23"/>
      <c r="Q51" s="23"/>
      <c r="R51" s="23"/>
      <c r="S51" s="23"/>
      <c r="T51" s="23"/>
      <c r="U51" s="23"/>
      <c r="V51" s="23"/>
      <c r="W51" s="23"/>
      <c r="X51" s="23"/>
      <c r="Y51" s="23"/>
      <c r="Z51" s="23"/>
      <c r="AA51" s="23"/>
      <c r="AB51" s="23"/>
      <c r="AC51" s="23"/>
      <c r="AD51" s="23"/>
      <c r="AE51" s="23"/>
    </row>
    <row r="52" ht="15.75" customHeight="1">
      <c r="A52" s="21" t="s">
        <v>231</v>
      </c>
      <c r="B52" s="21" t="s">
        <v>126</v>
      </c>
      <c r="C52" s="21" t="s">
        <v>176</v>
      </c>
      <c r="D52" s="21" t="s">
        <v>232</v>
      </c>
      <c r="E52" s="22" t="s">
        <v>135</v>
      </c>
      <c r="F52" s="21">
        <v>0.699312685</v>
      </c>
      <c r="G52" s="21" t="s">
        <v>136</v>
      </c>
      <c r="H52" s="22" t="s">
        <v>85</v>
      </c>
      <c r="I52" s="24" t="s">
        <v>86</v>
      </c>
      <c r="J52" s="21" t="s">
        <v>86</v>
      </c>
      <c r="K52" s="23" t="s">
        <v>90</v>
      </c>
      <c r="L52" s="23"/>
      <c r="M52" s="23"/>
      <c r="N52" s="23"/>
      <c r="O52" s="23"/>
      <c r="P52" s="23"/>
      <c r="Q52" s="23"/>
      <c r="R52" s="23"/>
      <c r="S52" s="23"/>
      <c r="T52" s="23"/>
      <c r="U52" s="23"/>
      <c r="V52" s="23"/>
      <c r="W52" s="23"/>
      <c r="X52" s="23"/>
      <c r="Y52" s="23"/>
      <c r="Z52" s="23"/>
      <c r="AA52" s="23"/>
      <c r="AB52" s="23"/>
      <c r="AC52" s="23"/>
      <c r="AD52" s="23"/>
      <c r="AE52" s="23"/>
    </row>
    <row r="53" ht="15.75" customHeight="1">
      <c r="A53" s="21" t="s">
        <v>233</v>
      </c>
      <c r="B53" s="33" t="s">
        <v>58</v>
      </c>
      <c r="C53" s="21" t="s">
        <v>198</v>
      </c>
      <c r="D53" s="21" t="s">
        <v>234</v>
      </c>
      <c r="E53" s="22" t="s">
        <v>135</v>
      </c>
      <c r="F53" s="21">
        <v>1.0</v>
      </c>
      <c r="G53" s="21" t="s">
        <v>136</v>
      </c>
      <c r="H53" s="22" t="s">
        <v>85</v>
      </c>
      <c r="I53" s="24" t="s">
        <v>90</v>
      </c>
      <c r="J53" s="21" t="s">
        <v>90</v>
      </c>
      <c r="K53" s="21" t="s">
        <v>90</v>
      </c>
      <c r="L53" s="23"/>
      <c r="M53" s="23"/>
      <c r="N53" s="23"/>
      <c r="O53" s="23"/>
      <c r="P53" s="23"/>
      <c r="Q53" s="23"/>
      <c r="R53" s="23"/>
      <c r="S53" s="23"/>
      <c r="T53" s="23"/>
      <c r="U53" s="23"/>
      <c r="V53" s="23"/>
      <c r="W53" s="23"/>
      <c r="X53" s="23"/>
      <c r="Y53" s="23"/>
      <c r="Z53" s="23"/>
      <c r="AA53" s="23"/>
      <c r="AB53" s="23"/>
      <c r="AC53" s="23"/>
      <c r="AD53" s="23"/>
      <c r="AE53" s="23"/>
    </row>
    <row r="54" ht="15.75" customHeight="1">
      <c r="A54" s="21" t="s">
        <v>235</v>
      </c>
      <c r="B54" s="33" t="s">
        <v>58</v>
      </c>
      <c r="C54" s="21" t="s">
        <v>198</v>
      </c>
      <c r="D54" s="21" t="s">
        <v>236</v>
      </c>
      <c r="E54" s="25" t="s">
        <v>135</v>
      </c>
      <c r="F54" s="26" t="s">
        <v>237</v>
      </c>
      <c r="G54" s="21" t="s">
        <v>136</v>
      </c>
      <c r="H54" s="22" t="s">
        <v>85</v>
      </c>
      <c r="I54" s="24" t="s">
        <v>90</v>
      </c>
      <c r="J54" s="21" t="s">
        <v>238</v>
      </c>
      <c r="K54" s="21" t="s">
        <v>90</v>
      </c>
      <c r="L54" s="23"/>
      <c r="M54" s="23"/>
      <c r="N54" s="23"/>
      <c r="O54" s="23"/>
      <c r="P54" s="23"/>
      <c r="Q54" s="23"/>
      <c r="R54" s="23"/>
      <c r="S54" s="23"/>
      <c r="T54" s="23"/>
      <c r="U54" s="23"/>
      <c r="V54" s="23"/>
      <c r="W54" s="23"/>
      <c r="X54" s="23"/>
      <c r="Y54" s="23"/>
      <c r="Z54" s="23"/>
      <c r="AA54" s="23"/>
      <c r="AB54" s="23"/>
      <c r="AC54" s="23"/>
      <c r="AD54" s="23"/>
      <c r="AE54" s="23"/>
    </row>
    <row r="55" ht="15.75" customHeight="1">
      <c r="A55" s="21" t="s">
        <v>239</v>
      </c>
      <c r="B55" s="33" t="s">
        <v>58</v>
      </c>
      <c r="C55" s="21" t="s">
        <v>198</v>
      </c>
      <c r="D55" s="21" t="s">
        <v>240</v>
      </c>
      <c r="E55" s="25" t="s">
        <v>135</v>
      </c>
      <c r="F55" s="26" t="s">
        <v>241</v>
      </c>
      <c r="G55" s="21" t="s">
        <v>136</v>
      </c>
      <c r="H55" s="22" t="s">
        <v>85</v>
      </c>
      <c r="I55" s="24" t="s">
        <v>90</v>
      </c>
      <c r="J55" s="21" t="s">
        <v>238</v>
      </c>
      <c r="K55" s="21" t="s">
        <v>90</v>
      </c>
      <c r="L55" s="23"/>
      <c r="M55" s="23"/>
      <c r="N55" s="23"/>
      <c r="O55" s="23"/>
      <c r="P55" s="23"/>
      <c r="Q55" s="23"/>
      <c r="R55" s="23"/>
      <c r="S55" s="23"/>
      <c r="T55" s="23"/>
      <c r="U55" s="23"/>
      <c r="V55" s="23"/>
      <c r="W55" s="23"/>
      <c r="X55" s="23"/>
      <c r="Y55" s="23"/>
      <c r="Z55" s="23"/>
      <c r="AA55" s="23"/>
      <c r="AB55" s="23"/>
      <c r="AC55" s="23"/>
      <c r="AD55" s="23"/>
      <c r="AE55" s="23"/>
    </row>
    <row r="56" ht="15.75" customHeight="1">
      <c r="A56" s="21" t="s">
        <v>242</v>
      </c>
      <c r="B56" s="33" t="s">
        <v>58</v>
      </c>
      <c r="C56" s="21" t="s">
        <v>198</v>
      </c>
      <c r="D56" s="21" t="s">
        <v>243</v>
      </c>
      <c r="E56" s="25" t="s">
        <v>135</v>
      </c>
      <c r="F56" s="26" t="s">
        <v>244</v>
      </c>
      <c r="G56" s="21" t="s">
        <v>136</v>
      </c>
      <c r="H56" s="22" t="s">
        <v>85</v>
      </c>
      <c r="I56" s="24" t="s">
        <v>90</v>
      </c>
      <c r="J56" s="21" t="s">
        <v>238</v>
      </c>
      <c r="K56" s="21" t="s">
        <v>90</v>
      </c>
      <c r="L56" s="23"/>
      <c r="M56" s="23"/>
      <c r="N56" s="23"/>
      <c r="O56" s="23"/>
      <c r="P56" s="23"/>
      <c r="Q56" s="23"/>
      <c r="R56" s="23"/>
      <c r="S56" s="23"/>
      <c r="T56" s="23"/>
      <c r="U56" s="23"/>
      <c r="V56" s="23"/>
      <c r="W56" s="23"/>
      <c r="X56" s="23"/>
      <c r="Y56" s="23"/>
      <c r="Z56" s="23"/>
      <c r="AA56" s="23"/>
      <c r="AB56" s="23"/>
      <c r="AC56" s="23"/>
      <c r="AD56" s="23"/>
      <c r="AE56" s="23"/>
    </row>
    <row r="57" ht="15.75" customHeight="1">
      <c r="A57" s="21" t="s">
        <v>245</v>
      </c>
      <c r="B57" s="33" t="s">
        <v>60</v>
      </c>
      <c r="C57" s="21" t="s">
        <v>246</v>
      </c>
      <c r="D57" s="21" t="s">
        <v>247</v>
      </c>
      <c r="E57" s="22" t="s">
        <v>135</v>
      </c>
      <c r="F57" s="21">
        <v>1.0</v>
      </c>
      <c r="G57" s="21" t="s">
        <v>136</v>
      </c>
      <c r="H57" s="22" t="s">
        <v>85</v>
      </c>
      <c r="I57" s="24" t="s">
        <v>91</v>
      </c>
      <c r="J57" s="23" t="s">
        <v>91</v>
      </c>
      <c r="K57" s="23" t="s">
        <v>90</v>
      </c>
      <c r="L57" s="23"/>
      <c r="M57" s="23"/>
      <c r="N57" s="23"/>
      <c r="O57" s="23"/>
      <c r="P57" s="23"/>
      <c r="Q57" s="23"/>
      <c r="R57" s="23"/>
      <c r="S57" s="23"/>
      <c r="T57" s="23"/>
      <c r="U57" s="23"/>
      <c r="V57" s="23"/>
      <c r="W57" s="23"/>
      <c r="X57" s="23"/>
      <c r="Y57" s="23"/>
      <c r="Z57" s="23"/>
      <c r="AA57" s="23"/>
      <c r="AB57" s="23"/>
      <c r="AC57" s="23"/>
      <c r="AD57" s="23"/>
      <c r="AE57" s="23"/>
    </row>
    <row r="58" ht="15.75" customHeight="1">
      <c r="A58" s="21" t="s">
        <v>248</v>
      </c>
      <c r="B58" s="33" t="s">
        <v>60</v>
      </c>
      <c r="C58" s="21" t="s">
        <v>198</v>
      </c>
      <c r="D58" s="21" t="s">
        <v>249</v>
      </c>
      <c r="E58" s="22" t="s">
        <v>135</v>
      </c>
      <c r="F58" s="21">
        <v>0.008588078</v>
      </c>
      <c r="G58" s="21" t="s">
        <v>136</v>
      </c>
      <c r="H58" s="22" t="s">
        <v>85</v>
      </c>
      <c r="I58" s="24" t="s">
        <v>91</v>
      </c>
      <c r="J58" s="23" t="s">
        <v>91</v>
      </c>
      <c r="K58" s="23" t="s">
        <v>90</v>
      </c>
      <c r="L58" s="23"/>
      <c r="M58" s="23"/>
      <c r="N58" s="23"/>
      <c r="O58" s="23"/>
      <c r="P58" s="23"/>
      <c r="Q58" s="23"/>
      <c r="R58" s="23"/>
      <c r="S58" s="23"/>
      <c r="T58" s="23"/>
      <c r="U58" s="23"/>
      <c r="V58" s="23"/>
      <c r="W58" s="23"/>
      <c r="X58" s="23"/>
      <c r="Y58" s="23"/>
      <c r="Z58" s="23"/>
      <c r="AA58" s="23"/>
      <c r="AB58" s="23"/>
      <c r="AC58" s="23"/>
      <c r="AD58" s="23"/>
      <c r="AE58" s="23"/>
    </row>
    <row r="59" ht="15.75" customHeight="1">
      <c r="A59" s="21" t="s">
        <v>250</v>
      </c>
      <c r="B59" s="21" t="s">
        <v>251</v>
      </c>
      <c r="C59" s="21" t="s">
        <v>198</v>
      </c>
      <c r="D59" s="21" t="s">
        <v>252</v>
      </c>
      <c r="E59" s="22" t="s">
        <v>135</v>
      </c>
      <c r="F59" s="21" t="s">
        <v>253</v>
      </c>
      <c r="G59" s="21" t="s">
        <v>136</v>
      </c>
      <c r="H59" s="22" t="s">
        <v>85</v>
      </c>
      <c r="I59" s="24" t="s">
        <v>90</v>
      </c>
      <c r="J59" s="23" t="s">
        <v>90</v>
      </c>
      <c r="K59" s="23" t="s">
        <v>90</v>
      </c>
      <c r="L59" s="21"/>
      <c r="M59" s="21"/>
      <c r="N59" s="21"/>
      <c r="O59" s="21"/>
      <c r="P59" s="21"/>
      <c r="Q59" s="21"/>
      <c r="R59" s="21"/>
      <c r="S59" s="21"/>
      <c r="T59" s="21"/>
      <c r="U59" s="21"/>
      <c r="V59" s="21"/>
      <c r="W59" s="21"/>
      <c r="X59" s="21"/>
      <c r="Y59" s="21"/>
      <c r="Z59" s="21"/>
      <c r="AA59" s="21"/>
      <c r="AB59" s="21"/>
      <c r="AC59" s="21"/>
      <c r="AD59" s="21"/>
      <c r="AE59" s="21"/>
    </row>
    <row r="60" ht="15.75" customHeight="1">
      <c r="A60" s="21" t="s">
        <v>254</v>
      </c>
      <c r="B60" s="21" t="s">
        <v>255</v>
      </c>
      <c r="C60" s="21" t="s">
        <v>255</v>
      </c>
      <c r="D60" s="21" t="s">
        <v>256</v>
      </c>
      <c r="E60" s="22" t="s">
        <v>135</v>
      </c>
      <c r="F60" s="21" t="s">
        <v>257</v>
      </c>
      <c r="G60" s="21" t="s">
        <v>136</v>
      </c>
      <c r="H60" s="22" t="s">
        <v>85</v>
      </c>
      <c r="I60" s="24" t="s">
        <v>90</v>
      </c>
      <c r="J60" s="23" t="s">
        <v>90</v>
      </c>
      <c r="K60" s="23" t="s">
        <v>90</v>
      </c>
      <c r="L60" s="21"/>
      <c r="M60" s="21"/>
      <c r="N60" s="21"/>
      <c r="O60" s="21"/>
      <c r="P60" s="21"/>
      <c r="Q60" s="21"/>
      <c r="R60" s="21"/>
      <c r="S60" s="21"/>
      <c r="T60" s="21"/>
      <c r="U60" s="21"/>
      <c r="V60" s="21"/>
      <c r="W60" s="21"/>
      <c r="X60" s="21"/>
      <c r="Y60" s="21"/>
      <c r="Z60" s="21"/>
      <c r="AA60" s="21"/>
      <c r="AB60" s="21"/>
      <c r="AC60" s="21"/>
      <c r="AD60" s="21"/>
      <c r="AE60" s="21"/>
    </row>
    <row r="61" ht="15.75" customHeight="1">
      <c r="A61" s="21" t="s">
        <v>258</v>
      </c>
      <c r="B61" s="33" t="s">
        <v>197</v>
      </c>
      <c r="C61" s="21" t="s">
        <v>259</v>
      </c>
      <c r="D61" s="21" t="s">
        <v>260</v>
      </c>
      <c r="E61" s="22" t="s">
        <v>185</v>
      </c>
      <c r="F61" s="21" t="s">
        <v>122</v>
      </c>
      <c r="G61" s="21" t="s">
        <v>86</v>
      </c>
      <c r="H61" s="22" t="s">
        <v>85</v>
      </c>
      <c r="I61" s="24" t="s">
        <v>86</v>
      </c>
      <c r="J61" s="22" t="s">
        <v>86</v>
      </c>
      <c r="K61" s="22" t="s">
        <v>85</v>
      </c>
      <c r="L61" s="21"/>
      <c r="M61" s="21"/>
      <c r="N61" s="21"/>
      <c r="O61" s="21"/>
      <c r="P61" s="21"/>
      <c r="Q61" s="21"/>
      <c r="R61" s="21"/>
      <c r="S61" s="21"/>
      <c r="T61" s="21"/>
      <c r="U61" s="21"/>
      <c r="V61" s="21"/>
      <c r="W61" s="21"/>
      <c r="X61" s="21"/>
      <c r="Y61" s="21"/>
      <c r="Z61" s="21"/>
      <c r="AA61" s="21"/>
      <c r="AB61" s="21"/>
      <c r="AC61" s="21"/>
      <c r="AD61" s="21"/>
      <c r="AE61" s="21"/>
    </row>
    <row r="62" ht="15.75" customHeight="1">
      <c r="A62" s="22" t="s">
        <v>261</v>
      </c>
      <c r="B62" s="33" t="s">
        <v>197</v>
      </c>
      <c r="C62" s="21" t="s">
        <v>259</v>
      </c>
      <c r="D62" s="21" t="s">
        <v>262</v>
      </c>
      <c r="E62" s="22" t="s">
        <v>185</v>
      </c>
      <c r="F62" s="21" t="s">
        <v>122</v>
      </c>
      <c r="G62" s="21" t="s">
        <v>86</v>
      </c>
      <c r="H62" s="22" t="s">
        <v>85</v>
      </c>
      <c r="I62" s="24" t="s">
        <v>86</v>
      </c>
      <c r="J62" s="22" t="s">
        <v>86</v>
      </c>
      <c r="K62" s="22" t="s">
        <v>85</v>
      </c>
      <c r="L62" s="21"/>
      <c r="M62" s="21"/>
      <c r="N62" s="21"/>
      <c r="O62" s="21"/>
      <c r="P62" s="21"/>
      <c r="Q62" s="21"/>
      <c r="R62" s="21"/>
      <c r="S62" s="21"/>
      <c r="T62" s="21"/>
      <c r="U62" s="21"/>
      <c r="V62" s="21"/>
      <c r="W62" s="21"/>
      <c r="X62" s="21"/>
      <c r="Y62" s="21"/>
      <c r="Z62" s="21"/>
      <c r="AA62" s="21"/>
      <c r="AB62" s="21"/>
      <c r="AC62" s="21"/>
      <c r="AD62" s="21"/>
      <c r="AE62" s="21"/>
    </row>
    <row r="63" ht="15.75" customHeight="1">
      <c r="A63" s="21" t="s">
        <v>263</v>
      </c>
      <c r="B63" s="33" t="s">
        <v>197</v>
      </c>
      <c r="C63" s="21" t="s">
        <v>259</v>
      </c>
      <c r="D63" s="21" t="s">
        <v>264</v>
      </c>
      <c r="E63" s="22" t="s">
        <v>185</v>
      </c>
      <c r="F63" s="26" t="s">
        <v>122</v>
      </c>
      <c r="G63" s="21" t="s">
        <v>86</v>
      </c>
      <c r="H63" s="22" t="s">
        <v>85</v>
      </c>
      <c r="I63" s="24" t="s">
        <v>86</v>
      </c>
      <c r="J63" s="22" t="s">
        <v>86</v>
      </c>
      <c r="K63" s="22" t="s">
        <v>85</v>
      </c>
      <c r="L63" s="23"/>
      <c r="M63" s="23"/>
      <c r="N63" s="23"/>
      <c r="O63" s="23"/>
      <c r="P63" s="23"/>
      <c r="Q63" s="23"/>
      <c r="R63" s="23"/>
      <c r="S63" s="23"/>
      <c r="T63" s="23"/>
      <c r="U63" s="23"/>
      <c r="V63" s="23"/>
      <c r="W63" s="23"/>
      <c r="X63" s="23"/>
      <c r="Y63" s="23"/>
      <c r="Z63" s="23"/>
      <c r="AA63" s="23"/>
      <c r="AB63" s="23"/>
      <c r="AC63" s="23"/>
      <c r="AD63" s="23"/>
      <c r="AE63" s="23"/>
    </row>
    <row r="64" ht="15.75" customHeight="1">
      <c r="A64" s="21" t="s">
        <v>265</v>
      </c>
      <c r="B64" s="33" t="s">
        <v>197</v>
      </c>
      <c r="C64" s="21" t="s">
        <v>207</v>
      </c>
      <c r="D64" s="21" t="s">
        <v>266</v>
      </c>
      <c r="E64" s="25" t="s">
        <v>185</v>
      </c>
      <c r="F64" s="26" t="s">
        <v>122</v>
      </c>
      <c r="G64" s="21" t="s">
        <v>86</v>
      </c>
      <c r="H64" s="22" t="s">
        <v>85</v>
      </c>
      <c r="I64" s="24" t="s">
        <v>86</v>
      </c>
      <c r="J64" s="22" t="s">
        <v>86</v>
      </c>
      <c r="K64" s="22" t="s">
        <v>85</v>
      </c>
      <c r="L64" s="23"/>
      <c r="M64" s="23"/>
      <c r="N64" s="23"/>
      <c r="O64" s="23"/>
      <c r="P64" s="23"/>
      <c r="Q64" s="23"/>
      <c r="R64" s="23"/>
      <c r="S64" s="23"/>
      <c r="T64" s="23"/>
      <c r="U64" s="23"/>
      <c r="V64" s="23"/>
      <c r="W64" s="23"/>
      <c r="X64" s="23"/>
      <c r="Y64" s="23"/>
      <c r="Z64" s="23"/>
      <c r="AA64" s="23"/>
      <c r="AB64" s="23"/>
      <c r="AC64" s="23"/>
      <c r="AD64" s="23"/>
      <c r="AE64" s="23"/>
    </row>
    <row r="65" ht="15.75" customHeight="1">
      <c r="A65" s="21" t="s">
        <v>267</v>
      </c>
      <c r="B65" s="33" t="s">
        <v>197</v>
      </c>
      <c r="C65" s="21" t="s">
        <v>207</v>
      </c>
      <c r="D65" s="21" t="s">
        <v>268</v>
      </c>
      <c r="E65" s="25" t="s">
        <v>185</v>
      </c>
      <c r="F65" s="21" t="s">
        <v>122</v>
      </c>
      <c r="G65" s="21" t="s">
        <v>86</v>
      </c>
      <c r="H65" s="22" t="s">
        <v>85</v>
      </c>
      <c r="I65" s="24" t="s">
        <v>86</v>
      </c>
      <c r="J65" s="22" t="s">
        <v>86</v>
      </c>
      <c r="K65" s="22" t="s">
        <v>85</v>
      </c>
      <c r="L65" s="23"/>
      <c r="M65" s="23"/>
      <c r="N65" s="23"/>
      <c r="O65" s="23"/>
      <c r="P65" s="23"/>
      <c r="Q65" s="23"/>
      <c r="R65" s="23"/>
      <c r="S65" s="23"/>
      <c r="T65" s="23"/>
      <c r="U65" s="23"/>
      <c r="V65" s="23"/>
      <c r="W65" s="23"/>
      <c r="X65" s="23"/>
      <c r="Y65" s="23"/>
      <c r="Z65" s="23"/>
      <c r="AA65" s="23"/>
      <c r="AB65" s="23"/>
      <c r="AC65" s="23"/>
      <c r="AD65" s="23"/>
      <c r="AE65" s="23"/>
    </row>
    <row r="66" ht="15.75" customHeight="1">
      <c r="A66" s="21" t="s">
        <v>269</v>
      </c>
      <c r="B66" s="33" t="s">
        <v>197</v>
      </c>
      <c r="C66" s="21" t="s">
        <v>207</v>
      </c>
      <c r="D66" s="21" t="s">
        <v>270</v>
      </c>
      <c r="E66" s="25" t="s">
        <v>185</v>
      </c>
      <c r="F66" s="21" t="s">
        <v>122</v>
      </c>
      <c r="G66" s="21" t="s">
        <v>86</v>
      </c>
      <c r="H66" s="22" t="s">
        <v>85</v>
      </c>
      <c r="I66" s="24" t="s">
        <v>86</v>
      </c>
      <c r="J66" s="22" t="s">
        <v>86</v>
      </c>
      <c r="K66" s="22" t="s">
        <v>85</v>
      </c>
      <c r="L66" s="23"/>
      <c r="M66" s="23"/>
      <c r="N66" s="23"/>
      <c r="O66" s="23"/>
      <c r="P66" s="23"/>
      <c r="Q66" s="23"/>
      <c r="R66" s="23"/>
      <c r="S66" s="23"/>
      <c r="T66" s="23"/>
      <c r="U66" s="23"/>
      <c r="V66" s="23"/>
      <c r="W66" s="23"/>
      <c r="X66" s="23"/>
      <c r="Y66" s="23"/>
      <c r="Z66" s="23"/>
      <c r="AA66" s="23"/>
      <c r="AB66" s="23"/>
      <c r="AC66" s="23"/>
      <c r="AD66" s="23"/>
      <c r="AE66" s="23"/>
    </row>
    <row r="67" ht="15.75" customHeight="1">
      <c r="A67" s="21" t="s">
        <v>271</v>
      </c>
      <c r="B67" s="33" t="s">
        <v>197</v>
      </c>
      <c r="C67" s="21" t="s">
        <v>207</v>
      </c>
      <c r="D67" s="21" t="s">
        <v>272</v>
      </c>
      <c r="E67" s="25" t="s">
        <v>185</v>
      </c>
      <c r="F67" s="31" t="s">
        <v>122</v>
      </c>
      <c r="G67" s="21" t="s">
        <v>86</v>
      </c>
      <c r="H67" s="22" t="s">
        <v>85</v>
      </c>
      <c r="I67" s="24" t="s">
        <v>86</v>
      </c>
      <c r="J67" s="22" t="s">
        <v>86</v>
      </c>
      <c r="K67" s="22" t="s">
        <v>85</v>
      </c>
      <c r="L67" s="23"/>
      <c r="M67" s="23"/>
      <c r="N67" s="23"/>
      <c r="O67" s="23"/>
      <c r="P67" s="23"/>
      <c r="Q67" s="23"/>
      <c r="R67" s="23"/>
      <c r="S67" s="23"/>
      <c r="T67" s="23"/>
      <c r="U67" s="23"/>
      <c r="V67" s="23"/>
      <c r="W67" s="23"/>
      <c r="X67" s="23"/>
      <c r="Y67" s="23"/>
      <c r="Z67" s="23"/>
      <c r="AA67" s="23"/>
      <c r="AB67" s="23"/>
      <c r="AC67" s="23"/>
      <c r="AD67" s="23"/>
      <c r="AE67" s="23"/>
    </row>
    <row r="68" ht="15.75" customHeight="1">
      <c r="A68" s="21" t="s">
        <v>273</v>
      </c>
      <c r="B68" s="33" t="s">
        <v>197</v>
      </c>
      <c r="C68" s="21" t="s">
        <v>207</v>
      </c>
      <c r="D68" s="21" t="s">
        <v>274</v>
      </c>
      <c r="E68" s="22" t="s">
        <v>185</v>
      </c>
      <c r="F68" s="21" t="s">
        <v>122</v>
      </c>
      <c r="G68" s="21" t="s">
        <v>86</v>
      </c>
      <c r="H68" s="22" t="s">
        <v>85</v>
      </c>
      <c r="I68" s="24" t="s">
        <v>86</v>
      </c>
      <c r="J68" s="22" t="s">
        <v>86</v>
      </c>
      <c r="K68" s="22" t="s">
        <v>85</v>
      </c>
      <c r="L68" s="23"/>
      <c r="M68" s="23"/>
      <c r="N68" s="23"/>
      <c r="O68" s="23"/>
      <c r="P68" s="23"/>
      <c r="Q68" s="23"/>
      <c r="R68" s="23"/>
      <c r="S68" s="23"/>
      <c r="T68" s="23"/>
      <c r="U68" s="23"/>
      <c r="V68" s="23"/>
      <c r="W68" s="23"/>
      <c r="X68" s="23"/>
      <c r="Y68" s="23"/>
      <c r="Z68" s="23"/>
      <c r="AA68" s="23"/>
      <c r="AB68" s="23"/>
      <c r="AC68" s="23"/>
      <c r="AD68" s="23"/>
      <c r="AE68" s="23"/>
    </row>
    <row r="69" ht="15.75" customHeight="1">
      <c r="A69" s="21" t="s">
        <v>275</v>
      </c>
      <c r="B69" s="33" t="s">
        <v>197</v>
      </c>
      <c r="C69" s="21" t="s">
        <v>207</v>
      </c>
      <c r="D69" s="21" t="s">
        <v>276</v>
      </c>
      <c r="E69" s="22" t="s">
        <v>185</v>
      </c>
      <c r="F69" s="21" t="s">
        <v>122</v>
      </c>
      <c r="G69" s="21" t="s">
        <v>86</v>
      </c>
      <c r="H69" s="22" t="s">
        <v>85</v>
      </c>
      <c r="I69" s="24" t="s">
        <v>86</v>
      </c>
      <c r="J69" s="22" t="s">
        <v>86</v>
      </c>
      <c r="K69" s="22" t="s">
        <v>85</v>
      </c>
      <c r="L69" s="23"/>
      <c r="M69" s="23"/>
      <c r="N69" s="23"/>
      <c r="O69" s="23"/>
      <c r="P69" s="23"/>
      <c r="Q69" s="23"/>
      <c r="R69" s="23"/>
      <c r="S69" s="23"/>
      <c r="T69" s="23"/>
      <c r="U69" s="23"/>
      <c r="V69" s="23"/>
      <c r="W69" s="23"/>
      <c r="X69" s="23"/>
      <c r="Y69" s="23"/>
      <c r="Z69" s="23"/>
      <c r="AA69" s="23"/>
      <c r="AB69" s="23"/>
      <c r="AC69" s="23"/>
      <c r="AD69" s="23"/>
      <c r="AE69" s="23"/>
    </row>
    <row r="70" ht="15.75" customHeight="1">
      <c r="A70" s="21" t="s">
        <v>277</v>
      </c>
      <c r="B70" s="33" t="s">
        <v>197</v>
      </c>
      <c r="C70" s="21" t="s">
        <v>207</v>
      </c>
      <c r="D70" s="21" t="s">
        <v>278</v>
      </c>
      <c r="E70" s="22" t="s">
        <v>185</v>
      </c>
      <c r="F70" s="26" t="s">
        <v>122</v>
      </c>
      <c r="G70" s="21" t="s">
        <v>86</v>
      </c>
      <c r="H70" s="22" t="s">
        <v>85</v>
      </c>
      <c r="I70" s="24" t="s">
        <v>86</v>
      </c>
      <c r="J70" s="22" t="s">
        <v>86</v>
      </c>
      <c r="K70" s="22" t="s">
        <v>85</v>
      </c>
      <c r="L70" s="21"/>
      <c r="M70" s="21"/>
      <c r="N70" s="21"/>
      <c r="O70" s="21"/>
      <c r="P70" s="21"/>
      <c r="Q70" s="21"/>
      <c r="R70" s="21"/>
      <c r="S70" s="21"/>
      <c r="T70" s="21"/>
      <c r="U70" s="21"/>
      <c r="V70" s="21"/>
      <c r="W70" s="21"/>
      <c r="X70" s="21"/>
      <c r="Y70" s="21"/>
      <c r="Z70" s="21"/>
      <c r="AA70" s="21"/>
      <c r="AB70" s="21"/>
      <c r="AC70" s="21"/>
      <c r="AD70" s="21"/>
      <c r="AE70" s="21"/>
    </row>
    <row r="71" ht="15.75" customHeight="1">
      <c r="A71" s="21" t="s">
        <v>279</v>
      </c>
      <c r="B71" s="33" t="s">
        <v>197</v>
      </c>
      <c r="C71" s="21" t="s">
        <v>207</v>
      </c>
      <c r="D71" s="21" t="s">
        <v>280</v>
      </c>
      <c r="E71" s="22" t="s">
        <v>185</v>
      </c>
      <c r="F71" s="26" t="s">
        <v>122</v>
      </c>
      <c r="G71" s="21" t="s">
        <v>86</v>
      </c>
      <c r="H71" s="22" t="s">
        <v>85</v>
      </c>
      <c r="I71" s="24" t="s">
        <v>86</v>
      </c>
      <c r="J71" s="22" t="s">
        <v>86</v>
      </c>
      <c r="K71" s="22" t="s">
        <v>85</v>
      </c>
      <c r="L71" s="23"/>
      <c r="M71" s="23"/>
      <c r="N71" s="23"/>
      <c r="O71" s="23"/>
      <c r="P71" s="23"/>
      <c r="Q71" s="23"/>
      <c r="R71" s="23"/>
      <c r="S71" s="23"/>
      <c r="T71" s="23"/>
      <c r="U71" s="23"/>
      <c r="V71" s="23"/>
      <c r="W71" s="23"/>
      <c r="X71" s="23"/>
      <c r="Y71" s="23"/>
      <c r="Z71" s="23"/>
      <c r="AA71" s="23"/>
      <c r="AB71" s="23"/>
      <c r="AC71" s="23"/>
      <c r="AD71" s="23"/>
      <c r="AE71" s="23"/>
    </row>
    <row r="72" ht="15.75" customHeight="1">
      <c r="A72" s="21" t="s">
        <v>281</v>
      </c>
      <c r="B72" s="21" t="s">
        <v>197</v>
      </c>
      <c r="C72" s="21" t="s">
        <v>282</v>
      </c>
      <c r="D72" s="21" t="s">
        <v>283</v>
      </c>
      <c r="E72" s="22" t="s">
        <v>135</v>
      </c>
      <c r="F72" s="21" t="s">
        <v>122</v>
      </c>
      <c r="G72" s="21" t="s">
        <v>136</v>
      </c>
      <c r="H72" s="22" t="s">
        <v>85</v>
      </c>
      <c r="I72" s="24" t="s">
        <v>90</v>
      </c>
      <c r="J72" s="23" t="s">
        <v>238</v>
      </c>
      <c r="K72" s="23" t="s">
        <v>90</v>
      </c>
      <c r="L72" s="23"/>
      <c r="M72" s="23"/>
      <c r="N72" s="23"/>
      <c r="O72" s="23"/>
      <c r="P72" s="23"/>
      <c r="Q72" s="23"/>
      <c r="R72" s="23"/>
      <c r="S72" s="23"/>
      <c r="T72" s="23"/>
      <c r="U72" s="23"/>
      <c r="V72" s="23"/>
      <c r="W72" s="23"/>
      <c r="X72" s="23"/>
      <c r="Y72" s="23"/>
      <c r="Z72" s="23"/>
      <c r="AA72" s="23"/>
      <c r="AB72" s="23"/>
      <c r="AC72" s="23"/>
      <c r="AD72" s="23"/>
      <c r="AE72" s="23"/>
    </row>
    <row r="73" ht="15.75" customHeight="1">
      <c r="A73" s="21" t="s">
        <v>284</v>
      </c>
      <c r="B73" s="21" t="s">
        <v>197</v>
      </c>
      <c r="C73" s="21" t="s">
        <v>282</v>
      </c>
      <c r="D73" s="21" t="s">
        <v>285</v>
      </c>
      <c r="E73" s="22" t="s">
        <v>135</v>
      </c>
      <c r="F73" s="21" t="s">
        <v>122</v>
      </c>
      <c r="G73" s="21" t="s">
        <v>136</v>
      </c>
      <c r="H73" s="22" t="s">
        <v>85</v>
      </c>
      <c r="I73" s="24" t="s">
        <v>90</v>
      </c>
      <c r="J73" s="23" t="s">
        <v>238</v>
      </c>
      <c r="K73" s="23" t="s">
        <v>90</v>
      </c>
      <c r="L73" s="21"/>
      <c r="M73" s="21"/>
      <c r="N73" s="21"/>
      <c r="O73" s="21"/>
      <c r="P73" s="21"/>
      <c r="Q73" s="21"/>
      <c r="R73" s="21"/>
      <c r="S73" s="21"/>
      <c r="T73" s="21"/>
      <c r="U73" s="21"/>
      <c r="V73" s="21"/>
      <c r="W73" s="21"/>
      <c r="X73" s="21"/>
      <c r="Y73" s="21"/>
      <c r="Z73" s="21"/>
      <c r="AA73" s="21"/>
      <c r="AB73" s="21"/>
      <c r="AC73" s="21"/>
      <c r="AD73" s="21"/>
      <c r="AE73" s="21"/>
    </row>
    <row r="74" ht="15.75" customHeight="1">
      <c r="A74" s="21" t="s">
        <v>286</v>
      </c>
      <c r="B74" s="21" t="s">
        <v>197</v>
      </c>
      <c r="C74" s="21" t="s">
        <v>282</v>
      </c>
      <c r="D74" s="21" t="s">
        <v>287</v>
      </c>
      <c r="E74" s="22" t="s">
        <v>135</v>
      </c>
      <c r="F74" s="21" t="s">
        <v>122</v>
      </c>
      <c r="G74" s="21" t="s">
        <v>136</v>
      </c>
      <c r="H74" s="22" t="s">
        <v>85</v>
      </c>
      <c r="I74" s="24" t="s">
        <v>90</v>
      </c>
      <c r="J74" s="23" t="s">
        <v>238</v>
      </c>
      <c r="K74" s="23" t="s">
        <v>90</v>
      </c>
      <c r="L74" s="21"/>
      <c r="M74" s="21"/>
      <c r="N74" s="21"/>
      <c r="O74" s="21"/>
      <c r="P74" s="21"/>
      <c r="Q74" s="21"/>
      <c r="R74" s="21"/>
      <c r="S74" s="21"/>
      <c r="T74" s="21"/>
      <c r="U74" s="21"/>
      <c r="V74" s="21"/>
      <c r="W74" s="21"/>
      <c r="X74" s="21"/>
      <c r="Y74" s="21"/>
      <c r="Z74" s="21"/>
      <c r="AA74" s="21"/>
      <c r="AB74" s="21"/>
      <c r="AC74" s="21"/>
      <c r="AD74" s="21"/>
      <c r="AE74" s="21"/>
    </row>
    <row r="75" ht="15.75" customHeight="1">
      <c r="A75" s="21" t="s">
        <v>288</v>
      </c>
      <c r="B75" s="21" t="s">
        <v>197</v>
      </c>
      <c r="C75" s="21" t="s">
        <v>282</v>
      </c>
      <c r="D75" s="21" t="s">
        <v>289</v>
      </c>
      <c r="E75" s="22" t="s">
        <v>135</v>
      </c>
      <c r="F75" s="21" t="s">
        <v>122</v>
      </c>
      <c r="G75" s="21" t="s">
        <v>136</v>
      </c>
      <c r="H75" s="22" t="s">
        <v>85</v>
      </c>
      <c r="I75" s="24" t="s">
        <v>90</v>
      </c>
      <c r="J75" s="23" t="s">
        <v>238</v>
      </c>
      <c r="K75" s="23" t="s">
        <v>90</v>
      </c>
      <c r="L75" s="23"/>
      <c r="M75" s="23"/>
      <c r="N75" s="23"/>
      <c r="O75" s="23"/>
      <c r="P75" s="23"/>
      <c r="Q75" s="23"/>
      <c r="R75" s="23"/>
      <c r="S75" s="23"/>
      <c r="T75" s="23"/>
      <c r="U75" s="23"/>
      <c r="V75" s="23"/>
      <c r="W75" s="23"/>
      <c r="X75" s="23"/>
      <c r="Y75" s="23"/>
      <c r="Z75" s="23"/>
      <c r="AA75" s="23"/>
      <c r="AB75" s="23"/>
      <c r="AC75" s="23"/>
      <c r="AD75" s="23"/>
      <c r="AE75" s="23"/>
    </row>
    <row r="76" ht="15.75" customHeight="1">
      <c r="A76" s="21" t="s">
        <v>290</v>
      </c>
      <c r="B76" s="21" t="s">
        <v>197</v>
      </c>
      <c r="C76" s="21" t="s">
        <v>282</v>
      </c>
      <c r="D76" s="21" t="s">
        <v>291</v>
      </c>
      <c r="E76" s="21" t="s">
        <v>135</v>
      </c>
      <c r="F76" s="21" t="s">
        <v>292</v>
      </c>
      <c r="G76" s="21" t="s">
        <v>136</v>
      </c>
      <c r="H76" s="22" t="s">
        <v>85</v>
      </c>
      <c r="I76" s="24" t="s">
        <v>90</v>
      </c>
      <c r="J76" s="23" t="s">
        <v>238</v>
      </c>
      <c r="K76" s="23" t="s">
        <v>90</v>
      </c>
      <c r="L76" s="23"/>
      <c r="M76" s="23"/>
      <c r="N76" s="23"/>
      <c r="O76" s="23"/>
      <c r="P76" s="23"/>
      <c r="Q76" s="23"/>
      <c r="R76" s="23"/>
      <c r="S76" s="23"/>
      <c r="T76" s="23"/>
      <c r="U76" s="23"/>
      <c r="V76" s="23"/>
      <c r="W76" s="23"/>
      <c r="X76" s="23"/>
      <c r="Y76" s="23"/>
      <c r="Z76" s="23"/>
      <c r="AA76" s="23"/>
      <c r="AB76" s="23"/>
      <c r="AC76" s="23"/>
      <c r="AD76" s="23"/>
      <c r="AE76" s="23"/>
    </row>
    <row r="77" ht="15.75" customHeight="1">
      <c r="A77" s="21" t="s">
        <v>293</v>
      </c>
      <c r="B77" s="21" t="s">
        <v>197</v>
      </c>
      <c r="C77" s="21" t="s">
        <v>282</v>
      </c>
      <c r="D77" s="21" t="s">
        <v>294</v>
      </c>
      <c r="E77" s="22" t="s">
        <v>135</v>
      </c>
      <c r="F77" s="21" t="s">
        <v>122</v>
      </c>
      <c r="G77" s="21" t="s">
        <v>136</v>
      </c>
      <c r="H77" s="22" t="s">
        <v>85</v>
      </c>
      <c r="I77" s="24" t="s">
        <v>90</v>
      </c>
      <c r="J77" s="23" t="s">
        <v>238</v>
      </c>
      <c r="K77" s="23" t="s">
        <v>90</v>
      </c>
      <c r="L77" s="23"/>
      <c r="M77" s="23"/>
      <c r="N77" s="23"/>
      <c r="O77" s="23"/>
      <c r="P77" s="23"/>
      <c r="Q77" s="23"/>
      <c r="R77" s="23"/>
      <c r="S77" s="23"/>
      <c r="T77" s="23"/>
      <c r="U77" s="23"/>
      <c r="V77" s="23"/>
      <c r="W77" s="23"/>
      <c r="X77" s="23"/>
      <c r="Y77" s="23"/>
      <c r="Z77" s="23"/>
      <c r="AA77" s="23"/>
      <c r="AB77" s="23"/>
      <c r="AC77" s="23"/>
      <c r="AD77" s="23"/>
      <c r="AE77" s="23"/>
    </row>
    <row r="78" ht="15.75" customHeight="1">
      <c r="A78" s="21" t="s">
        <v>295</v>
      </c>
      <c r="B78" s="21" t="s">
        <v>197</v>
      </c>
      <c r="C78" s="21" t="s">
        <v>282</v>
      </c>
      <c r="D78" s="21" t="s">
        <v>296</v>
      </c>
      <c r="E78" s="22" t="s">
        <v>135</v>
      </c>
      <c r="F78" s="21" t="s">
        <v>122</v>
      </c>
      <c r="G78" s="21" t="s">
        <v>136</v>
      </c>
      <c r="H78" s="22" t="s">
        <v>85</v>
      </c>
      <c r="I78" s="24" t="s">
        <v>90</v>
      </c>
      <c r="J78" s="21" t="s">
        <v>238</v>
      </c>
      <c r="K78" s="21" t="s">
        <v>90</v>
      </c>
      <c r="L78" s="23"/>
      <c r="M78" s="23"/>
      <c r="N78" s="23"/>
      <c r="O78" s="23"/>
      <c r="P78" s="23"/>
      <c r="Q78" s="23"/>
      <c r="R78" s="23"/>
      <c r="S78" s="23"/>
      <c r="T78" s="23"/>
      <c r="U78" s="23"/>
      <c r="V78" s="23"/>
      <c r="W78" s="23"/>
      <c r="X78" s="23"/>
      <c r="Y78" s="23"/>
      <c r="Z78" s="23"/>
      <c r="AA78" s="23"/>
      <c r="AB78" s="23"/>
      <c r="AC78" s="23"/>
      <c r="AD78" s="23"/>
      <c r="AE78" s="23"/>
    </row>
    <row r="79" ht="15.75" customHeight="1">
      <c r="A79" s="21" t="s">
        <v>297</v>
      </c>
      <c r="B79" s="33" t="s">
        <v>60</v>
      </c>
      <c r="C79" s="21" t="s">
        <v>198</v>
      </c>
      <c r="D79" s="21" t="s">
        <v>298</v>
      </c>
      <c r="E79" s="21" t="s">
        <v>135</v>
      </c>
      <c r="F79" s="21" t="s">
        <v>299</v>
      </c>
      <c r="G79" s="21" t="s">
        <v>136</v>
      </c>
      <c r="H79" s="22" t="s">
        <v>85</v>
      </c>
      <c r="I79" s="24" t="s">
        <v>91</v>
      </c>
      <c r="J79" s="23" t="s">
        <v>91</v>
      </c>
      <c r="K79" s="23" t="s">
        <v>90</v>
      </c>
      <c r="L79" s="23"/>
      <c r="M79" s="23"/>
      <c r="N79" s="23"/>
      <c r="O79" s="23"/>
      <c r="P79" s="23"/>
      <c r="Q79" s="23"/>
      <c r="R79" s="23"/>
      <c r="S79" s="23"/>
      <c r="T79" s="23"/>
      <c r="U79" s="23"/>
      <c r="V79" s="23"/>
      <c r="W79" s="23"/>
      <c r="X79" s="23"/>
      <c r="Y79" s="23"/>
      <c r="Z79" s="23"/>
      <c r="AA79" s="23"/>
      <c r="AB79" s="23"/>
      <c r="AC79" s="23"/>
      <c r="AD79" s="23"/>
      <c r="AE79" s="23"/>
    </row>
    <row r="80" ht="15.75" customHeight="1">
      <c r="A80" s="21" t="s">
        <v>300</v>
      </c>
      <c r="B80" s="21" t="s">
        <v>197</v>
      </c>
      <c r="C80" s="21" t="s">
        <v>282</v>
      </c>
      <c r="D80" s="21" t="s">
        <v>301</v>
      </c>
      <c r="E80" s="22" t="s">
        <v>135</v>
      </c>
      <c r="F80" s="21" t="s">
        <v>122</v>
      </c>
      <c r="G80" s="21" t="s">
        <v>136</v>
      </c>
      <c r="H80" s="22" t="s">
        <v>85</v>
      </c>
      <c r="I80" s="24" t="s">
        <v>90</v>
      </c>
      <c r="J80" s="23" t="s">
        <v>238</v>
      </c>
      <c r="K80" s="23" t="s">
        <v>90</v>
      </c>
      <c r="L80" s="23"/>
      <c r="M80" s="23"/>
      <c r="N80" s="23"/>
      <c r="O80" s="23"/>
      <c r="P80" s="23"/>
      <c r="Q80" s="23"/>
      <c r="R80" s="23"/>
      <c r="S80" s="23"/>
      <c r="T80" s="23"/>
      <c r="U80" s="23"/>
      <c r="V80" s="23"/>
      <c r="W80" s="23"/>
      <c r="X80" s="23"/>
      <c r="Y80" s="23"/>
      <c r="Z80" s="23"/>
      <c r="AA80" s="23"/>
      <c r="AB80" s="23"/>
      <c r="AC80" s="23"/>
      <c r="AD80" s="23"/>
      <c r="AE80" s="23"/>
    </row>
    <row r="81" ht="15.75" customHeight="1">
      <c r="A81" s="21" t="s">
        <v>302</v>
      </c>
      <c r="B81" s="21" t="s">
        <v>197</v>
      </c>
      <c r="C81" s="21" t="s">
        <v>282</v>
      </c>
      <c r="D81" s="21" t="s">
        <v>303</v>
      </c>
      <c r="E81" s="22" t="s">
        <v>135</v>
      </c>
      <c r="F81" s="21" t="s">
        <v>122</v>
      </c>
      <c r="G81" s="21" t="s">
        <v>136</v>
      </c>
      <c r="H81" s="22" t="s">
        <v>85</v>
      </c>
      <c r="I81" s="24" t="s">
        <v>90</v>
      </c>
      <c r="J81" s="23" t="s">
        <v>238</v>
      </c>
      <c r="K81" s="23" t="s">
        <v>90</v>
      </c>
      <c r="L81" s="23"/>
      <c r="M81" s="23"/>
      <c r="N81" s="23"/>
      <c r="O81" s="23"/>
      <c r="P81" s="23"/>
      <c r="Q81" s="23"/>
      <c r="R81" s="23"/>
      <c r="S81" s="23"/>
      <c r="T81" s="23"/>
      <c r="U81" s="23"/>
      <c r="V81" s="23"/>
      <c r="W81" s="23"/>
      <c r="X81" s="23"/>
      <c r="Y81" s="23"/>
      <c r="Z81" s="23"/>
      <c r="AA81" s="23"/>
      <c r="AB81" s="23"/>
      <c r="AC81" s="23"/>
      <c r="AD81" s="23"/>
      <c r="AE81" s="23"/>
    </row>
    <row r="82" ht="15.75" customHeight="1">
      <c r="A82" s="21" t="s">
        <v>304</v>
      </c>
      <c r="B82" s="21" t="s">
        <v>206</v>
      </c>
      <c r="C82" s="21" t="s">
        <v>282</v>
      </c>
      <c r="D82" s="21" t="s">
        <v>305</v>
      </c>
      <c r="E82" s="25" t="s">
        <v>135</v>
      </c>
      <c r="F82" s="26" t="s">
        <v>306</v>
      </c>
      <c r="G82" s="21" t="s">
        <v>136</v>
      </c>
      <c r="H82" s="21" t="s">
        <v>307</v>
      </c>
      <c r="I82" s="24" t="s">
        <v>91</v>
      </c>
      <c r="J82" s="21" t="s">
        <v>91</v>
      </c>
      <c r="K82" s="21" t="s">
        <v>90</v>
      </c>
      <c r="L82" s="23"/>
      <c r="M82" s="23"/>
      <c r="N82" s="23"/>
      <c r="O82" s="23"/>
      <c r="P82" s="23"/>
      <c r="Q82" s="23"/>
      <c r="R82" s="23"/>
      <c r="S82" s="23"/>
      <c r="T82" s="23"/>
      <c r="U82" s="23"/>
      <c r="V82" s="23"/>
      <c r="W82" s="23"/>
      <c r="X82" s="23"/>
      <c r="Y82" s="23"/>
      <c r="Z82" s="23"/>
      <c r="AA82" s="23"/>
      <c r="AB82" s="23"/>
      <c r="AC82" s="23"/>
      <c r="AD82" s="23"/>
      <c r="AE82" s="23"/>
    </row>
    <row r="83" ht="15.75" customHeight="1">
      <c r="A83" s="21" t="s">
        <v>308</v>
      </c>
      <c r="B83" s="21" t="s">
        <v>251</v>
      </c>
      <c r="C83" s="21" t="s">
        <v>198</v>
      </c>
      <c r="D83" s="21" t="s">
        <v>309</v>
      </c>
      <c r="E83" s="22" t="s">
        <v>102</v>
      </c>
      <c r="F83" s="21" t="s">
        <v>310</v>
      </c>
      <c r="G83" s="21" t="s">
        <v>311</v>
      </c>
      <c r="H83" s="22" t="s">
        <v>85</v>
      </c>
      <c r="I83" s="24" t="s">
        <v>90</v>
      </c>
      <c r="J83" s="23" t="s">
        <v>90</v>
      </c>
      <c r="K83" s="23" t="s">
        <v>90</v>
      </c>
      <c r="L83" s="23"/>
      <c r="M83" s="23"/>
      <c r="N83" s="23"/>
      <c r="O83" s="23"/>
      <c r="P83" s="23"/>
      <c r="Q83" s="23"/>
      <c r="R83" s="23"/>
      <c r="S83" s="23"/>
      <c r="T83" s="23"/>
      <c r="U83" s="23"/>
      <c r="V83" s="23"/>
      <c r="W83" s="23"/>
      <c r="X83" s="23"/>
      <c r="Y83" s="23"/>
      <c r="Z83" s="23"/>
      <c r="AA83" s="23"/>
      <c r="AB83" s="23"/>
      <c r="AC83" s="23"/>
      <c r="AD83" s="23"/>
      <c r="AE83" s="23"/>
    </row>
    <row r="84" ht="15.75" customHeight="1">
      <c r="A84" s="21" t="s">
        <v>312</v>
      </c>
      <c r="B84" s="21" t="s">
        <v>251</v>
      </c>
      <c r="C84" s="21" t="s">
        <v>198</v>
      </c>
      <c r="D84" s="21" t="s">
        <v>313</v>
      </c>
      <c r="E84" s="22" t="s">
        <v>102</v>
      </c>
      <c r="F84" s="21">
        <v>1844641.0</v>
      </c>
      <c r="G84" s="21" t="s">
        <v>91</v>
      </c>
      <c r="H84" s="22" t="s">
        <v>85</v>
      </c>
      <c r="I84" s="24" t="s">
        <v>91</v>
      </c>
      <c r="J84" s="21" t="s">
        <v>91</v>
      </c>
      <c r="K84" s="22" t="s">
        <v>85</v>
      </c>
      <c r="L84" s="23"/>
      <c r="M84" s="23"/>
      <c r="N84" s="23"/>
      <c r="O84" s="23"/>
      <c r="P84" s="23"/>
      <c r="Q84" s="23"/>
      <c r="R84" s="23"/>
      <c r="S84" s="23"/>
      <c r="T84" s="23"/>
      <c r="U84" s="23"/>
      <c r="V84" s="23"/>
      <c r="W84" s="23"/>
      <c r="X84" s="23"/>
      <c r="Y84" s="23"/>
      <c r="Z84" s="23"/>
      <c r="AA84" s="23"/>
      <c r="AB84" s="23"/>
      <c r="AC84" s="23"/>
      <c r="AD84" s="23"/>
      <c r="AE84" s="23"/>
    </row>
    <row r="85" ht="15.75" customHeight="1">
      <c r="A85" s="21" t="s">
        <v>314</v>
      </c>
      <c r="B85" s="21" t="s">
        <v>251</v>
      </c>
      <c r="C85" s="21" t="s">
        <v>198</v>
      </c>
      <c r="D85" s="21" t="s">
        <v>315</v>
      </c>
      <c r="E85" s="22" t="s">
        <v>102</v>
      </c>
      <c r="F85" s="21">
        <v>140769.0</v>
      </c>
      <c r="G85" s="21" t="s">
        <v>91</v>
      </c>
      <c r="H85" s="22" t="s">
        <v>85</v>
      </c>
      <c r="I85" s="24" t="s">
        <v>91</v>
      </c>
      <c r="J85" s="21" t="s">
        <v>91</v>
      </c>
      <c r="K85" s="22" t="s">
        <v>85</v>
      </c>
      <c r="L85" s="23"/>
      <c r="M85" s="23"/>
      <c r="N85" s="23"/>
      <c r="O85" s="23"/>
      <c r="P85" s="23"/>
      <c r="Q85" s="23"/>
      <c r="R85" s="23"/>
      <c r="S85" s="23"/>
      <c r="T85" s="23"/>
      <c r="U85" s="23"/>
      <c r="V85" s="23"/>
      <c r="W85" s="23"/>
      <c r="X85" s="23"/>
      <c r="Y85" s="23"/>
      <c r="Z85" s="23"/>
      <c r="AA85" s="23"/>
      <c r="AB85" s="23"/>
      <c r="AC85" s="23"/>
      <c r="AD85" s="23"/>
      <c r="AE85" s="23"/>
    </row>
    <row r="86" ht="15.75" customHeight="1">
      <c r="A86" s="21" t="s">
        <v>316</v>
      </c>
      <c r="B86" s="21" t="s">
        <v>251</v>
      </c>
      <c r="C86" s="21" t="s">
        <v>198</v>
      </c>
      <c r="D86" s="21" t="s">
        <v>317</v>
      </c>
      <c r="E86" s="22" t="s">
        <v>102</v>
      </c>
      <c r="F86" s="21" t="s">
        <v>318</v>
      </c>
      <c r="G86" s="21" t="s">
        <v>91</v>
      </c>
      <c r="H86" s="22" t="s">
        <v>85</v>
      </c>
      <c r="I86" s="24" t="s">
        <v>91</v>
      </c>
      <c r="J86" s="21" t="s">
        <v>91</v>
      </c>
      <c r="K86" s="22" t="s">
        <v>85</v>
      </c>
      <c r="L86" s="23"/>
      <c r="M86" s="23"/>
      <c r="N86" s="23"/>
      <c r="O86" s="23"/>
      <c r="P86" s="23"/>
      <c r="Q86" s="23"/>
      <c r="R86" s="23"/>
      <c r="S86" s="23"/>
      <c r="T86" s="23"/>
      <c r="U86" s="23"/>
      <c r="V86" s="23"/>
      <c r="W86" s="23"/>
      <c r="X86" s="23"/>
      <c r="Y86" s="23"/>
      <c r="Z86" s="23"/>
      <c r="AA86" s="23"/>
      <c r="AB86" s="23"/>
      <c r="AC86" s="23"/>
      <c r="AD86" s="23"/>
      <c r="AE86" s="23"/>
    </row>
    <row r="87" ht="15.75" customHeight="1">
      <c r="A87" s="21" t="s">
        <v>319</v>
      </c>
      <c r="B87" s="33" t="s">
        <v>60</v>
      </c>
      <c r="C87" s="21" t="s">
        <v>198</v>
      </c>
      <c r="D87" s="21" t="s">
        <v>320</v>
      </c>
      <c r="E87" s="21" t="s">
        <v>135</v>
      </c>
      <c r="F87" s="21">
        <v>1.0</v>
      </c>
      <c r="G87" s="21" t="s">
        <v>136</v>
      </c>
      <c r="H87" s="22" t="s">
        <v>85</v>
      </c>
      <c r="I87" s="24" t="s">
        <v>91</v>
      </c>
      <c r="J87" s="23" t="s">
        <v>91</v>
      </c>
      <c r="K87" s="23" t="s">
        <v>90</v>
      </c>
      <c r="L87" s="23"/>
      <c r="M87" s="23"/>
      <c r="N87" s="23"/>
      <c r="O87" s="23"/>
      <c r="P87" s="23"/>
      <c r="Q87" s="23"/>
      <c r="R87" s="23"/>
      <c r="S87" s="23"/>
      <c r="T87" s="23"/>
      <c r="U87" s="23"/>
      <c r="V87" s="23"/>
      <c r="W87" s="23"/>
      <c r="X87" s="23"/>
      <c r="Y87" s="23"/>
      <c r="Z87" s="23"/>
      <c r="AA87" s="23"/>
      <c r="AB87" s="23"/>
      <c r="AC87" s="23"/>
      <c r="AD87" s="23"/>
      <c r="AE87" s="23"/>
    </row>
    <row r="88" ht="15.75" customHeight="1">
      <c r="A88" s="21" t="s">
        <v>321</v>
      </c>
      <c r="B88" s="33" t="s">
        <v>60</v>
      </c>
      <c r="C88" s="21" t="s">
        <v>198</v>
      </c>
      <c r="D88" s="21" t="s">
        <v>322</v>
      </c>
      <c r="E88" s="26" t="s">
        <v>135</v>
      </c>
      <c r="F88" s="34" t="s">
        <v>323</v>
      </c>
      <c r="G88" s="21" t="s">
        <v>136</v>
      </c>
      <c r="H88" s="22" t="s">
        <v>85</v>
      </c>
      <c r="I88" s="24" t="s">
        <v>91</v>
      </c>
      <c r="J88" s="23" t="s">
        <v>91</v>
      </c>
      <c r="K88" s="23" t="s">
        <v>90</v>
      </c>
      <c r="L88" s="23"/>
      <c r="M88" s="23"/>
      <c r="N88" s="23"/>
      <c r="O88" s="23"/>
      <c r="P88" s="23"/>
      <c r="Q88" s="23"/>
      <c r="R88" s="23"/>
      <c r="S88" s="23"/>
      <c r="T88" s="23"/>
      <c r="U88" s="23"/>
      <c r="V88" s="23"/>
      <c r="W88" s="23"/>
      <c r="X88" s="23"/>
      <c r="Y88" s="23"/>
      <c r="Z88" s="23"/>
      <c r="AA88" s="23"/>
      <c r="AB88" s="23"/>
      <c r="AC88" s="23"/>
      <c r="AD88" s="23"/>
      <c r="AE88" s="23"/>
    </row>
    <row r="89" ht="15.75" customHeight="1">
      <c r="A89" s="21" t="s">
        <v>324</v>
      </c>
      <c r="B89" s="21" t="s">
        <v>251</v>
      </c>
      <c r="C89" s="21" t="s">
        <v>198</v>
      </c>
      <c r="D89" s="21" t="s">
        <v>325</v>
      </c>
      <c r="E89" s="22" t="s">
        <v>102</v>
      </c>
      <c r="F89" s="21" t="s">
        <v>122</v>
      </c>
      <c r="G89" s="21" t="s">
        <v>91</v>
      </c>
      <c r="H89" s="22" t="s">
        <v>85</v>
      </c>
      <c r="I89" s="24" t="s">
        <v>91</v>
      </c>
      <c r="J89" s="21" t="s">
        <v>91</v>
      </c>
      <c r="K89" s="22" t="s">
        <v>85</v>
      </c>
      <c r="L89" s="21"/>
      <c r="M89" s="21"/>
      <c r="N89" s="21"/>
      <c r="O89" s="21"/>
      <c r="P89" s="21"/>
      <c r="Q89" s="21"/>
      <c r="R89" s="21"/>
      <c r="S89" s="21"/>
      <c r="T89" s="21"/>
      <c r="U89" s="21"/>
      <c r="V89" s="21"/>
      <c r="W89" s="21"/>
      <c r="X89" s="21"/>
      <c r="Y89" s="21"/>
      <c r="Z89" s="21"/>
      <c r="AA89" s="21"/>
      <c r="AB89" s="21"/>
      <c r="AC89" s="21"/>
      <c r="AD89" s="21"/>
      <c r="AE89" s="21"/>
    </row>
    <row r="90" ht="15.75" customHeight="1">
      <c r="A90" s="21" t="s">
        <v>326</v>
      </c>
      <c r="B90" s="21" t="s">
        <v>251</v>
      </c>
      <c r="C90" s="21" t="s">
        <v>198</v>
      </c>
      <c r="D90" s="21" t="s">
        <v>327</v>
      </c>
      <c r="E90" s="22" t="s">
        <v>102</v>
      </c>
      <c r="F90" s="26" t="s">
        <v>115</v>
      </c>
      <c r="G90" s="21" t="s">
        <v>91</v>
      </c>
      <c r="H90" s="22" t="s">
        <v>85</v>
      </c>
      <c r="I90" s="24" t="s">
        <v>91</v>
      </c>
      <c r="J90" s="21" t="s">
        <v>91</v>
      </c>
      <c r="K90" s="22" t="s">
        <v>85</v>
      </c>
      <c r="L90" s="23"/>
      <c r="M90" s="23"/>
      <c r="N90" s="23"/>
      <c r="O90" s="23"/>
      <c r="P90" s="23"/>
      <c r="Q90" s="23"/>
      <c r="R90" s="23"/>
      <c r="S90" s="23"/>
      <c r="T90" s="23"/>
      <c r="U90" s="23"/>
      <c r="V90" s="23"/>
      <c r="W90" s="23"/>
      <c r="X90" s="23"/>
      <c r="Y90" s="23"/>
      <c r="Z90" s="23"/>
      <c r="AA90" s="23"/>
      <c r="AB90" s="23"/>
      <c r="AC90" s="23"/>
      <c r="AD90" s="23"/>
      <c r="AE90" s="23"/>
    </row>
    <row r="91" ht="15.75" customHeight="1">
      <c r="A91" s="21" t="s">
        <v>328</v>
      </c>
      <c r="B91" s="21" t="s">
        <v>251</v>
      </c>
      <c r="C91" s="21" t="s">
        <v>198</v>
      </c>
      <c r="D91" s="21" t="s">
        <v>329</v>
      </c>
      <c r="E91" s="22" t="s">
        <v>102</v>
      </c>
      <c r="F91" s="26" t="s">
        <v>115</v>
      </c>
      <c r="G91" s="21" t="s">
        <v>91</v>
      </c>
      <c r="H91" s="22" t="s">
        <v>85</v>
      </c>
      <c r="I91" s="24" t="s">
        <v>91</v>
      </c>
      <c r="J91" s="21" t="s">
        <v>91</v>
      </c>
      <c r="K91" s="22" t="s">
        <v>85</v>
      </c>
      <c r="L91" s="23"/>
      <c r="M91" s="23"/>
      <c r="N91" s="23"/>
      <c r="O91" s="23"/>
      <c r="P91" s="23"/>
      <c r="Q91" s="23"/>
      <c r="R91" s="23"/>
      <c r="S91" s="23"/>
      <c r="T91" s="23"/>
      <c r="U91" s="23"/>
      <c r="V91" s="23"/>
      <c r="W91" s="23"/>
      <c r="X91" s="23"/>
      <c r="Y91" s="23"/>
      <c r="Z91" s="23"/>
      <c r="AA91" s="23"/>
      <c r="AB91" s="23"/>
      <c r="AC91" s="23"/>
      <c r="AD91" s="23"/>
      <c r="AE91" s="23"/>
    </row>
    <row r="92" ht="15.75" customHeight="1">
      <c r="A92" s="21" t="s">
        <v>330</v>
      </c>
      <c r="B92" s="21" t="s">
        <v>251</v>
      </c>
      <c r="C92" s="21" t="s">
        <v>198</v>
      </c>
      <c r="D92" s="21" t="s">
        <v>331</v>
      </c>
      <c r="E92" s="21" t="s">
        <v>102</v>
      </c>
      <c r="F92" s="21" t="s">
        <v>332</v>
      </c>
      <c r="G92" s="21" t="s">
        <v>91</v>
      </c>
      <c r="H92" s="21" t="s">
        <v>85</v>
      </c>
      <c r="I92" s="24" t="s">
        <v>91</v>
      </c>
      <c r="J92" s="21" t="s">
        <v>91</v>
      </c>
      <c r="K92" s="22" t="s">
        <v>85</v>
      </c>
      <c r="L92" s="23"/>
      <c r="M92" s="23"/>
      <c r="N92" s="23"/>
      <c r="O92" s="23"/>
      <c r="P92" s="23"/>
      <c r="Q92" s="23"/>
      <c r="R92" s="23"/>
      <c r="S92" s="23"/>
      <c r="T92" s="23"/>
      <c r="U92" s="23"/>
      <c r="V92" s="23"/>
      <c r="W92" s="23"/>
      <c r="X92" s="23"/>
      <c r="Y92" s="23"/>
      <c r="Z92" s="23"/>
      <c r="AA92" s="23"/>
      <c r="AB92" s="23"/>
      <c r="AC92" s="23"/>
      <c r="AD92" s="23"/>
      <c r="AE92" s="23"/>
    </row>
    <row r="93" ht="15.75" customHeight="1">
      <c r="A93" s="21" t="s">
        <v>333</v>
      </c>
      <c r="B93" s="21" t="s">
        <v>126</v>
      </c>
      <c r="C93" s="21" t="s">
        <v>176</v>
      </c>
      <c r="D93" s="21" t="s">
        <v>334</v>
      </c>
      <c r="E93" s="22" t="s">
        <v>83</v>
      </c>
      <c r="F93" s="21">
        <v>20000.0</v>
      </c>
      <c r="G93" s="21" t="s">
        <v>335</v>
      </c>
      <c r="H93" s="22" t="s">
        <v>85</v>
      </c>
      <c r="I93" s="24" t="s">
        <v>86</v>
      </c>
      <c r="J93" s="22" t="s">
        <v>86</v>
      </c>
      <c r="K93" s="22" t="s">
        <v>85</v>
      </c>
      <c r="L93" s="21"/>
      <c r="M93" s="21"/>
      <c r="N93" s="21"/>
      <c r="O93" s="21"/>
      <c r="P93" s="23"/>
      <c r="Q93" s="23"/>
      <c r="R93" s="23"/>
      <c r="S93" s="23"/>
      <c r="T93" s="23"/>
      <c r="U93" s="23"/>
      <c r="V93" s="23"/>
      <c r="W93" s="23"/>
      <c r="X93" s="23"/>
      <c r="Y93" s="23"/>
      <c r="Z93" s="23"/>
      <c r="AA93" s="23"/>
      <c r="AB93" s="23"/>
      <c r="AC93" s="23"/>
      <c r="AD93" s="23"/>
      <c r="AE93" s="23"/>
    </row>
    <row r="94" ht="15.75" customHeight="1">
      <c r="A94" s="21" t="s">
        <v>336</v>
      </c>
      <c r="B94" s="33" t="s">
        <v>58</v>
      </c>
      <c r="C94" s="21" t="s">
        <v>198</v>
      </c>
      <c r="D94" s="21" t="s">
        <v>337</v>
      </c>
      <c r="E94" s="22" t="s">
        <v>135</v>
      </c>
      <c r="F94" s="21">
        <v>1.0</v>
      </c>
      <c r="G94" s="21" t="s">
        <v>136</v>
      </c>
      <c r="H94" s="21" t="s">
        <v>338</v>
      </c>
      <c r="I94" s="24" t="s">
        <v>91</v>
      </c>
      <c r="J94" s="23" t="s">
        <v>91</v>
      </c>
      <c r="K94" s="23" t="s">
        <v>90</v>
      </c>
      <c r="L94" s="23"/>
      <c r="M94" s="23"/>
      <c r="N94" s="23"/>
      <c r="O94" s="23"/>
      <c r="P94" s="23"/>
      <c r="Q94" s="23"/>
      <c r="R94" s="23"/>
      <c r="S94" s="23"/>
      <c r="T94" s="23"/>
      <c r="U94" s="23"/>
      <c r="V94" s="23"/>
      <c r="W94" s="23"/>
      <c r="X94" s="23"/>
      <c r="Y94" s="23"/>
      <c r="Z94" s="23"/>
      <c r="AA94" s="23"/>
      <c r="AB94" s="23"/>
      <c r="AC94" s="23"/>
      <c r="AD94" s="23"/>
      <c r="AE94" s="23"/>
    </row>
    <row r="95" ht="15.75" customHeight="1">
      <c r="A95" s="21" t="s">
        <v>339</v>
      </c>
      <c r="B95" s="33" t="s">
        <v>58</v>
      </c>
      <c r="C95" s="21" t="s">
        <v>198</v>
      </c>
      <c r="D95" s="21" t="s">
        <v>340</v>
      </c>
      <c r="E95" s="22" t="s">
        <v>135</v>
      </c>
      <c r="F95" s="21">
        <v>0.123</v>
      </c>
      <c r="G95" s="21" t="s">
        <v>136</v>
      </c>
      <c r="H95" s="21" t="s">
        <v>341</v>
      </c>
      <c r="I95" s="24" t="s">
        <v>91</v>
      </c>
      <c r="J95" s="23" t="s">
        <v>91</v>
      </c>
      <c r="K95" s="23" t="s">
        <v>90</v>
      </c>
      <c r="L95" s="23"/>
      <c r="M95" s="23"/>
      <c r="N95" s="23"/>
      <c r="O95" s="23"/>
      <c r="P95" s="23"/>
      <c r="Q95" s="23"/>
      <c r="R95" s="23"/>
      <c r="S95" s="23"/>
      <c r="T95" s="23"/>
      <c r="U95" s="23"/>
      <c r="V95" s="23"/>
      <c r="W95" s="23"/>
      <c r="X95" s="23"/>
      <c r="Y95" s="23"/>
      <c r="Z95" s="23"/>
      <c r="AA95" s="23"/>
      <c r="AB95" s="23"/>
      <c r="AC95" s="23"/>
      <c r="AD95" s="23"/>
      <c r="AE95" s="23"/>
    </row>
    <row r="96" ht="15.75" customHeight="1">
      <c r="A96" s="21" t="s">
        <v>342</v>
      </c>
      <c r="B96" s="21" t="s">
        <v>80</v>
      </c>
      <c r="C96" s="21" t="s">
        <v>81</v>
      </c>
      <c r="D96" s="21" t="s">
        <v>343</v>
      </c>
      <c r="E96" s="22" t="s">
        <v>102</v>
      </c>
      <c r="F96" s="21" t="s">
        <v>122</v>
      </c>
      <c r="G96" s="21" t="s">
        <v>91</v>
      </c>
      <c r="H96" s="22" t="s">
        <v>85</v>
      </c>
      <c r="I96" s="24" t="s">
        <v>91</v>
      </c>
      <c r="J96" s="23" t="s">
        <v>91</v>
      </c>
      <c r="K96" s="23" t="s">
        <v>90</v>
      </c>
      <c r="L96" s="23"/>
      <c r="M96" s="23"/>
      <c r="N96" s="23"/>
      <c r="O96" s="23"/>
      <c r="P96" s="23"/>
      <c r="Q96" s="23"/>
      <c r="R96" s="23"/>
      <c r="S96" s="23"/>
      <c r="T96" s="23"/>
      <c r="U96" s="23"/>
      <c r="V96" s="23"/>
      <c r="W96" s="23"/>
      <c r="X96" s="23"/>
      <c r="Y96" s="23"/>
      <c r="Z96" s="23"/>
      <c r="AA96" s="23"/>
      <c r="AB96" s="23"/>
      <c r="AC96" s="23"/>
      <c r="AD96" s="23"/>
      <c r="AE96" s="23"/>
    </row>
    <row r="97" ht="15.75" customHeight="1">
      <c r="A97" s="21" t="s">
        <v>344</v>
      </c>
      <c r="B97" s="21" t="s">
        <v>126</v>
      </c>
      <c r="C97" s="21" t="s">
        <v>127</v>
      </c>
      <c r="D97" s="21" t="s">
        <v>345</v>
      </c>
      <c r="E97" s="22" t="s">
        <v>83</v>
      </c>
      <c r="F97" s="35" t="s">
        <v>346</v>
      </c>
      <c r="G97" s="23" t="s">
        <v>90</v>
      </c>
      <c r="H97" s="22" t="s">
        <v>85</v>
      </c>
      <c r="I97" s="24" t="s">
        <v>86</v>
      </c>
      <c r="J97" s="22" t="s">
        <v>91</v>
      </c>
      <c r="K97" s="22" t="s">
        <v>85</v>
      </c>
      <c r="L97" s="23"/>
      <c r="M97" s="23"/>
      <c r="N97" s="23"/>
      <c r="O97" s="23"/>
      <c r="P97" s="23"/>
      <c r="Q97" s="23"/>
      <c r="R97" s="23"/>
      <c r="S97" s="23"/>
      <c r="T97" s="23"/>
      <c r="U97" s="23"/>
      <c r="V97" s="23"/>
      <c r="W97" s="23"/>
      <c r="X97" s="23"/>
      <c r="Y97" s="23"/>
      <c r="Z97" s="23"/>
      <c r="AA97" s="23"/>
      <c r="AB97" s="23"/>
      <c r="AC97" s="23"/>
      <c r="AD97" s="23"/>
      <c r="AE97" s="23"/>
    </row>
    <row r="98" ht="15.75" customHeight="1">
      <c r="A98" s="21" t="s">
        <v>347</v>
      </c>
      <c r="B98" s="21" t="s">
        <v>126</v>
      </c>
      <c r="C98" s="21" t="s">
        <v>127</v>
      </c>
      <c r="D98" s="21" t="s">
        <v>348</v>
      </c>
      <c r="E98" s="22" t="s">
        <v>83</v>
      </c>
      <c r="F98" s="21" t="s">
        <v>349</v>
      </c>
      <c r="G98" s="23" t="s">
        <v>90</v>
      </c>
      <c r="H98" s="22" t="s">
        <v>85</v>
      </c>
      <c r="I98" s="24" t="s">
        <v>86</v>
      </c>
      <c r="J98" s="22" t="s">
        <v>90</v>
      </c>
      <c r="K98" s="22" t="s">
        <v>85</v>
      </c>
      <c r="L98" s="23"/>
      <c r="M98" s="23"/>
      <c r="N98" s="23"/>
      <c r="O98" s="23"/>
      <c r="P98" s="23"/>
      <c r="Q98" s="23"/>
      <c r="R98" s="23"/>
      <c r="S98" s="23"/>
      <c r="T98" s="23"/>
      <c r="U98" s="23"/>
      <c r="V98" s="23"/>
      <c r="W98" s="23"/>
      <c r="X98" s="23"/>
      <c r="Y98" s="23"/>
      <c r="Z98" s="23"/>
      <c r="AA98" s="23"/>
      <c r="AB98" s="23"/>
      <c r="AC98" s="23"/>
      <c r="AD98" s="23"/>
      <c r="AE98" s="23"/>
    </row>
    <row r="99" ht="15.75" customHeight="1">
      <c r="A99" s="21" t="s">
        <v>350</v>
      </c>
      <c r="B99" s="21" t="s">
        <v>126</v>
      </c>
      <c r="C99" s="21" t="s">
        <v>127</v>
      </c>
      <c r="D99" s="21" t="s">
        <v>351</v>
      </c>
      <c r="E99" s="22" t="s">
        <v>83</v>
      </c>
      <c r="F99" s="21" t="s">
        <v>352</v>
      </c>
      <c r="G99" s="23" t="s">
        <v>90</v>
      </c>
      <c r="H99" s="22" t="s">
        <v>85</v>
      </c>
      <c r="I99" s="24" t="s">
        <v>86</v>
      </c>
      <c r="J99" s="22" t="s">
        <v>90</v>
      </c>
      <c r="K99" s="22" t="s">
        <v>85</v>
      </c>
      <c r="L99" s="23"/>
      <c r="M99" s="23"/>
      <c r="N99" s="23"/>
      <c r="O99" s="23"/>
      <c r="P99" s="23"/>
      <c r="Q99" s="23"/>
      <c r="R99" s="23"/>
      <c r="S99" s="23"/>
      <c r="T99" s="23"/>
      <c r="U99" s="23"/>
      <c r="V99" s="23"/>
      <c r="W99" s="23"/>
      <c r="X99" s="23"/>
      <c r="Y99" s="23"/>
      <c r="Z99" s="23"/>
      <c r="AA99" s="23"/>
      <c r="AB99" s="23"/>
      <c r="AC99" s="23"/>
      <c r="AD99" s="23"/>
      <c r="AE99" s="23"/>
    </row>
    <row r="100" ht="15.75" customHeight="1">
      <c r="A100" s="21" t="s">
        <v>353</v>
      </c>
      <c r="B100" s="33" t="s">
        <v>197</v>
      </c>
      <c r="C100" s="21" t="s">
        <v>207</v>
      </c>
      <c r="D100" s="21" t="s">
        <v>354</v>
      </c>
      <c r="E100" s="22" t="s">
        <v>83</v>
      </c>
      <c r="F100" s="21" t="s">
        <v>122</v>
      </c>
      <c r="G100" s="21" t="s">
        <v>86</v>
      </c>
      <c r="H100" s="22" t="s">
        <v>85</v>
      </c>
      <c r="I100" s="24" t="s">
        <v>86</v>
      </c>
      <c r="J100" s="23" t="s">
        <v>86</v>
      </c>
      <c r="K100" s="23" t="s">
        <v>90</v>
      </c>
      <c r="L100" s="23"/>
      <c r="M100" s="23"/>
      <c r="N100" s="23"/>
      <c r="O100" s="23"/>
      <c r="P100" s="23"/>
      <c r="Q100" s="23"/>
      <c r="R100" s="23"/>
      <c r="S100" s="23"/>
      <c r="T100" s="23"/>
      <c r="U100" s="23"/>
      <c r="V100" s="23"/>
      <c r="W100" s="23"/>
      <c r="X100" s="23"/>
      <c r="Y100" s="23"/>
      <c r="Z100" s="23"/>
      <c r="AA100" s="23"/>
      <c r="AB100" s="23"/>
      <c r="AC100" s="23"/>
      <c r="AD100" s="23"/>
      <c r="AE100" s="23"/>
    </row>
    <row r="101" ht="15.75" customHeight="1">
      <c r="A101" s="21" t="s">
        <v>355</v>
      </c>
      <c r="B101" s="21" t="s">
        <v>356</v>
      </c>
      <c r="C101" s="21" t="s">
        <v>357</v>
      </c>
      <c r="D101" s="21" t="s">
        <v>358</v>
      </c>
      <c r="E101" s="22" t="s">
        <v>83</v>
      </c>
      <c r="F101" s="21" t="s">
        <v>122</v>
      </c>
      <c r="G101" s="21" t="s">
        <v>359</v>
      </c>
      <c r="H101" s="22" t="s">
        <v>85</v>
      </c>
      <c r="I101" s="24" t="s">
        <v>359</v>
      </c>
      <c r="J101" s="21" t="s">
        <v>86</v>
      </c>
      <c r="K101" s="23" t="s">
        <v>90</v>
      </c>
      <c r="L101" s="23"/>
      <c r="M101" s="23"/>
      <c r="N101" s="23"/>
      <c r="O101" s="23"/>
      <c r="P101" s="23"/>
      <c r="Q101" s="23"/>
      <c r="R101" s="23"/>
      <c r="S101" s="23"/>
      <c r="T101" s="23"/>
      <c r="U101" s="23"/>
      <c r="V101" s="23"/>
      <c r="W101" s="23"/>
      <c r="X101" s="23"/>
      <c r="Y101" s="23"/>
      <c r="Z101" s="23"/>
      <c r="AA101" s="23"/>
      <c r="AB101" s="23"/>
      <c r="AC101" s="23"/>
      <c r="AD101" s="23"/>
      <c r="AE101" s="23"/>
    </row>
    <row r="102" ht="15.75" customHeight="1">
      <c r="A102" s="21" t="s">
        <v>360</v>
      </c>
      <c r="B102" s="21" t="s">
        <v>197</v>
      </c>
      <c r="C102" s="21" t="s">
        <v>282</v>
      </c>
      <c r="D102" s="21" t="s">
        <v>361</v>
      </c>
      <c r="E102" s="22" t="s">
        <v>102</v>
      </c>
      <c r="F102" s="22" t="s">
        <v>362</v>
      </c>
      <c r="G102" s="21" t="s">
        <v>91</v>
      </c>
      <c r="H102" s="22" t="s">
        <v>85</v>
      </c>
      <c r="I102" s="24" t="s">
        <v>91</v>
      </c>
      <c r="J102" s="22" t="s">
        <v>91</v>
      </c>
      <c r="K102" s="22" t="s">
        <v>85</v>
      </c>
      <c r="L102" s="23"/>
      <c r="M102" s="23"/>
      <c r="N102" s="23"/>
      <c r="O102" s="23"/>
      <c r="P102" s="23"/>
      <c r="Q102" s="23"/>
      <c r="R102" s="23"/>
      <c r="S102" s="23"/>
      <c r="T102" s="23"/>
      <c r="U102" s="23"/>
      <c r="V102" s="23"/>
      <c r="W102" s="23"/>
      <c r="X102" s="23"/>
      <c r="Y102" s="23"/>
      <c r="Z102" s="23"/>
      <c r="AA102" s="23"/>
      <c r="AB102" s="23"/>
      <c r="AC102" s="23"/>
      <c r="AD102" s="23"/>
      <c r="AE102" s="23"/>
    </row>
    <row r="103" ht="15.75" customHeight="1">
      <c r="A103" s="21" t="s">
        <v>363</v>
      </c>
      <c r="B103" s="33" t="s">
        <v>197</v>
      </c>
      <c r="C103" s="21" t="s">
        <v>207</v>
      </c>
      <c r="D103" s="21" t="s">
        <v>364</v>
      </c>
      <c r="E103" s="22" t="s">
        <v>185</v>
      </c>
      <c r="F103" s="21" t="s">
        <v>122</v>
      </c>
      <c r="G103" s="21" t="s">
        <v>86</v>
      </c>
      <c r="H103" s="22" t="s">
        <v>85</v>
      </c>
      <c r="I103" s="24" t="s">
        <v>86</v>
      </c>
      <c r="J103" s="22" t="s">
        <v>90</v>
      </c>
      <c r="K103" s="22" t="s">
        <v>85</v>
      </c>
      <c r="L103" s="23"/>
      <c r="M103" s="23"/>
      <c r="N103" s="23"/>
      <c r="O103" s="23"/>
      <c r="P103" s="23"/>
      <c r="Q103" s="23"/>
      <c r="R103" s="23"/>
      <c r="S103" s="23"/>
      <c r="T103" s="23"/>
      <c r="U103" s="23"/>
      <c r="V103" s="23"/>
      <c r="W103" s="23"/>
      <c r="X103" s="23"/>
      <c r="Y103" s="23"/>
      <c r="Z103" s="23"/>
      <c r="AA103" s="23"/>
      <c r="AB103" s="23"/>
      <c r="AC103" s="23"/>
      <c r="AD103" s="23"/>
      <c r="AE103" s="23"/>
    </row>
    <row r="104" ht="15.75" customHeight="1">
      <c r="A104" s="21" t="s">
        <v>365</v>
      </c>
      <c r="B104" s="33" t="s">
        <v>197</v>
      </c>
      <c r="C104" s="21" t="s">
        <v>207</v>
      </c>
      <c r="D104" s="21" t="s">
        <v>366</v>
      </c>
      <c r="E104" s="22" t="s">
        <v>102</v>
      </c>
      <c r="F104" s="21" t="s">
        <v>122</v>
      </c>
      <c r="G104" s="21" t="s">
        <v>91</v>
      </c>
      <c r="H104" s="22" t="s">
        <v>85</v>
      </c>
      <c r="I104" s="24" t="s">
        <v>91</v>
      </c>
      <c r="J104" s="22" t="s">
        <v>91</v>
      </c>
      <c r="K104" s="22" t="s">
        <v>85</v>
      </c>
      <c r="L104" s="23"/>
      <c r="M104" s="23"/>
      <c r="N104" s="23"/>
      <c r="O104" s="23"/>
      <c r="P104" s="23"/>
      <c r="Q104" s="23"/>
      <c r="R104" s="23"/>
      <c r="S104" s="23"/>
      <c r="T104" s="23"/>
      <c r="U104" s="23"/>
      <c r="V104" s="23"/>
      <c r="W104" s="23"/>
      <c r="X104" s="23"/>
      <c r="Y104" s="23"/>
      <c r="Z104" s="23"/>
      <c r="AA104" s="23"/>
      <c r="AB104" s="23"/>
      <c r="AC104" s="23"/>
      <c r="AD104" s="23"/>
      <c r="AE104" s="23"/>
    </row>
    <row r="105" ht="15.75" customHeight="1">
      <c r="A105" s="21" t="s">
        <v>367</v>
      </c>
      <c r="B105" s="21" t="s">
        <v>251</v>
      </c>
      <c r="C105" s="21" t="s">
        <v>198</v>
      </c>
      <c r="D105" s="21" t="s">
        <v>368</v>
      </c>
      <c r="E105" s="22" t="s">
        <v>102</v>
      </c>
      <c r="F105" s="25" t="s">
        <v>369</v>
      </c>
      <c r="G105" s="21" t="s">
        <v>91</v>
      </c>
      <c r="H105" s="22" t="s">
        <v>85</v>
      </c>
      <c r="I105" s="24" t="s">
        <v>91</v>
      </c>
      <c r="J105" s="22" t="s">
        <v>91</v>
      </c>
      <c r="K105" s="22" t="s">
        <v>85</v>
      </c>
      <c r="L105" s="23"/>
      <c r="M105" s="23"/>
      <c r="N105" s="23"/>
      <c r="O105" s="23"/>
      <c r="P105" s="23"/>
      <c r="Q105" s="23"/>
      <c r="R105" s="23"/>
      <c r="S105" s="23"/>
      <c r="T105" s="23"/>
      <c r="U105" s="23"/>
      <c r="V105" s="23"/>
      <c r="W105" s="23"/>
      <c r="X105" s="23"/>
      <c r="Y105" s="23"/>
      <c r="Z105" s="23"/>
      <c r="AA105" s="23"/>
      <c r="AB105" s="23"/>
      <c r="AC105" s="23"/>
      <c r="AD105" s="23"/>
      <c r="AE105" s="23"/>
    </row>
    <row r="106" ht="15.75" customHeight="1">
      <c r="A106" s="21" t="s">
        <v>370</v>
      </c>
      <c r="B106" s="21" t="s">
        <v>251</v>
      </c>
      <c r="C106" s="21" t="s">
        <v>198</v>
      </c>
      <c r="D106" s="21" t="s">
        <v>371</v>
      </c>
      <c r="E106" s="22" t="s">
        <v>102</v>
      </c>
      <c r="F106" s="21">
        <v>370.0</v>
      </c>
      <c r="G106" s="21" t="s">
        <v>91</v>
      </c>
      <c r="H106" s="22" t="s">
        <v>85</v>
      </c>
      <c r="I106" s="24" t="s">
        <v>91</v>
      </c>
      <c r="J106" s="22" t="s">
        <v>91</v>
      </c>
      <c r="K106" s="22" t="s">
        <v>85</v>
      </c>
      <c r="L106" s="23"/>
      <c r="M106" s="23"/>
      <c r="N106" s="23"/>
      <c r="O106" s="23"/>
      <c r="P106" s="23"/>
      <c r="Q106" s="23"/>
      <c r="R106" s="23"/>
      <c r="S106" s="23"/>
      <c r="T106" s="23"/>
      <c r="U106" s="23"/>
      <c r="V106" s="23"/>
      <c r="W106" s="23"/>
      <c r="X106" s="23"/>
      <c r="Y106" s="23"/>
      <c r="Z106" s="23"/>
      <c r="AA106" s="23"/>
      <c r="AB106" s="23"/>
      <c r="AC106" s="23"/>
      <c r="AD106" s="23"/>
      <c r="AE106" s="23"/>
    </row>
    <row r="107" ht="15.75" customHeight="1">
      <c r="A107" s="21" t="s">
        <v>372</v>
      </c>
      <c r="B107" s="21" t="s">
        <v>251</v>
      </c>
      <c r="C107" s="21" t="s">
        <v>373</v>
      </c>
      <c r="D107" s="21" t="s">
        <v>374</v>
      </c>
      <c r="E107" s="21" t="s">
        <v>102</v>
      </c>
      <c r="F107" s="21">
        <v>2265.61</v>
      </c>
      <c r="G107" s="21" t="s">
        <v>86</v>
      </c>
      <c r="H107" s="21" t="s">
        <v>85</v>
      </c>
      <c r="I107" s="24" t="s">
        <v>86</v>
      </c>
      <c r="J107" s="21" t="s">
        <v>90</v>
      </c>
      <c r="K107" s="22" t="s">
        <v>85</v>
      </c>
      <c r="L107" s="23"/>
      <c r="M107" s="23"/>
      <c r="N107" s="23"/>
      <c r="O107" s="23"/>
      <c r="P107" s="23"/>
      <c r="Q107" s="23"/>
      <c r="R107" s="23"/>
      <c r="S107" s="23"/>
      <c r="T107" s="23"/>
      <c r="U107" s="23"/>
      <c r="V107" s="23"/>
      <c r="W107" s="23"/>
      <c r="X107" s="23"/>
      <c r="Y107" s="23"/>
      <c r="Z107" s="23"/>
      <c r="AA107" s="23"/>
      <c r="AB107" s="23"/>
      <c r="AC107" s="23"/>
      <c r="AD107" s="23"/>
      <c r="AE107" s="23"/>
    </row>
    <row r="108" ht="15.75" customHeight="1">
      <c r="A108" s="21" t="s">
        <v>375</v>
      </c>
      <c r="B108" s="33" t="s">
        <v>197</v>
      </c>
      <c r="C108" s="21" t="s">
        <v>207</v>
      </c>
      <c r="D108" s="21" t="s">
        <v>376</v>
      </c>
      <c r="E108" s="22" t="s">
        <v>185</v>
      </c>
      <c r="F108" s="21" t="s">
        <v>122</v>
      </c>
      <c r="G108" s="21" t="s">
        <v>86</v>
      </c>
      <c r="H108" s="22" t="s">
        <v>85</v>
      </c>
      <c r="I108" s="24" t="s">
        <v>91</v>
      </c>
      <c r="J108" s="23" t="s">
        <v>87</v>
      </c>
      <c r="K108" s="22" t="s">
        <v>85</v>
      </c>
      <c r="L108" s="23"/>
      <c r="M108" s="23"/>
      <c r="N108" s="23"/>
      <c r="O108" s="23"/>
      <c r="P108" s="23"/>
      <c r="Q108" s="23"/>
      <c r="R108" s="23"/>
      <c r="S108" s="23"/>
      <c r="T108" s="23"/>
      <c r="U108" s="23"/>
      <c r="V108" s="23"/>
      <c r="W108" s="23"/>
      <c r="X108" s="23"/>
      <c r="Y108" s="23"/>
      <c r="Z108" s="23"/>
      <c r="AA108" s="23"/>
      <c r="AB108" s="23"/>
      <c r="AC108" s="23"/>
      <c r="AD108" s="23"/>
      <c r="AE108" s="23"/>
    </row>
    <row r="109" ht="15.75" customHeight="1">
      <c r="A109" s="21" t="s">
        <v>377</v>
      </c>
      <c r="B109" s="33" t="s">
        <v>197</v>
      </c>
      <c r="C109" s="21" t="s">
        <v>207</v>
      </c>
      <c r="D109" s="21" t="s">
        <v>378</v>
      </c>
      <c r="E109" s="22" t="s">
        <v>102</v>
      </c>
      <c r="F109" s="21" t="s">
        <v>122</v>
      </c>
      <c r="G109" s="21" t="s">
        <v>91</v>
      </c>
      <c r="H109" s="22" t="s">
        <v>85</v>
      </c>
      <c r="I109" s="24" t="s">
        <v>91</v>
      </c>
      <c r="J109" s="22" t="s">
        <v>91</v>
      </c>
      <c r="K109" s="22" t="s">
        <v>85</v>
      </c>
      <c r="L109" s="23"/>
      <c r="M109" s="23"/>
      <c r="N109" s="23"/>
      <c r="O109" s="23"/>
      <c r="P109" s="23"/>
      <c r="Q109" s="23"/>
      <c r="R109" s="23"/>
      <c r="S109" s="23"/>
      <c r="T109" s="23"/>
      <c r="U109" s="23"/>
      <c r="V109" s="23"/>
      <c r="W109" s="23"/>
      <c r="X109" s="23"/>
      <c r="Y109" s="23"/>
      <c r="Z109" s="23"/>
      <c r="AA109" s="23"/>
      <c r="AB109" s="23"/>
      <c r="AC109" s="23"/>
      <c r="AD109" s="23"/>
      <c r="AE109" s="23"/>
    </row>
    <row r="110" ht="15.75" customHeight="1">
      <c r="A110" s="21" t="s">
        <v>379</v>
      </c>
      <c r="B110" s="21" t="s">
        <v>80</v>
      </c>
      <c r="C110" s="21" t="s">
        <v>81</v>
      </c>
      <c r="D110" s="21" t="s">
        <v>380</v>
      </c>
      <c r="E110" s="22" t="s">
        <v>102</v>
      </c>
      <c r="F110" s="21">
        <v>1.0</v>
      </c>
      <c r="G110" s="21" t="s">
        <v>91</v>
      </c>
      <c r="H110" s="22" t="s">
        <v>85</v>
      </c>
      <c r="I110" s="24" t="s">
        <v>91</v>
      </c>
      <c r="J110" s="22" t="s">
        <v>91</v>
      </c>
      <c r="K110" s="22" t="s">
        <v>85</v>
      </c>
      <c r="L110" s="23"/>
      <c r="M110" s="23"/>
      <c r="N110" s="23"/>
      <c r="O110" s="23"/>
      <c r="P110" s="23"/>
      <c r="Q110" s="23"/>
      <c r="R110" s="23"/>
      <c r="S110" s="23"/>
      <c r="T110" s="23"/>
      <c r="U110" s="23"/>
      <c r="V110" s="23"/>
      <c r="W110" s="23"/>
      <c r="X110" s="23"/>
      <c r="Y110" s="23"/>
      <c r="Z110" s="23"/>
      <c r="AA110" s="23"/>
      <c r="AB110" s="23"/>
      <c r="AC110" s="23"/>
      <c r="AD110" s="23"/>
      <c r="AE110" s="23"/>
    </row>
    <row r="111" ht="15.75" customHeight="1">
      <c r="A111" s="21" t="s">
        <v>381</v>
      </c>
      <c r="B111" s="21" t="s">
        <v>251</v>
      </c>
      <c r="C111" s="21" t="s">
        <v>198</v>
      </c>
      <c r="D111" s="21" t="s">
        <v>382</v>
      </c>
      <c r="E111" s="22" t="s">
        <v>102</v>
      </c>
      <c r="F111" s="21">
        <v>9630.0</v>
      </c>
      <c r="G111" s="21" t="s">
        <v>91</v>
      </c>
      <c r="H111" s="22" t="s">
        <v>85</v>
      </c>
      <c r="I111" s="24" t="s">
        <v>91</v>
      </c>
      <c r="J111" s="22" t="s">
        <v>91</v>
      </c>
      <c r="K111" s="22" t="s">
        <v>85</v>
      </c>
      <c r="L111" s="23"/>
      <c r="M111" s="23"/>
      <c r="N111" s="23"/>
      <c r="O111" s="23"/>
      <c r="P111" s="23"/>
      <c r="Q111" s="23"/>
      <c r="R111" s="23"/>
      <c r="S111" s="23"/>
      <c r="T111" s="23"/>
      <c r="U111" s="23"/>
      <c r="V111" s="23"/>
      <c r="W111" s="23"/>
      <c r="X111" s="23"/>
      <c r="Y111" s="23"/>
      <c r="Z111" s="23"/>
      <c r="AA111" s="23"/>
      <c r="AB111" s="23"/>
      <c r="AC111" s="23"/>
      <c r="AD111" s="23"/>
      <c r="AE111" s="23"/>
    </row>
    <row r="112" ht="15.75" customHeight="1">
      <c r="A112" s="21" t="s">
        <v>383</v>
      </c>
      <c r="B112" s="21" t="s">
        <v>251</v>
      </c>
      <c r="C112" s="21" t="s">
        <v>198</v>
      </c>
      <c r="D112" s="21" t="s">
        <v>384</v>
      </c>
      <c r="E112" s="22" t="s">
        <v>102</v>
      </c>
      <c r="F112" s="21">
        <v>460.0</v>
      </c>
      <c r="G112" s="21" t="s">
        <v>91</v>
      </c>
      <c r="H112" s="22" t="s">
        <v>85</v>
      </c>
      <c r="I112" s="24" t="s">
        <v>91</v>
      </c>
      <c r="J112" s="22" t="s">
        <v>91</v>
      </c>
      <c r="K112" s="22" t="s">
        <v>85</v>
      </c>
      <c r="L112" s="23"/>
      <c r="M112" s="23"/>
      <c r="N112" s="23"/>
      <c r="O112" s="23"/>
      <c r="P112" s="23"/>
      <c r="Q112" s="23"/>
      <c r="R112" s="23"/>
      <c r="S112" s="23"/>
      <c r="T112" s="23"/>
      <c r="U112" s="23"/>
      <c r="V112" s="23"/>
      <c r="W112" s="23"/>
      <c r="X112" s="23"/>
      <c r="Y112" s="23"/>
      <c r="Z112" s="23"/>
      <c r="AA112" s="23"/>
      <c r="AB112" s="23"/>
      <c r="AC112" s="23"/>
      <c r="AD112" s="23"/>
      <c r="AE112" s="23"/>
    </row>
    <row r="113" ht="15.75" customHeight="1">
      <c r="A113" s="21" t="s">
        <v>385</v>
      </c>
      <c r="B113" s="21" t="s">
        <v>251</v>
      </c>
      <c r="C113" s="21" t="s">
        <v>198</v>
      </c>
      <c r="D113" s="21" t="s">
        <v>386</v>
      </c>
      <c r="E113" s="22" t="s">
        <v>102</v>
      </c>
      <c r="F113" s="21">
        <v>289425.0</v>
      </c>
      <c r="G113" s="21" t="s">
        <v>91</v>
      </c>
      <c r="H113" s="22" t="s">
        <v>85</v>
      </c>
      <c r="I113" s="24" t="s">
        <v>91</v>
      </c>
      <c r="J113" s="22" t="s">
        <v>91</v>
      </c>
      <c r="K113" s="22" t="s">
        <v>85</v>
      </c>
      <c r="L113" s="23"/>
      <c r="M113" s="23"/>
      <c r="N113" s="23"/>
      <c r="O113" s="23"/>
      <c r="P113" s="23"/>
      <c r="Q113" s="23"/>
      <c r="R113" s="23"/>
      <c r="S113" s="23"/>
      <c r="T113" s="23"/>
      <c r="U113" s="23"/>
      <c r="V113" s="23"/>
      <c r="W113" s="23"/>
      <c r="X113" s="23"/>
      <c r="Y113" s="23"/>
      <c r="Z113" s="23"/>
      <c r="AA113" s="23"/>
      <c r="AB113" s="23"/>
      <c r="AC113" s="23"/>
      <c r="AD113" s="23"/>
      <c r="AE113" s="23"/>
    </row>
    <row r="114" ht="15.75" customHeight="1">
      <c r="A114" s="21" t="s">
        <v>387</v>
      </c>
      <c r="B114" s="21" t="s">
        <v>251</v>
      </c>
      <c r="C114" s="21" t="s">
        <v>198</v>
      </c>
      <c r="D114" s="21" t="s">
        <v>388</v>
      </c>
      <c r="E114" s="22" t="s">
        <v>102</v>
      </c>
      <c r="F114" s="21">
        <v>593.4</v>
      </c>
      <c r="G114" s="21" t="s">
        <v>91</v>
      </c>
      <c r="H114" s="22" t="s">
        <v>85</v>
      </c>
      <c r="I114" s="24" t="s">
        <v>91</v>
      </c>
      <c r="J114" s="22" t="s">
        <v>91</v>
      </c>
      <c r="K114" s="22" t="s">
        <v>85</v>
      </c>
      <c r="L114" s="23"/>
      <c r="M114" s="23"/>
      <c r="N114" s="23"/>
      <c r="O114" s="23"/>
      <c r="P114" s="23"/>
      <c r="Q114" s="23"/>
      <c r="R114" s="23"/>
      <c r="S114" s="23"/>
      <c r="T114" s="23"/>
      <c r="U114" s="23"/>
      <c r="V114" s="23"/>
      <c r="W114" s="23"/>
      <c r="X114" s="23"/>
      <c r="Y114" s="23"/>
      <c r="Z114" s="23"/>
      <c r="AA114" s="23"/>
      <c r="AB114" s="23"/>
      <c r="AC114" s="23"/>
      <c r="AD114" s="23"/>
      <c r="AE114" s="23"/>
    </row>
    <row r="115" ht="15.75" customHeight="1">
      <c r="A115" s="21" t="s">
        <v>389</v>
      </c>
      <c r="B115" s="21" t="s">
        <v>251</v>
      </c>
      <c r="C115" s="21" t="s">
        <v>373</v>
      </c>
      <c r="D115" s="21" t="s">
        <v>390</v>
      </c>
      <c r="E115" s="22" t="s">
        <v>102</v>
      </c>
      <c r="F115" s="21">
        <v>1500.0</v>
      </c>
      <c r="G115" s="21" t="s">
        <v>91</v>
      </c>
      <c r="H115" s="22" t="s">
        <v>85</v>
      </c>
      <c r="I115" s="24" t="s">
        <v>91</v>
      </c>
      <c r="J115" s="22" t="s">
        <v>91</v>
      </c>
      <c r="K115" s="22" t="s">
        <v>85</v>
      </c>
      <c r="L115" s="23"/>
      <c r="M115" s="23"/>
      <c r="N115" s="23"/>
      <c r="O115" s="23"/>
      <c r="P115" s="23"/>
      <c r="Q115" s="23"/>
      <c r="R115" s="23"/>
      <c r="S115" s="23"/>
      <c r="T115" s="23"/>
      <c r="U115" s="23"/>
      <c r="V115" s="23"/>
      <c r="W115" s="23"/>
      <c r="X115" s="23"/>
      <c r="Y115" s="23"/>
      <c r="Z115" s="23"/>
      <c r="AA115" s="23"/>
      <c r="AB115" s="23"/>
      <c r="AC115" s="23"/>
      <c r="AD115" s="23"/>
      <c r="AE115" s="23"/>
    </row>
    <row r="116" ht="15.75" customHeight="1">
      <c r="A116" s="21" t="s">
        <v>391</v>
      </c>
      <c r="B116" s="21" t="s">
        <v>251</v>
      </c>
      <c r="C116" s="21" t="s">
        <v>198</v>
      </c>
      <c r="D116" s="21" t="s">
        <v>392</v>
      </c>
      <c r="E116" s="21" t="s">
        <v>83</v>
      </c>
      <c r="F116" s="21" t="s">
        <v>393</v>
      </c>
      <c r="G116" s="21" t="s">
        <v>201</v>
      </c>
      <c r="H116" s="22" t="s">
        <v>85</v>
      </c>
      <c r="I116" s="24" t="s">
        <v>201</v>
      </c>
      <c r="J116" s="23" t="s">
        <v>394</v>
      </c>
      <c r="K116" s="23" t="s">
        <v>90</v>
      </c>
      <c r="L116" s="23"/>
      <c r="M116" s="23"/>
      <c r="N116" s="23"/>
      <c r="O116" s="23"/>
      <c r="P116" s="23"/>
      <c r="Q116" s="23"/>
      <c r="R116" s="23"/>
      <c r="S116" s="23"/>
      <c r="T116" s="23"/>
      <c r="U116" s="23"/>
      <c r="V116" s="23"/>
      <c r="W116" s="23"/>
      <c r="X116" s="23"/>
      <c r="Y116" s="23"/>
      <c r="Z116" s="23"/>
      <c r="AA116" s="23"/>
      <c r="AB116" s="23"/>
      <c r="AC116" s="23"/>
      <c r="AD116" s="23"/>
      <c r="AE116" s="23"/>
    </row>
    <row r="117" ht="15.75" customHeight="1">
      <c r="A117" s="21" t="s">
        <v>395</v>
      </c>
      <c r="B117" s="21" t="s">
        <v>58</v>
      </c>
      <c r="C117" s="21" t="s">
        <v>198</v>
      </c>
      <c r="D117" s="21" t="s">
        <v>396</v>
      </c>
      <c r="E117" s="22" t="s">
        <v>83</v>
      </c>
      <c r="F117" s="21" t="s">
        <v>96</v>
      </c>
      <c r="G117" s="21" t="s">
        <v>86</v>
      </c>
      <c r="H117" s="22" t="s">
        <v>85</v>
      </c>
      <c r="I117" s="24" t="s">
        <v>86</v>
      </c>
      <c r="J117" s="23" t="s">
        <v>87</v>
      </c>
      <c r="K117" s="22" t="s">
        <v>85</v>
      </c>
      <c r="L117" s="23"/>
      <c r="M117" s="23"/>
      <c r="N117" s="23"/>
      <c r="O117" s="23"/>
      <c r="P117" s="23"/>
      <c r="Q117" s="23"/>
      <c r="R117" s="23"/>
      <c r="S117" s="23"/>
      <c r="T117" s="23"/>
      <c r="U117" s="23"/>
      <c r="V117" s="23"/>
      <c r="W117" s="23"/>
      <c r="X117" s="23"/>
      <c r="Y117" s="23"/>
      <c r="Z117" s="23"/>
      <c r="AA117" s="23"/>
      <c r="AB117" s="23"/>
      <c r="AC117" s="23"/>
      <c r="AD117" s="23"/>
      <c r="AE117" s="23"/>
    </row>
    <row r="118" ht="15.75" customHeight="1">
      <c r="A118" s="21" t="s">
        <v>397</v>
      </c>
      <c r="B118" s="21" t="s">
        <v>251</v>
      </c>
      <c r="C118" s="21" t="s">
        <v>373</v>
      </c>
      <c r="D118" s="21" t="s">
        <v>398</v>
      </c>
      <c r="E118" s="22" t="s">
        <v>83</v>
      </c>
      <c r="F118" s="21" t="s">
        <v>399</v>
      </c>
      <c r="G118" s="21" t="s">
        <v>335</v>
      </c>
      <c r="H118" s="22" t="s">
        <v>85</v>
      </c>
      <c r="I118" s="24" t="s">
        <v>91</v>
      </c>
      <c r="J118" s="22" t="s">
        <v>91</v>
      </c>
      <c r="K118" s="22" t="s">
        <v>85</v>
      </c>
      <c r="L118" s="23"/>
      <c r="M118" s="23"/>
      <c r="N118" s="23"/>
      <c r="O118" s="23"/>
      <c r="P118" s="23"/>
      <c r="Q118" s="23"/>
      <c r="R118" s="23"/>
      <c r="S118" s="23"/>
      <c r="T118" s="23"/>
      <c r="U118" s="23"/>
      <c r="V118" s="23"/>
      <c r="W118" s="23"/>
      <c r="X118" s="23"/>
      <c r="Y118" s="23"/>
      <c r="Z118" s="23"/>
      <c r="AA118" s="23"/>
      <c r="AB118" s="23"/>
      <c r="AC118" s="23"/>
      <c r="AD118" s="23"/>
      <c r="AE118" s="23"/>
    </row>
    <row r="119" ht="15.75" customHeight="1">
      <c r="A119" s="21" t="s">
        <v>400</v>
      </c>
      <c r="B119" s="21" t="s">
        <v>251</v>
      </c>
      <c r="C119" s="21" t="s">
        <v>373</v>
      </c>
      <c r="D119" s="21" t="s">
        <v>401</v>
      </c>
      <c r="E119" s="22" t="s">
        <v>83</v>
      </c>
      <c r="F119" s="21" t="s">
        <v>402</v>
      </c>
      <c r="G119" s="21" t="s">
        <v>335</v>
      </c>
      <c r="H119" s="22" t="s">
        <v>85</v>
      </c>
      <c r="I119" s="24" t="s">
        <v>91</v>
      </c>
      <c r="J119" s="22" t="s">
        <v>91</v>
      </c>
      <c r="K119" s="22" t="s">
        <v>85</v>
      </c>
      <c r="L119" s="23"/>
      <c r="M119" s="23"/>
      <c r="N119" s="23"/>
      <c r="O119" s="23"/>
      <c r="P119" s="23"/>
      <c r="Q119" s="23"/>
      <c r="R119" s="23"/>
      <c r="S119" s="23"/>
      <c r="T119" s="23"/>
      <c r="U119" s="23"/>
      <c r="V119" s="23"/>
      <c r="W119" s="23"/>
      <c r="X119" s="23"/>
      <c r="Y119" s="23"/>
      <c r="Z119" s="23"/>
      <c r="AA119" s="23"/>
      <c r="AB119" s="23"/>
      <c r="AC119" s="23"/>
      <c r="AD119" s="23"/>
      <c r="AE119" s="23"/>
    </row>
    <row r="120" ht="15.75" customHeight="1">
      <c r="A120" s="21" t="s">
        <v>403</v>
      </c>
      <c r="B120" s="21" t="s">
        <v>251</v>
      </c>
      <c r="C120" s="21" t="s">
        <v>373</v>
      </c>
      <c r="D120" s="21" t="s">
        <v>404</v>
      </c>
      <c r="E120" s="22" t="s">
        <v>83</v>
      </c>
      <c r="F120" s="21">
        <v>25.0</v>
      </c>
      <c r="G120" s="24" t="s">
        <v>90</v>
      </c>
      <c r="H120" s="22" t="s">
        <v>85</v>
      </c>
      <c r="I120" s="24" t="s">
        <v>91</v>
      </c>
      <c r="J120" s="22" t="s">
        <v>91</v>
      </c>
      <c r="K120" s="22" t="s">
        <v>85</v>
      </c>
      <c r="L120" s="23"/>
      <c r="M120" s="23"/>
      <c r="N120" s="23"/>
      <c r="O120" s="23"/>
      <c r="P120" s="23"/>
      <c r="Q120" s="23"/>
      <c r="R120" s="23"/>
      <c r="S120" s="23"/>
      <c r="T120" s="23"/>
      <c r="U120" s="23"/>
      <c r="V120" s="23"/>
      <c r="W120" s="23"/>
      <c r="X120" s="23"/>
      <c r="Y120" s="23"/>
      <c r="Z120" s="23"/>
      <c r="AA120" s="23"/>
      <c r="AB120" s="23"/>
      <c r="AC120" s="23"/>
      <c r="AD120" s="23"/>
      <c r="AE120" s="23"/>
    </row>
    <row r="121" ht="15.75" customHeight="1">
      <c r="A121" s="21" t="s">
        <v>405</v>
      </c>
      <c r="B121" s="21" t="s">
        <v>251</v>
      </c>
      <c r="C121" s="21" t="s">
        <v>373</v>
      </c>
      <c r="D121" s="21" t="s">
        <v>406</v>
      </c>
      <c r="E121" s="22" t="s">
        <v>83</v>
      </c>
      <c r="F121" s="21" t="s">
        <v>407</v>
      </c>
      <c r="G121" s="23" t="s">
        <v>90</v>
      </c>
      <c r="H121" s="22" t="s">
        <v>85</v>
      </c>
      <c r="I121" s="24" t="s">
        <v>91</v>
      </c>
      <c r="J121" s="22" t="s">
        <v>91</v>
      </c>
      <c r="K121" s="22" t="s">
        <v>85</v>
      </c>
      <c r="L121" s="23"/>
      <c r="M121" s="23"/>
      <c r="N121" s="23"/>
      <c r="O121" s="23"/>
      <c r="P121" s="23"/>
      <c r="Q121" s="23"/>
      <c r="R121" s="23"/>
      <c r="S121" s="23"/>
      <c r="T121" s="23"/>
      <c r="U121" s="23"/>
      <c r="V121" s="23"/>
      <c r="W121" s="23"/>
      <c r="X121" s="23"/>
      <c r="Y121" s="23"/>
      <c r="Z121" s="23"/>
      <c r="AA121" s="23"/>
      <c r="AB121" s="23"/>
      <c r="AC121" s="23"/>
      <c r="AD121" s="23"/>
      <c r="AE121" s="23"/>
    </row>
    <row r="122" ht="15.75" customHeight="1">
      <c r="A122" s="21" t="s">
        <v>408</v>
      </c>
      <c r="B122" s="21" t="s">
        <v>251</v>
      </c>
      <c r="C122" s="21" t="s">
        <v>373</v>
      </c>
      <c r="D122" s="21" t="s">
        <v>409</v>
      </c>
      <c r="E122" s="22" t="s">
        <v>83</v>
      </c>
      <c r="F122" s="21">
        <v>1.2072423E7</v>
      </c>
      <c r="G122" s="23" t="s">
        <v>90</v>
      </c>
      <c r="H122" s="22" t="s">
        <v>85</v>
      </c>
      <c r="I122" s="24" t="s">
        <v>91</v>
      </c>
      <c r="J122" s="22" t="s">
        <v>91</v>
      </c>
      <c r="K122" s="22" t="s">
        <v>85</v>
      </c>
      <c r="L122" s="23"/>
      <c r="M122" s="23"/>
      <c r="N122" s="23"/>
      <c r="O122" s="23"/>
      <c r="P122" s="23"/>
      <c r="Q122" s="23"/>
      <c r="R122" s="23"/>
      <c r="S122" s="23"/>
      <c r="T122" s="23"/>
      <c r="U122" s="23"/>
      <c r="V122" s="23"/>
      <c r="W122" s="23"/>
      <c r="X122" s="23"/>
      <c r="Y122" s="23"/>
      <c r="Z122" s="23"/>
      <c r="AA122" s="23"/>
      <c r="AB122" s="23"/>
      <c r="AC122" s="23"/>
      <c r="AD122" s="23"/>
      <c r="AE122" s="23"/>
    </row>
    <row r="123" ht="15.75" customHeight="1">
      <c r="A123" s="21" t="s">
        <v>410</v>
      </c>
      <c r="B123" s="21" t="s">
        <v>80</v>
      </c>
      <c r="C123" s="21" t="s">
        <v>81</v>
      </c>
      <c r="D123" s="21" t="s">
        <v>411</v>
      </c>
      <c r="E123" s="22" t="s">
        <v>83</v>
      </c>
      <c r="F123" s="27">
        <v>40598.0</v>
      </c>
      <c r="G123" s="23" t="s">
        <v>90</v>
      </c>
      <c r="H123" s="22" t="s">
        <v>85</v>
      </c>
      <c r="I123" s="24" t="s">
        <v>91</v>
      </c>
      <c r="J123" s="22" t="s">
        <v>91</v>
      </c>
      <c r="K123" s="22" t="s">
        <v>85</v>
      </c>
      <c r="L123" s="23"/>
      <c r="M123" s="23"/>
      <c r="N123" s="23"/>
      <c r="O123" s="23"/>
      <c r="P123" s="23"/>
      <c r="Q123" s="23"/>
      <c r="R123" s="23"/>
      <c r="S123" s="23"/>
      <c r="T123" s="23"/>
      <c r="U123" s="23"/>
      <c r="V123" s="23"/>
      <c r="W123" s="23"/>
      <c r="X123" s="23"/>
      <c r="Y123" s="23"/>
      <c r="Z123" s="23"/>
      <c r="AA123" s="23"/>
      <c r="AB123" s="23"/>
      <c r="AC123" s="23"/>
      <c r="AD123" s="23"/>
      <c r="AE123" s="23"/>
    </row>
    <row r="124" ht="15.75" customHeight="1">
      <c r="A124" s="21" t="s">
        <v>412</v>
      </c>
      <c r="B124" s="21" t="s">
        <v>80</v>
      </c>
      <c r="C124" s="21" t="s">
        <v>81</v>
      </c>
      <c r="D124" s="21" t="s">
        <v>413</v>
      </c>
      <c r="E124" s="22" t="s">
        <v>83</v>
      </c>
      <c r="F124" s="36">
        <v>43843.00078703704</v>
      </c>
      <c r="G124" s="23" t="s">
        <v>90</v>
      </c>
      <c r="H124" s="22" t="s">
        <v>85</v>
      </c>
      <c r="I124" s="24" t="s">
        <v>91</v>
      </c>
      <c r="J124" s="22" t="s">
        <v>91</v>
      </c>
      <c r="K124" s="22" t="s">
        <v>85</v>
      </c>
      <c r="L124" s="23"/>
      <c r="M124" s="23"/>
      <c r="N124" s="23"/>
      <c r="O124" s="23"/>
      <c r="P124" s="23"/>
      <c r="Q124" s="23"/>
      <c r="R124" s="23"/>
      <c r="S124" s="23"/>
      <c r="T124" s="23"/>
      <c r="U124" s="23"/>
      <c r="V124" s="23"/>
      <c r="W124" s="23"/>
      <c r="X124" s="23"/>
      <c r="Y124" s="23"/>
      <c r="Z124" s="23"/>
      <c r="AA124" s="23"/>
      <c r="AB124" s="23"/>
      <c r="AC124" s="23"/>
      <c r="AD124" s="23"/>
      <c r="AE124" s="23"/>
    </row>
    <row r="125" ht="15.75" customHeight="1">
      <c r="A125" s="21" t="s">
        <v>414</v>
      </c>
      <c r="B125" s="21" t="s">
        <v>80</v>
      </c>
      <c r="C125" s="21" t="s">
        <v>81</v>
      </c>
      <c r="D125" s="37" t="s">
        <v>415</v>
      </c>
      <c r="E125" s="22" t="s">
        <v>83</v>
      </c>
      <c r="F125" s="21">
        <v>3.1125E10</v>
      </c>
      <c r="G125" s="21" t="s">
        <v>335</v>
      </c>
      <c r="H125" s="22" t="s">
        <v>85</v>
      </c>
      <c r="I125" s="24" t="s">
        <v>91</v>
      </c>
      <c r="J125" s="22" t="s">
        <v>91</v>
      </c>
      <c r="K125" s="22" t="s">
        <v>85</v>
      </c>
      <c r="L125" s="23"/>
      <c r="M125" s="23"/>
      <c r="N125" s="23"/>
      <c r="O125" s="23"/>
      <c r="P125" s="23"/>
      <c r="Q125" s="23"/>
      <c r="R125" s="23"/>
      <c r="S125" s="23"/>
      <c r="T125" s="23"/>
      <c r="U125" s="23"/>
      <c r="V125" s="23"/>
      <c r="W125" s="23"/>
      <c r="X125" s="23"/>
      <c r="Y125" s="23"/>
      <c r="Z125" s="23"/>
      <c r="AA125" s="23"/>
      <c r="AB125" s="23"/>
      <c r="AC125" s="23"/>
      <c r="AD125" s="23"/>
      <c r="AE125" s="23"/>
    </row>
    <row r="126" ht="15.75" customHeight="1">
      <c r="A126" s="21" t="s">
        <v>416</v>
      </c>
      <c r="B126" s="21" t="s">
        <v>80</v>
      </c>
      <c r="C126" s="21" t="s">
        <v>81</v>
      </c>
      <c r="D126" s="37" t="s">
        <v>417</v>
      </c>
      <c r="E126" s="22" t="s">
        <v>83</v>
      </c>
      <c r="F126" s="21">
        <v>1350.0</v>
      </c>
      <c r="G126" s="21" t="s">
        <v>335</v>
      </c>
      <c r="H126" s="22" t="s">
        <v>85</v>
      </c>
      <c r="I126" s="24" t="s">
        <v>91</v>
      </c>
      <c r="J126" s="22" t="s">
        <v>91</v>
      </c>
      <c r="K126" s="22" t="s">
        <v>85</v>
      </c>
      <c r="L126" s="23"/>
      <c r="M126" s="23"/>
      <c r="N126" s="23"/>
      <c r="O126" s="23"/>
      <c r="P126" s="23"/>
      <c r="Q126" s="23"/>
      <c r="R126" s="23"/>
      <c r="S126" s="23"/>
      <c r="T126" s="23"/>
      <c r="U126" s="23"/>
      <c r="V126" s="23"/>
      <c r="W126" s="23"/>
      <c r="X126" s="23"/>
      <c r="Y126" s="23"/>
      <c r="Z126" s="23"/>
      <c r="AA126" s="23"/>
      <c r="AB126" s="23"/>
      <c r="AC126" s="23"/>
      <c r="AD126" s="23"/>
      <c r="AE126" s="23"/>
    </row>
    <row r="127" ht="15.75" customHeight="1">
      <c r="A127" s="21" t="s">
        <v>418</v>
      </c>
      <c r="B127" s="21" t="s">
        <v>80</v>
      </c>
      <c r="C127" s="21" t="s">
        <v>81</v>
      </c>
      <c r="D127" s="37" t="s">
        <v>419</v>
      </c>
      <c r="E127" s="22" t="s">
        <v>83</v>
      </c>
      <c r="F127" s="21">
        <v>1796.0</v>
      </c>
      <c r="G127" s="21" t="s">
        <v>335</v>
      </c>
      <c r="H127" s="22" t="s">
        <v>85</v>
      </c>
      <c r="I127" s="24" t="s">
        <v>91</v>
      </c>
      <c r="J127" s="22" t="s">
        <v>91</v>
      </c>
      <c r="K127" s="22" t="s">
        <v>85</v>
      </c>
      <c r="L127" s="23"/>
      <c r="M127" s="23"/>
      <c r="N127" s="23"/>
      <c r="O127" s="23"/>
      <c r="P127" s="23"/>
      <c r="Q127" s="23"/>
      <c r="R127" s="23"/>
      <c r="S127" s="23"/>
      <c r="T127" s="23"/>
      <c r="U127" s="23"/>
      <c r="V127" s="23"/>
      <c r="W127" s="23"/>
      <c r="X127" s="23"/>
      <c r="Y127" s="23"/>
      <c r="Z127" s="23"/>
      <c r="AA127" s="23"/>
      <c r="AB127" s="23"/>
      <c r="AC127" s="23"/>
      <c r="AD127" s="23"/>
      <c r="AE127" s="23"/>
    </row>
    <row r="128" ht="15.75" customHeight="1">
      <c r="A128" s="21" t="s">
        <v>420</v>
      </c>
      <c r="B128" s="21" t="s">
        <v>80</v>
      </c>
      <c r="C128" s="21" t="s">
        <v>81</v>
      </c>
      <c r="D128" s="21" t="s">
        <v>421</v>
      </c>
      <c r="E128" s="22" t="s">
        <v>83</v>
      </c>
      <c r="F128" s="21" t="s">
        <v>422</v>
      </c>
      <c r="G128" s="23" t="s">
        <v>90</v>
      </c>
      <c r="H128" s="22" t="s">
        <v>85</v>
      </c>
      <c r="I128" s="24" t="s">
        <v>86</v>
      </c>
      <c r="J128" s="23" t="s">
        <v>87</v>
      </c>
      <c r="K128" s="22" t="s">
        <v>85</v>
      </c>
      <c r="L128" s="23"/>
      <c r="M128" s="23"/>
      <c r="N128" s="23"/>
      <c r="O128" s="23"/>
      <c r="P128" s="23"/>
      <c r="Q128" s="23"/>
      <c r="R128" s="23"/>
      <c r="S128" s="23"/>
      <c r="T128" s="23"/>
      <c r="U128" s="23"/>
      <c r="V128" s="23"/>
      <c r="W128" s="23"/>
      <c r="X128" s="23"/>
      <c r="Y128" s="23"/>
      <c r="Z128" s="23"/>
      <c r="AA128" s="23"/>
      <c r="AB128" s="23"/>
      <c r="AC128" s="23"/>
      <c r="AD128" s="23"/>
      <c r="AE128" s="23"/>
    </row>
    <row r="129" ht="15.75" customHeight="1">
      <c r="A129" s="21" t="s">
        <v>423</v>
      </c>
      <c r="B129" s="21" t="s">
        <v>80</v>
      </c>
      <c r="C129" s="21" t="s">
        <v>81</v>
      </c>
      <c r="D129" s="21" t="s">
        <v>424</v>
      </c>
      <c r="E129" s="22" t="s">
        <v>83</v>
      </c>
      <c r="F129" s="21" t="s">
        <v>425</v>
      </c>
      <c r="G129" s="23" t="s">
        <v>90</v>
      </c>
      <c r="H129" s="22" t="s">
        <v>85</v>
      </c>
      <c r="I129" s="24" t="s">
        <v>86</v>
      </c>
      <c r="J129" s="23" t="s">
        <v>87</v>
      </c>
      <c r="K129" s="22" t="s">
        <v>85</v>
      </c>
      <c r="L129" s="23"/>
      <c r="M129" s="23"/>
      <c r="N129" s="23"/>
      <c r="O129" s="23"/>
      <c r="P129" s="23"/>
      <c r="Q129" s="23"/>
      <c r="R129" s="23"/>
      <c r="S129" s="23"/>
      <c r="T129" s="23"/>
      <c r="U129" s="23"/>
      <c r="V129" s="23"/>
      <c r="W129" s="23"/>
      <c r="X129" s="23"/>
      <c r="Y129" s="23"/>
      <c r="Z129" s="23"/>
      <c r="AA129" s="23"/>
      <c r="AB129" s="23"/>
      <c r="AC129" s="23"/>
      <c r="AD129" s="23"/>
      <c r="AE129" s="23"/>
    </row>
    <row r="130" ht="15.75" customHeight="1">
      <c r="A130" s="21" t="s">
        <v>426</v>
      </c>
      <c r="B130" s="21" t="s">
        <v>80</v>
      </c>
      <c r="C130" s="21" t="s">
        <v>81</v>
      </c>
      <c r="D130" s="21" t="s">
        <v>427</v>
      </c>
      <c r="E130" s="22" t="s">
        <v>83</v>
      </c>
      <c r="F130" s="21" t="s">
        <v>428</v>
      </c>
      <c r="G130" s="23" t="s">
        <v>90</v>
      </c>
      <c r="H130" s="22" t="s">
        <v>85</v>
      </c>
      <c r="I130" s="24" t="s">
        <v>91</v>
      </c>
      <c r="J130" s="22" t="s">
        <v>91</v>
      </c>
      <c r="K130" s="22" t="s">
        <v>85</v>
      </c>
      <c r="L130" s="23"/>
      <c r="M130" s="23"/>
      <c r="N130" s="23"/>
      <c r="O130" s="23"/>
      <c r="P130" s="23"/>
      <c r="Q130" s="23"/>
      <c r="R130" s="23"/>
      <c r="S130" s="23"/>
      <c r="T130" s="23"/>
      <c r="U130" s="23"/>
      <c r="V130" s="23"/>
      <c r="W130" s="23"/>
      <c r="X130" s="23"/>
      <c r="Y130" s="23"/>
      <c r="Z130" s="23"/>
      <c r="AA130" s="23"/>
      <c r="AB130" s="23"/>
      <c r="AC130" s="23"/>
      <c r="AD130" s="23"/>
      <c r="AE130" s="23"/>
    </row>
    <row r="131" ht="15.75" customHeight="1">
      <c r="A131" s="21" t="s">
        <v>429</v>
      </c>
      <c r="B131" s="21" t="s">
        <v>251</v>
      </c>
      <c r="C131" s="21" t="s">
        <v>373</v>
      </c>
      <c r="D131" s="21" t="s">
        <v>430</v>
      </c>
      <c r="E131" s="22" t="s">
        <v>83</v>
      </c>
      <c r="F131" s="27">
        <v>43217.0</v>
      </c>
      <c r="G131" s="23" t="s">
        <v>90</v>
      </c>
      <c r="H131" s="22" t="s">
        <v>85</v>
      </c>
      <c r="I131" s="24" t="s">
        <v>91</v>
      </c>
      <c r="J131" s="22" t="s">
        <v>91</v>
      </c>
      <c r="K131" s="22" t="s">
        <v>85</v>
      </c>
      <c r="L131" s="23"/>
      <c r="M131" s="23"/>
      <c r="N131" s="23"/>
      <c r="O131" s="23"/>
      <c r="P131" s="23"/>
      <c r="Q131" s="23"/>
      <c r="R131" s="23"/>
      <c r="S131" s="23"/>
      <c r="T131" s="23"/>
      <c r="U131" s="23"/>
      <c r="V131" s="23"/>
      <c r="W131" s="23"/>
      <c r="X131" s="23"/>
      <c r="Y131" s="23"/>
      <c r="Z131" s="23"/>
      <c r="AA131" s="23"/>
      <c r="AB131" s="23"/>
      <c r="AC131" s="23"/>
      <c r="AD131" s="23"/>
      <c r="AE131" s="23"/>
    </row>
    <row r="132" ht="15.75" customHeight="1">
      <c r="A132" s="21" t="s">
        <v>431</v>
      </c>
      <c r="B132" s="21" t="s">
        <v>251</v>
      </c>
      <c r="C132" s="21" t="s">
        <v>373</v>
      </c>
      <c r="D132" s="21" t="s">
        <v>432</v>
      </c>
      <c r="E132" s="22" t="s">
        <v>83</v>
      </c>
      <c r="F132" s="21">
        <v>1499.0</v>
      </c>
      <c r="G132" s="23" t="s">
        <v>90</v>
      </c>
      <c r="H132" s="22" t="s">
        <v>85</v>
      </c>
      <c r="I132" s="24" t="s">
        <v>91</v>
      </c>
      <c r="J132" s="22" t="s">
        <v>91</v>
      </c>
      <c r="K132" s="22" t="s">
        <v>85</v>
      </c>
      <c r="L132" s="23"/>
      <c r="M132" s="23"/>
      <c r="N132" s="23"/>
      <c r="O132" s="23"/>
      <c r="P132" s="23"/>
      <c r="Q132" s="23"/>
      <c r="R132" s="23"/>
      <c r="S132" s="23"/>
      <c r="T132" s="23"/>
      <c r="U132" s="23"/>
      <c r="V132" s="23"/>
      <c r="W132" s="23"/>
      <c r="X132" s="23"/>
      <c r="Y132" s="23"/>
      <c r="Z132" s="23"/>
      <c r="AA132" s="23"/>
      <c r="AB132" s="23"/>
      <c r="AC132" s="23"/>
      <c r="AD132" s="23"/>
      <c r="AE132" s="23"/>
    </row>
    <row r="133" ht="15.75" customHeight="1">
      <c r="A133" s="21" t="s">
        <v>433</v>
      </c>
      <c r="B133" s="21" t="s">
        <v>251</v>
      </c>
      <c r="C133" s="21" t="s">
        <v>373</v>
      </c>
      <c r="D133" s="21" t="s">
        <v>434</v>
      </c>
      <c r="E133" s="22" t="s">
        <v>83</v>
      </c>
      <c r="F133" s="27">
        <v>43424.0</v>
      </c>
      <c r="G133" s="23" t="s">
        <v>90</v>
      </c>
      <c r="H133" s="22" t="s">
        <v>85</v>
      </c>
      <c r="I133" s="24" t="s">
        <v>91</v>
      </c>
      <c r="J133" s="22" t="s">
        <v>91</v>
      </c>
      <c r="K133" s="22" t="s">
        <v>85</v>
      </c>
      <c r="L133" s="23"/>
      <c r="M133" s="23"/>
      <c r="N133" s="23"/>
      <c r="O133" s="23"/>
      <c r="P133" s="23"/>
      <c r="Q133" s="23"/>
      <c r="R133" s="23"/>
      <c r="S133" s="23"/>
      <c r="T133" s="23"/>
      <c r="U133" s="23"/>
      <c r="V133" s="23"/>
      <c r="W133" s="23"/>
      <c r="X133" s="23"/>
      <c r="Y133" s="23"/>
      <c r="Z133" s="23"/>
      <c r="AA133" s="23"/>
      <c r="AB133" s="23"/>
      <c r="AC133" s="23"/>
      <c r="AD133" s="23"/>
      <c r="AE133" s="23"/>
    </row>
    <row r="134" ht="15.75" customHeight="1">
      <c r="A134" s="21" t="s">
        <v>435</v>
      </c>
      <c r="B134" s="21" t="s">
        <v>251</v>
      </c>
      <c r="C134" s="21" t="s">
        <v>373</v>
      </c>
      <c r="D134" s="21" t="s">
        <v>436</v>
      </c>
      <c r="E134" s="22" t="s">
        <v>83</v>
      </c>
      <c r="F134" s="27">
        <v>43237.0</v>
      </c>
      <c r="G134" s="23" t="s">
        <v>90</v>
      </c>
      <c r="H134" s="22" t="s">
        <v>85</v>
      </c>
      <c r="I134" s="24" t="s">
        <v>91</v>
      </c>
      <c r="J134" s="22" t="s">
        <v>91</v>
      </c>
      <c r="K134" s="22" t="s">
        <v>85</v>
      </c>
      <c r="L134" s="23"/>
      <c r="M134" s="23"/>
      <c r="N134" s="23"/>
      <c r="O134" s="23"/>
      <c r="P134" s="23"/>
      <c r="Q134" s="23"/>
      <c r="R134" s="23"/>
      <c r="S134" s="23"/>
      <c r="T134" s="23"/>
      <c r="U134" s="23"/>
      <c r="V134" s="23"/>
      <c r="W134" s="23"/>
      <c r="X134" s="23"/>
      <c r="Y134" s="23"/>
      <c r="Z134" s="23"/>
      <c r="AA134" s="23"/>
      <c r="AB134" s="23"/>
      <c r="AC134" s="23"/>
      <c r="AD134" s="23"/>
      <c r="AE134" s="23"/>
    </row>
    <row r="135" ht="15.75" customHeight="1">
      <c r="A135" s="21" t="s">
        <v>437</v>
      </c>
      <c r="B135" s="21" t="s">
        <v>251</v>
      </c>
      <c r="C135" s="21" t="s">
        <v>373</v>
      </c>
      <c r="D135" s="21" t="s">
        <v>438</v>
      </c>
      <c r="E135" s="22" t="s">
        <v>83</v>
      </c>
      <c r="F135" s="21">
        <v>1498.61</v>
      </c>
      <c r="G135" s="23" t="s">
        <v>90</v>
      </c>
      <c r="H135" s="22" t="s">
        <v>85</v>
      </c>
      <c r="I135" s="24" t="s">
        <v>91</v>
      </c>
      <c r="J135" s="22" t="s">
        <v>91</v>
      </c>
      <c r="K135" s="22" t="s">
        <v>85</v>
      </c>
      <c r="L135" s="23"/>
      <c r="M135" s="23"/>
      <c r="N135" s="23"/>
      <c r="O135" s="23"/>
      <c r="P135" s="23"/>
      <c r="Q135" s="23"/>
      <c r="R135" s="23"/>
      <c r="S135" s="23"/>
      <c r="T135" s="23"/>
      <c r="U135" s="23"/>
      <c r="V135" s="23"/>
      <c r="W135" s="23"/>
      <c r="X135" s="23"/>
      <c r="Y135" s="23"/>
      <c r="Z135" s="23"/>
      <c r="AA135" s="23"/>
      <c r="AB135" s="23"/>
      <c r="AC135" s="23"/>
      <c r="AD135" s="23"/>
      <c r="AE135" s="23"/>
    </row>
    <row r="136" ht="15.75" customHeight="1">
      <c r="A136" s="21" t="s">
        <v>439</v>
      </c>
      <c r="B136" s="21" t="s">
        <v>251</v>
      </c>
      <c r="C136" s="21" t="s">
        <v>373</v>
      </c>
      <c r="D136" s="21" t="s">
        <v>440</v>
      </c>
      <c r="E136" s="22" t="s">
        <v>83</v>
      </c>
      <c r="F136" s="27">
        <v>43425.0</v>
      </c>
      <c r="G136" s="23" t="s">
        <v>90</v>
      </c>
      <c r="H136" s="22" t="s">
        <v>85</v>
      </c>
      <c r="I136" s="24" t="s">
        <v>91</v>
      </c>
      <c r="J136" s="22" t="s">
        <v>91</v>
      </c>
      <c r="K136" s="22" t="s">
        <v>85</v>
      </c>
      <c r="L136" s="23"/>
      <c r="M136" s="23"/>
      <c r="N136" s="23"/>
      <c r="O136" s="23"/>
      <c r="P136" s="23"/>
      <c r="Q136" s="23"/>
      <c r="R136" s="23"/>
      <c r="S136" s="23"/>
      <c r="T136" s="23"/>
      <c r="U136" s="23"/>
      <c r="V136" s="23"/>
      <c r="W136" s="23"/>
      <c r="X136" s="23"/>
      <c r="Y136" s="23"/>
      <c r="Z136" s="23"/>
      <c r="AA136" s="23"/>
      <c r="AB136" s="23"/>
      <c r="AC136" s="23"/>
      <c r="AD136" s="23"/>
      <c r="AE136" s="23"/>
    </row>
    <row r="137" ht="15.75" customHeight="1">
      <c r="A137" s="21" t="s">
        <v>441</v>
      </c>
      <c r="B137" s="21" t="s">
        <v>251</v>
      </c>
      <c r="C137" s="21" t="s">
        <v>373</v>
      </c>
      <c r="D137" s="21" t="s">
        <v>442</v>
      </c>
      <c r="E137" s="22" t="s">
        <v>83</v>
      </c>
      <c r="F137" s="21">
        <v>50.0</v>
      </c>
      <c r="G137" s="23" t="s">
        <v>90</v>
      </c>
      <c r="H137" s="22" t="s">
        <v>85</v>
      </c>
      <c r="I137" s="24" t="s">
        <v>91</v>
      </c>
      <c r="J137" s="22" t="s">
        <v>91</v>
      </c>
      <c r="K137" s="22" t="s">
        <v>85</v>
      </c>
      <c r="L137" s="23"/>
      <c r="M137" s="23"/>
      <c r="N137" s="23"/>
      <c r="O137" s="23"/>
      <c r="P137" s="23"/>
      <c r="Q137" s="23"/>
      <c r="R137" s="23"/>
      <c r="S137" s="23"/>
      <c r="T137" s="23"/>
      <c r="U137" s="23"/>
      <c r="V137" s="23"/>
      <c r="W137" s="23"/>
      <c r="X137" s="23"/>
      <c r="Y137" s="23"/>
      <c r="Z137" s="23"/>
      <c r="AA137" s="23"/>
      <c r="AB137" s="23"/>
      <c r="AC137" s="23"/>
      <c r="AD137" s="23"/>
      <c r="AE137" s="23"/>
    </row>
    <row r="138" ht="15.75" customHeight="1">
      <c r="A138" s="21" t="s">
        <v>443</v>
      </c>
      <c r="B138" s="21" t="s">
        <v>80</v>
      </c>
      <c r="C138" s="21" t="s">
        <v>81</v>
      </c>
      <c r="D138" s="21" t="s">
        <v>444</v>
      </c>
      <c r="E138" s="21" t="s">
        <v>83</v>
      </c>
      <c r="F138" s="38">
        <v>5.15023E14</v>
      </c>
      <c r="G138" s="23" t="s">
        <v>445</v>
      </c>
      <c r="H138" s="22" t="s">
        <v>85</v>
      </c>
      <c r="I138" s="24" t="s">
        <v>91</v>
      </c>
      <c r="J138" s="22" t="s">
        <v>91</v>
      </c>
      <c r="K138" s="22" t="s">
        <v>85</v>
      </c>
      <c r="L138" s="23"/>
      <c r="M138" s="23"/>
      <c r="N138" s="23"/>
      <c r="O138" s="23"/>
      <c r="P138" s="23"/>
      <c r="Q138" s="23"/>
      <c r="R138" s="23"/>
      <c r="S138" s="23"/>
      <c r="T138" s="23"/>
      <c r="U138" s="23"/>
      <c r="V138" s="23"/>
      <c r="W138" s="23"/>
      <c r="X138" s="23"/>
      <c r="Y138" s="23"/>
      <c r="Z138" s="23"/>
      <c r="AA138" s="23"/>
      <c r="AB138" s="23"/>
      <c r="AC138" s="23"/>
      <c r="AD138" s="23"/>
      <c r="AE138" s="23"/>
    </row>
    <row r="139" ht="15.75" customHeight="1">
      <c r="A139" s="21" t="s">
        <v>446</v>
      </c>
      <c r="B139" s="21" t="s">
        <v>152</v>
      </c>
      <c r="C139" s="21" t="s">
        <v>152</v>
      </c>
      <c r="D139" s="21" t="s">
        <v>447</v>
      </c>
      <c r="E139" s="22" t="s">
        <v>83</v>
      </c>
      <c r="F139" s="21" t="s">
        <v>448</v>
      </c>
      <c r="G139" s="23" t="s">
        <v>90</v>
      </c>
      <c r="H139" s="22" t="s">
        <v>85</v>
      </c>
      <c r="I139" s="24" t="s">
        <v>91</v>
      </c>
      <c r="J139" s="22" t="s">
        <v>91</v>
      </c>
      <c r="K139" s="22" t="s">
        <v>85</v>
      </c>
      <c r="L139" s="23"/>
      <c r="M139" s="23"/>
      <c r="N139" s="23"/>
      <c r="O139" s="23"/>
      <c r="P139" s="23"/>
      <c r="Q139" s="23"/>
      <c r="R139" s="23"/>
      <c r="S139" s="23"/>
      <c r="T139" s="23"/>
      <c r="U139" s="23"/>
      <c r="V139" s="23"/>
      <c r="W139" s="23"/>
      <c r="X139" s="23"/>
      <c r="Y139" s="23"/>
      <c r="Z139" s="23"/>
      <c r="AA139" s="23"/>
      <c r="AB139" s="23"/>
      <c r="AC139" s="23"/>
      <c r="AD139" s="23"/>
      <c r="AE139" s="23"/>
    </row>
    <row r="140" ht="15.75" customHeight="1">
      <c r="A140" s="21" t="s">
        <v>449</v>
      </c>
      <c r="B140" s="21" t="s">
        <v>126</v>
      </c>
      <c r="C140" s="21" t="s">
        <v>127</v>
      </c>
      <c r="D140" s="21" t="s">
        <v>450</v>
      </c>
      <c r="E140" s="22" t="s">
        <v>83</v>
      </c>
      <c r="F140" s="21">
        <v>3.99253942E8</v>
      </c>
      <c r="G140" s="23" t="s">
        <v>90</v>
      </c>
      <c r="H140" s="22" t="s">
        <v>85</v>
      </c>
      <c r="I140" s="24" t="s">
        <v>91</v>
      </c>
      <c r="J140" s="22" t="s">
        <v>91</v>
      </c>
      <c r="K140" s="22" t="s">
        <v>85</v>
      </c>
      <c r="L140" s="23"/>
      <c r="M140" s="23"/>
      <c r="N140" s="23"/>
      <c r="O140" s="23"/>
      <c r="P140" s="23"/>
      <c r="Q140" s="23"/>
      <c r="R140" s="23"/>
      <c r="S140" s="23"/>
      <c r="T140" s="23"/>
      <c r="U140" s="23"/>
      <c r="V140" s="23"/>
      <c r="W140" s="23"/>
      <c r="X140" s="23"/>
      <c r="Y140" s="23"/>
      <c r="Z140" s="23"/>
      <c r="AA140" s="23"/>
      <c r="AB140" s="23"/>
      <c r="AC140" s="23"/>
      <c r="AD140" s="23"/>
      <c r="AE140" s="23"/>
    </row>
    <row r="141" ht="15.75" customHeight="1">
      <c r="A141" s="21" t="s">
        <v>451</v>
      </c>
      <c r="B141" s="21" t="s">
        <v>251</v>
      </c>
      <c r="C141" s="21" t="s">
        <v>198</v>
      </c>
      <c r="D141" s="21" t="s">
        <v>452</v>
      </c>
      <c r="E141" s="22" t="s">
        <v>83</v>
      </c>
      <c r="F141" s="21">
        <v>3023.0</v>
      </c>
      <c r="G141" s="23" t="s">
        <v>90</v>
      </c>
      <c r="H141" s="22" t="s">
        <v>85</v>
      </c>
      <c r="I141" s="24" t="s">
        <v>91</v>
      </c>
      <c r="J141" s="22" t="s">
        <v>91</v>
      </c>
      <c r="K141" s="22" t="s">
        <v>85</v>
      </c>
      <c r="L141" s="23"/>
      <c r="M141" s="23"/>
      <c r="N141" s="23"/>
      <c r="O141" s="23"/>
      <c r="P141" s="23"/>
      <c r="Q141" s="23"/>
      <c r="R141" s="23"/>
      <c r="S141" s="23"/>
      <c r="T141" s="23"/>
      <c r="U141" s="23"/>
      <c r="V141" s="23"/>
      <c r="W141" s="23"/>
      <c r="X141" s="23"/>
      <c r="Y141" s="23"/>
      <c r="Z141" s="23"/>
      <c r="AA141" s="23"/>
      <c r="AB141" s="23"/>
      <c r="AC141" s="23"/>
      <c r="AD141" s="23"/>
      <c r="AE141" s="23"/>
    </row>
    <row r="142" ht="15.75" customHeight="1">
      <c r="A142" s="21" t="s">
        <v>453</v>
      </c>
      <c r="B142" s="21" t="s">
        <v>251</v>
      </c>
      <c r="C142" s="21" t="s">
        <v>198</v>
      </c>
      <c r="D142" s="21" t="s">
        <v>454</v>
      </c>
      <c r="E142" s="22" t="s">
        <v>83</v>
      </c>
      <c r="F142" s="21">
        <v>133.1008</v>
      </c>
      <c r="G142" s="23" t="s">
        <v>90</v>
      </c>
      <c r="H142" s="22" t="s">
        <v>85</v>
      </c>
      <c r="I142" s="24" t="s">
        <v>91</v>
      </c>
      <c r="J142" s="22" t="s">
        <v>91</v>
      </c>
      <c r="K142" s="22" t="s">
        <v>85</v>
      </c>
      <c r="L142" s="23"/>
      <c r="M142" s="23"/>
      <c r="N142" s="23"/>
      <c r="O142" s="23"/>
      <c r="P142" s="23"/>
      <c r="Q142" s="23"/>
      <c r="R142" s="23"/>
      <c r="S142" s="23"/>
      <c r="T142" s="23"/>
      <c r="U142" s="23"/>
      <c r="V142" s="23"/>
      <c r="W142" s="23"/>
      <c r="X142" s="23"/>
      <c r="Y142" s="23"/>
      <c r="Z142" s="23"/>
      <c r="AA142" s="23"/>
      <c r="AB142" s="23"/>
      <c r="AC142" s="23"/>
      <c r="AD142" s="23"/>
      <c r="AE142" s="23"/>
    </row>
    <row r="143" ht="15.75" customHeight="1">
      <c r="A143" s="21" t="s">
        <v>455</v>
      </c>
      <c r="B143" s="21" t="s">
        <v>251</v>
      </c>
      <c r="C143" s="21" t="s">
        <v>373</v>
      </c>
      <c r="D143" s="21" t="s">
        <v>456</v>
      </c>
      <c r="E143" s="22" t="s">
        <v>83</v>
      </c>
      <c r="F143" s="21" t="s">
        <v>457</v>
      </c>
      <c r="G143" s="23" t="s">
        <v>90</v>
      </c>
      <c r="H143" s="22" t="s">
        <v>85</v>
      </c>
      <c r="I143" s="24" t="s">
        <v>86</v>
      </c>
      <c r="J143" s="23" t="s">
        <v>87</v>
      </c>
      <c r="K143" s="22" t="s">
        <v>85</v>
      </c>
      <c r="L143" s="23"/>
      <c r="M143" s="23"/>
      <c r="N143" s="23"/>
      <c r="O143" s="23"/>
      <c r="P143" s="23"/>
      <c r="Q143" s="23"/>
      <c r="R143" s="23"/>
      <c r="S143" s="23"/>
      <c r="T143" s="23"/>
      <c r="U143" s="23"/>
      <c r="V143" s="23"/>
      <c r="W143" s="23"/>
      <c r="X143" s="23"/>
      <c r="Y143" s="23"/>
      <c r="Z143" s="23"/>
      <c r="AA143" s="23"/>
      <c r="AB143" s="23"/>
      <c r="AC143" s="23"/>
      <c r="AD143" s="23"/>
      <c r="AE143" s="23"/>
    </row>
    <row r="144" ht="15.75" customHeight="1">
      <c r="A144" s="21" t="s">
        <v>458</v>
      </c>
      <c r="B144" s="21" t="s">
        <v>80</v>
      </c>
      <c r="C144" s="21" t="s">
        <v>81</v>
      </c>
      <c r="D144" s="21" t="s">
        <v>459</v>
      </c>
      <c r="E144" s="22" t="s">
        <v>83</v>
      </c>
      <c r="F144" s="21" t="s">
        <v>460</v>
      </c>
      <c r="G144" s="23" t="s">
        <v>90</v>
      </c>
      <c r="H144" s="21" t="s">
        <v>85</v>
      </c>
      <c r="I144" s="24" t="s">
        <v>86</v>
      </c>
      <c r="J144" s="21" t="s">
        <v>86</v>
      </c>
      <c r="K144" s="22" t="s">
        <v>85</v>
      </c>
      <c r="L144" s="23"/>
      <c r="M144" s="23"/>
      <c r="N144" s="23"/>
      <c r="O144" s="23"/>
      <c r="P144" s="23"/>
      <c r="Q144" s="23"/>
      <c r="R144" s="23"/>
      <c r="S144" s="23"/>
      <c r="T144" s="23"/>
      <c r="U144" s="23"/>
      <c r="V144" s="23"/>
      <c r="W144" s="23"/>
      <c r="X144" s="23"/>
      <c r="Y144" s="23"/>
      <c r="Z144" s="23"/>
      <c r="AA144" s="23"/>
      <c r="AB144" s="23"/>
      <c r="AC144" s="23"/>
      <c r="AD144" s="23"/>
      <c r="AE144" s="23"/>
    </row>
    <row r="145" ht="15.75" customHeight="1">
      <c r="A145" s="21" t="s">
        <v>461</v>
      </c>
      <c r="B145" s="21" t="s">
        <v>251</v>
      </c>
      <c r="C145" s="21" t="s">
        <v>373</v>
      </c>
      <c r="D145" s="21" t="s">
        <v>462</v>
      </c>
      <c r="E145" s="22" t="s">
        <v>83</v>
      </c>
      <c r="F145" s="21" t="s">
        <v>463</v>
      </c>
      <c r="G145" s="23" t="s">
        <v>90</v>
      </c>
      <c r="H145" s="22" t="s">
        <v>85</v>
      </c>
      <c r="I145" s="24" t="s">
        <v>91</v>
      </c>
      <c r="J145" s="23" t="s">
        <v>87</v>
      </c>
      <c r="K145" s="22" t="s">
        <v>85</v>
      </c>
      <c r="L145" s="23"/>
      <c r="M145" s="23"/>
      <c r="N145" s="23"/>
      <c r="O145" s="23"/>
      <c r="P145" s="23"/>
      <c r="Q145" s="23"/>
      <c r="R145" s="23"/>
      <c r="S145" s="23"/>
      <c r="T145" s="23"/>
      <c r="U145" s="23"/>
      <c r="V145" s="23"/>
      <c r="W145" s="23"/>
      <c r="X145" s="23"/>
      <c r="Y145" s="23"/>
      <c r="Z145" s="23"/>
      <c r="AA145" s="23"/>
      <c r="AB145" s="23"/>
      <c r="AC145" s="23"/>
      <c r="AD145" s="23"/>
      <c r="AE145" s="23"/>
    </row>
    <row r="146" ht="15.75" customHeight="1">
      <c r="A146" s="21" t="s">
        <v>464</v>
      </c>
      <c r="B146" s="21" t="s">
        <v>251</v>
      </c>
      <c r="C146" s="21" t="s">
        <v>373</v>
      </c>
      <c r="D146" s="21" t="s">
        <v>465</v>
      </c>
      <c r="E146" s="22" t="s">
        <v>83</v>
      </c>
      <c r="F146" s="21" t="s">
        <v>466</v>
      </c>
      <c r="G146" s="23" t="s">
        <v>90</v>
      </c>
      <c r="H146" s="22" t="s">
        <v>85</v>
      </c>
      <c r="I146" s="24" t="s">
        <v>91</v>
      </c>
      <c r="J146" s="23" t="s">
        <v>87</v>
      </c>
      <c r="K146" s="22" t="s">
        <v>85</v>
      </c>
      <c r="L146" s="23"/>
      <c r="M146" s="23"/>
      <c r="N146" s="23"/>
      <c r="O146" s="23"/>
      <c r="P146" s="23"/>
      <c r="Q146" s="23"/>
      <c r="R146" s="23"/>
      <c r="S146" s="23"/>
      <c r="T146" s="23"/>
      <c r="U146" s="23"/>
      <c r="V146" s="23"/>
      <c r="W146" s="23"/>
      <c r="X146" s="23"/>
      <c r="Y146" s="23"/>
      <c r="Z146" s="23"/>
      <c r="AA146" s="23"/>
      <c r="AB146" s="23"/>
      <c r="AC146" s="23"/>
      <c r="AD146" s="23"/>
      <c r="AE146" s="23"/>
    </row>
    <row r="147" ht="15.75" customHeight="1">
      <c r="A147" s="21" t="s">
        <v>467</v>
      </c>
      <c r="B147" s="21" t="s">
        <v>80</v>
      </c>
      <c r="C147" s="21" t="s">
        <v>81</v>
      </c>
      <c r="D147" s="21" t="s">
        <v>468</v>
      </c>
      <c r="E147" s="22" t="s">
        <v>83</v>
      </c>
      <c r="F147" s="21">
        <v>9.40904151E8</v>
      </c>
      <c r="G147" s="23" t="s">
        <v>90</v>
      </c>
      <c r="H147" s="22" t="s">
        <v>85</v>
      </c>
      <c r="I147" s="24" t="s">
        <v>91</v>
      </c>
      <c r="J147" s="23" t="s">
        <v>87</v>
      </c>
      <c r="K147" s="22" t="s">
        <v>85</v>
      </c>
      <c r="L147" s="23"/>
      <c r="M147" s="23"/>
      <c r="N147" s="23"/>
      <c r="O147" s="23"/>
      <c r="P147" s="23"/>
      <c r="Q147" s="23"/>
      <c r="R147" s="23"/>
      <c r="S147" s="23"/>
      <c r="T147" s="23"/>
      <c r="U147" s="23"/>
      <c r="V147" s="23"/>
      <c r="W147" s="23"/>
      <c r="X147" s="23"/>
      <c r="Y147" s="23"/>
      <c r="Z147" s="23"/>
      <c r="AA147" s="23"/>
      <c r="AB147" s="23"/>
      <c r="AC147" s="23"/>
      <c r="AD147" s="23"/>
      <c r="AE147" s="23"/>
    </row>
    <row r="148" ht="15.75" customHeight="1">
      <c r="A148" s="21" t="s">
        <v>469</v>
      </c>
      <c r="B148" s="21" t="s">
        <v>80</v>
      </c>
      <c r="C148" s="21" t="s">
        <v>81</v>
      </c>
      <c r="D148" s="21" t="s">
        <v>470</v>
      </c>
      <c r="E148" s="22" t="s">
        <v>83</v>
      </c>
      <c r="F148" s="21" t="s">
        <v>471</v>
      </c>
      <c r="G148" s="23" t="s">
        <v>90</v>
      </c>
      <c r="H148" s="22" t="s">
        <v>85</v>
      </c>
      <c r="I148" s="24" t="s">
        <v>91</v>
      </c>
      <c r="J148" s="23" t="s">
        <v>87</v>
      </c>
      <c r="K148" s="22" t="s">
        <v>85</v>
      </c>
      <c r="L148" s="23"/>
      <c r="M148" s="23"/>
      <c r="N148" s="23"/>
      <c r="O148" s="23"/>
      <c r="P148" s="23"/>
      <c r="Q148" s="23"/>
      <c r="R148" s="23"/>
      <c r="S148" s="23"/>
      <c r="T148" s="23"/>
      <c r="U148" s="23"/>
      <c r="V148" s="23"/>
      <c r="W148" s="23"/>
      <c r="X148" s="23"/>
      <c r="Y148" s="23"/>
      <c r="Z148" s="23"/>
      <c r="AA148" s="23"/>
      <c r="AB148" s="23"/>
      <c r="AC148" s="23"/>
      <c r="AD148" s="23"/>
      <c r="AE148" s="23"/>
    </row>
    <row r="149" ht="15.75" customHeight="1">
      <c r="A149" s="33" t="s">
        <v>472</v>
      </c>
      <c r="B149" s="33" t="s">
        <v>473</v>
      </c>
      <c r="C149" s="33" t="s">
        <v>474</v>
      </c>
      <c r="D149" s="24" t="s">
        <v>475</v>
      </c>
      <c r="E149" s="22" t="s">
        <v>185</v>
      </c>
      <c r="F149" s="21"/>
      <c r="G149" s="39" t="s">
        <v>476</v>
      </c>
      <c r="H149" s="22"/>
      <c r="I149" s="39" t="s">
        <v>476</v>
      </c>
      <c r="J149" s="39" t="s">
        <v>476</v>
      </c>
      <c r="K149" s="22"/>
      <c r="L149" s="40"/>
      <c r="M149" s="40"/>
      <c r="N149" s="40"/>
      <c r="O149" s="40"/>
      <c r="P149" s="40"/>
      <c r="Q149" s="40"/>
      <c r="R149" s="40"/>
      <c r="S149" s="40"/>
      <c r="T149" s="40"/>
      <c r="U149" s="40"/>
      <c r="V149" s="40"/>
      <c r="W149" s="40"/>
      <c r="X149" s="40"/>
      <c r="Y149" s="40"/>
      <c r="Z149" s="40"/>
      <c r="AA149" s="40"/>
      <c r="AB149" s="40"/>
      <c r="AC149" s="40"/>
      <c r="AD149" s="40"/>
      <c r="AE149" s="40"/>
    </row>
    <row r="150" ht="15.75" customHeight="1">
      <c r="A150" s="33" t="s">
        <v>477</v>
      </c>
      <c r="B150" s="33" t="s">
        <v>473</v>
      </c>
      <c r="C150" s="33" t="s">
        <v>474</v>
      </c>
      <c r="D150" s="24" t="s">
        <v>478</v>
      </c>
      <c r="E150" s="22" t="s">
        <v>185</v>
      </c>
      <c r="F150" s="21"/>
      <c r="G150" s="39" t="s">
        <v>476</v>
      </c>
      <c r="H150" s="22"/>
      <c r="I150" s="39" t="s">
        <v>476</v>
      </c>
      <c r="J150" s="39" t="s">
        <v>476</v>
      </c>
      <c r="K150" s="22"/>
      <c r="L150" s="40"/>
      <c r="M150" s="40"/>
      <c r="N150" s="40"/>
      <c r="O150" s="40"/>
      <c r="P150" s="40"/>
      <c r="Q150" s="40"/>
      <c r="R150" s="40"/>
      <c r="S150" s="40"/>
      <c r="T150" s="40"/>
      <c r="U150" s="40"/>
      <c r="V150" s="40"/>
      <c r="W150" s="40"/>
      <c r="X150" s="40"/>
      <c r="Y150" s="40"/>
      <c r="Z150" s="40"/>
      <c r="AA150" s="40"/>
      <c r="AB150" s="40"/>
      <c r="AC150" s="40"/>
      <c r="AD150" s="40"/>
      <c r="AE150" s="40"/>
    </row>
    <row r="151" ht="15.75" customHeight="1">
      <c r="A151" s="33" t="s">
        <v>479</v>
      </c>
      <c r="B151" s="33" t="s">
        <v>473</v>
      </c>
      <c r="C151" s="33" t="s">
        <v>474</v>
      </c>
      <c r="D151" s="24" t="s">
        <v>480</v>
      </c>
      <c r="E151" s="22" t="s">
        <v>185</v>
      </c>
      <c r="F151" s="21"/>
      <c r="G151" s="39" t="s">
        <v>476</v>
      </c>
      <c r="H151" s="22"/>
      <c r="I151" s="39" t="s">
        <v>476</v>
      </c>
      <c r="J151" s="39" t="s">
        <v>476</v>
      </c>
      <c r="K151" s="22"/>
      <c r="L151" s="40"/>
      <c r="M151" s="40"/>
      <c r="N151" s="40"/>
      <c r="O151" s="40"/>
      <c r="P151" s="40"/>
      <c r="Q151" s="40"/>
      <c r="R151" s="40"/>
      <c r="S151" s="40"/>
      <c r="T151" s="40"/>
      <c r="U151" s="40"/>
      <c r="V151" s="40"/>
      <c r="W151" s="40"/>
      <c r="X151" s="40"/>
      <c r="Y151" s="40"/>
      <c r="Z151" s="40"/>
      <c r="AA151" s="40"/>
      <c r="AB151" s="40"/>
      <c r="AC151" s="40"/>
      <c r="AD151" s="40"/>
      <c r="AE151" s="40"/>
    </row>
    <row r="152" ht="15.75" customHeight="1">
      <c r="A152" s="33" t="s">
        <v>481</v>
      </c>
      <c r="B152" s="33" t="s">
        <v>473</v>
      </c>
      <c r="C152" s="33" t="s">
        <v>474</v>
      </c>
      <c r="D152" s="24" t="s">
        <v>482</v>
      </c>
      <c r="E152" s="22" t="s">
        <v>102</v>
      </c>
      <c r="F152" s="21">
        <v>36.0</v>
      </c>
      <c r="G152" s="41" t="s">
        <v>359</v>
      </c>
      <c r="H152" s="22"/>
      <c r="I152" s="24" t="s">
        <v>91</v>
      </c>
      <c r="J152" s="24" t="s">
        <v>91</v>
      </c>
      <c r="K152" s="22"/>
      <c r="L152" s="40"/>
      <c r="M152" s="40"/>
      <c r="N152" s="40"/>
      <c r="O152" s="40"/>
      <c r="P152" s="40"/>
      <c r="Q152" s="40"/>
      <c r="R152" s="40"/>
      <c r="S152" s="40"/>
      <c r="T152" s="40"/>
      <c r="U152" s="40"/>
      <c r="V152" s="40"/>
      <c r="W152" s="40"/>
      <c r="X152" s="40"/>
      <c r="Y152" s="40"/>
      <c r="Z152" s="40"/>
      <c r="AA152" s="40"/>
      <c r="AB152" s="40"/>
      <c r="AC152" s="40"/>
      <c r="AD152" s="40"/>
      <c r="AE152" s="40"/>
    </row>
    <row r="153" ht="15.75" customHeight="1">
      <c r="A153" s="33" t="s">
        <v>483</v>
      </c>
      <c r="B153" s="33" t="s">
        <v>473</v>
      </c>
      <c r="C153" s="33" t="s">
        <v>474</v>
      </c>
      <c r="D153" s="24" t="s">
        <v>484</v>
      </c>
      <c r="E153" s="22" t="s">
        <v>102</v>
      </c>
      <c r="F153" s="21">
        <v>24.0</v>
      </c>
      <c r="G153" s="41" t="s">
        <v>359</v>
      </c>
      <c r="H153" s="22"/>
      <c r="I153" s="24" t="s">
        <v>91</v>
      </c>
      <c r="J153" s="24" t="s">
        <v>91</v>
      </c>
      <c r="K153" s="22"/>
      <c r="L153" s="40"/>
      <c r="M153" s="40"/>
      <c r="N153" s="40"/>
      <c r="O153" s="40"/>
      <c r="P153" s="40"/>
      <c r="Q153" s="40"/>
      <c r="R153" s="40"/>
      <c r="S153" s="40"/>
      <c r="T153" s="40"/>
      <c r="U153" s="40"/>
      <c r="V153" s="40"/>
      <c r="W153" s="40"/>
      <c r="X153" s="40"/>
      <c r="Y153" s="40"/>
      <c r="Z153" s="40"/>
      <c r="AA153" s="40"/>
      <c r="AB153" s="40"/>
      <c r="AC153" s="40"/>
      <c r="AD153" s="40"/>
      <c r="AE153" s="40"/>
    </row>
    <row r="154" ht="15.75" customHeight="1">
      <c r="A154" s="33" t="s">
        <v>485</v>
      </c>
      <c r="B154" s="33" t="s">
        <v>473</v>
      </c>
      <c r="C154" s="33" t="s">
        <v>474</v>
      </c>
      <c r="D154" s="24" t="s">
        <v>486</v>
      </c>
      <c r="E154" s="22" t="s">
        <v>102</v>
      </c>
      <c r="F154" s="21">
        <v>19.0</v>
      </c>
      <c r="G154" s="41" t="s">
        <v>359</v>
      </c>
      <c r="H154" s="22"/>
      <c r="I154" s="24" t="s">
        <v>91</v>
      </c>
      <c r="J154" s="24" t="s">
        <v>91</v>
      </c>
      <c r="K154" s="22"/>
      <c r="L154" s="40"/>
      <c r="M154" s="40"/>
      <c r="N154" s="40"/>
      <c r="O154" s="40"/>
      <c r="P154" s="40"/>
      <c r="Q154" s="40"/>
      <c r="R154" s="40"/>
      <c r="S154" s="40"/>
      <c r="T154" s="40"/>
      <c r="U154" s="40"/>
      <c r="V154" s="40"/>
      <c r="W154" s="40"/>
      <c r="X154" s="40"/>
      <c r="Y154" s="40"/>
      <c r="Z154" s="40"/>
      <c r="AA154" s="40"/>
      <c r="AB154" s="40"/>
      <c r="AC154" s="40"/>
      <c r="AD154" s="40"/>
      <c r="AE154" s="40"/>
    </row>
    <row r="155" ht="15.75" customHeight="1">
      <c r="A155" s="33" t="s">
        <v>487</v>
      </c>
      <c r="B155" s="33" t="s">
        <v>473</v>
      </c>
      <c r="C155" s="33" t="s">
        <v>474</v>
      </c>
      <c r="D155" s="24" t="s">
        <v>488</v>
      </c>
      <c r="E155" s="22" t="s">
        <v>102</v>
      </c>
      <c r="F155" s="21">
        <v>23.0</v>
      </c>
      <c r="G155" s="41" t="s">
        <v>359</v>
      </c>
      <c r="H155" s="22"/>
      <c r="I155" s="24" t="s">
        <v>91</v>
      </c>
      <c r="J155" s="24" t="s">
        <v>91</v>
      </c>
      <c r="K155" s="22"/>
      <c r="L155" s="40"/>
      <c r="M155" s="40"/>
      <c r="N155" s="40"/>
      <c r="O155" s="40"/>
      <c r="P155" s="40"/>
      <c r="Q155" s="40"/>
      <c r="R155" s="40"/>
      <c r="S155" s="40"/>
      <c r="T155" s="40"/>
      <c r="U155" s="40"/>
      <c r="V155" s="40"/>
      <c r="W155" s="40"/>
      <c r="X155" s="40"/>
      <c r="Y155" s="40"/>
      <c r="Z155" s="40"/>
      <c r="AA155" s="40"/>
      <c r="AB155" s="40"/>
      <c r="AC155" s="40"/>
      <c r="AD155" s="40"/>
      <c r="AE155" s="40"/>
    </row>
    <row r="156" ht="15.75" customHeight="1">
      <c r="A156" s="33" t="s">
        <v>489</v>
      </c>
      <c r="B156" s="33" t="s">
        <v>473</v>
      </c>
      <c r="C156" s="33" t="s">
        <v>474</v>
      </c>
      <c r="D156" s="24" t="s">
        <v>490</v>
      </c>
      <c r="E156" s="22" t="s">
        <v>185</v>
      </c>
      <c r="F156" s="21"/>
      <c r="G156" s="39" t="s">
        <v>476</v>
      </c>
      <c r="H156" s="22"/>
      <c r="I156" s="39" t="s">
        <v>476</v>
      </c>
      <c r="J156" s="39" t="s">
        <v>476</v>
      </c>
      <c r="K156" s="22"/>
      <c r="L156" s="40"/>
      <c r="M156" s="40"/>
      <c r="N156" s="40"/>
      <c r="O156" s="40"/>
      <c r="P156" s="40"/>
      <c r="Q156" s="40"/>
      <c r="R156" s="40"/>
      <c r="S156" s="40"/>
      <c r="T156" s="40"/>
      <c r="U156" s="40"/>
      <c r="V156" s="40"/>
      <c r="W156" s="40"/>
      <c r="X156" s="40"/>
      <c r="Y156" s="40"/>
      <c r="Z156" s="40"/>
      <c r="AA156" s="40"/>
      <c r="AB156" s="40"/>
      <c r="AC156" s="40"/>
      <c r="AD156" s="40"/>
      <c r="AE156" s="40"/>
    </row>
    <row r="157" ht="15.75" customHeight="1">
      <c r="A157" s="33" t="s">
        <v>491</v>
      </c>
      <c r="B157" s="33" t="s">
        <v>473</v>
      </c>
      <c r="C157" s="33" t="s">
        <v>474</v>
      </c>
      <c r="D157" s="24" t="s">
        <v>492</v>
      </c>
      <c r="E157" s="22" t="s">
        <v>185</v>
      </c>
      <c r="F157" s="21"/>
      <c r="G157" s="39" t="s">
        <v>476</v>
      </c>
      <c r="H157" s="22"/>
      <c r="I157" s="39" t="s">
        <v>476</v>
      </c>
      <c r="J157" s="39" t="s">
        <v>476</v>
      </c>
      <c r="K157" s="22"/>
      <c r="L157" s="40"/>
      <c r="M157" s="40"/>
      <c r="N157" s="40"/>
      <c r="O157" s="40"/>
      <c r="P157" s="40"/>
      <c r="Q157" s="40"/>
      <c r="R157" s="40"/>
      <c r="S157" s="40"/>
      <c r="T157" s="40"/>
      <c r="U157" s="40"/>
      <c r="V157" s="40"/>
      <c r="W157" s="40"/>
      <c r="X157" s="40"/>
      <c r="Y157" s="40"/>
      <c r="Z157" s="40"/>
      <c r="AA157" s="40"/>
      <c r="AB157" s="40"/>
      <c r="AC157" s="40"/>
      <c r="AD157" s="40"/>
      <c r="AE157" s="40"/>
    </row>
    <row r="158" ht="15.75" customHeight="1">
      <c r="A158" s="33" t="s">
        <v>493</v>
      </c>
      <c r="B158" s="33" t="s">
        <v>473</v>
      </c>
      <c r="C158" s="33" t="s">
        <v>474</v>
      </c>
      <c r="D158" s="24" t="s">
        <v>494</v>
      </c>
      <c r="E158" s="22" t="s">
        <v>185</v>
      </c>
      <c r="F158" s="42"/>
      <c r="G158" s="39" t="s">
        <v>476</v>
      </c>
      <c r="H158" s="43"/>
      <c r="I158" s="39" t="s">
        <v>476</v>
      </c>
      <c r="J158" s="39" t="s">
        <v>476</v>
      </c>
      <c r="K158" s="43"/>
      <c r="L158" s="44"/>
      <c r="M158" s="44"/>
      <c r="N158" s="44"/>
      <c r="O158" s="44"/>
      <c r="P158" s="44"/>
      <c r="Q158" s="44"/>
      <c r="R158" s="44"/>
      <c r="S158" s="44"/>
      <c r="T158" s="44"/>
      <c r="U158" s="44"/>
      <c r="V158" s="44"/>
      <c r="W158" s="44"/>
      <c r="X158" s="44"/>
      <c r="Y158" s="44"/>
      <c r="Z158" s="44"/>
      <c r="AA158" s="44"/>
      <c r="AB158" s="44"/>
      <c r="AC158" s="44"/>
      <c r="AD158" s="44"/>
      <c r="AE158" s="44"/>
    </row>
    <row r="159" ht="15.75" customHeight="1">
      <c r="A159" s="33" t="s">
        <v>495</v>
      </c>
      <c r="B159" s="33" t="s">
        <v>473</v>
      </c>
      <c r="C159" s="33" t="s">
        <v>474</v>
      </c>
      <c r="D159" s="24" t="s">
        <v>496</v>
      </c>
      <c r="E159" s="22" t="s">
        <v>185</v>
      </c>
      <c r="F159" s="42"/>
      <c r="G159" s="39" t="s">
        <v>476</v>
      </c>
      <c r="H159" s="43"/>
      <c r="I159" s="39" t="s">
        <v>476</v>
      </c>
      <c r="J159" s="39" t="s">
        <v>476</v>
      </c>
      <c r="K159" s="43"/>
      <c r="L159" s="45"/>
      <c r="M159" s="45"/>
      <c r="N159" s="45"/>
      <c r="O159" s="45"/>
      <c r="P159" s="45"/>
      <c r="Q159" s="45"/>
      <c r="R159" s="45"/>
      <c r="S159" s="45"/>
      <c r="T159" s="45"/>
      <c r="U159" s="45"/>
      <c r="V159" s="45"/>
      <c r="W159" s="45"/>
      <c r="X159" s="45"/>
      <c r="Y159" s="45"/>
      <c r="Z159" s="45"/>
      <c r="AA159" s="45"/>
      <c r="AB159" s="45"/>
      <c r="AC159" s="45"/>
      <c r="AD159" s="45"/>
      <c r="AE159" s="45"/>
    </row>
    <row r="160" ht="15.75" customHeight="1">
      <c r="A160" s="33" t="s">
        <v>497</v>
      </c>
      <c r="B160" s="33" t="s">
        <v>473</v>
      </c>
      <c r="C160" s="33" t="s">
        <v>474</v>
      </c>
      <c r="D160" s="24" t="s">
        <v>498</v>
      </c>
      <c r="E160" s="22" t="s">
        <v>185</v>
      </c>
      <c r="F160" s="42"/>
      <c r="G160" s="39" t="s">
        <v>476</v>
      </c>
      <c r="H160" s="43"/>
      <c r="I160" s="39" t="s">
        <v>476</v>
      </c>
      <c r="J160" s="39" t="s">
        <v>476</v>
      </c>
      <c r="K160" s="43"/>
      <c r="L160" s="45"/>
      <c r="M160" s="45"/>
      <c r="N160" s="45"/>
      <c r="O160" s="45"/>
      <c r="P160" s="45"/>
      <c r="Q160" s="45"/>
      <c r="R160" s="45"/>
      <c r="S160" s="45"/>
      <c r="T160" s="45"/>
      <c r="U160" s="45"/>
      <c r="V160" s="45"/>
      <c r="W160" s="45"/>
      <c r="X160" s="45"/>
      <c r="Y160" s="45"/>
      <c r="Z160" s="45"/>
      <c r="AA160" s="45"/>
      <c r="AB160" s="45"/>
      <c r="AC160" s="45"/>
      <c r="AD160" s="45"/>
      <c r="AE160" s="45"/>
    </row>
    <row r="161" ht="15.75" customHeight="1">
      <c r="A161" s="33" t="s">
        <v>499</v>
      </c>
      <c r="B161" s="33" t="s">
        <v>473</v>
      </c>
      <c r="C161" s="33" t="s">
        <v>474</v>
      </c>
      <c r="D161" s="24" t="s">
        <v>500</v>
      </c>
      <c r="E161" s="22" t="s">
        <v>185</v>
      </c>
      <c r="F161" s="42"/>
      <c r="G161" s="39" t="s">
        <v>476</v>
      </c>
      <c r="H161" s="43"/>
      <c r="I161" s="39" t="s">
        <v>476</v>
      </c>
      <c r="J161" s="39" t="s">
        <v>476</v>
      </c>
      <c r="K161" s="43"/>
      <c r="L161" s="45"/>
      <c r="M161" s="45"/>
      <c r="N161" s="45"/>
      <c r="O161" s="45"/>
      <c r="P161" s="45"/>
      <c r="Q161" s="45"/>
      <c r="R161" s="45"/>
      <c r="S161" s="45"/>
      <c r="T161" s="45"/>
      <c r="U161" s="45"/>
      <c r="V161" s="45"/>
      <c r="W161" s="45"/>
      <c r="X161" s="45"/>
      <c r="Y161" s="45"/>
      <c r="Z161" s="45"/>
      <c r="AA161" s="45"/>
      <c r="AB161" s="45"/>
      <c r="AC161" s="45"/>
      <c r="AD161" s="45"/>
      <c r="AE161" s="45"/>
    </row>
    <row r="162" ht="15.75" customHeight="1">
      <c r="A162" s="33" t="s">
        <v>501</v>
      </c>
      <c r="B162" s="33" t="s">
        <v>473</v>
      </c>
      <c r="C162" s="33" t="s">
        <v>474</v>
      </c>
      <c r="D162" s="24" t="s">
        <v>502</v>
      </c>
      <c r="E162" s="22" t="s">
        <v>185</v>
      </c>
      <c r="F162" s="42"/>
      <c r="G162" s="39" t="s">
        <v>476</v>
      </c>
      <c r="H162" s="43"/>
      <c r="I162" s="39" t="s">
        <v>476</v>
      </c>
      <c r="J162" s="39" t="s">
        <v>476</v>
      </c>
      <c r="K162" s="43"/>
      <c r="L162" s="45"/>
      <c r="M162" s="45"/>
      <c r="N162" s="45"/>
      <c r="O162" s="45"/>
      <c r="P162" s="45"/>
      <c r="Q162" s="45"/>
      <c r="R162" s="45"/>
      <c r="S162" s="45"/>
      <c r="T162" s="45"/>
      <c r="U162" s="45"/>
      <c r="V162" s="45"/>
      <c r="W162" s="45"/>
      <c r="X162" s="45"/>
      <c r="Y162" s="45"/>
      <c r="Z162" s="45"/>
      <c r="AA162" s="45"/>
      <c r="AB162" s="45"/>
      <c r="AC162" s="45"/>
      <c r="AD162" s="45"/>
      <c r="AE162" s="45"/>
    </row>
    <row r="163" ht="15.75" customHeight="1">
      <c r="A163" s="33" t="s">
        <v>503</v>
      </c>
      <c r="B163" s="33" t="s">
        <v>473</v>
      </c>
      <c r="C163" s="33" t="s">
        <v>474</v>
      </c>
      <c r="D163" s="24" t="s">
        <v>504</v>
      </c>
      <c r="E163" s="22" t="s">
        <v>185</v>
      </c>
      <c r="F163" s="42"/>
      <c r="G163" s="39" t="s">
        <v>476</v>
      </c>
      <c r="H163" s="43"/>
      <c r="I163" s="39" t="s">
        <v>476</v>
      </c>
      <c r="J163" s="39" t="s">
        <v>476</v>
      </c>
      <c r="K163" s="43"/>
      <c r="L163" s="45"/>
      <c r="M163" s="45"/>
      <c r="N163" s="45"/>
      <c r="O163" s="45"/>
      <c r="P163" s="45"/>
      <c r="Q163" s="45"/>
      <c r="R163" s="45"/>
      <c r="S163" s="45"/>
      <c r="T163" s="45"/>
      <c r="U163" s="45"/>
      <c r="V163" s="45"/>
      <c r="W163" s="45"/>
      <c r="X163" s="45"/>
      <c r="Y163" s="45"/>
      <c r="Z163" s="45"/>
      <c r="AA163" s="45"/>
      <c r="AB163" s="45"/>
      <c r="AC163" s="45"/>
      <c r="AD163" s="45"/>
      <c r="AE163" s="45"/>
    </row>
    <row r="164" ht="15.75" customHeight="1">
      <c r="A164" s="33" t="s">
        <v>505</v>
      </c>
      <c r="B164" s="33" t="s">
        <v>473</v>
      </c>
      <c r="C164" s="33" t="s">
        <v>474</v>
      </c>
      <c r="D164" s="24" t="s">
        <v>506</v>
      </c>
      <c r="E164" s="22" t="s">
        <v>185</v>
      </c>
      <c r="F164" s="42"/>
      <c r="G164" s="39" t="s">
        <v>476</v>
      </c>
      <c r="H164" s="43"/>
      <c r="I164" s="39" t="s">
        <v>476</v>
      </c>
      <c r="J164" s="39" t="s">
        <v>476</v>
      </c>
      <c r="K164" s="43"/>
      <c r="L164" s="45"/>
      <c r="M164" s="45"/>
      <c r="N164" s="45"/>
      <c r="O164" s="45"/>
      <c r="P164" s="45"/>
      <c r="Q164" s="45"/>
      <c r="R164" s="45"/>
      <c r="S164" s="45"/>
      <c r="T164" s="45"/>
      <c r="U164" s="45"/>
      <c r="V164" s="45"/>
      <c r="W164" s="45"/>
      <c r="X164" s="45"/>
      <c r="Y164" s="45"/>
      <c r="Z164" s="45"/>
      <c r="AA164" s="45"/>
      <c r="AB164" s="45"/>
      <c r="AC164" s="45"/>
      <c r="AD164" s="45"/>
      <c r="AE164" s="45"/>
    </row>
    <row r="165" ht="15.75" customHeight="1">
      <c r="A165" s="33" t="s">
        <v>507</v>
      </c>
      <c r="B165" s="33" t="s">
        <v>473</v>
      </c>
      <c r="C165" s="33" t="s">
        <v>474</v>
      </c>
      <c r="D165" s="24" t="s">
        <v>508</v>
      </c>
      <c r="E165" s="22" t="s">
        <v>185</v>
      </c>
      <c r="F165" s="42"/>
      <c r="G165" s="39" t="s">
        <v>476</v>
      </c>
      <c r="H165" s="43"/>
      <c r="I165" s="39" t="s">
        <v>476</v>
      </c>
      <c r="J165" s="39" t="s">
        <v>476</v>
      </c>
      <c r="K165" s="43"/>
      <c r="L165" s="45"/>
      <c r="M165" s="45"/>
      <c r="N165" s="45"/>
      <c r="O165" s="45"/>
      <c r="P165" s="45"/>
      <c r="Q165" s="45"/>
      <c r="R165" s="45"/>
      <c r="S165" s="45"/>
      <c r="T165" s="45"/>
      <c r="U165" s="45"/>
      <c r="V165" s="45"/>
      <c r="W165" s="45"/>
      <c r="X165" s="45"/>
      <c r="Y165" s="45"/>
      <c r="Z165" s="45"/>
      <c r="AA165" s="45"/>
      <c r="AB165" s="45"/>
      <c r="AC165" s="45"/>
      <c r="AD165" s="45"/>
      <c r="AE165" s="45"/>
    </row>
    <row r="166" ht="15.75" customHeight="1">
      <c r="A166" s="33" t="s">
        <v>509</v>
      </c>
      <c r="B166" s="33" t="s">
        <v>473</v>
      </c>
      <c r="C166" s="33" t="s">
        <v>474</v>
      </c>
      <c r="D166" s="24" t="s">
        <v>510</v>
      </c>
      <c r="E166" s="22" t="s">
        <v>185</v>
      </c>
      <c r="F166" s="42"/>
      <c r="G166" s="39" t="s">
        <v>476</v>
      </c>
      <c r="H166" s="43"/>
      <c r="I166" s="39" t="s">
        <v>476</v>
      </c>
      <c r="J166" s="39" t="s">
        <v>476</v>
      </c>
      <c r="K166" s="43"/>
      <c r="L166" s="45"/>
      <c r="M166" s="45"/>
      <c r="N166" s="45"/>
      <c r="O166" s="45"/>
      <c r="P166" s="45"/>
      <c r="Q166" s="45"/>
      <c r="R166" s="45"/>
      <c r="S166" s="45"/>
      <c r="T166" s="45"/>
      <c r="U166" s="45"/>
      <c r="V166" s="45"/>
      <c r="W166" s="45"/>
      <c r="X166" s="45"/>
      <c r="Y166" s="45"/>
      <c r="Z166" s="45"/>
      <c r="AA166" s="45"/>
      <c r="AB166" s="45"/>
      <c r="AC166" s="45"/>
      <c r="AD166" s="45"/>
      <c r="AE166" s="45"/>
    </row>
    <row r="167" ht="15.75" customHeight="1">
      <c r="A167" s="33" t="s">
        <v>511</v>
      </c>
      <c r="B167" s="33" t="s">
        <v>473</v>
      </c>
      <c r="C167" s="33" t="s">
        <v>474</v>
      </c>
      <c r="D167" s="24" t="s">
        <v>512</v>
      </c>
      <c r="E167" s="22" t="s">
        <v>185</v>
      </c>
      <c r="F167" s="42"/>
      <c r="G167" s="39" t="s">
        <v>476</v>
      </c>
      <c r="H167" s="43"/>
      <c r="I167" s="39" t="s">
        <v>476</v>
      </c>
      <c r="J167" s="39" t="s">
        <v>476</v>
      </c>
      <c r="K167" s="43"/>
      <c r="L167" s="45"/>
      <c r="M167" s="45"/>
      <c r="N167" s="45"/>
      <c r="O167" s="45"/>
      <c r="P167" s="45"/>
      <c r="Q167" s="45"/>
      <c r="R167" s="45"/>
      <c r="S167" s="45"/>
      <c r="T167" s="45"/>
      <c r="U167" s="45"/>
      <c r="V167" s="45"/>
      <c r="W167" s="45"/>
      <c r="X167" s="45"/>
      <c r="Y167" s="45"/>
      <c r="Z167" s="45"/>
      <c r="AA167" s="45"/>
      <c r="AB167" s="45"/>
      <c r="AC167" s="45"/>
      <c r="AD167" s="45"/>
      <c r="AE167" s="45"/>
    </row>
    <row r="168" ht="15.75" customHeight="1">
      <c r="A168" s="33" t="s">
        <v>513</v>
      </c>
      <c r="B168" s="33"/>
      <c r="C168" s="33"/>
      <c r="D168" s="24" t="s">
        <v>514</v>
      </c>
      <c r="E168" s="22" t="s">
        <v>185</v>
      </c>
      <c r="F168" s="42"/>
      <c r="G168" s="43"/>
      <c r="H168" s="43"/>
      <c r="I168" s="39"/>
      <c r="J168" s="42"/>
      <c r="K168" s="43"/>
      <c r="L168" s="45"/>
      <c r="M168" s="45"/>
      <c r="N168" s="45"/>
      <c r="O168" s="45"/>
      <c r="P168" s="45"/>
      <c r="Q168" s="45"/>
      <c r="R168" s="45"/>
      <c r="S168" s="45"/>
      <c r="T168" s="45"/>
      <c r="U168" s="45"/>
      <c r="V168" s="45"/>
      <c r="W168" s="45"/>
      <c r="X168" s="45"/>
      <c r="Y168" s="45"/>
      <c r="Z168" s="45"/>
      <c r="AA168" s="45"/>
      <c r="AB168" s="45"/>
      <c r="AC168" s="45"/>
      <c r="AD168" s="45"/>
      <c r="AE168" s="45"/>
    </row>
    <row r="169" ht="15.75" customHeight="1">
      <c r="A169" s="33" t="s">
        <v>515</v>
      </c>
      <c r="B169" s="33" t="s">
        <v>516</v>
      </c>
      <c r="C169" s="33" t="s">
        <v>282</v>
      </c>
      <c r="D169" s="46"/>
      <c r="E169" s="43" t="s">
        <v>135</v>
      </c>
      <c r="F169" s="21" t="s">
        <v>122</v>
      </c>
      <c r="G169" s="43" t="s">
        <v>517</v>
      </c>
      <c r="H169" s="43"/>
      <c r="I169" s="43" t="s">
        <v>517</v>
      </c>
      <c r="J169" s="42"/>
      <c r="K169" s="43"/>
      <c r="L169" s="45"/>
      <c r="M169" s="45"/>
      <c r="N169" s="45"/>
      <c r="O169" s="45"/>
      <c r="P169" s="45"/>
      <c r="Q169" s="45"/>
      <c r="R169" s="45"/>
      <c r="S169" s="45"/>
      <c r="T169" s="45"/>
      <c r="U169" s="45"/>
      <c r="V169" s="45"/>
      <c r="W169" s="45"/>
      <c r="X169" s="45"/>
      <c r="Y169" s="45"/>
      <c r="Z169" s="45"/>
      <c r="AA169" s="45"/>
      <c r="AB169" s="45"/>
      <c r="AC169" s="45"/>
      <c r="AD169" s="45"/>
      <c r="AE169" s="45"/>
    </row>
    <row r="170" ht="15.75" customHeight="1">
      <c r="A170" s="33" t="s">
        <v>518</v>
      </c>
      <c r="B170" s="33" t="s">
        <v>516</v>
      </c>
      <c r="C170" s="33" t="s">
        <v>282</v>
      </c>
      <c r="D170" s="24" t="s">
        <v>519</v>
      </c>
      <c r="E170" s="43" t="s">
        <v>135</v>
      </c>
      <c r="F170" s="42" t="s">
        <v>520</v>
      </c>
      <c r="G170" s="43" t="s">
        <v>517</v>
      </c>
      <c r="H170" s="43"/>
      <c r="I170" s="43" t="s">
        <v>517</v>
      </c>
      <c r="J170" s="42"/>
      <c r="K170" s="43"/>
      <c r="L170" s="45"/>
      <c r="M170" s="45"/>
      <c r="N170" s="45"/>
      <c r="O170" s="45"/>
      <c r="P170" s="45"/>
      <c r="Q170" s="45"/>
      <c r="R170" s="45"/>
      <c r="S170" s="45"/>
      <c r="T170" s="45"/>
      <c r="U170" s="45"/>
      <c r="V170" s="45"/>
      <c r="W170" s="45"/>
      <c r="X170" s="45"/>
      <c r="Y170" s="45"/>
      <c r="Z170" s="45"/>
      <c r="AA170" s="45"/>
      <c r="AB170" s="45"/>
      <c r="AC170" s="45"/>
      <c r="AD170" s="45"/>
      <c r="AE170" s="45"/>
    </row>
    <row r="171" ht="15.75" customHeight="1">
      <c r="A171" s="33" t="s">
        <v>521</v>
      </c>
      <c r="B171" s="33" t="s">
        <v>516</v>
      </c>
      <c r="C171" s="33" t="s">
        <v>282</v>
      </c>
      <c r="D171" s="24" t="s">
        <v>522</v>
      </c>
      <c r="E171" s="43" t="s">
        <v>135</v>
      </c>
      <c r="F171" s="42" t="s">
        <v>523</v>
      </c>
      <c r="G171" s="43" t="s">
        <v>517</v>
      </c>
      <c r="H171" s="43"/>
      <c r="I171" s="43" t="s">
        <v>517</v>
      </c>
      <c r="J171" s="42"/>
      <c r="K171" s="43"/>
      <c r="L171" s="45"/>
      <c r="M171" s="45"/>
      <c r="N171" s="45"/>
      <c r="O171" s="45"/>
      <c r="P171" s="45"/>
      <c r="Q171" s="45"/>
      <c r="R171" s="45"/>
      <c r="S171" s="45"/>
      <c r="T171" s="45"/>
      <c r="U171" s="45"/>
      <c r="V171" s="45"/>
      <c r="W171" s="45"/>
      <c r="X171" s="45"/>
      <c r="Y171" s="45"/>
      <c r="Z171" s="45"/>
      <c r="AA171" s="45"/>
      <c r="AB171" s="45"/>
      <c r="AC171" s="45"/>
      <c r="AD171" s="45"/>
      <c r="AE171" s="45"/>
    </row>
    <row r="172" ht="15.75" customHeight="1">
      <c r="A172" s="33" t="s">
        <v>524</v>
      </c>
      <c r="B172" s="33" t="s">
        <v>516</v>
      </c>
      <c r="C172" s="33" t="s">
        <v>282</v>
      </c>
      <c r="D172" s="21" t="s">
        <v>525</v>
      </c>
      <c r="E172" s="43" t="s">
        <v>135</v>
      </c>
      <c r="F172" s="21" t="s">
        <v>122</v>
      </c>
      <c r="G172" s="43" t="s">
        <v>517</v>
      </c>
      <c r="H172" s="43"/>
      <c r="I172" s="43" t="s">
        <v>517</v>
      </c>
      <c r="J172" s="42"/>
      <c r="K172" s="43"/>
      <c r="L172" s="45"/>
      <c r="M172" s="45"/>
      <c r="N172" s="45"/>
      <c r="O172" s="45"/>
      <c r="P172" s="45"/>
      <c r="Q172" s="45"/>
      <c r="R172" s="45"/>
      <c r="S172" s="45"/>
      <c r="T172" s="45"/>
      <c r="U172" s="45"/>
      <c r="V172" s="45"/>
      <c r="W172" s="45"/>
      <c r="X172" s="45"/>
      <c r="Y172" s="45"/>
      <c r="Z172" s="45"/>
      <c r="AA172" s="45"/>
      <c r="AB172" s="45"/>
      <c r="AC172" s="45"/>
      <c r="AD172" s="45"/>
      <c r="AE172" s="45"/>
    </row>
    <row r="173" ht="15.75" customHeight="1">
      <c r="A173" s="33" t="s">
        <v>526</v>
      </c>
      <c r="B173" s="33" t="s">
        <v>516</v>
      </c>
      <c r="C173" s="33" t="s">
        <v>282</v>
      </c>
      <c r="D173" s="24" t="s">
        <v>527</v>
      </c>
      <c r="E173" s="43" t="s">
        <v>135</v>
      </c>
      <c r="F173" s="42" t="s">
        <v>520</v>
      </c>
      <c r="G173" s="43" t="s">
        <v>517</v>
      </c>
      <c r="H173" s="43"/>
      <c r="I173" s="43" t="s">
        <v>517</v>
      </c>
      <c r="J173" s="42"/>
      <c r="K173" s="43"/>
      <c r="L173" s="45"/>
      <c r="M173" s="45"/>
      <c r="N173" s="45"/>
      <c r="O173" s="45"/>
      <c r="P173" s="45"/>
      <c r="Q173" s="45"/>
      <c r="R173" s="45"/>
      <c r="S173" s="45"/>
      <c r="T173" s="45"/>
      <c r="U173" s="45"/>
      <c r="V173" s="45"/>
      <c r="W173" s="45"/>
      <c r="X173" s="45"/>
      <c r="Y173" s="45"/>
      <c r="Z173" s="45"/>
      <c r="AA173" s="45"/>
      <c r="AB173" s="45"/>
      <c r="AC173" s="45"/>
      <c r="AD173" s="45"/>
      <c r="AE173" s="45"/>
    </row>
    <row r="174" ht="15.75" customHeight="1">
      <c r="A174" s="33" t="s">
        <v>528</v>
      </c>
      <c r="B174" s="33" t="s">
        <v>516</v>
      </c>
      <c r="C174" s="33" t="s">
        <v>282</v>
      </c>
      <c r="D174" s="24" t="s">
        <v>529</v>
      </c>
      <c r="E174" s="43" t="s">
        <v>135</v>
      </c>
      <c r="F174" s="47" t="s">
        <v>530</v>
      </c>
      <c r="G174" s="43" t="s">
        <v>517</v>
      </c>
      <c r="H174" s="43"/>
      <c r="I174" s="43" t="s">
        <v>517</v>
      </c>
      <c r="J174" s="42"/>
      <c r="K174" s="43"/>
      <c r="L174" s="45"/>
      <c r="M174" s="45"/>
      <c r="N174" s="45"/>
      <c r="O174" s="45"/>
      <c r="P174" s="45"/>
      <c r="Q174" s="45"/>
      <c r="R174" s="45"/>
      <c r="S174" s="45"/>
      <c r="T174" s="45"/>
      <c r="U174" s="45"/>
      <c r="V174" s="45"/>
      <c r="W174" s="45"/>
      <c r="X174" s="45"/>
      <c r="Y174" s="45"/>
      <c r="Z174" s="45"/>
      <c r="AA174" s="45"/>
      <c r="AB174" s="45"/>
      <c r="AC174" s="45"/>
      <c r="AD174" s="45"/>
      <c r="AE174" s="45"/>
    </row>
    <row r="175" ht="15.75" customHeight="1">
      <c r="A175" s="33" t="s">
        <v>531</v>
      </c>
      <c r="B175" s="33" t="s">
        <v>516</v>
      </c>
      <c r="C175" s="33" t="s">
        <v>282</v>
      </c>
      <c r="D175" s="24" t="s">
        <v>532</v>
      </c>
      <c r="E175" s="43" t="s">
        <v>135</v>
      </c>
      <c r="F175" s="21" t="s">
        <v>122</v>
      </c>
      <c r="G175" s="43" t="s">
        <v>517</v>
      </c>
      <c r="H175" s="43"/>
      <c r="I175" s="43" t="s">
        <v>517</v>
      </c>
      <c r="J175" s="42"/>
      <c r="K175" s="43"/>
      <c r="L175" s="45"/>
      <c r="M175" s="45"/>
      <c r="N175" s="45"/>
      <c r="O175" s="45"/>
      <c r="P175" s="45"/>
      <c r="Q175" s="45"/>
      <c r="R175" s="45"/>
      <c r="S175" s="45"/>
      <c r="T175" s="45"/>
      <c r="U175" s="45"/>
      <c r="V175" s="45"/>
      <c r="W175" s="45"/>
      <c r="X175" s="45"/>
      <c r="Y175" s="45"/>
      <c r="Z175" s="45"/>
      <c r="AA175" s="45"/>
      <c r="AB175" s="45"/>
      <c r="AC175" s="45"/>
      <c r="AD175" s="45"/>
      <c r="AE175" s="45"/>
    </row>
    <row r="176" ht="15.75" customHeight="1">
      <c r="A176" s="33" t="s">
        <v>533</v>
      </c>
      <c r="B176" s="33" t="s">
        <v>516</v>
      </c>
      <c r="C176" s="33" t="s">
        <v>282</v>
      </c>
      <c r="D176" s="24" t="s">
        <v>534</v>
      </c>
      <c r="E176" s="43" t="s">
        <v>135</v>
      </c>
      <c r="F176" s="42" t="s">
        <v>520</v>
      </c>
      <c r="G176" s="43" t="s">
        <v>517</v>
      </c>
      <c r="H176" s="43"/>
      <c r="I176" s="43" t="s">
        <v>517</v>
      </c>
      <c r="J176" s="42"/>
      <c r="K176" s="43"/>
      <c r="L176" s="45"/>
      <c r="M176" s="45"/>
      <c r="N176" s="45"/>
      <c r="O176" s="45"/>
      <c r="P176" s="45"/>
      <c r="Q176" s="45"/>
      <c r="R176" s="45"/>
      <c r="S176" s="45"/>
      <c r="T176" s="45"/>
      <c r="U176" s="45"/>
      <c r="V176" s="45"/>
      <c r="W176" s="45"/>
      <c r="X176" s="45"/>
      <c r="Y176" s="45"/>
      <c r="Z176" s="45"/>
      <c r="AA176" s="45"/>
      <c r="AB176" s="45"/>
      <c r="AC176" s="45"/>
      <c r="AD176" s="45"/>
      <c r="AE176" s="45"/>
    </row>
    <row r="177" ht="15.75" customHeight="1">
      <c r="A177" s="33" t="s">
        <v>535</v>
      </c>
      <c r="B177" s="33" t="s">
        <v>516</v>
      </c>
      <c r="C177" s="33" t="s">
        <v>282</v>
      </c>
      <c r="D177" s="24" t="s">
        <v>536</v>
      </c>
      <c r="E177" s="43" t="s">
        <v>135</v>
      </c>
      <c r="F177" s="42" t="s">
        <v>537</v>
      </c>
      <c r="G177" s="43" t="s">
        <v>517</v>
      </c>
      <c r="H177" s="43"/>
      <c r="I177" s="43" t="s">
        <v>517</v>
      </c>
      <c r="J177" s="42"/>
      <c r="K177" s="43"/>
      <c r="L177" s="45"/>
      <c r="M177" s="45"/>
      <c r="N177" s="45"/>
      <c r="O177" s="45"/>
      <c r="P177" s="45"/>
      <c r="Q177" s="45"/>
      <c r="R177" s="45"/>
      <c r="S177" s="45"/>
      <c r="T177" s="45"/>
      <c r="U177" s="45"/>
      <c r="V177" s="45"/>
      <c r="W177" s="45"/>
      <c r="X177" s="45"/>
      <c r="Y177" s="45"/>
      <c r="Z177" s="45"/>
      <c r="AA177" s="45"/>
      <c r="AB177" s="45"/>
      <c r="AC177" s="45"/>
      <c r="AD177" s="45"/>
      <c r="AE177" s="45"/>
    </row>
    <row r="178" ht="15.75" customHeight="1">
      <c r="A178" s="33" t="s">
        <v>538</v>
      </c>
      <c r="B178" s="33" t="s">
        <v>516</v>
      </c>
      <c r="C178" s="33" t="s">
        <v>282</v>
      </c>
      <c r="D178" s="24" t="s">
        <v>539</v>
      </c>
      <c r="E178" s="43" t="s">
        <v>135</v>
      </c>
      <c r="F178" s="21" t="s">
        <v>122</v>
      </c>
      <c r="G178" s="43" t="s">
        <v>517</v>
      </c>
      <c r="H178" s="43"/>
      <c r="I178" s="43" t="s">
        <v>517</v>
      </c>
      <c r="J178" s="42"/>
      <c r="K178" s="43"/>
      <c r="L178" s="45"/>
      <c r="M178" s="45"/>
      <c r="N178" s="45"/>
      <c r="O178" s="45"/>
      <c r="P178" s="45"/>
      <c r="Q178" s="45"/>
      <c r="R178" s="45"/>
      <c r="S178" s="45"/>
      <c r="T178" s="45"/>
      <c r="U178" s="45"/>
      <c r="V178" s="45"/>
      <c r="W178" s="45"/>
      <c r="X178" s="45"/>
      <c r="Y178" s="45"/>
      <c r="Z178" s="45"/>
      <c r="AA178" s="45"/>
      <c r="AB178" s="45"/>
      <c r="AC178" s="45"/>
      <c r="AD178" s="45"/>
      <c r="AE178" s="45"/>
    </row>
    <row r="179" ht="15.75" customHeight="1">
      <c r="A179" s="33" t="s">
        <v>540</v>
      </c>
      <c r="B179" s="33" t="s">
        <v>516</v>
      </c>
      <c r="C179" s="33" t="s">
        <v>282</v>
      </c>
      <c r="D179" s="24" t="s">
        <v>541</v>
      </c>
      <c r="E179" s="43" t="s">
        <v>135</v>
      </c>
      <c r="F179" s="42" t="s">
        <v>520</v>
      </c>
      <c r="G179" s="43" t="s">
        <v>517</v>
      </c>
      <c r="H179" s="43"/>
      <c r="I179" s="43" t="s">
        <v>517</v>
      </c>
      <c r="J179" s="42"/>
      <c r="K179" s="43"/>
      <c r="L179" s="45"/>
      <c r="M179" s="45"/>
      <c r="N179" s="45"/>
      <c r="O179" s="45"/>
      <c r="P179" s="45"/>
      <c r="Q179" s="45"/>
      <c r="R179" s="45"/>
      <c r="S179" s="45"/>
      <c r="T179" s="45"/>
      <c r="U179" s="45"/>
      <c r="V179" s="45"/>
      <c r="W179" s="45"/>
      <c r="X179" s="45"/>
      <c r="Y179" s="45"/>
      <c r="Z179" s="45"/>
      <c r="AA179" s="45"/>
      <c r="AB179" s="45"/>
      <c r="AC179" s="45"/>
      <c r="AD179" s="45"/>
      <c r="AE179" s="45"/>
    </row>
    <row r="180" ht="15.75" customHeight="1">
      <c r="A180" s="33" t="s">
        <v>542</v>
      </c>
      <c r="B180" s="33" t="s">
        <v>516</v>
      </c>
      <c r="C180" s="33" t="s">
        <v>282</v>
      </c>
      <c r="D180" s="24" t="s">
        <v>543</v>
      </c>
      <c r="E180" s="43" t="s">
        <v>135</v>
      </c>
      <c r="F180" s="42" t="s">
        <v>544</v>
      </c>
      <c r="G180" s="43" t="s">
        <v>517</v>
      </c>
      <c r="H180" s="43"/>
      <c r="I180" s="43" t="s">
        <v>517</v>
      </c>
      <c r="J180" s="42"/>
      <c r="K180" s="43"/>
      <c r="L180" s="45"/>
      <c r="M180" s="45"/>
      <c r="N180" s="45"/>
      <c r="O180" s="45"/>
      <c r="P180" s="45"/>
      <c r="Q180" s="45"/>
      <c r="R180" s="45"/>
      <c r="S180" s="45"/>
      <c r="T180" s="45"/>
      <c r="U180" s="45"/>
      <c r="V180" s="45"/>
      <c r="W180" s="45"/>
      <c r="X180" s="45"/>
      <c r="Y180" s="45"/>
      <c r="Z180" s="45"/>
      <c r="AA180" s="45"/>
      <c r="AB180" s="45"/>
      <c r="AC180" s="45"/>
      <c r="AD180" s="45"/>
      <c r="AE180" s="45"/>
    </row>
    <row r="181" ht="15.75" customHeight="1">
      <c r="A181" s="33" t="s">
        <v>545</v>
      </c>
      <c r="B181" s="33" t="s">
        <v>516</v>
      </c>
      <c r="C181" s="33" t="s">
        <v>282</v>
      </c>
      <c r="D181" s="24" t="s">
        <v>546</v>
      </c>
      <c r="E181" s="43" t="s">
        <v>135</v>
      </c>
      <c r="F181" s="21" t="s">
        <v>122</v>
      </c>
      <c r="G181" s="43" t="s">
        <v>517</v>
      </c>
      <c r="H181" s="43"/>
      <c r="I181" s="43" t="s">
        <v>517</v>
      </c>
      <c r="J181" s="42"/>
      <c r="K181" s="43"/>
      <c r="L181" s="45"/>
      <c r="M181" s="45"/>
      <c r="N181" s="45"/>
      <c r="O181" s="45"/>
      <c r="P181" s="45"/>
      <c r="Q181" s="45"/>
      <c r="R181" s="45"/>
      <c r="S181" s="45"/>
      <c r="T181" s="45"/>
      <c r="U181" s="45"/>
      <c r="V181" s="45"/>
      <c r="W181" s="45"/>
      <c r="X181" s="45"/>
      <c r="Y181" s="45"/>
      <c r="Z181" s="45"/>
      <c r="AA181" s="45"/>
      <c r="AB181" s="45"/>
      <c r="AC181" s="45"/>
      <c r="AD181" s="45"/>
      <c r="AE181" s="45"/>
    </row>
    <row r="182" ht="15.75" customHeight="1">
      <c r="A182" s="33" t="s">
        <v>547</v>
      </c>
      <c r="B182" s="33" t="s">
        <v>516</v>
      </c>
      <c r="C182" s="33" t="s">
        <v>282</v>
      </c>
      <c r="D182" s="24" t="s">
        <v>548</v>
      </c>
      <c r="E182" s="43" t="s">
        <v>135</v>
      </c>
      <c r="F182" s="42" t="s">
        <v>549</v>
      </c>
      <c r="G182" s="43" t="s">
        <v>517</v>
      </c>
      <c r="H182" s="43"/>
      <c r="I182" s="43" t="s">
        <v>517</v>
      </c>
      <c r="J182" s="42"/>
      <c r="K182" s="43"/>
      <c r="L182" s="45"/>
      <c r="M182" s="45"/>
      <c r="N182" s="45"/>
      <c r="O182" s="45"/>
      <c r="P182" s="45"/>
      <c r="Q182" s="45"/>
      <c r="R182" s="45"/>
      <c r="S182" s="45"/>
      <c r="T182" s="45"/>
      <c r="U182" s="45"/>
      <c r="V182" s="45"/>
      <c r="W182" s="45"/>
      <c r="X182" s="45"/>
      <c r="Y182" s="45"/>
      <c r="Z182" s="45"/>
      <c r="AA182" s="45"/>
      <c r="AB182" s="45"/>
      <c r="AC182" s="45"/>
      <c r="AD182" s="45"/>
      <c r="AE182" s="45"/>
    </row>
    <row r="183" ht="15.75" customHeight="1">
      <c r="A183" s="33" t="s">
        <v>550</v>
      </c>
      <c r="B183" s="33" t="s">
        <v>516</v>
      </c>
      <c r="C183" s="33" t="s">
        <v>282</v>
      </c>
      <c r="D183" s="24" t="s">
        <v>551</v>
      </c>
      <c r="E183" s="43" t="s">
        <v>135</v>
      </c>
      <c r="F183" s="42" t="s">
        <v>552</v>
      </c>
      <c r="G183" s="43" t="s">
        <v>517</v>
      </c>
      <c r="H183" s="43"/>
      <c r="I183" s="43" t="s">
        <v>517</v>
      </c>
      <c r="J183" s="42"/>
      <c r="K183" s="43"/>
      <c r="L183" s="45"/>
      <c r="M183" s="45"/>
      <c r="N183" s="45"/>
      <c r="O183" s="45"/>
      <c r="P183" s="45"/>
      <c r="Q183" s="45"/>
      <c r="R183" s="45"/>
      <c r="S183" s="45"/>
      <c r="T183" s="45"/>
      <c r="U183" s="45"/>
      <c r="V183" s="45"/>
      <c r="W183" s="45"/>
      <c r="X183" s="45"/>
      <c r="Y183" s="45"/>
      <c r="Z183" s="45"/>
      <c r="AA183" s="45"/>
      <c r="AB183" s="45"/>
      <c r="AC183" s="45"/>
      <c r="AD183" s="45"/>
      <c r="AE183" s="45"/>
    </row>
    <row r="184" ht="15.75" customHeight="1">
      <c r="A184" s="33" t="s">
        <v>553</v>
      </c>
      <c r="B184" s="33" t="s">
        <v>516</v>
      </c>
      <c r="C184" s="33" t="s">
        <v>282</v>
      </c>
      <c r="D184" s="24" t="s">
        <v>554</v>
      </c>
      <c r="E184" s="43" t="s">
        <v>135</v>
      </c>
      <c r="F184" s="21" t="s">
        <v>122</v>
      </c>
      <c r="G184" s="43" t="s">
        <v>517</v>
      </c>
      <c r="H184" s="43"/>
      <c r="I184" s="43" t="s">
        <v>517</v>
      </c>
      <c r="J184" s="42"/>
      <c r="K184" s="43"/>
      <c r="L184" s="45"/>
      <c r="M184" s="45"/>
      <c r="N184" s="45"/>
      <c r="O184" s="45"/>
      <c r="P184" s="45"/>
      <c r="Q184" s="45"/>
      <c r="R184" s="45"/>
      <c r="S184" s="45"/>
      <c r="T184" s="45"/>
      <c r="U184" s="45"/>
      <c r="V184" s="45"/>
      <c r="W184" s="45"/>
      <c r="X184" s="45"/>
      <c r="Y184" s="45"/>
      <c r="Z184" s="45"/>
      <c r="AA184" s="45"/>
      <c r="AB184" s="45"/>
      <c r="AC184" s="45"/>
      <c r="AD184" s="45"/>
      <c r="AE184" s="45"/>
    </row>
    <row r="185" ht="15.75" customHeight="1">
      <c r="A185" s="33" t="s">
        <v>555</v>
      </c>
      <c r="B185" s="33" t="s">
        <v>516</v>
      </c>
      <c r="C185" s="33" t="s">
        <v>282</v>
      </c>
      <c r="D185" s="24" t="s">
        <v>556</v>
      </c>
      <c r="E185" s="43" t="s">
        <v>135</v>
      </c>
      <c r="F185" s="42" t="s">
        <v>520</v>
      </c>
      <c r="G185" s="43" t="s">
        <v>517</v>
      </c>
      <c r="H185" s="43"/>
      <c r="I185" s="43" t="s">
        <v>517</v>
      </c>
      <c r="J185" s="42"/>
      <c r="K185" s="43"/>
      <c r="L185" s="45"/>
      <c r="M185" s="45"/>
      <c r="N185" s="45"/>
      <c r="O185" s="45"/>
      <c r="P185" s="45"/>
      <c r="Q185" s="45"/>
      <c r="R185" s="45"/>
      <c r="S185" s="45"/>
      <c r="T185" s="45"/>
      <c r="U185" s="45"/>
      <c r="V185" s="45"/>
      <c r="W185" s="45"/>
      <c r="X185" s="45"/>
      <c r="Y185" s="45"/>
      <c r="Z185" s="45"/>
      <c r="AA185" s="45"/>
      <c r="AB185" s="45"/>
      <c r="AC185" s="45"/>
      <c r="AD185" s="45"/>
      <c r="AE185" s="45"/>
    </row>
    <row r="186" ht="15.75" customHeight="1">
      <c r="A186" s="33" t="s">
        <v>557</v>
      </c>
      <c r="B186" s="33" t="s">
        <v>516</v>
      </c>
      <c r="C186" s="33" t="s">
        <v>282</v>
      </c>
      <c r="D186" s="24" t="s">
        <v>558</v>
      </c>
      <c r="E186" s="43" t="s">
        <v>135</v>
      </c>
      <c r="F186" s="42" t="s">
        <v>559</v>
      </c>
      <c r="G186" s="43" t="s">
        <v>517</v>
      </c>
      <c r="H186" s="43"/>
      <c r="I186" s="43" t="s">
        <v>517</v>
      </c>
      <c r="J186" s="42"/>
      <c r="K186" s="43"/>
      <c r="L186" s="45"/>
      <c r="M186" s="45"/>
      <c r="N186" s="45"/>
      <c r="O186" s="45"/>
      <c r="P186" s="45"/>
      <c r="Q186" s="45"/>
      <c r="R186" s="45"/>
      <c r="S186" s="45"/>
      <c r="T186" s="45"/>
      <c r="U186" s="45"/>
      <c r="V186" s="45"/>
      <c r="W186" s="45"/>
      <c r="X186" s="45"/>
      <c r="Y186" s="45"/>
      <c r="Z186" s="45"/>
      <c r="AA186" s="45"/>
      <c r="AB186" s="45"/>
      <c r="AC186" s="45"/>
      <c r="AD186" s="45"/>
      <c r="AE186" s="45"/>
    </row>
    <row r="187" ht="15.75" customHeight="1">
      <c r="A187" s="33" t="s">
        <v>560</v>
      </c>
      <c r="B187" s="33" t="s">
        <v>516</v>
      </c>
      <c r="C187" s="33" t="s">
        <v>282</v>
      </c>
      <c r="D187" s="24" t="s">
        <v>561</v>
      </c>
      <c r="E187" s="43" t="s">
        <v>135</v>
      </c>
      <c r="F187" s="21" t="s">
        <v>122</v>
      </c>
      <c r="G187" s="43" t="s">
        <v>517</v>
      </c>
      <c r="H187" s="43"/>
      <c r="I187" s="43" t="s">
        <v>517</v>
      </c>
      <c r="J187" s="42"/>
      <c r="K187" s="43"/>
      <c r="L187" s="45"/>
      <c r="M187" s="45"/>
      <c r="N187" s="45"/>
      <c r="O187" s="45"/>
      <c r="P187" s="45"/>
      <c r="Q187" s="45"/>
      <c r="R187" s="45"/>
      <c r="S187" s="45"/>
      <c r="T187" s="45"/>
      <c r="U187" s="45"/>
      <c r="V187" s="45"/>
      <c r="W187" s="45"/>
      <c r="X187" s="45"/>
      <c r="Y187" s="45"/>
      <c r="Z187" s="45"/>
      <c r="AA187" s="45"/>
      <c r="AB187" s="45"/>
      <c r="AC187" s="45"/>
      <c r="AD187" s="45"/>
      <c r="AE187" s="45"/>
    </row>
    <row r="188" ht="15.75" customHeight="1">
      <c r="A188" s="33" t="s">
        <v>562</v>
      </c>
      <c r="B188" s="33" t="s">
        <v>516</v>
      </c>
      <c r="C188" s="33" t="s">
        <v>282</v>
      </c>
      <c r="D188" s="24" t="s">
        <v>563</v>
      </c>
      <c r="E188" s="43" t="s">
        <v>135</v>
      </c>
      <c r="F188" s="42" t="s">
        <v>520</v>
      </c>
      <c r="G188" s="43" t="s">
        <v>517</v>
      </c>
      <c r="H188" s="43"/>
      <c r="I188" s="43" t="s">
        <v>517</v>
      </c>
      <c r="J188" s="42"/>
      <c r="K188" s="43"/>
      <c r="L188" s="45"/>
      <c r="M188" s="45"/>
      <c r="N188" s="45"/>
      <c r="O188" s="45"/>
      <c r="P188" s="45"/>
      <c r="Q188" s="45"/>
      <c r="R188" s="45"/>
      <c r="S188" s="45"/>
      <c r="T188" s="45"/>
      <c r="U188" s="45"/>
      <c r="V188" s="45"/>
      <c r="W188" s="45"/>
      <c r="X188" s="45"/>
      <c r="Y188" s="45"/>
      <c r="Z188" s="45"/>
      <c r="AA188" s="45"/>
      <c r="AB188" s="45"/>
      <c r="AC188" s="45"/>
      <c r="AD188" s="45"/>
      <c r="AE188" s="45"/>
    </row>
    <row r="189" ht="15.75" customHeight="1">
      <c r="A189" s="33" t="s">
        <v>564</v>
      </c>
      <c r="B189" s="33" t="s">
        <v>516</v>
      </c>
      <c r="C189" s="33" t="s">
        <v>282</v>
      </c>
      <c r="D189" s="24" t="s">
        <v>565</v>
      </c>
      <c r="E189" s="43" t="s">
        <v>135</v>
      </c>
      <c r="F189" s="42" t="s">
        <v>566</v>
      </c>
      <c r="G189" s="43" t="s">
        <v>517</v>
      </c>
      <c r="H189" s="43"/>
      <c r="I189" s="43" t="s">
        <v>517</v>
      </c>
      <c r="J189" s="42"/>
      <c r="K189" s="43"/>
      <c r="L189" s="45"/>
      <c r="M189" s="45"/>
      <c r="N189" s="45"/>
      <c r="O189" s="45"/>
      <c r="P189" s="45"/>
      <c r="Q189" s="45"/>
      <c r="R189" s="45"/>
      <c r="S189" s="45"/>
      <c r="T189" s="45"/>
      <c r="U189" s="45"/>
      <c r="V189" s="45"/>
      <c r="W189" s="45"/>
      <c r="X189" s="45"/>
      <c r="Y189" s="45"/>
      <c r="Z189" s="45"/>
      <c r="AA189" s="45"/>
      <c r="AB189" s="45"/>
      <c r="AC189" s="45"/>
      <c r="AD189" s="45"/>
      <c r="AE189" s="45"/>
    </row>
    <row r="190" ht="15.75" customHeight="1">
      <c r="A190" s="33" t="s">
        <v>567</v>
      </c>
      <c r="B190" s="33" t="s">
        <v>516</v>
      </c>
      <c r="C190" s="33" t="s">
        <v>282</v>
      </c>
      <c r="D190" s="24" t="s">
        <v>568</v>
      </c>
      <c r="E190" s="43" t="s">
        <v>135</v>
      </c>
      <c r="F190" s="21" t="s">
        <v>122</v>
      </c>
      <c r="G190" s="43" t="s">
        <v>517</v>
      </c>
      <c r="H190" s="43"/>
      <c r="I190" s="43" t="s">
        <v>517</v>
      </c>
      <c r="J190" s="42"/>
      <c r="K190" s="43"/>
      <c r="L190" s="45"/>
      <c r="M190" s="45"/>
      <c r="N190" s="45"/>
      <c r="O190" s="45"/>
      <c r="P190" s="45"/>
      <c r="Q190" s="45"/>
      <c r="R190" s="45"/>
      <c r="S190" s="45"/>
      <c r="T190" s="45"/>
      <c r="U190" s="45"/>
      <c r="V190" s="45"/>
      <c r="W190" s="45"/>
      <c r="X190" s="45"/>
      <c r="Y190" s="45"/>
      <c r="Z190" s="45"/>
      <c r="AA190" s="45"/>
      <c r="AB190" s="45"/>
      <c r="AC190" s="45"/>
      <c r="AD190" s="45"/>
      <c r="AE190" s="45"/>
    </row>
    <row r="191" ht="15.75" customHeight="1">
      <c r="A191" s="33" t="s">
        <v>569</v>
      </c>
      <c r="B191" s="33" t="s">
        <v>516</v>
      </c>
      <c r="C191" s="33" t="s">
        <v>282</v>
      </c>
      <c r="D191" s="24" t="s">
        <v>570</v>
      </c>
      <c r="E191" s="43" t="s">
        <v>135</v>
      </c>
      <c r="F191" s="42" t="s">
        <v>520</v>
      </c>
      <c r="G191" s="43" t="s">
        <v>517</v>
      </c>
      <c r="H191" s="43"/>
      <c r="I191" s="43" t="s">
        <v>517</v>
      </c>
      <c r="J191" s="42"/>
      <c r="K191" s="43"/>
      <c r="L191" s="45"/>
      <c r="M191" s="45"/>
      <c r="N191" s="45"/>
      <c r="O191" s="45"/>
      <c r="P191" s="45"/>
      <c r="Q191" s="45"/>
      <c r="R191" s="45"/>
      <c r="S191" s="45"/>
      <c r="T191" s="45"/>
      <c r="U191" s="45"/>
      <c r="V191" s="45"/>
      <c r="W191" s="45"/>
      <c r="X191" s="45"/>
      <c r="Y191" s="45"/>
      <c r="Z191" s="45"/>
      <c r="AA191" s="45"/>
      <c r="AB191" s="45"/>
      <c r="AC191" s="45"/>
      <c r="AD191" s="45"/>
      <c r="AE191" s="45"/>
    </row>
    <row r="192" ht="15.75" customHeight="1">
      <c r="A192" s="33" t="s">
        <v>571</v>
      </c>
      <c r="B192" s="33" t="s">
        <v>516</v>
      </c>
      <c r="C192" s="33" t="s">
        <v>282</v>
      </c>
      <c r="D192" s="24" t="s">
        <v>572</v>
      </c>
      <c r="E192" s="43" t="s">
        <v>135</v>
      </c>
      <c r="F192" s="42" t="s">
        <v>573</v>
      </c>
      <c r="G192" s="43" t="s">
        <v>517</v>
      </c>
      <c r="H192" s="43"/>
      <c r="I192" s="43" t="s">
        <v>517</v>
      </c>
      <c r="J192" s="42"/>
      <c r="K192" s="43"/>
      <c r="L192" s="45"/>
      <c r="M192" s="45"/>
      <c r="N192" s="45"/>
      <c r="O192" s="45"/>
      <c r="P192" s="45"/>
      <c r="Q192" s="45"/>
      <c r="R192" s="45"/>
      <c r="S192" s="45"/>
      <c r="T192" s="45"/>
      <c r="U192" s="45"/>
      <c r="V192" s="45"/>
      <c r="W192" s="45"/>
      <c r="X192" s="45"/>
      <c r="Y192" s="45"/>
      <c r="Z192" s="45"/>
      <c r="AA192" s="45"/>
      <c r="AB192" s="45"/>
      <c r="AC192" s="45"/>
      <c r="AD192" s="45"/>
      <c r="AE192" s="45"/>
    </row>
    <row r="193" ht="15.75" customHeight="1">
      <c r="A193" s="33" t="s">
        <v>574</v>
      </c>
      <c r="B193" s="33" t="s">
        <v>516</v>
      </c>
      <c r="C193" s="33" t="s">
        <v>282</v>
      </c>
      <c r="D193" s="24" t="s">
        <v>575</v>
      </c>
      <c r="E193" s="43" t="s">
        <v>135</v>
      </c>
      <c r="F193" s="21" t="s">
        <v>122</v>
      </c>
      <c r="G193" s="43" t="s">
        <v>517</v>
      </c>
      <c r="H193" s="43"/>
      <c r="I193" s="43" t="s">
        <v>517</v>
      </c>
      <c r="J193" s="42"/>
      <c r="K193" s="43"/>
      <c r="L193" s="45"/>
      <c r="M193" s="45"/>
      <c r="N193" s="45"/>
      <c r="O193" s="45"/>
      <c r="P193" s="45"/>
      <c r="Q193" s="45"/>
      <c r="R193" s="45"/>
      <c r="S193" s="45"/>
      <c r="T193" s="45"/>
      <c r="U193" s="45"/>
      <c r="V193" s="45"/>
      <c r="W193" s="45"/>
      <c r="X193" s="45"/>
      <c r="Y193" s="45"/>
      <c r="Z193" s="45"/>
      <c r="AA193" s="45"/>
      <c r="AB193" s="45"/>
      <c r="AC193" s="45"/>
      <c r="AD193" s="45"/>
      <c r="AE193" s="45"/>
    </row>
    <row r="194" ht="15.75" customHeight="1">
      <c r="A194" s="33" t="s">
        <v>576</v>
      </c>
      <c r="B194" s="33" t="s">
        <v>516</v>
      </c>
      <c r="C194" s="33" t="s">
        <v>282</v>
      </c>
      <c r="D194" s="24" t="s">
        <v>577</v>
      </c>
      <c r="E194" s="43" t="s">
        <v>135</v>
      </c>
      <c r="F194" s="42" t="s">
        <v>520</v>
      </c>
      <c r="G194" s="43" t="s">
        <v>517</v>
      </c>
      <c r="H194" s="43"/>
      <c r="I194" s="43" t="s">
        <v>517</v>
      </c>
      <c r="J194" s="42"/>
      <c r="K194" s="43"/>
      <c r="L194" s="45"/>
      <c r="M194" s="45"/>
      <c r="N194" s="45"/>
      <c r="O194" s="45"/>
      <c r="P194" s="45"/>
      <c r="Q194" s="45"/>
      <c r="R194" s="45"/>
      <c r="S194" s="45"/>
      <c r="T194" s="45"/>
      <c r="U194" s="45"/>
      <c r="V194" s="45"/>
      <c r="W194" s="45"/>
      <c r="X194" s="45"/>
      <c r="Y194" s="45"/>
      <c r="Z194" s="45"/>
      <c r="AA194" s="45"/>
      <c r="AB194" s="45"/>
      <c r="AC194" s="45"/>
      <c r="AD194" s="45"/>
      <c r="AE194" s="45"/>
    </row>
    <row r="195" ht="15.75" customHeight="1">
      <c r="A195" s="33" t="s">
        <v>578</v>
      </c>
      <c r="B195" s="33" t="s">
        <v>516</v>
      </c>
      <c r="C195" s="33" t="s">
        <v>282</v>
      </c>
      <c r="D195" s="24" t="s">
        <v>579</v>
      </c>
      <c r="E195" s="43" t="s">
        <v>135</v>
      </c>
      <c r="F195" s="33" t="s">
        <v>580</v>
      </c>
      <c r="G195" s="43" t="s">
        <v>517</v>
      </c>
      <c r="H195" s="43"/>
      <c r="I195" s="43" t="s">
        <v>517</v>
      </c>
      <c r="J195" s="42"/>
      <c r="K195" s="43"/>
      <c r="L195" s="45"/>
      <c r="M195" s="45"/>
      <c r="N195" s="45"/>
      <c r="O195" s="45"/>
      <c r="P195" s="45"/>
      <c r="Q195" s="45"/>
      <c r="R195" s="45"/>
      <c r="S195" s="45"/>
      <c r="T195" s="45"/>
      <c r="U195" s="45"/>
      <c r="V195" s="45"/>
      <c r="W195" s="45"/>
      <c r="X195" s="45"/>
      <c r="Y195" s="45"/>
      <c r="Z195" s="45"/>
      <c r="AA195" s="45"/>
      <c r="AB195" s="45"/>
      <c r="AC195" s="45"/>
      <c r="AD195" s="45"/>
      <c r="AE195" s="45"/>
    </row>
    <row r="196" ht="15.75" customHeight="1">
      <c r="A196" s="33" t="s">
        <v>581</v>
      </c>
      <c r="B196" s="33" t="s">
        <v>516</v>
      </c>
      <c r="C196" s="33" t="s">
        <v>282</v>
      </c>
      <c r="D196" s="24" t="s">
        <v>582</v>
      </c>
      <c r="E196" s="43" t="s">
        <v>135</v>
      </c>
      <c r="F196" s="21" t="s">
        <v>122</v>
      </c>
      <c r="G196" s="43" t="s">
        <v>517</v>
      </c>
      <c r="H196" s="43"/>
      <c r="I196" s="43" t="s">
        <v>517</v>
      </c>
      <c r="J196" s="42"/>
      <c r="K196" s="43"/>
      <c r="L196" s="45"/>
      <c r="M196" s="45"/>
      <c r="N196" s="45"/>
      <c r="O196" s="45"/>
      <c r="P196" s="45"/>
      <c r="Q196" s="45"/>
      <c r="R196" s="45"/>
      <c r="S196" s="45"/>
      <c r="T196" s="45"/>
      <c r="U196" s="45"/>
      <c r="V196" s="45"/>
      <c r="W196" s="45"/>
      <c r="X196" s="45"/>
      <c r="Y196" s="45"/>
      <c r="Z196" s="45"/>
      <c r="AA196" s="45"/>
      <c r="AB196" s="45"/>
      <c r="AC196" s="45"/>
      <c r="AD196" s="45"/>
      <c r="AE196" s="45"/>
    </row>
    <row r="197" ht="15.75" customHeight="1">
      <c r="A197" s="33" t="s">
        <v>583</v>
      </c>
      <c r="B197" s="33" t="s">
        <v>516</v>
      </c>
      <c r="C197" s="33" t="s">
        <v>282</v>
      </c>
      <c r="D197" s="24" t="s">
        <v>584</v>
      </c>
      <c r="E197" s="43" t="s">
        <v>135</v>
      </c>
      <c r="F197" s="42" t="s">
        <v>520</v>
      </c>
      <c r="G197" s="43" t="s">
        <v>517</v>
      </c>
      <c r="H197" s="43"/>
      <c r="I197" s="43" t="s">
        <v>517</v>
      </c>
      <c r="J197" s="42"/>
      <c r="K197" s="43"/>
      <c r="L197" s="45"/>
      <c r="M197" s="45"/>
      <c r="N197" s="45"/>
      <c r="O197" s="45"/>
      <c r="P197" s="45"/>
      <c r="Q197" s="45"/>
      <c r="R197" s="45"/>
      <c r="S197" s="45"/>
      <c r="T197" s="45"/>
      <c r="U197" s="45"/>
      <c r="V197" s="45"/>
      <c r="W197" s="45"/>
      <c r="X197" s="45"/>
      <c r="Y197" s="45"/>
      <c r="Z197" s="45"/>
      <c r="AA197" s="45"/>
      <c r="AB197" s="45"/>
      <c r="AC197" s="45"/>
      <c r="AD197" s="45"/>
      <c r="AE197" s="45"/>
    </row>
    <row r="198" ht="15.75" customHeight="1">
      <c r="A198" s="33" t="s">
        <v>585</v>
      </c>
      <c r="B198" s="33" t="s">
        <v>516</v>
      </c>
      <c r="C198" s="33" t="s">
        <v>282</v>
      </c>
      <c r="D198" s="24" t="s">
        <v>586</v>
      </c>
      <c r="E198" s="43" t="s">
        <v>135</v>
      </c>
      <c r="F198" s="33" t="s">
        <v>587</v>
      </c>
      <c r="G198" s="43" t="s">
        <v>517</v>
      </c>
      <c r="H198" s="43"/>
      <c r="I198" s="43" t="s">
        <v>517</v>
      </c>
      <c r="J198" s="42"/>
      <c r="K198" s="43"/>
      <c r="L198" s="45"/>
      <c r="M198" s="45"/>
      <c r="N198" s="45"/>
      <c r="O198" s="45"/>
      <c r="P198" s="45"/>
      <c r="Q198" s="45"/>
      <c r="R198" s="45"/>
      <c r="S198" s="45"/>
      <c r="T198" s="45"/>
      <c r="U198" s="45"/>
      <c r="V198" s="45"/>
      <c r="W198" s="45"/>
      <c r="X198" s="45"/>
      <c r="Y198" s="45"/>
      <c r="Z198" s="45"/>
      <c r="AA198" s="45"/>
      <c r="AB198" s="45"/>
      <c r="AC198" s="45"/>
      <c r="AD198" s="45"/>
      <c r="AE198" s="45"/>
    </row>
    <row r="199" ht="15.75" customHeight="1">
      <c r="A199" s="33" t="s">
        <v>588</v>
      </c>
      <c r="B199" s="33" t="s">
        <v>516</v>
      </c>
      <c r="C199" s="33" t="s">
        <v>282</v>
      </c>
      <c r="D199" s="24" t="s">
        <v>589</v>
      </c>
      <c r="E199" s="43" t="s">
        <v>135</v>
      </c>
      <c r="F199" s="21" t="s">
        <v>122</v>
      </c>
      <c r="G199" s="43" t="s">
        <v>517</v>
      </c>
      <c r="H199" s="43"/>
      <c r="I199" s="43" t="s">
        <v>517</v>
      </c>
      <c r="J199" s="42"/>
      <c r="K199" s="43"/>
      <c r="L199" s="45"/>
      <c r="M199" s="45"/>
      <c r="N199" s="45"/>
      <c r="O199" s="45"/>
      <c r="P199" s="45"/>
      <c r="Q199" s="45"/>
      <c r="R199" s="45"/>
      <c r="S199" s="45"/>
      <c r="T199" s="45"/>
      <c r="U199" s="45"/>
      <c r="V199" s="45"/>
      <c r="W199" s="45"/>
      <c r="X199" s="45"/>
      <c r="Y199" s="45"/>
      <c r="Z199" s="45"/>
      <c r="AA199" s="45"/>
      <c r="AB199" s="45"/>
      <c r="AC199" s="45"/>
      <c r="AD199" s="45"/>
      <c r="AE199" s="45"/>
    </row>
    <row r="200" ht="15.75" customHeight="1">
      <c r="A200" s="33" t="s">
        <v>590</v>
      </c>
      <c r="B200" s="33" t="s">
        <v>516</v>
      </c>
      <c r="C200" s="33" t="s">
        <v>282</v>
      </c>
      <c r="D200" s="24" t="s">
        <v>591</v>
      </c>
      <c r="E200" s="43" t="s">
        <v>135</v>
      </c>
      <c r="F200" s="42" t="s">
        <v>520</v>
      </c>
      <c r="G200" s="43" t="s">
        <v>517</v>
      </c>
      <c r="H200" s="43"/>
      <c r="I200" s="43" t="s">
        <v>517</v>
      </c>
      <c r="J200" s="42"/>
      <c r="K200" s="43"/>
      <c r="L200" s="45"/>
      <c r="M200" s="45"/>
      <c r="N200" s="45"/>
      <c r="O200" s="45"/>
      <c r="P200" s="45"/>
      <c r="Q200" s="45"/>
      <c r="R200" s="45"/>
      <c r="S200" s="45"/>
      <c r="T200" s="45"/>
      <c r="U200" s="45"/>
      <c r="V200" s="45"/>
      <c r="W200" s="45"/>
      <c r="X200" s="45"/>
      <c r="Y200" s="45"/>
      <c r="Z200" s="45"/>
      <c r="AA200" s="45"/>
      <c r="AB200" s="45"/>
      <c r="AC200" s="45"/>
      <c r="AD200" s="45"/>
      <c r="AE200" s="45"/>
    </row>
    <row r="201" ht="15.75" customHeight="1">
      <c r="A201" s="33" t="s">
        <v>592</v>
      </c>
      <c r="B201" s="33" t="s">
        <v>516</v>
      </c>
      <c r="C201" s="33" t="s">
        <v>282</v>
      </c>
      <c r="D201" s="24" t="s">
        <v>593</v>
      </c>
      <c r="E201" s="43" t="s">
        <v>135</v>
      </c>
      <c r="F201" s="42" t="s">
        <v>594</v>
      </c>
      <c r="G201" s="43" t="s">
        <v>517</v>
      </c>
      <c r="H201" s="43"/>
      <c r="I201" s="43" t="s">
        <v>517</v>
      </c>
      <c r="J201" s="42"/>
      <c r="K201" s="43"/>
      <c r="L201" s="45"/>
      <c r="M201" s="45"/>
      <c r="N201" s="45"/>
      <c r="O201" s="45"/>
      <c r="P201" s="45"/>
      <c r="Q201" s="45"/>
      <c r="R201" s="45"/>
      <c r="S201" s="45"/>
      <c r="T201" s="45"/>
      <c r="U201" s="45"/>
      <c r="V201" s="45"/>
      <c r="W201" s="45"/>
      <c r="X201" s="45"/>
      <c r="Y201" s="45"/>
      <c r="Z201" s="45"/>
      <c r="AA201" s="45"/>
      <c r="AB201" s="45"/>
      <c r="AC201" s="45"/>
      <c r="AD201" s="45"/>
      <c r="AE201" s="45"/>
    </row>
    <row r="202" ht="15.75" customHeight="1">
      <c r="A202" s="33" t="s">
        <v>595</v>
      </c>
      <c r="B202" s="33" t="s">
        <v>516</v>
      </c>
      <c r="C202" s="33" t="s">
        <v>282</v>
      </c>
      <c r="D202" s="24" t="s">
        <v>596</v>
      </c>
      <c r="E202" s="43" t="s">
        <v>135</v>
      </c>
      <c r="F202" s="21" t="s">
        <v>122</v>
      </c>
      <c r="G202" s="43" t="s">
        <v>517</v>
      </c>
      <c r="H202" s="43"/>
      <c r="I202" s="43" t="s">
        <v>517</v>
      </c>
      <c r="J202" s="42"/>
      <c r="K202" s="43"/>
      <c r="L202" s="45"/>
      <c r="M202" s="45"/>
      <c r="N202" s="45"/>
      <c r="O202" s="45"/>
      <c r="P202" s="45"/>
      <c r="Q202" s="45"/>
      <c r="R202" s="45"/>
      <c r="S202" s="45"/>
      <c r="T202" s="45"/>
      <c r="U202" s="45"/>
      <c r="V202" s="45"/>
      <c r="W202" s="45"/>
      <c r="X202" s="45"/>
      <c r="Y202" s="45"/>
      <c r="Z202" s="45"/>
      <c r="AA202" s="45"/>
      <c r="AB202" s="45"/>
      <c r="AC202" s="45"/>
      <c r="AD202" s="45"/>
      <c r="AE202" s="45"/>
    </row>
    <row r="203" ht="15.75" customHeight="1">
      <c r="A203" s="33" t="s">
        <v>597</v>
      </c>
      <c r="B203" s="33" t="s">
        <v>516</v>
      </c>
      <c r="C203" s="33" t="s">
        <v>282</v>
      </c>
      <c r="D203" s="24" t="s">
        <v>598</v>
      </c>
      <c r="E203" s="43" t="s">
        <v>135</v>
      </c>
      <c r="F203" s="42" t="s">
        <v>520</v>
      </c>
      <c r="G203" s="43" t="s">
        <v>517</v>
      </c>
      <c r="H203" s="43"/>
      <c r="I203" s="43" t="s">
        <v>517</v>
      </c>
      <c r="J203" s="42"/>
      <c r="K203" s="43"/>
      <c r="L203" s="45"/>
      <c r="M203" s="45"/>
      <c r="N203" s="45"/>
      <c r="O203" s="45"/>
      <c r="P203" s="45"/>
      <c r="Q203" s="45"/>
      <c r="R203" s="45"/>
      <c r="S203" s="45"/>
      <c r="T203" s="45"/>
      <c r="U203" s="45"/>
      <c r="V203" s="45"/>
      <c r="W203" s="45"/>
      <c r="X203" s="45"/>
      <c r="Y203" s="45"/>
      <c r="Z203" s="45"/>
      <c r="AA203" s="45"/>
      <c r="AB203" s="45"/>
      <c r="AC203" s="45"/>
      <c r="AD203" s="45"/>
      <c r="AE203" s="45"/>
    </row>
    <row r="204" ht="15.75" customHeight="1">
      <c r="A204" s="33" t="s">
        <v>599</v>
      </c>
      <c r="B204" s="33" t="s">
        <v>516</v>
      </c>
      <c r="C204" s="33" t="s">
        <v>282</v>
      </c>
      <c r="D204" s="24" t="s">
        <v>600</v>
      </c>
      <c r="E204" s="43" t="s">
        <v>135</v>
      </c>
      <c r="F204" s="33" t="s">
        <v>601</v>
      </c>
      <c r="G204" s="43" t="s">
        <v>517</v>
      </c>
      <c r="H204" s="43"/>
      <c r="I204" s="43" t="s">
        <v>517</v>
      </c>
      <c r="J204" s="42"/>
      <c r="K204" s="43"/>
      <c r="L204" s="45"/>
      <c r="M204" s="45"/>
      <c r="N204" s="45"/>
      <c r="O204" s="45"/>
      <c r="P204" s="45"/>
      <c r="Q204" s="45"/>
      <c r="R204" s="45"/>
      <c r="S204" s="45"/>
      <c r="T204" s="45"/>
      <c r="U204" s="45"/>
      <c r="V204" s="45"/>
      <c r="W204" s="45"/>
      <c r="X204" s="45"/>
      <c r="Y204" s="45"/>
      <c r="Z204" s="45"/>
      <c r="AA204" s="45"/>
      <c r="AB204" s="45"/>
      <c r="AC204" s="45"/>
      <c r="AD204" s="45"/>
      <c r="AE204" s="45"/>
    </row>
    <row r="205" ht="15.75" customHeight="1">
      <c r="A205" s="33" t="s">
        <v>602</v>
      </c>
      <c r="B205" s="33" t="s">
        <v>516</v>
      </c>
      <c r="C205" s="33" t="s">
        <v>282</v>
      </c>
      <c r="D205" s="24" t="s">
        <v>603</v>
      </c>
      <c r="E205" s="43" t="s">
        <v>135</v>
      </c>
      <c r="F205" s="21" t="s">
        <v>122</v>
      </c>
      <c r="G205" s="43" t="s">
        <v>517</v>
      </c>
      <c r="H205" s="43"/>
      <c r="I205" s="43" t="s">
        <v>517</v>
      </c>
      <c r="J205" s="42"/>
      <c r="K205" s="43"/>
      <c r="L205" s="45"/>
      <c r="M205" s="45"/>
      <c r="N205" s="45"/>
      <c r="O205" s="45"/>
      <c r="P205" s="45"/>
      <c r="Q205" s="45"/>
      <c r="R205" s="45"/>
      <c r="S205" s="45"/>
      <c r="T205" s="45"/>
      <c r="U205" s="45"/>
      <c r="V205" s="45"/>
      <c r="W205" s="45"/>
      <c r="X205" s="45"/>
      <c r="Y205" s="45"/>
      <c r="Z205" s="45"/>
      <c r="AA205" s="45"/>
      <c r="AB205" s="45"/>
      <c r="AC205" s="45"/>
      <c r="AD205" s="45"/>
      <c r="AE205" s="45"/>
    </row>
    <row r="206" ht="15.75" customHeight="1">
      <c r="A206" s="33" t="s">
        <v>604</v>
      </c>
      <c r="B206" s="33" t="s">
        <v>516</v>
      </c>
      <c r="C206" s="33" t="s">
        <v>282</v>
      </c>
      <c r="D206" s="24" t="s">
        <v>605</v>
      </c>
      <c r="E206" s="43" t="s">
        <v>135</v>
      </c>
      <c r="F206" s="42" t="s">
        <v>520</v>
      </c>
      <c r="G206" s="43" t="s">
        <v>517</v>
      </c>
      <c r="H206" s="43"/>
      <c r="I206" s="43" t="s">
        <v>517</v>
      </c>
      <c r="J206" s="42"/>
      <c r="K206" s="43"/>
      <c r="L206" s="45"/>
      <c r="M206" s="45"/>
      <c r="N206" s="45"/>
      <c r="O206" s="45"/>
      <c r="P206" s="45"/>
      <c r="Q206" s="45"/>
      <c r="R206" s="45"/>
      <c r="S206" s="45"/>
      <c r="T206" s="45"/>
      <c r="U206" s="45"/>
      <c r="V206" s="45"/>
      <c r="W206" s="45"/>
      <c r="X206" s="45"/>
      <c r="Y206" s="45"/>
      <c r="Z206" s="45"/>
      <c r="AA206" s="45"/>
      <c r="AB206" s="45"/>
      <c r="AC206" s="45"/>
      <c r="AD206" s="45"/>
      <c r="AE206" s="45"/>
    </row>
    <row r="207" ht="15.75" customHeight="1">
      <c r="A207" s="33" t="s">
        <v>606</v>
      </c>
      <c r="B207" s="33" t="s">
        <v>516</v>
      </c>
      <c r="C207" s="33" t="s">
        <v>282</v>
      </c>
      <c r="D207" s="24" t="s">
        <v>607</v>
      </c>
      <c r="E207" s="43" t="s">
        <v>135</v>
      </c>
      <c r="F207" s="47" t="s">
        <v>608</v>
      </c>
      <c r="G207" s="43" t="s">
        <v>517</v>
      </c>
      <c r="H207" s="43"/>
      <c r="I207" s="43" t="s">
        <v>517</v>
      </c>
      <c r="J207" s="42"/>
      <c r="K207" s="43"/>
      <c r="L207" s="45"/>
      <c r="M207" s="45"/>
      <c r="N207" s="45"/>
      <c r="O207" s="45"/>
      <c r="P207" s="45"/>
      <c r="Q207" s="45"/>
      <c r="R207" s="45"/>
      <c r="S207" s="45"/>
      <c r="T207" s="45"/>
      <c r="U207" s="45"/>
      <c r="V207" s="45"/>
      <c r="W207" s="45"/>
      <c r="X207" s="45"/>
      <c r="Y207" s="45"/>
      <c r="Z207" s="45"/>
      <c r="AA207" s="45"/>
      <c r="AB207" s="45"/>
      <c r="AC207" s="45"/>
      <c r="AD207" s="45"/>
      <c r="AE207" s="45"/>
    </row>
    <row r="208" ht="15.75" customHeight="1">
      <c r="A208" s="33" t="s">
        <v>609</v>
      </c>
      <c r="B208" s="33" t="s">
        <v>516</v>
      </c>
      <c r="C208" s="33" t="s">
        <v>282</v>
      </c>
      <c r="D208" s="24" t="s">
        <v>610</v>
      </c>
      <c r="E208" s="43" t="s">
        <v>135</v>
      </c>
      <c r="F208" s="21" t="s">
        <v>122</v>
      </c>
      <c r="G208" s="43" t="s">
        <v>517</v>
      </c>
      <c r="H208" s="43"/>
      <c r="I208" s="43" t="s">
        <v>517</v>
      </c>
      <c r="J208" s="42"/>
      <c r="K208" s="43"/>
      <c r="L208" s="45"/>
      <c r="M208" s="45"/>
      <c r="N208" s="45"/>
      <c r="O208" s="45"/>
      <c r="P208" s="45"/>
      <c r="Q208" s="45"/>
      <c r="R208" s="45"/>
      <c r="S208" s="45"/>
      <c r="T208" s="45"/>
      <c r="U208" s="45"/>
      <c r="V208" s="45"/>
      <c r="W208" s="45"/>
      <c r="X208" s="45"/>
      <c r="Y208" s="45"/>
      <c r="Z208" s="45"/>
      <c r="AA208" s="45"/>
      <c r="AB208" s="45"/>
      <c r="AC208" s="45"/>
      <c r="AD208" s="45"/>
      <c r="AE208" s="45"/>
    </row>
    <row r="209" ht="15.75" customHeight="1">
      <c r="A209" s="33" t="s">
        <v>611</v>
      </c>
      <c r="B209" s="33" t="s">
        <v>516</v>
      </c>
      <c r="C209" s="33" t="s">
        <v>282</v>
      </c>
      <c r="D209" s="24" t="s">
        <v>612</v>
      </c>
      <c r="E209" s="43" t="s">
        <v>135</v>
      </c>
      <c r="F209" s="42" t="s">
        <v>520</v>
      </c>
      <c r="G209" s="43" t="s">
        <v>517</v>
      </c>
      <c r="H209" s="43"/>
      <c r="I209" s="43" t="s">
        <v>517</v>
      </c>
      <c r="J209" s="42"/>
      <c r="K209" s="43"/>
      <c r="L209" s="45"/>
      <c r="M209" s="45"/>
      <c r="N209" s="45"/>
      <c r="O209" s="45"/>
      <c r="P209" s="45"/>
      <c r="Q209" s="45"/>
      <c r="R209" s="45"/>
      <c r="S209" s="45"/>
      <c r="T209" s="45"/>
      <c r="U209" s="45"/>
      <c r="V209" s="45"/>
      <c r="W209" s="45"/>
      <c r="X209" s="45"/>
      <c r="Y209" s="45"/>
      <c r="Z209" s="45"/>
      <c r="AA209" s="45"/>
      <c r="AB209" s="45"/>
      <c r="AC209" s="45"/>
      <c r="AD209" s="45"/>
      <c r="AE209" s="45"/>
    </row>
    <row r="210" ht="15.75" customHeight="1">
      <c r="A210" s="33" t="s">
        <v>613</v>
      </c>
      <c r="B210" s="33" t="s">
        <v>516</v>
      </c>
      <c r="C210" s="33" t="s">
        <v>282</v>
      </c>
      <c r="D210" s="24" t="s">
        <v>614</v>
      </c>
      <c r="E210" s="43" t="s">
        <v>135</v>
      </c>
      <c r="F210" s="42" t="s">
        <v>615</v>
      </c>
      <c r="G210" s="43" t="s">
        <v>517</v>
      </c>
      <c r="H210" s="43"/>
      <c r="I210" s="43" t="s">
        <v>517</v>
      </c>
      <c r="J210" s="42"/>
      <c r="K210" s="43"/>
      <c r="L210" s="45"/>
      <c r="M210" s="45"/>
      <c r="N210" s="45"/>
      <c r="O210" s="45"/>
      <c r="P210" s="45"/>
      <c r="Q210" s="45"/>
      <c r="R210" s="45"/>
      <c r="S210" s="45"/>
      <c r="T210" s="45"/>
      <c r="U210" s="45"/>
      <c r="V210" s="45"/>
      <c r="W210" s="45"/>
      <c r="X210" s="45"/>
      <c r="Y210" s="45"/>
      <c r="Z210" s="45"/>
      <c r="AA210" s="45"/>
      <c r="AB210" s="45"/>
      <c r="AC210" s="45"/>
      <c r="AD210" s="45"/>
      <c r="AE210" s="45"/>
    </row>
    <row r="211" ht="15.75" customHeight="1">
      <c r="A211" s="33" t="s">
        <v>616</v>
      </c>
      <c r="B211" s="33" t="s">
        <v>516</v>
      </c>
      <c r="C211" s="33" t="s">
        <v>282</v>
      </c>
      <c r="D211" s="24" t="s">
        <v>617</v>
      </c>
      <c r="E211" s="43" t="s">
        <v>135</v>
      </c>
      <c r="F211" s="21" t="s">
        <v>122</v>
      </c>
      <c r="G211" s="43" t="s">
        <v>517</v>
      </c>
      <c r="H211" s="43"/>
      <c r="I211" s="43" t="s">
        <v>517</v>
      </c>
      <c r="J211" s="42"/>
      <c r="K211" s="43"/>
      <c r="L211" s="45"/>
      <c r="M211" s="45"/>
      <c r="N211" s="45"/>
      <c r="O211" s="45"/>
      <c r="P211" s="45"/>
      <c r="Q211" s="45"/>
      <c r="R211" s="45"/>
      <c r="S211" s="45"/>
      <c r="T211" s="45"/>
      <c r="U211" s="45"/>
      <c r="V211" s="45"/>
      <c r="W211" s="45"/>
      <c r="X211" s="45"/>
      <c r="Y211" s="45"/>
      <c r="Z211" s="45"/>
      <c r="AA211" s="45"/>
      <c r="AB211" s="45"/>
      <c r="AC211" s="45"/>
      <c r="AD211" s="45"/>
      <c r="AE211" s="45"/>
    </row>
    <row r="212" ht="15.75" customHeight="1">
      <c r="A212" s="33" t="s">
        <v>618</v>
      </c>
      <c r="B212" s="33" t="s">
        <v>516</v>
      </c>
      <c r="C212" s="33" t="s">
        <v>282</v>
      </c>
      <c r="D212" s="24" t="s">
        <v>619</v>
      </c>
      <c r="E212" s="43" t="s">
        <v>135</v>
      </c>
      <c r="F212" s="42" t="s">
        <v>520</v>
      </c>
      <c r="G212" s="43" t="s">
        <v>517</v>
      </c>
      <c r="H212" s="43"/>
      <c r="I212" s="43" t="s">
        <v>517</v>
      </c>
      <c r="J212" s="42"/>
      <c r="K212" s="43"/>
      <c r="L212" s="45"/>
      <c r="M212" s="45"/>
      <c r="N212" s="45"/>
      <c r="O212" s="45"/>
      <c r="P212" s="45"/>
      <c r="Q212" s="45"/>
      <c r="R212" s="45"/>
      <c r="S212" s="45"/>
      <c r="T212" s="45"/>
      <c r="U212" s="45"/>
      <c r="V212" s="45"/>
      <c r="W212" s="45"/>
      <c r="X212" s="45"/>
      <c r="Y212" s="45"/>
      <c r="Z212" s="45"/>
      <c r="AA212" s="45"/>
      <c r="AB212" s="45"/>
      <c r="AC212" s="45"/>
      <c r="AD212" s="45"/>
      <c r="AE212" s="45"/>
    </row>
    <row r="213" ht="15.75" customHeight="1">
      <c r="A213" s="33" t="s">
        <v>620</v>
      </c>
      <c r="B213" s="33" t="s">
        <v>516</v>
      </c>
      <c r="C213" s="33" t="s">
        <v>282</v>
      </c>
      <c r="D213" s="24" t="s">
        <v>621</v>
      </c>
      <c r="E213" s="43" t="s">
        <v>135</v>
      </c>
      <c r="F213" s="42" t="s">
        <v>622</v>
      </c>
      <c r="G213" s="43" t="s">
        <v>517</v>
      </c>
      <c r="H213" s="43"/>
      <c r="I213" s="43" t="s">
        <v>517</v>
      </c>
      <c r="J213" s="42"/>
      <c r="K213" s="43"/>
      <c r="L213" s="45"/>
      <c r="M213" s="45"/>
      <c r="N213" s="45"/>
      <c r="O213" s="45"/>
      <c r="P213" s="45"/>
      <c r="Q213" s="45"/>
      <c r="R213" s="45"/>
      <c r="S213" s="45"/>
      <c r="T213" s="45"/>
      <c r="U213" s="45"/>
      <c r="V213" s="45"/>
      <c r="W213" s="45"/>
      <c r="X213" s="45"/>
      <c r="Y213" s="45"/>
      <c r="Z213" s="45"/>
      <c r="AA213" s="45"/>
      <c r="AB213" s="45"/>
      <c r="AC213" s="45"/>
      <c r="AD213" s="45"/>
      <c r="AE213" s="45"/>
    </row>
    <row r="214" ht="15.75" customHeight="1">
      <c r="A214" s="33" t="s">
        <v>623</v>
      </c>
      <c r="B214" s="33" t="s">
        <v>516</v>
      </c>
      <c r="C214" s="33" t="s">
        <v>282</v>
      </c>
      <c r="D214" s="24" t="s">
        <v>624</v>
      </c>
      <c r="E214" s="43" t="s">
        <v>135</v>
      </c>
      <c r="F214" s="21" t="s">
        <v>122</v>
      </c>
      <c r="G214" s="43" t="s">
        <v>517</v>
      </c>
      <c r="H214" s="43"/>
      <c r="I214" s="43" t="s">
        <v>517</v>
      </c>
      <c r="J214" s="42"/>
      <c r="K214" s="43"/>
      <c r="L214" s="45"/>
      <c r="M214" s="45"/>
      <c r="N214" s="45"/>
      <c r="O214" s="45"/>
      <c r="P214" s="45"/>
      <c r="Q214" s="45"/>
      <c r="R214" s="45"/>
      <c r="S214" s="45"/>
      <c r="T214" s="45"/>
      <c r="U214" s="45"/>
      <c r="V214" s="45"/>
      <c r="W214" s="45"/>
      <c r="X214" s="45"/>
      <c r="Y214" s="45"/>
      <c r="Z214" s="45"/>
      <c r="AA214" s="45"/>
      <c r="AB214" s="45"/>
      <c r="AC214" s="45"/>
      <c r="AD214" s="45"/>
      <c r="AE214" s="45"/>
    </row>
    <row r="215" ht="15.75" customHeight="1">
      <c r="A215" s="33" t="s">
        <v>625</v>
      </c>
      <c r="B215" s="33" t="s">
        <v>516</v>
      </c>
      <c r="C215" s="33" t="s">
        <v>282</v>
      </c>
      <c r="D215" s="24" t="s">
        <v>626</v>
      </c>
      <c r="E215" s="43" t="s">
        <v>135</v>
      </c>
      <c r="F215" s="42" t="s">
        <v>520</v>
      </c>
      <c r="G215" s="43" t="s">
        <v>517</v>
      </c>
      <c r="H215" s="43"/>
      <c r="I215" s="43" t="s">
        <v>517</v>
      </c>
      <c r="J215" s="42"/>
      <c r="K215" s="43"/>
      <c r="L215" s="45"/>
      <c r="M215" s="45"/>
      <c r="N215" s="45"/>
      <c r="O215" s="45"/>
      <c r="P215" s="45"/>
      <c r="Q215" s="45"/>
      <c r="R215" s="45"/>
      <c r="S215" s="45"/>
      <c r="T215" s="45"/>
      <c r="U215" s="45"/>
      <c r="V215" s="45"/>
      <c r="W215" s="45"/>
      <c r="X215" s="45"/>
      <c r="Y215" s="45"/>
      <c r="Z215" s="45"/>
      <c r="AA215" s="45"/>
      <c r="AB215" s="45"/>
      <c r="AC215" s="45"/>
      <c r="AD215" s="45"/>
      <c r="AE215" s="45"/>
    </row>
    <row r="216" ht="15.75" customHeight="1">
      <c r="A216" s="33" t="s">
        <v>627</v>
      </c>
      <c r="B216" s="33" t="s">
        <v>516</v>
      </c>
      <c r="C216" s="33" t="s">
        <v>282</v>
      </c>
      <c r="D216" s="24" t="s">
        <v>628</v>
      </c>
      <c r="E216" s="43" t="s">
        <v>135</v>
      </c>
      <c r="F216" s="42" t="s">
        <v>629</v>
      </c>
      <c r="G216" s="43" t="s">
        <v>517</v>
      </c>
      <c r="H216" s="43"/>
      <c r="I216" s="43" t="s">
        <v>517</v>
      </c>
      <c r="J216" s="42"/>
      <c r="K216" s="43"/>
      <c r="L216" s="45"/>
      <c r="M216" s="45"/>
      <c r="N216" s="45"/>
      <c r="O216" s="45"/>
      <c r="P216" s="45"/>
      <c r="Q216" s="45"/>
      <c r="R216" s="45"/>
      <c r="S216" s="45"/>
      <c r="T216" s="45"/>
      <c r="U216" s="45"/>
      <c r="V216" s="45"/>
      <c r="W216" s="45"/>
      <c r="X216" s="45"/>
      <c r="Y216" s="45"/>
      <c r="Z216" s="45"/>
      <c r="AA216" s="45"/>
      <c r="AB216" s="45"/>
      <c r="AC216" s="45"/>
      <c r="AD216" s="45"/>
      <c r="AE216" s="45"/>
    </row>
    <row r="217" ht="15.75" customHeight="1">
      <c r="A217" s="33" t="s">
        <v>630</v>
      </c>
      <c r="B217" s="33" t="s">
        <v>516</v>
      </c>
      <c r="C217" s="33" t="s">
        <v>282</v>
      </c>
      <c r="D217" s="24" t="s">
        <v>631</v>
      </c>
      <c r="E217" s="43" t="s">
        <v>135</v>
      </c>
      <c r="F217" s="21" t="s">
        <v>122</v>
      </c>
      <c r="G217" s="43" t="s">
        <v>517</v>
      </c>
      <c r="H217" s="43"/>
      <c r="I217" s="43" t="s">
        <v>517</v>
      </c>
      <c r="J217" s="42"/>
      <c r="K217" s="43"/>
      <c r="L217" s="45"/>
      <c r="M217" s="45"/>
      <c r="N217" s="45"/>
      <c r="O217" s="45"/>
      <c r="P217" s="45"/>
      <c r="Q217" s="45"/>
      <c r="R217" s="45"/>
      <c r="S217" s="45"/>
      <c r="T217" s="45"/>
      <c r="U217" s="45"/>
      <c r="V217" s="45"/>
      <c r="W217" s="45"/>
      <c r="X217" s="45"/>
      <c r="Y217" s="45"/>
      <c r="Z217" s="45"/>
      <c r="AA217" s="45"/>
      <c r="AB217" s="45"/>
      <c r="AC217" s="45"/>
      <c r="AD217" s="45"/>
      <c r="AE217" s="45"/>
    </row>
    <row r="218" ht="15.75" customHeight="1">
      <c r="A218" s="33" t="s">
        <v>632</v>
      </c>
      <c r="B218" s="33" t="s">
        <v>516</v>
      </c>
      <c r="C218" s="33" t="s">
        <v>282</v>
      </c>
      <c r="D218" s="24" t="s">
        <v>633</v>
      </c>
      <c r="E218" s="43" t="s">
        <v>135</v>
      </c>
      <c r="F218" s="42" t="s">
        <v>520</v>
      </c>
      <c r="G218" s="43" t="s">
        <v>517</v>
      </c>
      <c r="H218" s="43"/>
      <c r="I218" s="43" t="s">
        <v>517</v>
      </c>
      <c r="J218" s="42"/>
      <c r="K218" s="43"/>
      <c r="L218" s="45"/>
      <c r="M218" s="45"/>
      <c r="N218" s="45"/>
      <c r="O218" s="45"/>
      <c r="P218" s="45"/>
      <c r="Q218" s="45"/>
      <c r="R218" s="45"/>
      <c r="S218" s="45"/>
      <c r="T218" s="45"/>
      <c r="U218" s="45"/>
      <c r="V218" s="45"/>
      <c r="W218" s="45"/>
      <c r="X218" s="45"/>
      <c r="Y218" s="45"/>
      <c r="Z218" s="45"/>
      <c r="AA218" s="45"/>
      <c r="AB218" s="45"/>
      <c r="AC218" s="45"/>
      <c r="AD218" s="45"/>
      <c r="AE218" s="45"/>
    </row>
    <row r="219" ht="15.75" customHeight="1">
      <c r="A219" s="33" t="s">
        <v>634</v>
      </c>
      <c r="B219" s="33" t="s">
        <v>516</v>
      </c>
      <c r="C219" s="33" t="s">
        <v>282</v>
      </c>
      <c r="D219" s="24" t="s">
        <v>635</v>
      </c>
      <c r="E219" s="43" t="s">
        <v>135</v>
      </c>
      <c r="F219" s="42" t="s">
        <v>636</v>
      </c>
      <c r="G219" s="43" t="s">
        <v>517</v>
      </c>
      <c r="H219" s="43"/>
      <c r="I219" s="43" t="s">
        <v>517</v>
      </c>
      <c r="J219" s="42"/>
      <c r="K219" s="43"/>
      <c r="L219" s="45"/>
      <c r="M219" s="45"/>
      <c r="N219" s="45"/>
      <c r="O219" s="45"/>
      <c r="P219" s="45"/>
      <c r="Q219" s="45"/>
      <c r="R219" s="45"/>
      <c r="S219" s="45"/>
      <c r="T219" s="45"/>
      <c r="U219" s="45"/>
      <c r="V219" s="45"/>
      <c r="W219" s="45"/>
      <c r="X219" s="45"/>
      <c r="Y219" s="45"/>
      <c r="Z219" s="45"/>
      <c r="AA219" s="45"/>
      <c r="AB219" s="45"/>
      <c r="AC219" s="45"/>
      <c r="AD219" s="45"/>
      <c r="AE219" s="45"/>
    </row>
    <row r="220" ht="15.75" customHeight="1">
      <c r="A220" s="33" t="s">
        <v>637</v>
      </c>
      <c r="B220" s="33" t="s">
        <v>516</v>
      </c>
      <c r="C220" s="33" t="s">
        <v>282</v>
      </c>
      <c r="D220" s="24" t="s">
        <v>638</v>
      </c>
      <c r="E220" s="43" t="s">
        <v>135</v>
      </c>
      <c r="F220" s="21" t="s">
        <v>122</v>
      </c>
      <c r="G220" s="43" t="s">
        <v>517</v>
      </c>
      <c r="H220" s="43"/>
      <c r="I220" s="43" t="s">
        <v>517</v>
      </c>
      <c r="J220" s="42"/>
      <c r="K220" s="43"/>
      <c r="L220" s="45"/>
      <c r="M220" s="45"/>
      <c r="N220" s="45"/>
      <c r="O220" s="45"/>
      <c r="P220" s="45"/>
      <c r="Q220" s="45"/>
      <c r="R220" s="45"/>
      <c r="S220" s="45"/>
      <c r="T220" s="45"/>
      <c r="U220" s="45"/>
      <c r="V220" s="45"/>
      <c r="W220" s="45"/>
      <c r="X220" s="45"/>
      <c r="Y220" s="45"/>
      <c r="Z220" s="45"/>
      <c r="AA220" s="45"/>
      <c r="AB220" s="45"/>
      <c r="AC220" s="45"/>
      <c r="AD220" s="45"/>
      <c r="AE220" s="45"/>
    </row>
    <row r="221" ht="15.75" customHeight="1">
      <c r="A221" s="33" t="s">
        <v>639</v>
      </c>
      <c r="B221" s="33" t="s">
        <v>516</v>
      </c>
      <c r="C221" s="33" t="s">
        <v>282</v>
      </c>
      <c r="D221" s="24" t="s">
        <v>640</v>
      </c>
      <c r="E221" s="43" t="s">
        <v>135</v>
      </c>
      <c r="F221" s="42" t="s">
        <v>520</v>
      </c>
      <c r="G221" s="43" t="s">
        <v>517</v>
      </c>
      <c r="H221" s="43"/>
      <c r="I221" s="43" t="s">
        <v>517</v>
      </c>
      <c r="J221" s="42"/>
      <c r="K221" s="43"/>
      <c r="L221" s="45"/>
      <c r="M221" s="45"/>
      <c r="N221" s="45"/>
      <c r="O221" s="45"/>
      <c r="P221" s="45"/>
      <c r="Q221" s="45"/>
      <c r="R221" s="45"/>
      <c r="S221" s="45"/>
      <c r="T221" s="45"/>
      <c r="U221" s="45"/>
      <c r="V221" s="45"/>
      <c r="W221" s="45"/>
      <c r="X221" s="45"/>
      <c r="Y221" s="45"/>
      <c r="Z221" s="45"/>
      <c r="AA221" s="45"/>
      <c r="AB221" s="45"/>
      <c r="AC221" s="45"/>
      <c r="AD221" s="45"/>
      <c r="AE221" s="45"/>
    </row>
    <row r="222" ht="15.75" customHeight="1">
      <c r="A222" s="33" t="s">
        <v>641</v>
      </c>
      <c r="B222" s="33" t="s">
        <v>516</v>
      </c>
      <c r="C222" s="33" t="s">
        <v>282</v>
      </c>
      <c r="D222" s="24" t="s">
        <v>642</v>
      </c>
      <c r="E222" s="43" t="s">
        <v>135</v>
      </c>
      <c r="F222" s="42" t="s">
        <v>643</v>
      </c>
      <c r="G222" s="43" t="s">
        <v>517</v>
      </c>
      <c r="H222" s="43"/>
      <c r="I222" s="43" t="s">
        <v>517</v>
      </c>
      <c r="J222" s="42"/>
      <c r="K222" s="43"/>
      <c r="L222" s="45"/>
      <c r="M222" s="45"/>
      <c r="N222" s="45"/>
      <c r="O222" s="45"/>
      <c r="P222" s="45"/>
      <c r="Q222" s="45"/>
      <c r="R222" s="45"/>
      <c r="S222" s="45"/>
      <c r="T222" s="45"/>
      <c r="U222" s="45"/>
      <c r="V222" s="45"/>
      <c r="W222" s="45"/>
      <c r="X222" s="45"/>
      <c r="Y222" s="45"/>
      <c r="Z222" s="45"/>
      <c r="AA222" s="45"/>
      <c r="AB222" s="45"/>
      <c r="AC222" s="45"/>
      <c r="AD222" s="45"/>
      <c r="AE222" s="45"/>
    </row>
    <row r="223" ht="15.75" customHeight="1">
      <c r="A223" s="33" t="s">
        <v>644</v>
      </c>
      <c r="B223" s="33" t="s">
        <v>516</v>
      </c>
      <c r="C223" s="33" t="s">
        <v>282</v>
      </c>
      <c r="D223" s="24" t="s">
        <v>645</v>
      </c>
      <c r="E223" s="43" t="s">
        <v>135</v>
      </c>
      <c r="F223" s="21" t="s">
        <v>122</v>
      </c>
      <c r="G223" s="43" t="s">
        <v>517</v>
      </c>
      <c r="H223" s="43"/>
      <c r="I223" s="43" t="s">
        <v>517</v>
      </c>
      <c r="J223" s="42"/>
      <c r="K223" s="43"/>
      <c r="L223" s="45"/>
      <c r="M223" s="45"/>
      <c r="N223" s="45"/>
      <c r="O223" s="45"/>
      <c r="P223" s="45"/>
      <c r="Q223" s="45"/>
      <c r="R223" s="45"/>
      <c r="S223" s="45"/>
      <c r="T223" s="45"/>
      <c r="U223" s="45"/>
      <c r="V223" s="45"/>
      <c r="W223" s="45"/>
      <c r="X223" s="45"/>
      <c r="Y223" s="45"/>
      <c r="Z223" s="45"/>
      <c r="AA223" s="45"/>
      <c r="AB223" s="45"/>
      <c r="AC223" s="45"/>
      <c r="AD223" s="45"/>
      <c r="AE223" s="45"/>
    </row>
    <row r="224" ht="15.75" customHeight="1">
      <c r="A224" s="33" t="s">
        <v>646</v>
      </c>
      <c r="B224" s="33" t="s">
        <v>516</v>
      </c>
      <c r="C224" s="33" t="s">
        <v>282</v>
      </c>
      <c r="D224" s="24" t="s">
        <v>647</v>
      </c>
      <c r="E224" s="43" t="s">
        <v>135</v>
      </c>
      <c r="F224" s="42" t="s">
        <v>520</v>
      </c>
      <c r="G224" s="43" t="s">
        <v>517</v>
      </c>
      <c r="H224" s="43"/>
      <c r="I224" s="43" t="s">
        <v>517</v>
      </c>
      <c r="J224" s="42"/>
      <c r="K224" s="43"/>
      <c r="L224" s="45"/>
      <c r="M224" s="45"/>
      <c r="N224" s="45"/>
      <c r="O224" s="45"/>
      <c r="P224" s="45"/>
      <c r="Q224" s="45"/>
      <c r="R224" s="45"/>
      <c r="S224" s="45"/>
      <c r="T224" s="45"/>
      <c r="U224" s="45"/>
      <c r="V224" s="45"/>
      <c r="W224" s="45"/>
      <c r="X224" s="45"/>
      <c r="Y224" s="45"/>
      <c r="Z224" s="45"/>
      <c r="AA224" s="45"/>
      <c r="AB224" s="45"/>
      <c r="AC224" s="45"/>
      <c r="AD224" s="45"/>
      <c r="AE224" s="45"/>
    </row>
    <row r="225" ht="15.75" customHeight="1">
      <c r="A225" s="33" t="s">
        <v>648</v>
      </c>
      <c r="B225" s="33" t="s">
        <v>516</v>
      </c>
      <c r="C225" s="33" t="s">
        <v>282</v>
      </c>
      <c r="D225" s="24" t="s">
        <v>649</v>
      </c>
      <c r="E225" s="43" t="s">
        <v>135</v>
      </c>
      <c r="F225" s="42" t="s">
        <v>650</v>
      </c>
      <c r="G225" s="43" t="s">
        <v>517</v>
      </c>
      <c r="H225" s="43"/>
      <c r="I225" s="43" t="s">
        <v>517</v>
      </c>
      <c r="J225" s="42"/>
      <c r="K225" s="43"/>
      <c r="L225" s="45"/>
      <c r="M225" s="45"/>
      <c r="N225" s="45"/>
      <c r="O225" s="45"/>
      <c r="P225" s="45"/>
      <c r="Q225" s="45"/>
      <c r="R225" s="45"/>
      <c r="S225" s="45"/>
      <c r="T225" s="45"/>
      <c r="U225" s="45"/>
      <c r="V225" s="45"/>
      <c r="W225" s="45"/>
      <c r="X225" s="45"/>
      <c r="Y225" s="45"/>
      <c r="Z225" s="45"/>
      <c r="AA225" s="45"/>
      <c r="AB225" s="45"/>
      <c r="AC225" s="45"/>
      <c r="AD225" s="45"/>
      <c r="AE225" s="45"/>
    </row>
    <row r="226" ht="15.75" customHeight="1">
      <c r="A226" s="33" t="s">
        <v>651</v>
      </c>
      <c r="B226" s="33" t="s">
        <v>516</v>
      </c>
      <c r="C226" s="33" t="s">
        <v>282</v>
      </c>
      <c r="D226" s="24" t="s">
        <v>652</v>
      </c>
      <c r="E226" s="43" t="s">
        <v>135</v>
      </c>
      <c r="F226" s="21" t="s">
        <v>122</v>
      </c>
      <c r="G226" s="43" t="s">
        <v>517</v>
      </c>
      <c r="H226" s="43"/>
      <c r="I226" s="43" t="s">
        <v>517</v>
      </c>
      <c r="J226" s="42"/>
      <c r="K226" s="43"/>
      <c r="L226" s="45"/>
      <c r="M226" s="45"/>
      <c r="N226" s="45"/>
      <c r="O226" s="45"/>
      <c r="P226" s="45"/>
      <c r="Q226" s="45"/>
      <c r="R226" s="45"/>
      <c r="S226" s="45"/>
      <c r="T226" s="45"/>
      <c r="U226" s="45"/>
      <c r="V226" s="45"/>
      <c r="W226" s="45"/>
      <c r="X226" s="45"/>
      <c r="Y226" s="45"/>
      <c r="Z226" s="45"/>
      <c r="AA226" s="45"/>
      <c r="AB226" s="45"/>
      <c r="AC226" s="45"/>
      <c r="AD226" s="45"/>
      <c r="AE226" s="45"/>
    </row>
    <row r="227" ht="15.75" customHeight="1">
      <c r="A227" s="33" t="s">
        <v>653</v>
      </c>
      <c r="B227" s="33" t="s">
        <v>516</v>
      </c>
      <c r="C227" s="33" t="s">
        <v>282</v>
      </c>
      <c r="D227" s="24" t="s">
        <v>654</v>
      </c>
      <c r="E227" s="43" t="s">
        <v>135</v>
      </c>
      <c r="F227" s="42" t="s">
        <v>520</v>
      </c>
      <c r="G227" s="43" t="s">
        <v>517</v>
      </c>
      <c r="H227" s="43"/>
      <c r="I227" s="43" t="s">
        <v>517</v>
      </c>
      <c r="J227" s="42"/>
      <c r="K227" s="43"/>
      <c r="L227" s="45"/>
      <c r="M227" s="45"/>
      <c r="N227" s="45"/>
      <c r="O227" s="45"/>
      <c r="P227" s="45"/>
      <c r="Q227" s="45"/>
      <c r="R227" s="45"/>
      <c r="S227" s="45"/>
      <c r="T227" s="45"/>
      <c r="U227" s="45"/>
      <c r="V227" s="45"/>
      <c r="W227" s="45"/>
      <c r="X227" s="45"/>
      <c r="Y227" s="45"/>
      <c r="Z227" s="45"/>
      <c r="AA227" s="45"/>
      <c r="AB227" s="45"/>
      <c r="AC227" s="45"/>
      <c r="AD227" s="45"/>
      <c r="AE227" s="45"/>
    </row>
    <row r="228" ht="15.75" customHeight="1">
      <c r="A228" s="33" t="s">
        <v>655</v>
      </c>
      <c r="B228" s="33" t="s">
        <v>516</v>
      </c>
      <c r="C228" s="33" t="s">
        <v>282</v>
      </c>
      <c r="D228" s="24" t="s">
        <v>656</v>
      </c>
      <c r="E228" s="43" t="s">
        <v>135</v>
      </c>
      <c r="F228" s="42" t="s">
        <v>657</v>
      </c>
      <c r="G228" s="43" t="s">
        <v>517</v>
      </c>
      <c r="H228" s="43"/>
      <c r="I228" s="43" t="s">
        <v>517</v>
      </c>
      <c r="J228" s="42"/>
      <c r="K228" s="43"/>
      <c r="L228" s="45"/>
      <c r="M228" s="45"/>
      <c r="N228" s="45"/>
      <c r="O228" s="45"/>
      <c r="P228" s="45"/>
      <c r="Q228" s="45"/>
      <c r="R228" s="45"/>
      <c r="S228" s="45"/>
      <c r="T228" s="45"/>
      <c r="U228" s="45"/>
      <c r="V228" s="45"/>
      <c r="W228" s="45"/>
      <c r="X228" s="45"/>
      <c r="Y228" s="45"/>
      <c r="Z228" s="45"/>
      <c r="AA228" s="45"/>
      <c r="AB228" s="45"/>
      <c r="AC228" s="45"/>
      <c r="AD228" s="45"/>
      <c r="AE228" s="45"/>
    </row>
    <row r="229" ht="15.75" customHeight="1">
      <c r="A229" s="33" t="s">
        <v>658</v>
      </c>
      <c r="B229" s="33" t="s">
        <v>516</v>
      </c>
      <c r="C229" s="33" t="s">
        <v>282</v>
      </c>
      <c r="D229" s="24" t="s">
        <v>659</v>
      </c>
      <c r="E229" s="43" t="s">
        <v>135</v>
      </c>
      <c r="F229" s="21" t="s">
        <v>122</v>
      </c>
      <c r="G229" s="43" t="s">
        <v>517</v>
      </c>
      <c r="H229" s="43"/>
      <c r="I229" s="43" t="s">
        <v>517</v>
      </c>
      <c r="J229" s="42"/>
      <c r="K229" s="43"/>
      <c r="L229" s="45"/>
      <c r="M229" s="45"/>
      <c r="N229" s="45"/>
      <c r="O229" s="45"/>
      <c r="P229" s="45"/>
      <c r="Q229" s="45"/>
      <c r="R229" s="45"/>
      <c r="S229" s="45"/>
      <c r="T229" s="45"/>
      <c r="U229" s="45"/>
      <c r="V229" s="45"/>
      <c r="W229" s="45"/>
      <c r="X229" s="45"/>
      <c r="Y229" s="45"/>
      <c r="Z229" s="45"/>
      <c r="AA229" s="45"/>
      <c r="AB229" s="45"/>
      <c r="AC229" s="45"/>
      <c r="AD229" s="45"/>
      <c r="AE229" s="45"/>
    </row>
    <row r="230" ht="15.75" customHeight="1">
      <c r="A230" s="33" t="s">
        <v>660</v>
      </c>
      <c r="B230" s="33" t="s">
        <v>516</v>
      </c>
      <c r="C230" s="33" t="s">
        <v>282</v>
      </c>
      <c r="D230" s="24" t="s">
        <v>661</v>
      </c>
      <c r="E230" s="43" t="s">
        <v>135</v>
      </c>
      <c r="F230" s="42" t="s">
        <v>520</v>
      </c>
      <c r="G230" s="43" t="s">
        <v>517</v>
      </c>
      <c r="H230" s="43"/>
      <c r="I230" s="43" t="s">
        <v>517</v>
      </c>
      <c r="J230" s="42"/>
      <c r="K230" s="43"/>
      <c r="L230" s="45"/>
      <c r="M230" s="45"/>
      <c r="N230" s="45"/>
      <c r="O230" s="45"/>
      <c r="P230" s="45"/>
      <c r="Q230" s="45"/>
      <c r="R230" s="45"/>
      <c r="S230" s="45"/>
      <c r="T230" s="45"/>
      <c r="U230" s="45"/>
      <c r="V230" s="45"/>
      <c r="W230" s="45"/>
      <c r="X230" s="45"/>
      <c r="Y230" s="45"/>
      <c r="Z230" s="45"/>
      <c r="AA230" s="45"/>
      <c r="AB230" s="45"/>
      <c r="AC230" s="45"/>
      <c r="AD230" s="45"/>
      <c r="AE230" s="45"/>
    </row>
    <row r="231" ht="15.75" customHeight="1">
      <c r="A231" s="33" t="s">
        <v>662</v>
      </c>
      <c r="B231" s="33" t="s">
        <v>516</v>
      </c>
      <c r="C231" s="33" t="s">
        <v>282</v>
      </c>
      <c r="D231" s="24" t="s">
        <v>663</v>
      </c>
      <c r="E231" s="43" t="s">
        <v>135</v>
      </c>
      <c r="F231" s="46" t="s">
        <v>664</v>
      </c>
      <c r="G231" s="43" t="s">
        <v>517</v>
      </c>
      <c r="H231" s="43"/>
      <c r="I231" s="43" t="s">
        <v>517</v>
      </c>
      <c r="J231" s="42"/>
      <c r="K231" s="43"/>
      <c r="L231" s="45"/>
      <c r="M231" s="45"/>
      <c r="N231" s="45"/>
      <c r="O231" s="45"/>
      <c r="P231" s="45"/>
      <c r="Q231" s="45"/>
      <c r="R231" s="45"/>
      <c r="S231" s="45"/>
      <c r="T231" s="45"/>
      <c r="U231" s="45"/>
      <c r="V231" s="45"/>
      <c r="W231" s="45"/>
      <c r="X231" s="45"/>
      <c r="Y231" s="45"/>
      <c r="Z231" s="45"/>
      <c r="AA231" s="45"/>
      <c r="AB231" s="45"/>
      <c r="AC231" s="45"/>
      <c r="AD231" s="45"/>
      <c r="AE231" s="45"/>
    </row>
    <row r="232" ht="15.75" customHeight="1">
      <c r="A232" s="33" t="s">
        <v>665</v>
      </c>
      <c r="B232" s="33" t="s">
        <v>516</v>
      </c>
      <c r="C232" s="33" t="s">
        <v>282</v>
      </c>
      <c r="D232" s="24" t="s">
        <v>666</v>
      </c>
      <c r="E232" s="43" t="s">
        <v>135</v>
      </c>
      <c r="F232" s="21" t="s">
        <v>122</v>
      </c>
      <c r="G232" s="43" t="s">
        <v>517</v>
      </c>
      <c r="H232" s="43"/>
      <c r="I232" s="43" t="s">
        <v>517</v>
      </c>
      <c r="J232" s="42"/>
      <c r="K232" s="43"/>
      <c r="L232" s="45"/>
      <c r="M232" s="45"/>
      <c r="N232" s="45"/>
      <c r="O232" s="45"/>
      <c r="P232" s="45"/>
      <c r="Q232" s="45"/>
      <c r="R232" s="45"/>
      <c r="S232" s="45"/>
      <c r="T232" s="45"/>
      <c r="U232" s="45"/>
      <c r="V232" s="45"/>
      <c r="W232" s="45"/>
      <c r="X232" s="45"/>
      <c r="Y232" s="45"/>
      <c r="Z232" s="45"/>
      <c r="AA232" s="45"/>
      <c r="AB232" s="45"/>
      <c r="AC232" s="45"/>
      <c r="AD232" s="45"/>
      <c r="AE232" s="45"/>
    </row>
    <row r="233" ht="15.75" customHeight="1">
      <c r="A233" s="33" t="s">
        <v>667</v>
      </c>
      <c r="B233" s="33" t="s">
        <v>516</v>
      </c>
      <c r="C233" s="33" t="s">
        <v>282</v>
      </c>
      <c r="D233" s="24" t="s">
        <v>668</v>
      </c>
      <c r="E233" s="43" t="s">
        <v>135</v>
      </c>
      <c r="F233" s="42" t="s">
        <v>520</v>
      </c>
      <c r="G233" s="43" t="s">
        <v>517</v>
      </c>
      <c r="H233" s="43"/>
      <c r="I233" s="43" t="s">
        <v>517</v>
      </c>
      <c r="J233" s="42"/>
      <c r="K233" s="43"/>
      <c r="L233" s="45"/>
      <c r="M233" s="45"/>
      <c r="N233" s="45"/>
      <c r="O233" s="45"/>
      <c r="P233" s="45"/>
      <c r="Q233" s="45"/>
      <c r="R233" s="45"/>
      <c r="S233" s="45"/>
      <c r="T233" s="45"/>
      <c r="U233" s="45"/>
      <c r="V233" s="45"/>
      <c r="W233" s="45"/>
      <c r="X233" s="45"/>
      <c r="Y233" s="45"/>
      <c r="Z233" s="45"/>
      <c r="AA233" s="45"/>
      <c r="AB233" s="45"/>
      <c r="AC233" s="45"/>
      <c r="AD233" s="45"/>
      <c r="AE233" s="45"/>
    </row>
    <row r="234" ht="15.75" customHeight="1">
      <c r="A234" s="33" t="s">
        <v>669</v>
      </c>
      <c r="B234" s="33" t="s">
        <v>516</v>
      </c>
      <c r="C234" s="33" t="s">
        <v>282</v>
      </c>
      <c r="D234" s="24" t="s">
        <v>670</v>
      </c>
      <c r="E234" s="43" t="s">
        <v>135</v>
      </c>
      <c r="F234" s="42" t="s">
        <v>671</v>
      </c>
      <c r="G234" s="43" t="s">
        <v>517</v>
      </c>
      <c r="H234" s="43"/>
      <c r="I234" s="43" t="s">
        <v>517</v>
      </c>
      <c r="J234" s="42"/>
      <c r="K234" s="43"/>
      <c r="L234" s="45"/>
      <c r="M234" s="45"/>
      <c r="N234" s="45"/>
      <c r="O234" s="45"/>
      <c r="P234" s="45"/>
      <c r="Q234" s="45"/>
      <c r="R234" s="45"/>
      <c r="S234" s="45"/>
      <c r="T234" s="45"/>
      <c r="U234" s="45"/>
      <c r="V234" s="45"/>
      <c r="W234" s="45"/>
      <c r="X234" s="45"/>
      <c r="Y234" s="45"/>
      <c r="Z234" s="45"/>
      <c r="AA234" s="45"/>
      <c r="AB234" s="45"/>
      <c r="AC234" s="45"/>
      <c r="AD234" s="45"/>
      <c r="AE234" s="45"/>
    </row>
    <row r="235" ht="15.75" customHeight="1">
      <c r="A235" s="33" t="s">
        <v>672</v>
      </c>
      <c r="B235" s="33" t="s">
        <v>516</v>
      </c>
      <c r="C235" s="33" t="s">
        <v>282</v>
      </c>
      <c r="D235" s="24" t="s">
        <v>673</v>
      </c>
      <c r="E235" s="43" t="s">
        <v>135</v>
      </c>
      <c r="F235" s="21" t="s">
        <v>122</v>
      </c>
      <c r="G235" s="43" t="s">
        <v>517</v>
      </c>
      <c r="H235" s="43"/>
      <c r="I235" s="43" t="s">
        <v>517</v>
      </c>
      <c r="J235" s="42"/>
      <c r="K235" s="43"/>
      <c r="L235" s="45"/>
      <c r="M235" s="45"/>
      <c r="N235" s="45"/>
      <c r="O235" s="45"/>
      <c r="P235" s="45"/>
      <c r="Q235" s="45"/>
      <c r="R235" s="45"/>
      <c r="S235" s="45"/>
      <c r="T235" s="45"/>
      <c r="U235" s="45"/>
      <c r="V235" s="45"/>
      <c r="W235" s="45"/>
      <c r="X235" s="45"/>
      <c r="Y235" s="45"/>
      <c r="Z235" s="45"/>
      <c r="AA235" s="45"/>
      <c r="AB235" s="45"/>
      <c r="AC235" s="45"/>
      <c r="AD235" s="45"/>
      <c r="AE235" s="45"/>
    </row>
    <row r="236" ht="15.75" customHeight="1">
      <c r="A236" s="33" t="s">
        <v>674</v>
      </c>
      <c r="B236" s="33" t="s">
        <v>516</v>
      </c>
      <c r="C236" s="33" t="s">
        <v>282</v>
      </c>
      <c r="D236" s="24" t="s">
        <v>675</v>
      </c>
      <c r="E236" s="43" t="s">
        <v>135</v>
      </c>
      <c r="F236" s="42" t="s">
        <v>520</v>
      </c>
      <c r="G236" s="43" t="s">
        <v>517</v>
      </c>
      <c r="H236" s="43"/>
      <c r="I236" s="43" t="s">
        <v>517</v>
      </c>
      <c r="J236" s="42"/>
      <c r="K236" s="43"/>
      <c r="L236" s="45"/>
      <c r="M236" s="45"/>
      <c r="N236" s="45"/>
      <c r="O236" s="45"/>
      <c r="P236" s="45"/>
      <c r="Q236" s="45"/>
      <c r="R236" s="45"/>
      <c r="S236" s="45"/>
      <c r="T236" s="45"/>
      <c r="U236" s="45"/>
      <c r="V236" s="45"/>
      <c r="W236" s="45"/>
      <c r="X236" s="45"/>
      <c r="Y236" s="45"/>
      <c r="Z236" s="45"/>
      <c r="AA236" s="45"/>
      <c r="AB236" s="45"/>
      <c r="AC236" s="45"/>
      <c r="AD236" s="45"/>
      <c r="AE236" s="45"/>
    </row>
    <row r="237" ht="15.75" customHeight="1">
      <c r="A237" s="33" t="s">
        <v>676</v>
      </c>
      <c r="B237" s="33" t="s">
        <v>516</v>
      </c>
      <c r="C237" s="33" t="s">
        <v>282</v>
      </c>
      <c r="D237" s="24" t="s">
        <v>677</v>
      </c>
      <c r="E237" s="43" t="s">
        <v>135</v>
      </c>
      <c r="F237" s="42" t="s">
        <v>678</v>
      </c>
      <c r="G237" s="43" t="s">
        <v>517</v>
      </c>
      <c r="H237" s="43"/>
      <c r="I237" s="43" t="s">
        <v>517</v>
      </c>
      <c r="J237" s="42"/>
      <c r="K237" s="43"/>
      <c r="L237" s="45"/>
      <c r="M237" s="45"/>
      <c r="N237" s="45"/>
      <c r="O237" s="45"/>
      <c r="P237" s="45"/>
      <c r="Q237" s="45"/>
      <c r="R237" s="45"/>
      <c r="S237" s="45"/>
      <c r="T237" s="45"/>
      <c r="U237" s="45"/>
      <c r="V237" s="45"/>
      <c r="W237" s="45"/>
      <c r="X237" s="45"/>
      <c r="Y237" s="45"/>
      <c r="Z237" s="45"/>
      <c r="AA237" s="45"/>
      <c r="AB237" s="45"/>
      <c r="AC237" s="45"/>
      <c r="AD237" s="45"/>
      <c r="AE237" s="45"/>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37"/>
  <customSheetViews>
    <customSheetView guid="{F263A3AC-1237-40A8-82F2-25CFE72B494B}" filter="1" showAutoFilter="1">
      <autoFilter ref="$A$1:$K$237"/>
    </customSheetView>
  </customSheetViews>
  <hyperlinks>
    <hyperlink r:id="rId2" ref="F97"/>
  </hyperlinks>
  <printOptions/>
  <pageMargins bottom="0.75" footer="0.0" header="0.0" left="0.7" right="0.7" top="0.75"/>
  <pageSetup scale="68"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4.0"/>
    <col customWidth="1" min="2" max="2" width="17.71"/>
    <col customWidth="1" min="3" max="3" width="66.29"/>
    <col customWidth="1" min="4" max="4" width="14.43"/>
    <col customWidth="1" min="5" max="6" width="23.86"/>
    <col customWidth="1" min="7" max="7" width="13.29"/>
    <col customWidth="1" min="8" max="8" width="16.43"/>
    <col customWidth="1" min="9" max="9" width="15.57"/>
    <col customWidth="1" min="10" max="10" width="20.57"/>
    <col customWidth="1" min="11" max="11" width="21.86"/>
    <col customWidth="1" min="12" max="12" width="13.57"/>
    <col customWidth="1" min="13" max="13" width="20.86"/>
    <col customWidth="1" min="14" max="14" width="16.71"/>
    <col customWidth="1" min="15" max="15" width="24.0"/>
    <col customWidth="1" min="16" max="16" width="17.0"/>
    <col customWidth="1" min="17" max="17" width="15.14"/>
  </cols>
  <sheetData>
    <row r="1">
      <c r="A1" s="18" t="s">
        <v>69</v>
      </c>
      <c r="B1" s="48" t="s">
        <v>63</v>
      </c>
      <c r="C1" s="18" t="s">
        <v>71</v>
      </c>
      <c r="D1" s="18" t="s">
        <v>679</v>
      </c>
      <c r="E1" s="48" t="s">
        <v>680</v>
      </c>
      <c r="F1" s="18" t="s">
        <v>73</v>
      </c>
      <c r="G1" s="18" t="s">
        <v>74</v>
      </c>
      <c r="H1" s="18" t="s">
        <v>76</v>
      </c>
      <c r="I1" s="18" t="s">
        <v>77</v>
      </c>
      <c r="J1" s="18" t="s">
        <v>75</v>
      </c>
      <c r="K1" s="48" t="s">
        <v>681</v>
      </c>
      <c r="L1" s="18" t="s">
        <v>682</v>
      </c>
      <c r="M1" s="18" t="s">
        <v>78</v>
      </c>
      <c r="N1" s="18" t="s">
        <v>683</v>
      </c>
      <c r="O1" s="49" t="s">
        <v>36</v>
      </c>
      <c r="P1" s="50" t="s">
        <v>38</v>
      </c>
      <c r="Q1" s="50" t="s">
        <v>40</v>
      </c>
      <c r="R1" s="51"/>
      <c r="S1" s="51"/>
      <c r="T1" s="51"/>
      <c r="U1" s="51"/>
      <c r="V1" s="51"/>
      <c r="W1" s="51"/>
      <c r="X1" s="51"/>
      <c r="Y1" s="51"/>
      <c r="Z1" s="51"/>
    </row>
    <row r="2">
      <c r="A2" s="52" t="s">
        <v>88</v>
      </c>
      <c r="B2" s="52" t="s">
        <v>44</v>
      </c>
      <c r="C2" s="53" t="s">
        <v>684</v>
      </c>
      <c r="D2" s="22" t="s">
        <v>83</v>
      </c>
      <c r="E2" s="53" t="s">
        <v>685</v>
      </c>
      <c r="F2" s="22">
        <v>5123.0</v>
      </c>
      <c r="G2" s="52" t="s">
        <v>686</v>
      </c>
      <c r="H2" s="22" t="s">
        <v>91</v>
      </c>
      <c r="I2" s="22" t="s">
        <v>91</v>
      </c>
      <c r="J2" s="22" t="s">
        <v>85</v>
      </c>
      <c r="K2" s="53" t="s">
        <v>687</v>
      </c>
      <c r="L2" s="22" t="s">
        <v>688</v>
      </c>
      <c r="M2" s="54">
        <v>44042.0</v>
      </c>
      <c r="N2" s="55" t="s">
        <v>689</v>
      </c>
      <c r="O2" s="56" t="s">
        <v>690</v>
      </c>
      <c r="P2" s="57" t="s">
        <v>691</v>
      </c>
      <c r="Q2" s="57" t="s">
        <v>691</v>
      </c>
      <c r="R2" s="58"/>
      <c r="S2" s="58"/>
      <c r="T2" s="58"/>
      <c r="U2" s="58"/>
      <c r="V2" s="58"/>
      <c r="W2" s="58"/>
      <c r="X2" s="58"/>
      <c r="Y2" s="58"/>
      <c r="Z2" s="58"/>
    </row>
    <row r="3">
      <c r="A3" s="33" t="s">
        <v>79</v>
      </c>
      <c r="B3" s="53" t="s">
        <v>44</v>
      </c>
      <c r="C3" s="53" t="s">
        <v>82</v>
      </c>
      <c r="D3" s="22" t="s">
        <v>83</v>
      </c>
      <c r="E3" s="53" t="s">
        <v>685</v>
      </c>
      <c r="F3" s="22">
        <v>9.17588242E9</v>
      </c>
      <c r="G3" s="22" t="s">
        <v>84</v>
      </c>
      <c r="H3" s="22" t="s">
        <v>91</v>
      </c>
      <c r="I3" s="22" t="s">
        <v>91</v>
      </c>
      <c r="J3" s="22" t="s">
        <v>85</v>
      </c>
      <c r="K3" s="53" t="s">
        <v>687</v>
      </c>
      <c r="L3" s="22" t="s">
        <v>688</v>
      </c>
      <c r="M3" s="54">
        <v>44042.0</v>
      </c>
      <c r="N3" s="55" t="s">
        <v>692</v>
      </c>
      <c r="O3" s="56" t="s">
        <v>690</v>
      </c>
      <c r="P3" s="57" t="s">
        <v>691</v>
      </c>
      <c r="Q3" s="57" t="s">
        <v>691</v>
      </c>
      <c r="R3" s="58"/>
      <c r="S3" s="58"/>
      <c r="T3" s="58"/>
      <c r="U3" s="58"/>
      <c r="V3" s="58"/>
      <c r="W3" s="58"/>
      <c r="X3" s="58"/>
      <c r="Y3" s="58"/>
      <c r="Z3" s="58"/>
    </row>
    <row r="4">
      <c r="A4" s="21" t="s">
        <v>693</v>
      </c>
      <c r="B4" s="52" t="s">
        <v>44</v>
      </c>
      <c r="C4" s="53" t="s">
        <v>444</v>
      </c>
      <c r="D4" s="21" t="s">
        <v>83</v>
      </c>
      <c r="E4" s="59" t="s">
        <v>694</v>
      </c>
      <c r="F4" s="25" t="s">
        <v>695</v>
      </c>
      <c r="G4" s="21" t="s">
        <v>445</v>
      </c>
      <c r="H4" s="22" t="s">
        <v>91</v>
      </c>
      <c r="I4" s="22" t="s">
        <v>91</v>
      </c>
      <c r="J4" s="22" t="s">
        <v>85</v>
      </c>
      <c r="K4" s="53" t="s">
        <v>687</v>
      </c>
      <c r="L4" s="22" t="s">
        <v>688</v>
      </c>
      <c r="M4" s="54">
        <v>44042.0</v>
      </c>
      <c r="N4" s="55" t="s">
        <v>692</v>
      </c>
      <c r="O4" s="56" t="s">
        <v>690</v>
      </c>
      <c r="P4" s="57" t="s">
        <v>691</v>
      </c>
      <c r="Q4" s="57" t="s">
        <v>691</v>
      </c>
      <c r="R4" s="58"/>
      <c r="S4" s="58"/>
      <c r="T4" s="58"/>
      <c r="U4" s="58"/>
      <c r="V4" s="58"/>
      <c r="W4" s="58"/>
      <c r="X4" s="58"/>
      <c r="Y4" s="58"/>
      <c r="Z4" s="58"/>
    </row>
    <row r="5">
      <c r="A5" s="21" t="s">
        <v>113</v>
      </c>
      <c r="B5" s="52" t="s">
        <v>696</v>
      </c>
      <c r="C5" s="60" t="s">
        <v>697</v>
      </c>
      <c r="D5" s="25" t="s">
        <v>83</v>
      </c>
      <c r="E5" s="53" t="s">
        <v>698</v>
      </c>
      <c r="F5" s="27">
        <v>43709.0</v>
      </c>
      <c r="G5" s="52" t="s">
        <v>686</v>
      </c>
      <c r="H5" s="22" t="s">
        <v>91</v>
      </c>
      <c r="I5" s="22" t="s">
        <v>91</v>
      </c>
      <c r="J5" s="22" t="s">
        <v>85</v>
      </c>
      <c r="K5" s="53" t="s">
        <v>687</v>
      </c>
      <c r="L5" s="22" t="s">
        <v>688</v>
      </c>
      <c r="M5" s="54">
        <v>44042.0</v>
      </c>
      <c r="N5" s="55" t="s">
        <v>692</v>
      </c>
      <c r="O5" s="56" t="s">
        <v>690</v>
      </c>
      <c r="P5" s="57" t="s">
        <v>691</v>
      </c>
      <c r="Q5" s="57" t="s">
        <v>691</v>
      </c>
      <c r="R5" s="58"/>
      <c r="S5" s="58"/>
      <c r="T5" s="58"/>
      <c r="U5" s="58"/>
      <c r="V5" s="58"/>
      <c r="W5" s="58"/>
      <c r="X5" s="58"/>
      <c r="Y5" s="58"/>
      <c r="Z5" s="58"/>
    </row>
    <row r="6">
      <c r="A6" s="21" t="s">
        <v>699</v>
      </c>
      <c r="B6" s="52" t="s">
        <v>44</v>
      </c>
      <c r="C6" s="53" t="s">
        <v>700</v>
      </c>
      <c r="D6" s="22" t="s">
        <v>83</v>
      </c>
      <c r="E6" s="53" t="s">
        <v>685</v>
      </c>
      <c r="F6" s="22">
        <v>1.2072423E7</v>
      </c>
      <c r="G6" s="52" t="s">
        <v>686</v>
      </c>
      <c r="H6" s="22" t="s">
        <v>91</v>
      </c>
      <c r="I6" s="22" t="s">
        <v>91</v>
      </c>
      <c r="J6" s="22" t="s">
        <v>85</v>
      </c>
      <c r="K6" s="53" t="s">
        <v>687</v>
      </c>
      <c r="L6" s="22" t="s">
        <v>688</v>
      </c>
      <c r="M6" s="54">
        <v>44042.0</v>
      </c>
      <c r="N6" s="55" t="s">
        <v>701</v>
      </c>
      <c r="O6" s="56" t="s">
        <v>690</v>
      </c>
      <c r="P6" s="57" t="s">
        <v>702</v>
      </c>
      <c r="Q6" s="57" t="s">
        <v>702</v>
      </c>
      <c r="R6" s="58"/>
      <c r="S6" s="58"/>
      <c r="T6" s="58"/>
      <c r="U6" s="58"/>
      <c r="V6" s="58"/>
      <c r="W6" s="58"/>
      <c r="X6" s="58"/>
      <c r="Y6" s="58"/>
      <c r="Z6" s="58"/>
    </row>
    <row r="7">
      <c r="A7" s="21" t="s">
        <v>703</v>
      </c>
      <c r="B7" s="52" t="s">
        <v>696</v>
      </c>
      <c r="C7" s="53" t="s">
        <v>704</v>
      </c>
      <c r="D7" s="22" t="s">
        <v>83</v>
      </c>
      <c r="E7" s="53" t="s">
        <v>685</v>
      </c>
      <c r="F7" s="22" t="s">
        <v>466</v>
      </c>
      <c r="G7" s="52" t="s">
        <v>686</v>
      </c>
      <c r="H7" s="22" t="s">
        <v>91</v>
      </c>
      <c r="I7" s="22" t="s">
        <v>91</v>
      </c>
      <c r="J7" s="22" t="s">
        <v>85</v>
      </c>
      <c r="K7" s="53" t="s">
        <v>687</v>
      </c>
      <c r="L7" s="22" t="s">
        <v>688</v>
      </c>
      <c r="M7" s="54">
        <v>44042.0</v>
      </c>
      <c r="N7" s="55" t="s">
        <v>692</v>
      </c>
      <c r="O7" s="56" t="s">
        <v>690</v>
      </c>
      <c r="P7" s="57" t="s">
        <v>705</v>
      </c>
      <c r="Q7" s="57" t="s">
        <v>705</v>
      </c>
      <c r="R7" s="58"/>
      <c r="S7" s="58"/>
      <c r="T7" s="58"/>
      <c r="U7" s="58"/>
      <c r="V7" s="58"/>
      <c r="W7" s="58"/>
      <c r="X7" s="58"/>
      <c r="Y7" s="58"/>
      <c r="Z7" s="58"/>
    </row>
    <row r="8" ht="102.0" customHeight="1">
      <c r="A8" s="23" t="s">
        <v>706</v>
      </c>
      <c r="B8" s="52" t="s">
        <v>44</v>
      </c>
      <c r="C8" s="53" t="s">
        <v>707</v>
      </c>
      <c r="D8" s="22" t="s">
        <v>83</v>
      </c>
      <c r="E8" s="53" t="s">
        <v>685</v>
      </c>
      <c r="F8" s="22" t="s">
        <v>471</v>
      </c>
      <c r="G8" s="61" t="s">
        <v>686</v>
      </c>
      <c r="H8" s="22" t="s">
        <v>91</v>
      </c>
      <c r="I8" s="22" t="s">
        <v>91</v>
      </c>
      <c r="J8" s="22" t="s">
        <v>85</v>
      </c>
      <c r="K8" s="53" t="s">
        <v>687</v>
      </c>
      <c r="L8" s="22" t="s">
        <v>688</v>
      </c>
      <c r="M8" s="54">
        <v>44042.0</v>
      </c>
      <c r="N8" s="55" t="s">
        <v>689</v>
      </c>
      <c r="O8" s="56" t="s">
        <v>690</v>
      </c>
      <c r="P8" s="57" t="s">
        <v>691</v>
      </c>
      <c r="Q8" s="57" t="s">
        <v>691</v>
      </c>
      <c r="R8" s="58"/>
      <c r="S8" s="58"/>
      <c r="T8" s="58"/>
      <c r="U8" s="58"/>
      <c r="V8" s="58"/>
      <c r="W8" s="58"/>
      <c r="X8" s="58"/>
      <c r="Y8" s="58"/>
      <c r="Z8" s="58"/>
    </row>
    <row r="9">
      <c r="A9" s="23" t="s">
        <v>708</v>
      </c>
      <c r="B9" s="52" t="s">
        <v>44</v>
      </c>
      <c r="C9" s="53" t="s">
        <v>447</v>
      </c>
      <c r="D9" s="22" t="s">
        <v>83</v>
      </c>
      <c r="E9" s="53" t="s">
        <v>685</v>
      </c>
      <c r="F9" s="22" t="s">
        <v>448</v>
      </c>
      <c r="G9" s="52" t="s">
        <v>686</v>
      </c>
      <c r="H9" s="22" t="s">
        <v>91</v>
      </c>
      <c r="I9" s="22" t="s">
        <v>91</v>
      </c>
      <c r="J9" s="22" t="s">
        <v>85</v>
      </c>
      <c r="K9" s="53" t="s">
        <v>687</v>
      </c>
      <c r="L9" s="22" t="s">
        <v>688</v>
      </c>
      <c r="M9" s="54">
        <v>44042.0</v>
      </c>
      <c r="N9" s="55" t="s">
        <v>701</v>
      </c>
      <c r="O9" s="56" t="s">
        <v>690</v>
      </c>
      <c r="P9" s="57" t="s">
        <v>691</v>
      </c>
      <c r="Q9" s="57" t="s">
        <v>691</v>
      </c>
      <c r="R9" s="58"/>
      <c r="S9" s="58"/>
      <c r="T9" s="58"/>
      <c r="U9" s="58"/>
      <c r="V9" s="58"/>
      <c r="W9" s="58"/>
      <c r="X9" s="58"/>
      <c r="Y9" s="58"/>
      <c r="Z9" s="58"/>
    </row>
    <row r="10" ht="15.0" customHeight="1">
      <c r="A10" s="23" t="s">
        <v>709</v>
      </c>
      <c r="B10" s="52" t="s">
        <v>44</v>
      </c>
      <c r="C10" s="53" t="s">
        <v>450</v>
      </c>
      <c r="D10" s="22" t="s">
        <v>83</v>
      </c>
      <c r="E10" s="53" t="s">
        <v>685</v>
      </c>
      <c r="F10" s="22">
        <v>3.99253942E8</v>
      </c>
      <c r="G10" s="61" t="s">
        <v>686</v>
      </c>
      <c r="H10" s="22" t="s">
        <v>91</v>
      </c>
      <c r="I10" s="22" t="s">
        <v>91</v>
      </c>
      <c r="J10" s="22" t="s">
        <v>85</v>
      </c>
      <c r="K10" s="53" t="s">
        <v>687</v>
      </c>
      <c r="L10" s="22" t="s">
        <v>688</v>
      </c>
      <c r="M10" s="54">
        <v>44042.0</v>
      </c>
      <c r="N10" s="55" t="s">
        <v>701</v>
      </c>
      <c r="O10" s="56" t="s">
        <v>690</v>
      </c>
      <c r="P10" s="57" t="s">
        <v>691</v>
      </c>
      <c r="Q10" s="57" t="s">
        <v>691</v>
      </c>
      <c r="R10" s="58"/>
      <c r="S10" s="58"/>
      <c r="T10" s="58"/>
      <c r="U10" s="58"/>
      <c r="V10" s="58"/>
      <c r="W10" s="58"/>
      <c r="X10" s="58"/>
      <c r="Y10" s="58"/>
      <c r="Z10" s="58"/>
    </row>
    <row r="11">
      <c r="A11" s="23" t="s">
        <v>710</v>
      </c>
      <c r="B11" s="52" t="s">
        <v>44</v>
      </c>
      <c r="C11" s="53" t="s">
        <v>105</v>
      </c>
      <c r="D11" s="22" t="s">
        <v>83</v>
      </c>
      <c r="E11" s="53" t="s">
        <v>685</v>
      </c>
      <c r="F11" s="22" t="s">
        <v>106</v>
      </c>
      <c r="G11" s="52" t="s">
        <v>686</v>
      </c>
      <c r="H11" s="22" t="s">
        <v>91</v>
      </c>
      <c r="I11" s="22" t="s">
        <v>91</v>
      </c>
      <c r="J11" s="22" t="s">
        <v>85</v>
      </c>
      <c r="K11" s="53" t="s">
        <v>687</v>
      </c>
      <c r="L11" s="22" t="s">
        <v>688</v>
      </c>
      <c r="M11" s="54">
        <v>44042.0</v>
      </c>
      <c r="N11" s="55" t="s">
        <v>689</v>
      </c>
      <c r="O11" s="56" t="s">
        <v>690</v>
      </c>
      <c r="P11" s="57" t="s">
        <v>691</v>
      </c>
      <c r="Q11" s="57" t="s">
        <v>691</v>
      </c>
      <c r="R11" s="58"/>
      <c r="S11" s="58"/>
      <c r="T11" s="58"/>
      <c r="U11" s="58"/>
      <c r="V11" s="58"/>
      <c r="W11" s="58"/>
      <c r="X11" s="58"/>
      <c r="Y11" s="58"/>
      <c r="Z11" s="58"/>
    </row>
    <row r="12">
      <c r="A12" s="23" t="s">
        <v>94</v>
      </c>
      <c r="B12" s="52" t="s">
        <v>696</v>
      </c>
      <c r="C12" s="53" t="s">
        <v>711</v>
      </c>
      <c r="D12" s="22" t="s">
        <v>83</v>
      </c>
      <c r="E12" s="53" t="s">
        <v>685</v>
      </c>
      <c r="F12" s="22" t="s">
        <v>96</v>
      </c>
      <c r="G12" s="52" t="s">
        <v>686</v>
      </c>
      <c r="H12" s="22" t="s">
        <v>91</v>
      </c>
      <c r="I12" s="22" t="s">
        <v>91</v>
      </c>
      <c r="J12" s="22" t="s">
        <v>85</v>
      </c>
      <c r="K12" s="53" t="s">
        <v>687</v>
      </c>
      <c r="L12" s="22" t="s">
        <v>688</v>
      </c>
      <c r="M12" s="54">
        <v>44042.0</v>
      </c>
      <c r="N12" s="55" t="s">
        <v>689</v>
      </c>
      <c r="O12" s="56" t="s">
        <v>690</v>
      </c>
      <c r="P12" s="57" t="s">
        <v>691</v>
      </c>
      <c r="Q12" s="57" t="s">
        <v>691</v>
      </c>
      <c r="R12" s="58"/>
      <c r="S12" s="58"/>
      <c r="T12" s="58"/>
      <c r="U12" s="58"/>
      <c r="V12" s="58"/>
      <c r="W12" s="58"/>
      <c r="X12" s="58"/>
      <c r="Y12" s="58"/>
      <c r="Z12" s="58"/>
    </row>
    <row r="13">
      <c r="A13" s="21" t="s">
        <v>379</v>
      </c>
      <c r="B13" s="52" t="s">
        <v>696</v>
      </c>
      <c r="C13" s="53" t="s">
        <v>712</v>
      </c>
      <c r="D13" s="22" t="s">
        <v>185</v>
      </c>
      <c r="E13" s="53" t="s">
        <v>713</v>
      </c>
      <c r="F13" s="22">
        <v>1.0</v>
      </c>
      <c r="G13" s="21" t="s">
        <v>91</v>
      </c>
      <c r="H13" s="22" t="s">
        <v>91</v>
      </c>
      <c r="I13" s="22" t="s">
        <v>91</v>
      </c>
      <c r="J13" s="22" t="s">
        <v>85</v>
      </c>
      <c r="K13" s="53" t="s">
        <v>687</v>
      </c>
      <c r="L13" s="22" t="s">
        <v>714</v>
      </c>
      <c r="M13" s="54">
        <v>44042.0</v>
      </c>
      <c r="N13" s="55" t="s">
        <v>689</v>
      </c>
      <c r="O13" s="56" t="s">
        <v>690</v>
      </c>
      <c r="P13" s="57" t="s">
        <v>691</v>
      </c>
      <c r="Q13" s="57" t="s">
        <v>691</v>
      </c>
      <c r="R13" s="58"/>
      <c r="S13" s="58"/>
      <c r="T13" s="58"/>
      <c r="U13" s="58"/>
      <c r="V13" s="58"/>
      <c r="W13" s="58"/>
      <c r="X13" s="58"/>
      <c r="Y13" s="58"/>
      <c r="Z13" s="58"/>
    </row>
    <row r="14">
      <c r="A14" s="21" t="s">
        <v>715</v>
      </c>
      <c r="B14" s="52" t="s">
        <v>44</v>
      </c>
      <c r="C14" s="53" t="s">
        <v>716</v>
      </c>
      <c r="D14" s="22" t="s">
        <v>83</v>
      </c>
      <c r="E14" s="53" t="s">
        <v>685</v>
      </c>
      <c r="F14" s="22" t="s">
        <v>109</v>
      </c>
      <c r="G14" s="52" t="s">
        <v>686</v>
      </c>
      <c r="H14" s="22" t="s">
        <v>91</v>
      </c>
      <c r="I14" s="22" t="s">
        <v>91</v>
      </c>
      <c r="J14" s="22" t="s">
        <v>85</v>
      </c>
      <c r="K14" s="53" t="s">
        <v>687</v>
      </c>
      <c r="L14" s="22" t="s">
        <v>688</v>
      </c>
      <c r="M14" s="54">
        <v>44042.0</v>
      </c>
      <c r="N14" s="55" t="s">
        <v>692</v>
      </c>
      <c r="O14" s="56" t="s">
        <v>690</v>
      </c>
      <c r="P14" s="57" t="s">
        <v>702</v>
      </c>
      <c r="Q14" s="57" t="s">
        <v>702</v>
      </c>
      <c r="R14" s="58"/>
      <c r="S14" s="58"/>
      <c r="T14" s="58"/>
      <c r="U14" s="58"/>
      <c r="V14" s="58"/>
      <c r="W14" s="58"/>
      <c r="X14" s="58"/>
      <c r="Y14" s="58"/>
      <c r="Z14" s="58"/>
    </row>
    <row r="15">
      <c r="A15" s="21" t="s">
        <v>717</v>
      </c>
      <c r="B15" s="52" t="s">
        <v>44</v>
      </c>
      <c r="C15" s="53" t="s">
        <v>718</v>
      </c>
      <c r="D15" s="22" t="s">
        <v>83</v>
      </c>
      <c r="E15" s="53" t="s">
        <v>685</v>
      </c>
      <c r="F15" s="22" t="s">
        <v>112</v>
      </c>
      <c r="G15" s="52" t="s">
        <v>686</v>
      </c>
      <c r="H15" s="22" t="s">
        <v>91</v>
      </c>
      <c r="I15" s="22" t="s">
        <v>91</v>
      </c>
      <c r="J15" s="22" t="s">
        <v>85</v>
      </c>
      <c r="K15" s="53" t="s">
        <v>687</v>
      </c>
      <c r="L15" s="22" t="s">
        <v>688</v>
      </c>
      <c r="M15" s="54">
        <v>44042.0</v>
      </c>
      <c r="N15" s="55" t="s">
        <v>692</v>
      </c>
      <c r="O15" s="56" t="s">
        <v>690</v>
      </c>
      <c r="P15" s="57" t="s">
        <v>691</v>
      </c>
      <c r="Q15" s="57" t="s">
        <v>691</v>
      </c>
      <c r="R15" s="58"/>
      <c r="S15" s="58"/>
      <c r="T15" s="58"/>
      <c r="U15" s="58"/>
      <c r="V15" s="58"/>
      <c r="W15" s="58"/>
      <c r="X15" s="58"/>
      <c r="Y15" s="58"/>
      <c r="Z15" s="58"/>
    </row>
    <row r="16">
      <c r="A16" s="21" t="s">
        <v>365</v>
      </c>
      <c r="B16" s="52" t="s">
        <v>197</v>
      </c>
      <c r="C16" s="53" t="s">
        <v>719</v>
      </c>
      <c r="D16" s="22" t="s">
        <v>185</v>
      </c>
      <c r="E16" s="62" t="s">
        <v>720</v>
      </c>
      <c r="F16" s="63" t="b">
        <v>1</v>
      </c>
      <c r="G16" s="21" t="s">
        <v>91</v>
      </c>
      <c r="H16" s="22" t="s">
        <v>91</v>
      </c>
      <c r="I16" s="22" t="s">
        <v>91</v>
      </c>
      <c r="J16" s="22" t="s">
        <v>85</v>
      </c>
      <c r="K16" s="53" t="s">
        <v>687</v>
      </c>
      <c r="L16" s="22" t="s">
        <v>688</v>
      </c>
      <c r="M16" s="54">
        <v>44042.0</v>
      </c>
      <c r="N16" s="55" t="s">
        <v>692</v>
      </c>
      <c r="O16" s="56" t="s">
        <v>690</v>
      </c>
      <c r="P16" s="57" t="s">
        <v>721</v>
      </c>
      <c r="Q16" s="57" t="s">
        <v>721</v>
      </c>
      <c r="R16" s="58"/>
      <c r="S16" s="58"/>
      <c r="T16" s="58"/>
      <c r="U16" s="58"/>
      <c r="V16" s="58"/>
      <c r="W16" s="58"/>
      <c r="X16" s="58"/>
      <c r="Y16" s="58"/>
      <c r="Z16" s="58"/>
    </row>
    <row r="17">
      <c r="A17" s="21" t="s">
        <v>513</v>
      </c>
      <c r="B17" s="52" t="s">
        <v>197</v>
      </c>
      <c r="C17" s="53" t="s">
        <v>722</v>
      </c>
      <c r="D17" s="22" t="s">
        <v>185</v>
      </c>
      <c r="E17" s="62" t="s">
        <v>720</v>
      </c>
      <c r="F17" s="63" t="b">
        <v>1</v>
      </c>
      <c r="G17" s="53" t="s">
        <v>723</v>
      </c>
      <c r="H17" s="22" t="s">
        <v>91</v>
      </c>
      <c r="I17" s="53" t="s">
        <v>723</v>
      </c>
      <c r="J17" s="22" t="s">
        <v>85</v>
      </c>
      <c r="K17" s="53" t="s">
        <v>687</v>
      </c>
      <c r="L17" s="22" t="s">
        <v>688</v>
      </c>
      <c r="M17" s="54">
        <v>44041.0</v>
      </c>
      <c r="N17" s="55" t="s">
        <v>692</v>
      </c>
      <c r="O17" s="56" t="s">
        <v>690</v>
      </c>
      <c r="P17" s="57" t="s">
        <v>724</v>
      </c>
      <c r="Q17" s="57" t="s">
        <v>724</v>
      </c>
      <c r="R17" s="58"/>
      <c r="S17" s="58"/>
      <c r="T17" s="58"/>
      <c r="U17" s="58"/>
      <c r="V17" s="58"/>
      <c r="W17" s="58"/>
      <c r="X17" s="58"/>
      <c r="Y17" s="58"/>
      <c r="Z17" s="58"/>
    </row>
    <row r="18">
      <c r="A18" s="21" t="s">
        <v>725</v>
      </c>
      <c r="B18" s="52" t="s">
        <v>52</v>
      </c>
      <c r="C18" s="53" t="s">
        <v>726</v>
      </c>
      <c r="D18" s="22" t="s">
        <v>185</v>
      </c>
      <c r="E18" s="53" t="s">
        <v>698</v>
      </c>
      <c r="F18" s="27">
        <v>43695.0</v>
      </c>
      <c r="G18" s="53" t="s">
        <v>723</v>
      </c>
      <c r="H18" s="22" t="s">
        <v>91</v>
      </c>
      <c r="I18" s="53" t="s">
        <v>723</v>
      </c>
      <c r="J18" s="22" t="s">
        <v>85</v>
      </c>
      <c r="K18" s="53" t="s">
        <v>687</v>
      </c>
      <c r="L18" s="22" t="s">
        <v>688</v>
      </c>
      <c r="M18" s="54">
        <v>44042.0</v>
      </c>
      <c r="N18" s="55" t="s">
        <v>727</v>
      </c>
      <c r="O18" s="56" t="s">
        <v>690</v>
      </c>
      <c r="P18" s="57" t="s">
        <v>721</v>
      </c>
      <c r="Q18" s="57" t="s">
        <v>721</v>
      </c>
      <c r="R18" s="58"/>
      <c r="S18" s="58"/>
      <c r="T18" s="58"/>
      <c r="U18" s="58"/>
      <c r="V18" s="58"/>
      <c r="W18" s="58"/>
      <c r="X18" s="58"/>
      <c r="Y18" s="58"/>
      <c r="Z18" s="58"/>
    </row>
    <row r="19">
      <c r="A19" s="21" t="s">
        <v>728</v>
      </c>
      <c r="B19" s="52" t="s">
        <v>52</v>
      </c>
      <c r="C19" s="53" t="s">
        <v>729</v>
      </c>
      <c r="D19" s="22" t="s">
        <v>185</v>
      </c>
      <c r="E19" s="62" t="s">
        <v>720</v>
      </c>
      <c r="F19" s="63" t="b">
        <v>1</v>
      </c>
      <c r="G19" s="53" t="s">
        <v>723</v>
      </c>
      <c r="H19" s="22" t="s">
        <v>91</v>
      </c>
      <c r="I19" s="53" t="s">
        <v>723</v>
      </c>
      <c r="J19" s="22" t="s">
        <v>85</v>
      </c>
      <c r="K19" s="53" t="s">
        <v>687</v>
      </c>
      <c r="L19" s="22" t="s">
        <v>688</v>
      </c>
      <c r="M19" s="54">
        <v>44042.0</v>
      </c>
      <c r="N19" s="55" t="s">
        <v>701</v>
      </c>
      <c r="O19" s="56" t="s">
        <v>690</v>
      </c>
      <c r="P19" s="57" t="s">
        <v>721</v>
      </c>
      <c r="Q19" s="57" t="s">
        <v>721</v>
      </c>
      <c r="R19" s="58"/>
      <c r="S19" s="58"/>
      <c r="T19" s="58"/>
      <c r="U19" s="58"/>
      <c r="V19" s="58"/>
      <c r="W19" s="58"/>
      <c r="X19" s="58"/>
      <c r="Y19" s="58"/>
      <c r="Z19" s="58"/>
    </row>
    <row r="20">
      <c r="A20" s="21" t="s">
        <v>730</v>
      </c>
      <c r="B20" s="52" t="s">
        <v>52</v>
      </c>
      <c r="C20" s="53" t="s">
        <v>731</v>
      </c>
      <c r="D20" s="22" t="s">
        <v>185</v>
      </c>
      <c r="E20" s="53" t="s">
        <v>698</v>
      </c>
      <c r="F20" s="27">
        <v>43763.0</v>
      </c>
      <c r="G20" s="53" t="s">
        <v>723</v>
      </c>
      <c r="H20" s="22" t="s">
        <v>91</v>
      </c>
      <c r="I20" s="53" t="s">
        <v>723</v>
      </c>
      <c r="J20" s="22" t="s">
        <v>85</v>
      </c>
      <c r="K20" s="53" t="s">
        <v>687</v>
      </c>
      <c r="L20" s="22" t="s">
        <v>688</v>
      </c>
      <c r="M20" s="54">
        <v>44042.0</v>
      </c>
      <c r="N20" s="55" t="s">
        <v>701</v>
      </c>
      <c r="O20" s="56" t="s">
        <v>732</v>
      </c>
      <c r="P20" s="57" t="s">
        <v>721</v>
      </c>
      <c r="Q20" s="57" t="s">
        <v>721</v>
      </c>
      <c r="R20" s="58"/>
      <c r="S20" s="58"/>
      <c r="T20" s="58"/>
      <c r="U20" s="58"/>
      <c r="V20" s="58"/>
      <c r="W20" s="58"/>
      <c r="X20" s="58"/>
      <c r="Y20" s="58"/>
      <c r="Z20" s="58"/>
    </row>
    <row r="21" ht="38.25" customHeight="1">
      <c r="A21" s="21" t="s">
        <v>733</v>
      </c>
      <c r="B21" s="52" t="s">
        <v>52</v>
      </c>
      <c r="C21" s="53" t="s">
        <v>734</v>
      </c>
      <c r="D21" s="22" t="s">
        <v>185</v>
      </c>
      <c r="E21" s="62" t="s">
        <v>720</v>
      </c>
      <c r="F21" s="63" t="b">
        <v>1</v>
      </c>
      <c r="G21" s="53" t="s">
        <v>723</v>
      </c>
      <c r="H21" s="22" t="s">
        <v>91</v>
      </c>
      <c r="I21" s="53" t="s">
        <v>723</v>
      </c>
      <c r="J21" s="22" t="s">
        <v>85</v>
      </c>
      <c r="K21" s="53" t="s">
        <v>687</v>
      </c>
      <c r="L21" s="22" t="s">
        <v>688</v>
      </c>
      <c r="M21" s="54">
        <v>44042.0</v>
      </c>
      <c r="N21" s="55" t="s">
        <v>735</v>
      </c>
      <c r="O21" s="64" t="s">
        <v>736</v>
      </c>
      <c r="P21" s="57" t="s">
        <v>721</v>
      </c>
      <c r="Q21" s="57" t="s">
        <v>721</v>
      </c>
      <c r="R21" s="58"/>
      <c r="S21" s="58"/>
      <c r="T21" s="58"/>
      <c r="U21" s="58"/>
      <c r="V21" s="58"/>
      <c r="W21" s="58"/>
      <c r="X21" s="58"/>
      <c r="Y21" s="58"/>
      <c r="Z21" s="58"/>
    </row>
    <row r="22">
      <c r="A22" s="21" t="s">
        <v>737</v>
      </c>
      <c r="B22" s="52" t="s">
        <v>52</v>
      </c>
      <c r="C22" s="53" t="s">
        <v>738</v>
      </c>
      <c r="D22" s="22" t="s">
        <v>185</v>
      </c>
      <c r="E22" s="53" t="s">
        <v>685</v>
      </c>
      <c r="F22" s="22" t="s">
        <v>318</v>
      </c>
      <c r="G22" s="53" t="s">
        <v>723</v>
      </c>
      <c r="H22" s="22" t="s">
        <v>91</v>
      </c>
      <c r="I22" s="53" t="s">
        <v>723</v>
      </c>
      <c r="J22" s="22" t="s">
        <v>85</v>
      </c>
      <c r="K22" s="53" t="s">
        <v>687</v>
      </c>
      <c r="L22" s="22" t="s">
        <v>688</v>
      </c>
      <c r="M22" s="54">
        <v>44042.0</v>
      </c>
      <c r="N22" s="55" t="s">
        <v>727</v>
      </c>
      <c r="O22" s="56" t="s">
        <v>690</v>
      </c>
      <c r="P22" s="57" t="s">
        <v>721</v>
      </c>
      <c r="Q22" s="57" t="s">
        <v>721</v>
      </c>
      <c r="R22" s="58"/>
      <c r="S22" s="58"/>
      <c r="T22" s="58"/>
      <c r="U22" s="58"/>
      <c r="V22" s="58"/>
      <c r="W22" s="58"/>
      <c r="X22" s="58"/>
      <c r="Y22" s="58"/>
      <c r="Z22" s="58"/>
    </row>
    <row r="23">
      <c r="A23" s="23" t="s">
        <v>739</v>
      </c>
      <c r="B23" s="52" t="s">
        <v>197</v>
      </c>
      <c r="C23" s="53" t="s">
        <v>740</v>
      </c>
      <c r="D23" s="65" t="s">
        <v>83</v>
      </c>
      <c r="E23" s="62" t="s">
        <v>720</v>
      </c>
      <c r="F23" s="63" t="b">
        <v>1</v>
      </c>
      <c r="G23" s="65" t="s">
        <v>86</v>
      </c>
      <c r="H23" s="22" t="s">
        <v>91</v>
      </c>
      <c r="I23" s="22" t="s">
        <v>91</v>
      </c>
      <c r="J23" s="65" t="s">
        <v>85</v>
      </c>
      <c r="K23" s="53" t="s">
        <v>687</v>
      </c>
      <c r="L23" s="22" t="s">
        <v>688</v>
      </c>
      <c r="M23" s="54">
        <v>44042.0</v>
      </c>
      <c r="N23" s="55" t="s">
        <v>741</v>
      </c>
      <c r="O23" s="56" t="s">
        <v>690</v>
      </c>
      <c r="P23" s="57" t="s">
        <v>702</v>
      </c>
      <c r="Q23" s="57" t="s">
        <v>702</v>
      </c>
      <c r="R23" s="58"/>
      <c r="S23" s="58"/>
      <c r="T23" s="58"/>
      <c r="U23" s="58"/>
      <c r="V23" s="58"/>
      <c r="W23" s="58"/>
      <c r="X23" s="58"/>
      <c r="Y23" s="58"/>
      <c r="Z23" s="58"/>
    </row>
    <row r="24">
      <c r="A24" s="21" t="s">
        <v>742</v>
      </c>
      <c r="B24" s="52" t="s">
        <v>696</v>
      </c>
      <c r="C24" s="53" t="s">
        <v>743</v>
      </c>
      <c r="D24" s="22" t="s">
        <v>83</v>
      </c>
      <c r="E24" s="53" t="s">
        <v>698</v>
      </c>
      <c r="F24" s="66">
        <v>44229.0</v>
      </c>
      <c r="G24" s="52" t="s">
        <v>686</v>
      </c>
      <c r="H24" s="22" t="s">
        <v>91</v>
      </c>
      <c r="I24" s="22" t="s">
        <v>91</v>
      </c>
      <c r="J24" s="22" t="s">
        <v>85</v>
      </c>
      <c r="K24" s="53" t="s">
        <v>687</v>
      </c>
      <c r="L24" s="22" t="s">
        <v>688</v>
      </c>
      <c r="M24" s="54">
        <v>44042.0</v>
      </c>
      <c r="N24" s="55" t="s">
        <v>701</v>
      </c>
      <c r="O24" s="56" t="s">
        <v>690</v>
      </c>
      <c r="P24" s="57" t="s">
        <v>744</v>
      </c>
      <c r="Q24" s="57" t="s">
        <v>744</v>
      </c>
      <c r="R24" s="58"/>
      <c r="S24" s="58"/>
      <c r="T24" s="58"/>
      <c r="U24" s="58"/>
      <c r="V24" s="58"/>
      <c r="W24" s="58"/>
      <c r="X24" s="58"/>
      <c r="Y24" s="58"/>
      <c r="Z24" s="58"/>
    </row>
    <row r="25">
      <c r="A25" s="21" t="s">
        <v>377</v>
      </c>
      <c r="B25" s="52" t="s">
        <v>197</v>
      </c>
      <c r="C25" s="53" t="s">
        <v>378</v>
      </c>
      <c r="D25" s="22" t="s">
        <v>185</v>
      </c>
      <c r="E25" s="62" t="s">
        <v>720</v>
      </c>
      <c r="F25" s="63" t="b">
        <v>1</v>
      </c>
      <c r="G25" s="21" t="s">
        <v>91</v>
      </c>
      <c r="H25" s="22" t="s">
        <v>91</v>
      </c>
      <c r="I25" s="22" t="s">
        <v>91</v>
      </c>
      <c r="J25" s="22" t="s">
        <v>85</v>
      </c>
      <c r="K25" s="53" t="s">
        <v>687</v>
      </c>
      <c r="L25" s="22" t="s">
        <v>688</v>
      </c>
      <c r="M25" s="54">
        <v>44042.0</v>
      </c>
      <c r="N25" s="55" t="s">
        <v>741</v>
      </c>
      <c r="O25" s="56" t="s">
        <v>690</v>
      </c>
      <c r="P25" s="57" t="s">
        <v>745</v>
      </c>
      <c r="Q25" s="57" t="s">
        <v>745</v>
      </c>
      <c r="R25" s="58"/>
      <c r="S25" s="58"/>
      <c r="T25" s="58"/>
      <c r="U25" s="58"/>
      <c r="V25" s="58"/>
      <c r="W25" s="58"/>
      <c r="X25" s="58"/>
      <c r="Y25" s="58"/>
      <c r="Z25" s="58"/>
    </row>
    <row r="26">
      <c r="A26" s="21" t="s">
        <v>746</v>
      </c>
      <c r="B26" s="52" t="s">
        <v>197</v>
      </c>
      <c r="C26" s="53" t="s">
        <v>747</v>
      </c>
      <c r="D26" s="22" t="s">
        <v>185</v>
      </c>
      <c r="E26" s="53" t="s">
        <v>698</v>
      </c>
      <c r="F26" s="27">
        <v>43704.0</v>
      </c>
      <c r="G26" s="53" t="s">
        <v>723</v>
      </c>
      <c r="H26" s="22" t="s">
        <v>91</v>
      </c>
      <c r="I26" s="53" t="s">
        <v>723</v>
      </c>
      <c r="J26" s="22" t="s">
        <v>85</v>
      </c>
      <c r="K26" s="53" t="s">
        <v>687</v>
      </c>
      <c r="L26" s="22" t="s">
        <v>688</v>
      </c>
      <c r="M26" s="54">
        <v>44041.0</v>
      </c>
      <c r="N26" s="55" t="s">
        <v>692</v>
      </c>
      <c r="O26" s="56" t="s">
        <v>690</v>
      </c>
      <c r="P26" s="57" t="s">
        <v>724</v>
      </c>
      <c r="Q26" s="57" t="s">
        <v>724</v>
      </c>
      <c r="R26" s="58"/>
      <c r="S26" s="58"/>
      <c r="T26" s="58"/>
      <c r="U26" s="58"/>
      <c r="V26" s="58"/>
      <c r="W26" s="58"/>
      <c r="X26" s="58"/>
      <c r="Y26" s="58"/>
      <c r="Z26" s="58"/>
    </row>
    <row r="27" ht="192.0" customHeight="1">
      <c r="A27" s="21" t="s">
        <v>395</v>
      </c>
      <c r="B27" s="52" t="s">
        <v>58</v>
      </c>
      <c r="C27" s="53" t="s">
        <v>748</v>
      </c>
      <c r="D27" s="22" t="s">
        <v>83</v>
      </c>
      <c r="E27" s="53" t="s">
        <v>685</v>
      </c>
      <c r="F27" s="22" t="s">
        <v>96</v>
      </c>
      <c r="G27" s="21" t="s">
        <v>86</v>
      </c>
      <c r="H27" s="22" t="s">
        <v>91</v>
      </c>
      <c r="I27" s="22" t="s">
        <v>91</v>
      </c>
      <c r="J27" s="22" t="s">
        <v>85</v>
      </c>
      <c r="K27" s="53" t="s">
        <v>749</v>
      </c>
      <c r="L27" s="22" t="s">
        <v>749</v>
      </c>
      <c r="M27" s="54">
        <v>43983.0</v>
      </c>
      <c r="N27" s="55" t="s">
        <v>692</v>
      </c>
      <c r="O27" s="56" t="s">
        <v>690</v>
      </c>
      <c r="P27" s="57" t="s">
        <v>750</v>
      </c>
      <c r="Q27" s="57" t="s">
        <v>750</v>
      </c>
      <c r="R27" s="58"/>
      <c r="S27" s="58"/>
      <c r="T27" s="58"/>
      <c r="U27" s="58"/>
      <c r="V27" s="58"/>
      <c r="W27" s="58"/>
      <c r="X27" s="58"/>
      <c r="Y27" s="58"/>
      <c r="Z27" s="58"/>
    </row>
    <row r="28" ht="15.75" customHeight="1">
      <c r="A28" s="21" t="s">
        <v>751</v>
      </c>
      <c r="B28" s="52" t="s">
        <v>197</v>
      </c>
      <c r="C28" s="53" t="s">
        <v>752</v>
      </c>
      <c r="D28" s="22" t="s">
        <v>185</v>
      </c>
      <c r="E28" s="53" t="s">
        <v>698</v>
      </c>
      <c r="F28" s="27">
        <v>43673.0</v>
      </c>
      <c r="G28" s="53" t="s">
        <v>723</v>
      </c>
      <c r="H28" s="22" t="s">
        <v>91</v>
      </c>
      <c r="I28" s="53" t="s">
        <v>723</v>
      </c>
      <c r="J28" s="22" t="s">
        <v>85</v>
      </c>
      <c r="K28" s="53" t="s">
        <v>687</v>
      </c>
      <c r="L28" s="22" t="s">
        <v>688</v>
      </c>
      <c r="M28" s="54">
        <v>44041.0</v>
      </c>
      <c r="N28" s="55" t="s">
        <v>692</v>
      </c>
      <c r="O28" s="56" t="s">
        <v>690</v>
      </c>
      <c r="P28" s="57" t="s">
        <v>724</v>
      </c>
      <c r="Q28" s="57" t="s">
        <v>724</v>
      </c>
      <c r="R28" s="58"/>
      <c r="S28" s="58"/>
      <c r="T28" s="58"/>
      <c r="U28" s="58"/>
      <c r="V28" s="58"/>
      <c r="W28" s="58"/>
      <c r="X28" s="58"/>
      <c r="Y28" s="58"/>
      <c r="Z28" s="58"/>
    </row>
    <row r="29" ht="15.75" customHeight="1">
      <c r="A29" s="21" t="s">
        <v>753</v>
      </c>
      <c r="B29" s="52" t="s">
        <v>52</v>
      </c>
      <c r="C29" s="53" t="s">
        <v>754</v>
      </c>
      <c r="D29" s="22" t="s">
        <v>185</v>
      </c>
      <c r="E29" s="53" t="s">
        <v>698</v>
      </c>
      <c r="F29" s="27">
        <v>43763.0</v>
      </c>
      <c r="G29" s="53" t="s">
        <v>723</v>
      </c>
      <c r="H29" s="21" t="s">
        <v>91</v>
      </c>
      <c r="I29" s="53" t="s">
        <v>723</v>
      </c>
      <c r="J29" s="22" t="s">
        <v>85</v>
      </c>
      <c r="K29" s="53" t="s">
        <v>687</v>
      </c>
      <c r="L29" s="22" t="s">
        <v>688</v>
      </c>
      <c r="M29" s="54">
        <v>44042.0</v>
      </c>
      <c r="N29" s="55" t="s">
        <v>735</v>
      </c>
      <c r="O29" s="64" t="s">
        <v>736</v>
      </c>
      <c r="P29" s="57" t="s">
        <v>721</v>
      </c>
      <c r="Q29" s="57" t="s">
        <v>721</v>
      </c>
      <c r="R29" s="58"/>
      <c r="S29" s="58"/>
      <c r="T29" s="58"/>
      <c r="U29" s="58"/>
      <c r="V29" s="58"/>
      <c r="W29" s="58"/>
      <c r="X29" s="58"/>
      <c r="Y29" s="58"/>
      <c r="Z29" s="58"/>
    </row>
    <row r="30" ht="15.75" customHeight="1">
      <c r="A30" s="21" t="s">
        <v>755</v>
      </c>
      <c r="B30" s="52" t="s">
        <v>52</v>
      </c>
      <c r="C30" s="53" t="s">
        <v>756</v>
      </c>
      <c r="D30" s="22" t="s">
        <v>185</v>
      </c>
      <c r="E30" s="53" t="s">
        <v>685</v>
      </c>
      <c r="F30" s="22" t="s">
        <v>757</v>
      </c>
      <c r="G30" s="53" t="s">
        <v>723</v>
      </c>
      <c r="H30" s="21" t="s">
        <v>91</v>
      </c>
      <c r="I30" s="53" t="s">
        <v>723</v>
      </c>
      <c r="J30" s="22" t="s">
        <v>85</v>
      </c>
      <c r="K30" s="53" t="s">
        <v>687</v>
      </c>
      <c r="L30" s="22" t="s">
        <v>688</v>
      </c>
      <c r="M30" s="54">
        <v>44042.0</v>
      </c>
      <c r="N30" s="55" t="s">
        <v>735</v>
      </c>
      <c r="O30" s="64" t="s">
        <v>736</v>
      </c>
      <c r="P30" s="57" t="s">
        <v>721</v>
      </c>
      <c r="Q30" s="57" t="s">
        <v>721</v>
      </c>
      <c r="R30" s="58"/>
      <c r="S30" s="58"/>
      <c r="T30" s="58"/>
      <c r="U30" s="58"/>
      <c r="V30" s="58"/>
      <c r="W30" s="58"/>
      <c r="X30" s="58"/>
      <c r="Y30" s="58"/>
      <c r="Z30" s="58"/>
    </row>
    <row r="31" ht="15.75" customHeight="1">
      <c r="A31" s="21" t="s">
        <v>758</v>
      </c>
      <c r="B31" s="52" t="s">
        <v>197</v>
      </c>
      <c r="C31" s="53" t="s">
        <v>759</v>
      </c>
      <c r="D31" s="22" t="s">
        <v>185</v>
      </c>
      <c r="E31" s="53" t="s">
        <v>713</v>
      </c>
      <c r="F31" s="22">
        <v>9.0</v>
      </c>
      <c r="G31" s="53" t="s">
        <v>723</v>
      </c>
      <c r="H31" s="21" t="s">
        <v>91</v>
      </c>
      <c r="I31" s="53" t="s">
        <v>723</v>
      </c>
      <c r="J31" s="22" t="s">
        <v>85</v>
      </c>
      <c r="K31" s="53" t="s">
        <v>687</v>
      </c>
      <c r="L31" s="22" t="s">
        <v>760</v>
      </c>
      <c r="M31" s="54">
        <v>44041.0</v>
      </c>
      <c r="N31" s="55" t="s">
        <v>735</v>
      </c>
      <c r="O31" s="64" t="s">
        <v>736</v>
      </c>
      <c r="P31" s="57" t="s">
        <v>761</v>
      </c>
      <c r="Q31" s="57" t="s">
        <v>761</v>
      </c>
      <c r="R31" s="58"/>
      <c r="S31" s="58"/>
      <c r="T31" s="58"/>
      <c r="U31" s="58"/>
      <c r="V31" s="58"/>
      <c r="W31" s="58"/>
      <c r="X31" s="58"/>
      <c r="Y31" s="58"/>
      <c r="Z31" s="58"/>
    </row>
    <row r="32">
      <c r="A32" s="21" t="s">
        <v>233</v>
      </c>
      <c r="B32" s="53" t="s">
        <v>197</v>
      </c>
      <c r="C32" s="52" t="s">
        <v>762</v>
      </c>
      <c r="D32" s="22" t="s">
        <v>185</v>
      </c>
      <c r="E32" s="53" t="s">
        <v>713</v>
      </c>
      <c r="F32" s="22">
        <v>1.0</v>
      </c>
      <c r="G32" s="22" t="s">
        <v>136</v>
      </c>
      <c r="H32" s="22" t="s">
        <v>91</v>
      </c>
      <c r="I32" s="22" t="s">
        <v>91</v>
      </c>
      <c r="J32" s="22" t="s">
        <v>85</v>
      </c>
      <c r="K32" s="52" t="s">
        <v>749</v>
      </c>
      <c r="L32" s="21" t="s">
        <v>763</v>
      </c>
      <c r="M32" s="54">
        <v>43983.0</v>
      </c>
      <c r="N32" s="55" t="s">
        <v>764</v>
      </c>
      <c r="O32" s="64" t="s">
        <v>736</v>
      </c>
      <c r="P32" s="57" t="s">
        <v>761</v>
      </c>
      <c r="Q32" s="57" t="s">
        <v>761</v>
      </c>
      <c r="R32" s="58"/>
      <c r="S32" s="58"/>
      <c r="T32" s="58"/>
      <c r="U32" s="58"/>
      <c r="V32" s="58"/>
      <c r="W32" s="58"/>
      <c r="X32" s="58"/>
      <c r="Y32" s="58"/>
      <c r="Z32" s="58"/>
    </row>
    <row r="33" ht="15.75" customHeight="1">
      <c r="A33" s="21" t="s">
        <v>461</v>
      </c>
      <c r="B33" s="52" t="s">
        <v>44</v>
      </c>
      <c r="C33" s="53" t="s">
        <v>462</v>
      </c>
      <c r="D33" s="22" t="s">
        <v>83</v>
      </c>
      <c r="E33" s="53" t="s">
        <v>685</v>
      </c>
      <c r="F33" s="22" t="s">
        <v>463</v>
      </c>
      <c r="G33" s="52" t="s">
        <v>686</v>
      </c>
      <c r="H33" s="22" t="s">
        <v>91</v>
      </c>
      <c r="I33" s="21" t="s">
        <v>87</v>
      </c>
      <c r="J33" s="22" t="s">
        <v>85</v>
      </c>
      <c r="K33" s="53" t="s">
        <v>687</v>
      </c>
      <c r="L33" s="22" t="s">
        <v>688</v>
      </c>
      <c r="M33" s="54">
        <v>44020.0</v>
      </c>
      <c r="N33" s="55" t="s">
        <v>692</v>
      </c>
      <c r="O33" s="56" t="s">
        <v>690</v>
      </c>
      <c r="P33" s="57" t="s">
        <v>705</v>
      </c>
      <c r="Q33" s="57" t="s">
        <v>705</v>
      </c>
      <c r="R33" s="58"/>
      <c r="S33" s="58"/>
      <c r="T33" s="58"/>
      <c r="U33" s="58"/>
      <c r="V33" s="58"/>
      <c r="W33" s="58"/>
      <c r="X33" s="58"/>
      <c r="Y33" s="58"/>
      <c r="Z33" s="58"/>
    </row>
    <row r="34" ht="15.75" customHeight="1">
      <c r="A34" s="23" t="s">
        <v>467</v>
      </c>
      <c r="B34" s="52" t="s">
        <v>696</v>
      </c>
      <c r="C34" s="53" t="s">
        <v>468</v>
      </c>
      <c r="D34" s="22" t="s">
        <v>83</v>
      </c>
      <c r="E34" s="53" t="s">
        <v>685</v>
      </c>
      <c r="F34" s="22">
        <v>9.40904151E8</v>
      </c>
      <c r="G34" s="61" t="s">
        <v>686</v>
      </c>
      <c r="H34" s="22" t="s">
        <v>91</v>
      </c>
      <c r="I34" s="61" t="s">
        <v>91</v>
      </c>
      <c r="J34" s="22" t="s">
        <v>85</v>
      </c>
      <c r="K34" s="53" t="s">
        <v>687</v>
      </c>
      <c r="L34" s="22" t="s">
        <v>688</v>
      </c>
      <c r="M34" s="54">
        <v>44020.0</v>
      </c>
      <c r="N34" s="55" t="s">
        <v>692</v>
      </c>
      <c r="O34" s="56" t="s">
        <v>690</v>
      </c>
      <c r="P34" s="57" t="s">
        <v>691</v>
      </c>
      <c r="Q34" s="57" t="s">
        <v>691</v>
      </c>
      <c r="R34" s="58"/>
      <c r="S34" s="58"/>
      <c r="T34" s="58"/>
      <c r="U34" s="58"/>
      <c r="V34" s="58"/>
      <c r="W34" s="58"/>
      <c r="X34" s="58"/>
      <c r="Y34" s="58"/>
      <c r="Z34" s="58"/>
    </row>
    <row r="35" ht="15.75" customHeight="1">
      <c r="A35" s="23" t="s">
        <v>469</v>
      </c>
      <c r="B35" s="52" t="s">
        <v>696</v>
      </c>
      <c r="C35" s="67" t="s">
        <v>765</v>
      </c>
      <c r="D35" s="22" t="s">
        <v>83</v>
      </c>
      <c r="E35" s="53" t="s">
        <v>685</v>
      </c>
      <c r="F35" s="22" t="s">
        <v>471</v>
      </c>
      <c r="G35" s="61" t="s">
        <v>686</v>
      </c>
      <c r="H35" s="22" t="s">
        <v>91</v>
      </c>
      <c r="I35" s="61" t="s">
        <v>91</v>
      </c>
      <c r="J35" s="22" t="s">
        <v>85</v>
      </c>
      <c r="K35" s="53" t="s">
        <v>687</v>
      </c>
      <c r="L35" s="22" t="s">
        <v>688</v>
      </c>
      <c r="M35" s="54">
        <v>44020.0</v>
      </c>
      <c r="N35" s="55" t="s">
        <v>692</v>
      </c>
      <c r="O35" s="56" t="s">
        <v>690</v>
      </c>
      <c r="P35" s="57" t="s">
        <v>691</v>
      </c>
      <c r="Q35" s="57" t="s">
        <v>691</v>
      </c>
      <c r="R35" s="58"/>
      <c r="S35" s="58"/>
      <c r="T35" s="58"/>
      <c r="U35" s="58"/>
      <c r="V35" s="58"/>
      <c r="W35" s="58"/>
      <c r="X35" s="58"/>
      <c r="Y35" s="58"/>
      <c r="Z35" s="58"/>
    </row>
    <row r="36" ht="15.75" customHeight="1">
      <c r="A36" s="23" t="s">
        <v>100</v>
      </c>
      <c r="B36" s="52" t="s">
        <v>696</v>
      </c>
      <c r="C36" s="53" t="s">
        <v>101</v>
      </c>
      <c r="D36" s="22" t="s">
        <v>185</v>
      </c>
      <c r="E36" s="53" t="s">
        <v>685</v>
      </c>
      <c r="F36" s="22" t="s">
        <v>103</v>
      </c>
      <c r="G36" s="21" t="s">
        <v>91</v>
      </c>
      <c r="H36" s="22" t="s">
        <v>91</v>
      </c>
      <c r="I36" s="22" t="s">
        <v>91</v>
      </c>
      <c r="J36" s="22" t="s">
        <v>85</v>
      </c>
      <c r="K36" s="53" t="s">
        <v>687</v>
      </c>
      <c r="L36" s="22" t="s">
        <v>688</v>
      </c>
      <c r="M36" s="54">
        <v>44020.0</v>
      </c>
      <c r="N36" s="55" t="s">
        <v>692</v>
      </c>
      <c r="O36" s="56" t="s">
        <v>690</v>
      </c>
      <c r="P36" s="57" t="s">
        <v>691</v>
      </c>
      <c r="Q36" s="57" t="s">
        <v>691</v>
      </c>
      <c r="R36" s="58"/>
      <c r="S36" s="58"/>
      <c r="T36" s="58"/>
      <c r="U36" s="58"/>
      <c r="V36" s="58"/>
      <c r="W36" s="58"/>
      <c r="X36" s="58"/>
      <c r="Y36" s="58"/>
      <c r="Z36" s="58"/>
    </row>
    <row r="37" ht="15.75" customHeight="1">
      <c r="A37" s="21" t="s">
        <v>766</v>
      </c>
      <c r="B37" s="52" t="s">
        <v>197</v>
      </c>
      <c r="C37" s="53" t="s">
        <v>767</v>
      </c>
      <c r="D37" s="22" t="s">
        <v>185</v>
      </c>
      <c r="E37" s="53" t="s">
        <v>768</v>
      </c>
      <c r="F37" s="22">
        <v>8.89</v>
      </c>
      <c r="G37" s="53" t="s">
        <v>723</v>
      </c>
      <c r="H37" s="22" t="s">
        <v>91</v>
      </c>
      <c r="I37" s="53" t="s">
        <v>723</v>
      </c>
      <c r="J37" s="22" t="s">
        <v>85</v>
      </c>
      <c r="K37" s="53" t="s">
        <v>687</v>
      </c>
      <c r="L37" s="22" t="s">
        <v>760</v>
      </c>
      <c r="M37" s="54">
        <v>44041.0</v>
      </c>
      <c r="N37" s="55" t="s">
        <v>735</v>
      </c>
      <c r="O37" s="64" t="s">
        <v>736</v>
      </c>
      <c r="P37" s="57" t="s">
        <v>761</v>
      </c>
      <c r="Q37" s="57" t="s">
        <v>761</v>
      </c>
      <c r="R37" s="58"/>
      <c r="S37" s="58"/>
      <c r="T37" s="58"/>
      <c r="U37" s="58"/>
      <c r="V37" s="58"/>
      <c r="W37" s="58"/>
      <c r="X37" s="58"/>
      <c r="Y37" s="58"/>
      <c r="Z37" s="58"/>
    </row>
    <row r="38" ht="15.75" customHeight="1">
      <c r="A38" s="21" t="s">
        <v>769</v>
      </c>
      <c r="B38" s="52" t="s">
        <v>44</v>
      </c>
      <c r="C38" s="53" t="s">
        <v>770</v>
      </c>
      <c r="D38" s="22" t="s">
        <v>83</v>
      </c>
      <c r="E38" s="53" t="s">
        <v>698</v>
      </c>
      <c r="F38" s="27">
        <v>43217.0</v>
      </c>
      <c r="G38" s="52" t="s">
        <v>686</v>
      </c>
      <c r="H38" s="22" t="s">
        <v>91</v>
      </c>
      <c r="I38" s="22" t="s">
        <v>91</v>
      </c>
      <c r="J38" s="22" t="s">
        <v>85</v>
      </c>
      <c r="K38" s="53" t="s">
        <v>749</v>
      </c>
      <c r="L38" s="22" t="s">
        <v>688</v>
      </c>
      <c r="M38" s="54">
        <v>44029.0</v>
      </c>
      <c r="N38" s="55" t="s">
        <v>701</v>
      </c>
      <c r="O38" s="56" t="s">
        <v>690</v>
      </c>
      <c r="P38" s="57" t="s">
        <v>771</v>
      </c>
      <c r="Q38" s="57" t="s">
        <v>771</v>
      </c>
      <c r="R38" s="58"/>
      <c r="S38" s="58"/>
      <c r="T38" s="58"/>
      <c r="U38" s="58"/>
      <c r="V38" s="58"/>
      <c r="W38" s="58"/>
      <c r="X38" s="58"/>
      <c r="Y38" s="58"/>
      <c r="Z38" s="58"/>
    </row>
    <row r="39" ht="15.75" customHeight="1">
      <c r="A39" s="21" t="s">
        <v>435</v>
      </c>
      <c r="B39" s="52" t="s">
        <v>44</v>
      </c>
      <c r="C39" s="53" t="s">
        <v>772</v>
      </c>
      <c r="D39" s="22" t="s">
        <v>83</v>
      </c>
      <c r="E39" s="53" t="s">
        <v>698</v>
      </c>
      <c r="F39" s="27">
        <v>43237.0</v>
      </c>
      <c r="G39" s="52" t="s">
        <v>686</v>
      </c>
      <c r="H39" s="22" t="s">
        <v>91</v>
      </c>
      <c r="I39" s="22" t="s">
        <v>91</v>
      </c>
      <c r="J39" s="22" t="s">
        <v>85</v>
      </c>
      <c r="K39" s="53" t="s">
        <v>749</v>
      </c>
      <c r="L39" s="22" t="s">
        <v>688</v>
      </c>
      <c r="M39" s="54">
        <v>44029.0</v>
      </c>
      <c r="N39" s="55" t="s">
        <v>701</v>
      </c>
      <c r="O39" s="56" t="s">
        <v>690</v>
      </c>
      <c r="P39" s="57" t="s">
        <v>771</v>
      </c>
      <c r="Q39" s="57" t="s">
        <v>771</v>
      </c>
      <c r="R39" s="58"/>
      <c r="S39" s="58"/>
      <c r="T39" s="58"/>
      <c r="U39" s="58"/>
      <c r="V39" s="58"/>
      <c r="W39" s="58"/>
      <c r="X39" s="58"/>
      <c r="Y39" s="58"/>
      <c r="Z39" s="58"/>
    </row>
    <row r="40" ht="15.75" customHeight="1">
      <c r="A40" s="21" t="s">
        <v>441</v>
      </c>
      <c r="B40" s="52" t="s">
        <v>44</v>
      </c>
      <c r="C40" s="53" t="s">
        <v>773</v>
      </c>
      <c r="D40" s="22" t="s">
        <v>83</v>
      </c>
      <c r="E40" s="53" t="s">
        <v>774</v>
      </c>
      <c r="F40" s="22">
        <v>50.0</v>
      </c>
      <c r="G40" s="21" t="s">
        <v>335</v>
      </c>
      <c r="H40" s="22" t="s">
        <v>91</v>
      </c>
      <c r="I40" s="22" t="s">
        <v>91</v>
      </c>
      <c r="J40" s="22" t="s">
        <v>85</v>
      </c>
      <c r="K40" s="53" t="s">
        <v>749</v>
      </c>
      <c r="L40" s="22" t="s">
        <v>688</v>
      </c>
      <c r="M40" s="54">
        <v>44029.0</v>
      </c>
      <c r="N40" s="55" t="s">
        <v>701</v>
      </c>
      <c r="O40" s="56" t="s">
        <v>690</v>
      </c>
      <c r="P40" s="57" t="s">
        <v>771</v>
      </c>
      <c r="Q40" s="57" t="s">
        <v>771</v>
      </c>
      <c r="R40" s="58"/>
      <c r="S40" s="58"/>
      <c r="T40" s="58"/>
      <c r="U40" s="58"/>
      <c r="V40" s="58"/>
      <c r="W40" s="58"/>
      <c r="X40" s="58"/>
      <c r="Y40" s="58"/>
      <c r="Z40" s="58"/>
    </row>
    <row r="41" ht="15.75" customHeight="1">
      <c r="A41" s="21" t="s">
        <v>372</v>
      </c>
      <c r="B41" s="52" t="s">
        <v>44</v>
      </c>
      <c r="C41" s="53" t="s">
        <v>374</v>
      </c>
      <c r="D41" s="22" t="s">
        <v>185</v>
      </c>
      <c r="E41" s="53" t="s">
        <v>774</v>
      </c>
      <c r="F41" s="22">
        <v>2265.61</v>
      </c>
      <c r="G41" s="52" t="s">
        <v>686</v>
      </c>
      <c r="H41" s="22" t="s">
        <v>91</v>
      </c>
      <c r="I41" s="22" t="s">
        <v>91</v>
      </c>
      <c r="J41" s="21" t="s">
        <v>85</v>
      </c>
      <c r="K41" s="53" t="s">
        <v>749</v>
      </c>
      <c r="L41" s="22" t="s">
        <v>688</v>
      </c>
      <c r="M41" s="54">
        <v>44029.0</v>
      </c>
      <c r="N41" s="55" t="s">
        <v>701</v>
      </c>
      <c r="O41" s="56" t="s">
        <v>690</v>
      </c>
      <c r="P41" s="57" t="s">
        <v>771</v>
      </c>
      <c r="Q41" s="57" t="s">
        <v>771</v>
      </c>
      <c r="R41" s="58"/>
      <c r="S41" s="58"/>
      <c r="T41" s="58"/>
      <c r="U41" s="58"/>
      <c r="V41" s="58"/>
      <c r="W41" s="58"/>
      <c r="X41" s="58"/>
      <c r="Y41" s="58"/>
      <c r="Z41" s="58"/>
    </row>
    <row r="42" ht="15.75" customHeight="1">
      <c r="A42" s="21" t="s">
        <v>431</v>
      </c>
      <c r="B42" s="52" t="s">
        <v>44</v>
      </c>
      <c r="C42" s="53" t="s">
        <v>432</v>
      </c>
      <c r="D42" s="22" t="s">
        <v>83</v>
      </c>
      <c r="E42" s="53" t="s">
        <v>774</v>
      </c>
      <c r="F42" s="22">
        <v>1499.0</v>
      </c>
      <c r="G42" s="21" t="s">
        <v>335</v>
      </c>
      <c r="H42" s="22" t="s">
        <v>91</v>
      </c>
      <c r="I42" s="22" t="s">
        <v>91</v>
      </c>
      <c r="J42" s="22" t="s">
        <v>85</v>
      </c>
      <c r="K42" s="53" t="s">
        <v>749</v>
      </c>
      <c r="L42" s="22" t="s">
        <v>688</v>
      </c>
      <c r="M42" s="54">
        <v>44029.0</v>
      </c>
      <c r="N42" s="55" t="s">
        <v>701</v>
      </c>
      <c r="O42" s="56" t="s">
        <v>690</v>
      </c>
      <c r="P42" s="57" t="s">
        <v>771</v>
      </c>
      <c r="Q42" s="57" t="s">
        <v>771</v>
      </c>
      <c r="R42" s="58"/>
      <c r="S42" s="58"/>
      <c r="T42" s="58"/>
      <c r="U42" s="58"/>
      <c r="V42" s="58"/>
      <c r="W42" s="58"/>
      <c r="X42" s="58"/>
      <c r="Y42" s="58"/>
      <c r="Z42" s="58"/>
    </row>
    <row r="43" ht="15.75" customHeight="1">
      <c r="A43" s="21" t="s">
        <v>437</v>
      </c>
      <c r="B43" s="52" t="s">
        <v>44</v>
      </c>
      <c r="C43" s="53" t="s">
        <v>438</v>
      </c>
      <c r="D43" s="22" t="s">
        <v>83</v>
      </c>
      <c r="E43" s="53" t="s">
        <v>774</v>
      </c>
      <c r="F43" s="22">
        <v>1498.61</v>
      </c>
      <c r="G43" s="21" t="s">
        <v>335</v>
      </c>
      <c r="H43" s="22" t="s">
        <v>91</v>
      </c>
      <c r="I43" s="22" t="s">
        <v>91</v>
      </c>
      <c r="J43" s="22" t="s">
        <v>85</v>
      </c>
      <c r="K43" s="53" t="s">
        <v>749</v>
      </c>
      <c r="L43" s="22" t="s">
        <v>688</v>
      </c>
      <c r="M43" s="54">
        <v>44029.0</v>
      </c>
      <c r="N43" s="55" t="s">
        <v>701</v>
      </c>
      <c r="O43" s="56" t="s">
        <v>690</v>
      </c>
      <c r="P43" s="57" t="s">
        <v>771</v>
      </c>
      <c r="Q43" s="57" t="s">
        <v>771</v>
      </c>
      <c r="R43" s="58"/>
      <c r="S43" s="58"/>
      <c r="T43" s="58"/>
      <c r="U43" s="58"/>
      <c r="V43" s="58"/>
      <c r="W43" s="58"/>
      <c r="X43" s="58"/>
      <c r="Y43" s="58"/>
      <c r="Z43" s="58"/>
    </row>
    <row r="44" ht="39.75" customHeight="1">
      <c r="A44" s="21" t="s">
        <v>405</v>
      </c>
      <c r="B44" s="52" t="s">
        <v>696</v>
      </c>
      <c r="C44" s="53" t="s">
        <v>406</v>
      </c>
      <c r="D44" s="22" t="s">
        <v>83</v>
      </c>
      <c r="E44" s="53" t="s">
        <v>685</v>
      </c>
      <c r="F44" s="22" t="s">
        <v>407</v>
      </c>
      <c r="G44" s="21" t="s">
        <v>335</v>
      </c>
      <c r="H44" s="22" t="s">
        <v>91</v>
      </c>
      <c r="I44" s="22" t="s">
        <v>91</v>
      </c>
      <c r="J44" s="22" t="s">
        <v>85</v>
      </c>
      <c r="K44" s="53" t="s">
        <v>687</v>
      </c>
      <c r="L44" s="22" t="s">
        <v>688</v>
      </c>
      <c r="M44" s="54">
        <v>44042.0</v>
      </c>
      <c r="N44" s="55" t="s">
        <v>701</v>
      </c>
      <c r="O44" s="56" t="s">
        <v>690</v>
      </c>
      <c r="P44" s="57" t="s">
        <v>702</v>
      </c>
      <c r="Q44" s="57" t="s">
        <v>702</v>
      </c>
      <c r="R44" s="58"/>
      <c r="S44" s="58"/>
      <c r="T44" s="58"/>
      <c r="U44" s="58"/>
      <c r="V44" s="58"/>
      <c r="W44" s="58"/>
      <c r="X44" s="58"/>
      <c r="Y44" s="58"/>
      <c r="Z44" s="58"/>
    </row>
    <row r="45" ht="15.75" customHeight="1">
      <c r="A45" s="21" t="s">
        <v>775</v>
      </c>
      <c r="B45" s="52" t="s">
        <v>44</v>
      </c>
      <c r="C45" s="53" t="s">
        <v>776</v>
      </c>
      <c r="D45" s="22" t="s">
        <v>83</v>
      </c>
      <c r="E45" s="53" t="s">
        <v>777</v>
      </c>
      <c r="F45" s="22">
        <v>133.1008</v>
      </c>
      <c r="G45" s="53" t="s">
        <v>723</v>
      </c>
      <c r="H45" s="22" t="s">
        <v>91</v>
      </c>
      <c r="I45" s="53" t="s">
        <v>723</v>
      </c>
      <c r="J45" s="22" t="s">
        <v>85</v>
      </c>
      <c r="K45" s="53" t="s">
        <v>687</v>
      </c>
      <c r="L45" s="22" t="s">
        <v>688</v>
      </c>
      <c r="M45" s="54">
        <v>44042.0</v>
      </c>
      <c r="N45" s="55" t="s">
        <v>701</v>
      </c>
      <c r="O45" s="56" t="s">
        <v>690</v>
      </c>
      <c r="P45" s="57" t="s">
        <v>744</v>
      </c>
      <c r="Q45" s="57" t="s">
        <v>744</v>
      </c>
      <c r="R45" s="58"/>
      <c r="S45" s="58"/>
      <c r="T45" s="58"/>
      <c r="U45" s="58"/>
      <c r="V45" s="58"/>
      <c r="W45" s="58"/>
      <c r="X45" s="58"/>
      <c r="Y45" s="58"/>
      <c r="Z45" s="58"/>
    </row>
    <row r="46" ht="15.75" customHeight="1">
      <c r="A46" s="21" t="s">
        <v>778</v>
      </c>
      <c r="B46" s="52" t="s">
        <v>197</v>
      </c>
      <c r="C46" s="53" t="s">
        <v>779</v>
      </c>
      <c r="D46" s="22" t="s">
        <v>83</v>
      </c>
      <c r="E46" s="53" t="s">
        <v>774</v>
      </c>
      <c r="F46" s="22">
        <v>800.0</v>
      </c>
      <c r="G46" s="21" t="s">
        <v>335</v>
      </c>
      <c r="H46" s="22" t="s">
        <v>91</v>
      </c>
      <c r="I46" s="22" t="s">
        <v>91</v>
      </c>
      <c r="J46" s="22" t="s">
        <v>85</v>
      </c>
      <c r="K46" s="53" t="s">
        <v>687</v>
      </c>
      <c r="L46" s="22" t="s">
        <v>688</v>
      </c>
      <c r="M46" s="54">
        <v>44042.0</v>
      </c>
      <c r="N46" s="55" t="s">
        <v>701</v>
      </c>
      <c r="O46" s="56" t="s">
        <v>690</v>
      </c>
      <c r="P46" s="57" t="s">
        <v>691</v>
      </c>
      <c r="Q46" s="57" t="s">
        <v>691</v>
      </c>
      <c r="R46" s="58"/>
      <c r="S46" s="58"/>
      <c r="T46" s="58"/>
      <c r="U46" s="58"/>
      <c r="V46" s="58"/>
      <c r="W46" s="58"/>
      <c r="X46" s="58"/>
      <c r="Y46" s="58"/>
      <c r="Z46" s="58"/>
    </row>
    <row r="47" ht="15.75" customHeight="1">
      <c r="A47" s="52" t="s">
        <v>780</v>
      </c>
      <c r="B47" s="52" t="s">
        <v>197</v>
      </c>
      <c r="C47" s="53" t="s">
        <v>384</v>
      </c>
      <c r="D47" s="22" t="s">
        <v>185</v>
      </c>
      <c r="E47" s="53" t="s">
        <v>768</v>
      </c>
      <c r="F47" s="22">
        <v>460.0</v>
      </c>
      <c r="G47" s="53" t="s">
        <v>723</v>
      </c>
      <c r="H47" s="22" t="s">
        <v>91</v>
      </c>
      <c r="I47" s="53" t="s">
        <v>723</v>
      </c>
      <c r="J47" s="22" t="s">
        <v>85</v>
      </c>
      <c r="K47" s="53" t="s">
        <v>687</v>
      </c>
      <c r="L47" s="22" t="s">
        <v>760</v>
      </c>
      <c r="M47" s="54">
        <v>44041.0</v>
      </c>
      <c r="N47" s="55" t="s">
        <v>735</v>
      </c>
      <c r="O47" s="64" t="s">
        <v>736</v>
      </c>
      <c r="P47" s="57" t="s">
        <v>761</v>
      </c>
      <c r="Q47" s="57" t="s">
        <v>761</v>
      </c>
      <c r="R47" s="58"/>
      <c r="S47" s="58"/>
      <c r="T47" s="58"/>
      <c r="U47" s="58"/>
      <c r="V47" s="58"/>
      <c r="W47" s="58"/>
      <c r="X47" s="58"/>
      <c r="Y47" s="58"/>
      <c r="Z47" s="58"/>
    </row>
    <row r="48" ht="15.75" customHeight="1">
      <c r="A48" s="21" t="s">
        <v>304</v>
      </c>
      <c r="B48" s="52" t="s">
        <v>46</v>
      </c>
      <c r="C48" s="53" t="s">
        <v>305</v>
      </c>
      <c r="D48" s="22" t="s">
        <v>135</v>
      </c>
      <c r="E48" s="53" t="s">
        <v>685</v>
      </c>
      <c r="F48" s="22" t="s">
        <v>781</v>
      </c>
      <c r="G48" s="21" t="s">
        <v>136</v>
      </c>
      <c r="H48" s="22" t="s">
        <v>91</v>
      </c>
      <c r="I48" s="21" t="s">
        <v>91</v>
      </c>
      <c r="J48" s="21" t="s">
        <v>307</v>
      </c>
      <c r="K48" s="52" t="s">
        <v>749</v>
      </c>
      <c r="L48" s="21" t="s">
        <v>763</v>
      </c>
      <c r="M48" s="54">
        <v>43983.0</v>
      </c>
      <c r="N48" s="55" t="s">
        <v>741</v>
      </c>
      <c r="O48" s="56" t="s">
        <v>732</v>
      </c>
      <c r="P48" s="57" t="s">
        <v>782</v>
      </c>
      <c r="Q48" s="57" t="s">
        <v>782</v>
      </c>
      <c r="R48" s="58"/>
      <c r="S48" s="58"/>
      <c r="T48" s="58"/>
      <c r="U48" s="58"/>
      <c r="V48" s="58"/>
      <c r="W48" s="58"/>
      <c r="X48" s="58"/>
      <c r="Y48" s="58"/>
      <c r="Z48" s="58"/>
    </row>
    <row r="49" ht="15.75" customHeight="1">
      <c r="A49" s="21" t="s">
        <v>228</v>
      </c>
      <c r="B49" s="52" t="s">
        <v>58</v>
      </c>
      <c r="C49" s="53" t="s">
        <v>783</v>
      </c>
      <c r="D49" s="22" t="s">
        <v>135</v>
      </c>
      <c r="E49" s="53" t="s">
        <v>685</v>
      </c>
      <c r="F49" s="22" t="s">
        <v>230</v>
      </c>
      <c r="G49" s="21" t="s">
        <v>136</v>
      </c>
      <c r="H49" s="21" t="s">
        <v>91</v>
      </c>
      <c r="I49" s="21" t="s">
        <v>91</v>
      </c>
      <c r="J49" s="22" t="s">
        <v>90</v>
      </c>
      <c r="K49" s="52" t="s">
        <v>749</v>
      </c>
      <c r="L49" s="21" t="s">
        <v>763</v>
      </c>
      <c r="M49" s="54">
        <v>43983.0</v>
      </c>
      <c r="N49" s="55" t="s">
        <v>701</v>
      </c>
      <c r="O49" s="56" t="s">
        <v>732</v>
      </c>
      <c r="P49" s="57" t="s">
        <v>750</v>
      </c>
      <c r="Q49" s="57" t="s">
        <v>750</v>
      </c>
      <c r="R49" s="58"/>
      <c r="S49" s="58"/>
      <c r="T49" s="58"/>
      <c r="U49" s="58"/>
      <c r="V49" s="58"/>
      <c r="W49" s="58"/>
      <c r="X49" s="58"/>
      <c r="Y49" s="58"/>
      <c r="Z49" s="58"/>
    </row>
    <row r="50" ht="15.75" customHeight="1">
      <c r="A50" s="21" t="s">
        <v>319</v>
      </c>
      <c r="B50" s="53" t="s">
        <v>60</v>
      </c>
      <c r="C50" s="53" t="s">
        <v>320</v>
      </c>
      <c r="D50" s="21" t="s">
        <v>135</v>
      </c>
      <c r="E50" s="53" t="s">
        <v>713</v>
      </c>
      <c r="F50" s="22">
        <v>1.0</v>
      </c>
      <c r="G50" s="21" t="s">
        <v>136</v>
      </c>
      <c r="H50" s="22" t="s">
        <v>91</v>
      </c>
      <c r="I50" s="21" t="s">
        <v>91</v>
      </c>
      <c r="J50" s="22" t="s">
        <v>90</v>
      </c>
      <c r="K50" s="52" t="s">
        <v>749</v>
      </c>
      <c r="L50" s="21" t="s">
        <v>763</v>
      </c>
      <c r="M50" s="54">
        <v>43983.0</v>
      </c>
      <c r="N50" s="55" t="s">
        <v>735</v>
      </c>
      <c r="O50" s="56" t="s">
        <v>732</v>
      </c>
      <c r="P50" s="57" t="s">
        <v>750</v>
      </c>
      <c r="Q50" s="57" t="s">
        <v>750</v>
      </c>
      <c r="R50" s="58"/>
      <c r="S50" s="58"/>
      <c r="T50" s="58"/>
      <c r="U50" s="58"/>
      <c r="V50" s="58"/>
      <c r="W50" s="58"/>
      <c r="X50" s="58"/>
      <c r="Y50" s="58"/>
      <c r="Z50" s="58"/>
    </row>
    <row r="51" ht="15.75" customHeight="1">
      <c r="A51" s="21" t="s">
        <v>321</v>
      </c>
      <c r="B51" s="53" t="s">
        <v>60</v>
      </c>
      <c r="C51" s="53" t="s">
        <v>322</v>
      </c>
      <c r="D51" s="21" t="s">
        <v>135</v>
      </c>
      <c r="E51" s="68" t="s">
        <v>784</v>
      </c>
      <c r="F51" s="69">
        <v>0.6448</v>
      </c>
      <c r="G51" s="21" t="s">
        <v>136</v>
      </c>
      <c r="H51" s="22" t="s">
        <v>91</v>
      </c>
      <c r="I51" s="21" t="s">
        <v>91</v>
      </c>
      <c r="J51" s="22" t="s">
        <v>90</v>
      </c>
      <c r="K51" s="52" t="s">
        <v>749</v>
      </c>
      <c r="L51" s="21" t="s">
        <v>763</v>
      </c>
      <c r="M51" s="54">
        <v>43983.0</v>
      </c>
      <c r="N51" s="55" t="s">
        <v>735</v>
      </c>
      <c r="O51" s="56" t="s">
        <v>732</v>
      </c>
      <c r="P51" s="57" t="s">
        <v>750</v>
      </c>
      <c r="Q51" s="57" t="s">
        <v>750</v>
      </c>
      <c r="R51" s="58"/>
      <c r="S51" s="58"/>
      <c r="T51" s="58"/>
      <c r="U51" s="58"/>
      <c r="V51" s="58"/>
      <c r="W51" s="58"/>
      <c r="X51" s="58"/>
      <c r="Y51" s="58"/>
      <c r="Z51" s="58"/>
    </row>
    <row r="52" ht="15.75" customHeight="1">
      <c r="A52" s="21" t="s">
        <v>248</v>
      </c>
      <c r="B52" s="53" t="s">
        <v>60</v>
      </c>
      <c r="C52" s="53" t="s">
        <v>249</v>
      </c>
      <c r="D52" s="22" t="s">
        <v>135</v>
      </c>
      <c r="E52" s="59" t="s">
        <v>784</v>
      </c>
      <c r="F52" s="25" t="s">
        <v>785</v>
      </c>
      <c r="G52" s="21" t="s">
        <v>136</v>
      </c>
      <c r="H52" s="22" t="s">
        <v>91</v>
      </c>
      <c r="I52" s="21" t="s">
        <v>91</v>
      </c>
      <c r="J52" s="22" t="s">
        <v>90</v>
      </c>
      <c r="K52" s="52" t="s">
        <v>749</v>
      </c>
      <c r="L52" s="21" t="s">
        <v>763</v>
      </c>
      <c r="M52" s="54">
        <v>43983.0</v>
      </c>
      <c r="N52" s="55" t="s">
        <v>701</v>
      </c>
      <c r="O52" s="56" t="s">
        <v>732</v>
      </c>
      <c r="P52" s="57" t="s">
        <v>750</v>
      </c>
      <c r="Q52" s="57" t="s">
        <v>750</v>
      </c>
      <c r="R52" s="58"/>
      <c r="S52" s="58"/>
      <c r="T52" s="58"/>
      <c r="U52" s="58"/>
      <c r="V52" s="58"/>
      <c r="W52" s="58"/>
      <c r="X52" s="58"/>
      <c r="Y52" s="58"/>
      <c r="Z52" s="58"/>
    </row>
    <row r="53" ht="15.75" customHeight="1">
      <c r="A53" s="21" t="s">
        <v>245</v>
      </c>
      <c r="B53" s="53" t="s">
        <v>60</v>
      </c>
      <c r="C53" s="53" t="s">
        <v>247</v>
      </c>
      <c r="D53" s="22" t="s">
        <v>135</v>
      </c>
      <c r="E53" s="53" t="s">
        <v>713</v>
      </c>
      <c r="F53" s="22">
        <v>1.0</v>
      </c>
      <c r="G53" s="21" t="s">
        <v>136</v>
      </c>
      <c r="H53" s="22" t="s">
        <v>91</v>
      </c>
      <c r="I53" s="21" t="s">
        <v>91</v>
      </c>
      <c r="J53" s="22" t="s">
        <v>90</v>
      </c>
      <c r="K53" s="52" t="s">
        <v>749</v>
      </c>
      <c r="L53" s="21" t="s">
        <v>763</v>
      </c>
      <c r="M53" s="54">
        <v>43983.0</v>
      </c>
      <c r="N53" s="55" t="s">
        <v>701</v>
      </c>
      <c r="O53" s="56" t="s">
        <v>732</v>
      </c>
      <c r="P53" s="57" t="s">
        <v>750</v>
      </c>
      <c r="Q53" s="57" t="s">
        <v>750</v>
      </c>
      <c r="R53" s="58"/>
      <c r="S53" s="58"/>
      <c r="T53" s="58"/>
      <c r="U53" s="58"/>
      <c r="V53" s="58"/>
      <c r="W53" s="58"/>
      <c r="X53" s="58"/>
      <c r="Y53" s="58"/>
      <c r="Z53" s="58"/>
    </row>
    <row r="54" ht="15.75" customHeight="1">
      <c r="A54" s="21" t="s">
        <v>342</v>
      </c>
      <c r="B54" s="53" t="s">
        <v>197</v>
      </c>
      <c r="C54" s="53" t="s">
        <v>343</v>
      </c>
      <c r="D54" s="22" t="s">
        <v>185</v>
      </c>
      <c r="E54" s="62" t="s">
        <v>720</v>
      </c>
      <c r="F54" s="63" t="b">
        <v>1</v>
      </c>
      <c r="G54" s="53" t="s">
        <v>686</v>
      </c>
      <c r="H54" s="22" t="s">
        <v>91</v>
      </c>
      <c r="I54" s="22" t="s">
        <v>91</v>
      </c>
      <c r="J54" s="22" t="s">
        <v>85</v>
      </c>
      <c r="K54" s="53" t="s">
        <v>687</v>
      </c>
      <c r="L54" s="22" t="s">
        <v>688</v>
      </c>
      <c r="M54" s="54">
        <v>44042.0</v>
      </c>
      <c r="N54" s="55" t="s">
        <v>692</v>
      </c>
      <c r="O54" s="56" t="s">
        <v>690</v>
      </c>
      <c r="P54" s="57" t="s">
        <v>702</v>
      </c>
      <c r="Q54" s="57" t="s">
        <v>702</v>
      </c>
      <c r="R54" s="58"/>
      <c r="S54" s="58"/>
      <c r="T54" s="58"/>
      <c r="U54" s="58"/>
      <c r="V54" s="58"/>
      <c r="W54" s="58"/>
      <c r="X54" s="58"/>
      <c r="Y54" s="58"/>
      <c r="Z54" s="58"/>
    </row>
    <row r="55" ht="15.75" customHeight="1">
      <c r="A55" s="21" t="s">
        <v>786</v>
      </c>
      <c r="B55" s="53" t="s">
        <v>696</v>
      </c>
      <c r="C55" s="53" t="s">
        <v>787</v>
      </c>
      <c r="D55" s="21" t="s">
        <v>83</v>
      </c>
      <c r="E55" s="53" t="s">
        <v>685</v>
      </c>
      <c r="F55" s="22" t="s">
        <v>299</v>
      </c>
      <c r="G55" s="52" t="s">
        <v>686</v>
      </c>
      <c r="H55" s="22" t="s">
        <v>91</v>
      </c>
      <c r="I55" s="21" t="s">
        <v>91</v>
      </c>
      <c r="J55" s="22" t="s">
        <v>90</v>
      </c>
      <c r="K55" s="53" t="s">
        <v>687</v>
      </c>
      <c r="L55" s="22" t="s">
        <v>688</v>
      </c>
      <c r="M55" s="54">
        <v>44042.0</v>
      </c>
      <c r="N55" s="55" t="s">
        <v>701</v>
      </c>
      <c r="O55" s="56" t="s">
        <v>690</v>
      </c>
      <c r="P55" s="57" t="s">
        <v>744</v>
      </c>
      <c r="Q55" s="57" t="s">
        <v>744</v>
      </c>
      <c r="R55" s="58"/>
      <c r="S55" s="58"/>
      <c r="T55" s="58"/>
      <c r="U55" s="58"/>
      <c r="V55" s="58"/>
      <c r="W55" s="58"/>
      <c r="X55" s="58"/>
      <c r="Y55" s="58"/>
      <c r="Z55" s="58"/>
    </row>
    <row r="56" ht="15.75" customHeight="1">
      <c r="A56" s="23" t="s">
        <v>418</v>
      </c>
      <c r="B56" s="52" t="s">
        <v>44</v>
      </c>
      <c r="C56" s="53" t="s">
        <v>419</v>
      </c>
      <c r="D56" s="22" t="s">
        <v>83</v>
      </c>
      <c r="E56" s="53" t="s">
        <v>774</v>
      </c>
      <c r="F56" s="22">
        <v>1796.0</v>
      </c>
      <c r="G56" s="21" t="s">
        <v>335</v>
      </c>
      <c r="H56" s="22" t="s">
        <v>91</v>
      </c>
      <c r="I56" s="22" t="s">
        <v>91</v>
      </c>
      <c r="J56" s="22" t="s">
        <v>85</v>
      </c>
      <c r="K56" s="53" t="s">
        <v>687</v>
      </c>
      <c r="L56" s="22" t="s">
        <v>688</v>
      </c>
      <c r="M56" s="54">
        <v>44042.0</v>
      </c>
      <c r="N56" s="55" t="s">
        <v>701</v>
      </c>
      <c r="O56" s="56" t="s">
        <v>690</v>
      </c>
      <c r="P56" s="57" t="s">
        <v>788</v>
      </c>
      <c r="Q56" s="57" t="s">
        <v>788</v>
      </c>
      <c r="R56" s="58"/>
      <c r="S56" s="58"/>
      <c r="T56" s="58"/>
      <c r="U56" s="58"/>
      <c r="V56" s="58"/>
      <c r="W56" s="58"/>
      <c r="X56" s="58"/>
      <c r="Y56" s="58"/>
      <c r="Z56" s="58"/>
    </row>
    <row r="57" ht="15.75" customHeight="1">
      <c r="A57" s="23" t="s">
        <v>416</v>
      </c>
      <c r="B57" s="52" t="s">
        <v>44</v>
      </c>
      <c r="C57" s="53" t="s">
        <v>415</v>
      </c>
      <c r="D57" s="22" t="s">
        <v>83</v>
      </c>
      <c r="E57" s="53" t="s">
        <v>774</v>
      </c>
      <c r="F57" s="22">
        <v>1350.0</v>
      </c>
      <c r="G57" s="21" t="s">
        <v>335</v>
      </c>
      <c r="H57" s="22" t="s">
        <v>91</v>
      </c>
      <c r="I57" s="22" t="s">
        <v>91</v>
      </c>
      <c r="J57" s="22" t="s">
        <v>85</v>
      </c>
      <c r="K57" s="53" t="s">
        <v>687</v>
      </c>
      <c r="L57" s="22" t="s">
        <v>688</v>
      </c>
      <c r="M57" s="54">
        <v>44041.0</v>
      </c>
      <c r="N57" s="55" t="s">
        <v>701</v>
      </c>
      <c r="O57" s="56" t="s">
        <v>690</v>
      </c>
      <c r="P57" s="57" t="s">
        <v>691</v>
      </c>
      <c r="Q57" s="57" t="s">
        <v>691</v>
      </c>
      <c r="R57" s="58"/>
      <c r="S57" s="58"/>
      <c r="T57" s="58"/>
      <c r="U57" s="58"/>
      <c r="V57" s="58"/>
      <c r="W57" s="58"/>
      <c r="X57" s="58"/>
      <c r="Y57" s="58"/>
      <c r="Z57" s="58"/>
    </row>
    <row r="58" ht="15.75" customHeight="1">
      <c r="A58" s="21" t="s">
        <v>789</v>
      </c>
      <c r="B58" s="52" t="s">
        <v>44</v>
      </c>
      <c r="C58" s="53" t="s">
        <v>790</v>
      </c>
      <c r="D58" s="22" t="s">
        <v>83</v>
      </c>
      <c r="E58" s="53" t="s">
        <v>777</v>
      </c>
      <c r="F58" s="22">
        <v>3023.0</v>
      </c>
      <c r="G58" s="53" t="s">
        <v>723</v>
      </c>
      <c r="H58" s="22" t="s">
        <v>91</v>
      </c>
      <c r="I58" s="53" t="s">
        <v>723</v>
      </c>
      <c r="J58" s="22" t="s">
        <v>85</v>
      </c>
      <c r="K58" s="53" t="s">
        <v>749</v>
      </c>
      <c r="L58" s="22" t="s">
        <v>688</v>
      </c>
      <c r="M58" s="54">
        <v>44024.0</v>
      </c>
      <c r="N58" s="55" t="s">
        <v>701</v>
      </c>
      <c r="O58" s="56" t="s">
        <v>690</v>
      </c>
      <c r="P58" s="57" t="s">
        <v>771</v>
      </c>
      <c r="Q58" s="57" t="s">
        <v>771</v>
      </c>
      <c r="R58" s="58"/>
      <c r="S58" s="58"/>
      <c r="T58" s="58"/>
      <c r="U58" s="58"/>
      <c r="V58" s="58"/>
      <c r="W58" s="58"/>
      <c r="X58" s="58"/>
      <c r="Y58" s="58"/>
      <c r="Z58" s="58"/>
    </row>
    <row r="59" ht="15.75" customHeight="1">
      <c r="A59" s="21" t="s">
        <v>180</v>
      </c>
      <c r="B59" s="52" t="s">
        <v>197</v>
      </c>
      <c r="C59" s="53" t="s">
        <v>791</v>
      </c>
      <c r="D59" s="22" t="s">
        <v>185</v>
      </c>
      <c r="E59" s="62" t="s">
        <v>720</v>
      </c>
      <c r="F59" s="63" t="b">
        <v>1</v>
      </c>
      <c r="G59" s="21" t="s">
        <v>91</v>
      </c>
      <c r="H59" s="22" t="s">
        <v>91</v>
      </c>
      <c r="I59" s="22" t="s">
        <v>91</v>
      </c>
      <c r="J59" s="22" t="s">
        <v>85</v>
      </c>
      <c r="K59" s="53" t="s">
        <v>687</v>
      </c>
      <c r="L59" s="22" t="s">
        <v>687</v>
      </c>
      <c r="M59" s="54">
        <v>44040.0</v>
      </c>
      <c r="N59" s="55" t="s">
        <v>741</v>
      </c>
      <c r="O59" s="56" t="s">
        <v>690</v>
      </c>
      <c r="P59" s="57" t="s">
        <v>782</v>
      </c>
      <c r="Q59" s="57" t="s">
        <v>782</v>
      </c>
      <c r="R59" s="58"/>
      <c r="S59" s="58"/>
      <c r="T59" s="58"/>
      <c r="U59" s="58"/>
      <c r="V59" s="58"/>
      <c r="W59" s="58"/>
      <c r="X59" s="58"/>
      <c r="Y59" s="58"/>
      <c r="Z59" s="58"/>
    </row>
    <row r="60" ht="15.75" customHeight="1">
      <c r="A60" s="21" t="s">
        <v>139</v>
      </c>
      <c r="B60" s="52" t="s">
        <v>44</v>
      </c>
      <c r="C60" s="52" t="s">
        <v>140</v>
      </c>
      <c r="D60" s="21" t="s">
        <v>792</v>
      </c>
      <c r="E60" s="52" t="s">
        <v>685</v>
      </c>
      <c r="F60" s="21" t="s">
        <v>142</v>
      </c>
      <c r="G60" s="21" t="s">
        <v>136</v>
      </c>
      <c r="H60" s="21" t="s">
        <v>91</v>
      </c>
      <c r="I60" s="21" t="s">
        <v>91</v>
      </c>
      <c r="J60" s="28">
        <v>0.625</v>
      </c>
      <c r="K60" s="52" t="s">
        <v>749</v>
      </c>
      <c r="L60" s="21" t="s">
        <v>793</v>
      </c>
      <c r="M60" s="54">
        <v>43983.0</v>
      </c>
      <c r="N60" s="55" t="s">
        <v>741</v>
      </c>
      <c r="O60" s="56" t="s">
        <v>690</v>
      </c>
      <c r="P60" s="57" t="s">
        <v>691</v>
      </c>
      <c r="Q60" s="57" t="s">
        <v>691</v>
      </c>
      <c r="R60" s="58"/>
      <c r="S60" s="58"/>
      <c r="T60" s="58"/>
      <c r="U60" s="58"/>
      <c r="V60" s="58"/>
      <c r="W60" s="58"/>
      <c r="X60" s="58"/>
      <c r="Y60" s="58"/>
      <c r="Z60" s="58"/>
    </row>
    <row r="61" ht="15.75" customHeight="1">
      <c r="A61" s="23" t="s">
        <v>794</v>
      </c>
      <c r="B61" s="52" t="s">
        <v>44</v>
      </c>
      <c r="C61" s="53" t="s">
        <v>334</v>
      </c>
      <c r="D61" s="22" t="s">
        <v>83</v>
      </c>
      <c r="E61" s="53" t="s">
        <v>774</v>
      </c>
      <c r="F61" s="22">
        <v>20000.0</v>
      </c>
      <c r="G61" s="21" t="s">
        <v>335</v>
      </c>
      <c r="H61" s="22" t="s">
        <v>91</v>
      </c>
      <c r="I61" s="22" t="s">
        <v>91</v>
      </c>
      <c r="J61" s="22" t="s">
        <v>85</v>
      </c>
      <c r="K61" s="53" t="s">
        <v>687</v>
      </c>
      <c r="L61" s="22" t="s">
        <v>688</v>
      </c>
      <c r="M61" s="54">
        <v>44042.0</v>
      </c>
      <c r="N61" s="55" t="s">
        <v>701</v>
      </c>
      <c r="O61" s="56" t="s">
        <v>690</v>
      </c>
      <c r="P61" s="57" t="s">
        <v>691</v>
      </c>
      <c r="Q61" s="57" t="s">
        <v>691</v>
      </c>
      <c r="R61" s="58"/>
      <c r="S61" s="58"/>
      <c r="T61" s="58"/>
      <c r="U61" s="58"/>
      <c r="V61" s="58"/>
      <c r="W61" s="58"/>
      <c r="X61" s="58"/>
      <c r="Y61" s="58"/>
      <c r="Z61" s="58"/>
    </row>
    <row r="62" ht="15.75" customHeight="1">
      <c r="A62" s="21" t="s">
        <v>403</v>
      </c>
      <c r="B62" s="52" t="s">
        <v>197</v>
      </c>
      <c r="C62" s="53" t="s">
        <v>404</v>
      </c>
      <c r="D62" s="22" t="s">
        <v>83</v>
      </c>
      <c r="E62" s="52" t="s">
        <v>685</v>
      </c>
      <c r="F62" s="52">
        <v>5.25641638E8</v>
      </c>
      <c r="G62" s="52" t="s">
        <v>686</v>
      </c>
      <c r="H62" s="22" t="s">
        <v>91</v>
      </c>
      <c r="I62" s="22" t="s">
        <v>91</v>
      </c>
      <c r="J62" s="22" t="s">
        <v>85</v>
      </c>
      <c r="K62" s="53" t="s">
        <v>749</v>
      </c>
      <c r="L62" s="22" t="s">
        <v>688</v>
      </c>
      <c r="M62" s="54">
        <v>44029.0</v>
      </c>
      <c r="N62" s="55" t="s">
        <v>701</v>
      </c>
      <c r="O62" s="56" t="s">
        <v>690</v>
      </c>
      <c r="P62" s="57" t="s">
        <v>771</v>
      </c>
      <c r="Q62" s="57" t="s">
        <v>771</v>
      </c>
      <c r="R62" s="58"/>
      <c r="S62" s="58"/>
      <c r="T62" s="58"/>
      <c r="U62" s="58"/>
      <c r="V62" s="58"/>
      <c r="W62" s="58"/>
      <c r="X62" s="58"/>
      <c r="Y62" s="58"/>
      <c r="Z62" s="58"/>
    </row>
    <row r="63" ht="15.75" customHeight="1">
      <c r="A63" s="23" t="s">
        <v>420</v>
      </c>
      <c r="B63" s="52" t="s">
        <v>696</v>
      </c>
      <c r="C63" s="53" t="s">
        <v>795</v>
      </c>
      <c r="D63" s="22" t="s">
        <v>83</v>
      </c>
      <c r="E63" s="53" t="s">
        <v>685</v>
      </c>
      <c r="F63" s="22" t="s">
        <v>732</v>
      </c>
      <c r="G63" s="52" t="s">
        <v>686</v>
      </c>
      <c r="H63" s="22" t="s">
        <v>91</v>
      </c>
      <c r="I63" s="22" t="s">
        <v>91</v>
      </c>
      <c r="J63" s="22" t="s">
        <v>85</v>
      </c>
      <c r="K63" s="53" t="s">
        <v>687</v>
      </c>
      <c r="L63" s="22" t="s">
        <v>688</v>
      </c>
      <c r="M63" s="54">
        <v>44042.0</v>
      </c>
      <c r="N63" s="55" t="s">
        <v>692</v>
      </c>
      <c r="O63" s="56" t="s">
        <v>690</v>
      </c>
      <c r="P63" s="57" t="s">
        <v>691</v>
      </c>
      <c r="Q63" s="57" t="s">
        <v>691</v>
      </c>
      <c r="R63" s="58"/>
      <c r="S63" s="58"/>
      <c r="T63" s="58"/>
      <c r="U63" s="58"/>
      <c r="V63" s="58"/>
      <c r="W63" s="58"/>
      <c r="X63" s="58"/>
      <c r="Y63" s="58"/>
      <c r="Z63" s="58"/>
    </row>
    <row r="64">
      <c r="A64" s="23" t="s">
        <v>423</v>
      </c>
      <c r="B64" s="52" t="s">
        <v>696</v>
      </c>
      <c r="C64" s="53" t="s">
        <v>796</v>
      </c>
      <c r="D64" s="22" t="s">
        <v>83</v>
      </c>
      <c r="E64" s="53" t="s">
        <v>685</v>
      </c>
      <c r="F64" s="22" t="s">
        <v>797</v>
      </c>
      <c r="G64" s="52" t="s">
        <v>686</v>
      </c>
      <c r="H64" s="22" t="s">
        <v>91</v>
      </c>
      <c r="I64" s="22" t="s">
        <v>91</v>
      </c>
      <c r="J64" s="22" t="s">
        <v>85</v>
      </c>
      <c r="K64" s="53" t="s">
        <v>687</v>
      </c>
      <c r="L64" s="22" t="s">
        <v>688</v>
      </c>
      <c r="M64" s="54">
        <v>44042.0</v>
      </c>
      <c r="N64" s="55" t="s">
        <v>692</v>
      </c>
      <c r="O64" s="56" t="s">
        <v>690</v>
      </c>
      <c r="P64" s="57" t="s">
        <v>691</v>
      </c>
      <c r="Q64" s="57" t="s">
        <v>691</v>
      </c>
      <c r="R64" s="58"/>
      <c r="S64" s="58"/>
      <c r="T64" s="58"/>
      <c r="U64" s="58"/>
      <c r="V64" s="58"/>
      <c r="W64" s="58"/>
      <c r="X64" s="58"/>
      <c r="Y64" s="58"/>
      <c r="Z64" s="58"/>
    </row>
    <row r="65" ht="15.75" customHeight="1">
      <c r="A65" s="21" t="s">
        <v>439</v>
      </c>
      <c r="B65" s="52" t="s">
        <v>44</v>
      </c>
      <c r="C65" s="53" t="s">
        <v>798</v>
      </c>
      <c r="D65" s="22" t="s">
        <v>83</v>
      </c>
      <c r="E65" s="53" t="s">
        <v>698</v>
      </c>
      <c r="F65" s="27">
        <v>43425.0</v>
      </c>
      <c r="G65" s="52" t="s">
        <v>686</v>
      </c>
      <c r="H65" s="22" t="s">
        <v>91</v>
      </c>
      <c r="I65" s="22" t="s">
        <v>91</v>
      </c>
      <c r="J65" s="22" t="s">
        <v>85</v>
      </c>
      <c r="K65" s="53" t="s">
        <v>749</v>
      </c>
      <c r="L65" s="22" t="s">
        <v>688</v>
      </c>
      <c r="M65" s="54">
        <v>44042.0</v>
      </c>
      <c r="N65" s="55" t="s">
        <v>701</v>
      </c>
      <c r="O65" s="56" t="s">
        <v>690</v>
      </c>
      <c r="P65" s="57" t="s">
        <v>705</v>
      </c>
      <c r="Q65" s="57" t="s">
        <v>705</v>
      </c>
      <c r="R65" s="58"/>
      <c r="S65" s="58"/>
      <c r="T65" s="58"/>
      <c r="U65" s="58"/>
      <c r="V65" s="58"/>
      <c r="W65" s="58"/>
      <c r="X65" s="58"/>
      <c r="Y65" s="58"/>
      <c r="Z65" s="58"/>
    </row>
    <row r="66" ht="15.75" customHeight="1">
      <c r="A66" s="21" t="s">
        <v>433</v>
      </c>
      <c r="B66" s="52" t="s">
        <v>44</v>
      </c>
      <c r="C66" s="53" t="s">
        <v>799</v>
      </c>
      <c r="D66" s="22" t="s">
        <v>83</v>
      </c>
      <c r="E66" s="53" t="s">
        <v>698</v>
      </c>
      <c r="F66" s="27">
        <v>43424.0</v>
      </c>
      <c r="G66" s="21" t="s">
        <v>335</v>
      </c>
      <c r="H66" s="22" t="s">
        <v>91</v>
      </c>
      <c r="I66" s="22" t="s">
        <v>91</v>
      </c>
      <c r="J66" s="22" t="s">
        <v>85</v>
      </c>
      <c r="K66" s="53" t="s">
        <v>749</v>
      </c>
      <c r="L66" s="22" t="s">
        <v>688</v>
      </c>
      <c r="M66" s="54">
        <v>44042.0</v>
      </c>
      <c r="N66" s="55" t="s">
        <v>701</v>
      </c>
      <c r="O66" s="56" t="s">
        <v>690</v>
      </c>
      <c r="P66" s="57" t="s">
        <v>705</v>
      </c>
      <c r="Q66" s="57" t="s">
        <v>705</v>
      </c>
      <c r="R66" s="58"/>
      <c r="S66" s="58"/>
      <c r="T66" s="58"/>
      <c r="U66" s="58"/>
      <c r="V66" s="58"/>
      <c r="W66" s="58"/>
      <c r="X66" s="58"/>
      <c r="Y66" s="58"/>
      <c r="Z66" s="58"/>
    </row>
    <row r="67" ht="15.75" customHeight="1">
      <c r="A67" s="23" t="s">
        <v>146</v>
      </c>
      <c r="B67" s="52" t="s">
        <v>44</v>
      </c>
      <c r="C67" s="53" t="s">
        <v>800</v>
      </c>
      <c r="D67" s="53" t="s">
        <v>801</v>
      </c>
      <c r="E67" s="53" t="s">
        <v>685</v>
      </c>
      <c r="F67" s="22" t="s">
        <v>148</v>
      </c>
      <c r="G67" s="52" t="s">
        <v>686</v>
      </c>
      <c r="H67" s="22" t="s">
        <v>91</v>
      </c>
      <c r="I67" s="22" t="s">
        <v>91</v>
      </c>
      <c r="J67" s="65" t="s">
        <v>90</v>
      </c>
      <c r="K67" s="52" t="s">
        <v>687</v>
      </c>
      <c r="L67" s="21" t="s">
        <v>802</v>
      </c>
      <c r="M67" s="54">
        <v>44042.0</v>
      </c>
      <c r="N67" s="55" t="s">
        <v>701</v>
      </c>
      <c r="O67" s="56" t="s">
        <v>690</v>
      </c>
      <c r="P67" s="57" t="s">
        <v>691</v>
      </c>
      <c r="Q67" s="57" t="s">
        <v>691</v>
      </c>
      <c r="R67" s="58"/>
      <c r="S67" s="58"/>
      <c r="T67" s="58"/>
      <c r="U67" s="58"/>
      <c r="V67" s="58"/>
      <c r="W67" s="58"/>
      <c r="X67" s="58"/>
      <c r="Y67" s="58"/>
      <c r="Z67" s="58"/>
    </row>
    <row r="68" ht="15.75" customHeight="1">
      <c r="A68" s="21" t="s">
        <v>397</v>
      </c>
      <c r="B68" s="52" t="s">
        <v>44</v>
      </c>
      <c r="C68" s="53" t="s">
        <v>398</v>
      </c>
      <c r="D68" s="22" t="s">
        <v>83</v>
      </c>
      <c r="E68" s="53" t="s">
        <v>685</v>
      </c>
      <c r="F68" s="22" t="s">
        <v>399</v>
      </c>
      <c r="G68" s="21" t="s">
        <v>335</v>
      </c>
      <c r="H68" s="22" t="s">
        <v>91</v>
      </c>
      <c r="I68" s="22" t="s">
        <v>91</v>
      </c>
      <c r="J68" s="22" t="s">
        <v>85</v>
      </c>
      <c r="K68" s="53" t="s">
        <v>687</v>
      </c>
      <c r="L68" s="22" t="s">
        <v>688</v>
      </c>
      <c r="M68" s="54">
        <v>44042.0</v>
      </c>
      <c r="N68" s="55" t="s">
        <v>701</v>
      </c>
      <c r="O68" s="56" t="s">
        <v>690</v>
      </c>
      <c r="P68" s="57" t="s">
        <v>788</v>
      </c>
      <c r="Q68" s="57" t="s">
        <v>788</v>
      </c>
      <c r="R68" s="58"/>
      <c r="S68" s="58"/>
      <c r="T68" s="58"/>
      <c r="U68" s="58"/>
      <c r="V68" s="58"/>
      <c r="W68" s="58"/>
      <c r="X68" s="58"/>
      <c r="Y68" s="58"/>
      <c r="Z68" s="58"/>
    </row>
    <row r="69">
      <c r="A69" s="23" t="s">
        <v>803</v>
      </c>
      <c r="B69" s="52" t="s">
        <v>44</v>
      </c>
      <c r="C69" s="62" t="s">
        <v>804</v>
      </c>
      <c r="D69" s="22" t="s">
        <v>83</v>
      </c>
      <c r="E69" s="53" t="s">
        <v>685</v>
      </c>
      <c r="F69" s="22" t="s">
        <v>428</v>
      </c>
      <c r="G69" s="52" t="s">
        <v>686</v>
      </c>
      <c r="H69" s="22" t="s">
        <v>91</v>
      </c>
      <c r="I69" s="22" t="s">
        <v>91</v>
      </c>
      <c r="J69" s="22" t="s">
        <v>85</v>
      </c>
      <c r="K69" s="53" t="s">
        <v>687</v>
      </c>
      <c r="L69" s="22" t="s">
        <v>688</v>
      </c>
      <c r="M69" s="54">
        <v>44042.0</v>
      </c>
      <c r="N69" s="55" t="s">
        <v>692</v>
      </c>
      <c r="O69" s="56" t="s">
        <v>690</v>
      </c>
      <c r="P69" s="57" t="s">
        <v>691</v>
      </c>
      <c r="Q69" s="57" t="s">
        <v>691</v>
      </c>
      <c r="R69" s="58"/>
      <c r="S69" s="58"/>
      <c r="T69" s="58"/>
      <c r="U69" s="58"/>
      <c r="V69" s="58"/>
      <c r="W69" s="58"/>
      <c r="X69" s="58"/>
      <c r="Y69" s="58"/>
      <c r="Z69" s="58"/>
    </row>
    <row r="70" ht="15.75" customHeight="1">
      <c r="A70" s="23" t="s">
        <v>97</v>
      </c>
      <c r="B70" s="52" t="s">
        <v>696</v>
      </c>
      <c r="C70" s="53" t="s">
        <v>98</v>
      </c>
      <c r="D70" s="22" t="s">
        <v>83</v>
      </c>
      <c r="E70" s="70" t="s">
        <v>698</v>
      </c>
      <c r="F70" s="71">
        <v>42715.0</v>
      </c>
      <c r="G70" s="52" t="s">
        <v>686</v>
      </c>
      <c r="H70" s="22" t="s">
        <v>91</v>
      </c>
      <c r="I70" s="22" t="s">
        <v>91</v>
      </c>
      <c r="J70" s="22" t="s">
        <v>85</v>
      </c>
      <c r="K70" s="53" t="s">
        <v>687</v>
      </c>
      <c r="L70" s="22" t="s">
        <v>688</v>
      </c>
      <c r="M70" s="54">
        <v>44042.0</v>
      </c>
      <c r="N70" s="55" t="s">
        <v>692</v>
      </c>
      <c r="O70" s="56" t="s">
        <v>690</v>
      </c>
      <c r="P70" s="57" t="s">
        <v>691</v>
      </c>
      <c r="Q70" s="57" t="s">
        <v>691</v>
      </c>
      <c r="R70" s="58"/>
      <c r="S70" s="58"/>
      <c r="T70" s="58"/>
      <c r="U70" s="58"/>
      <c r="V70" s="58"/>
      <c r="W70" s="58"/>
      <c r="X70" s="58"/>
      <c r="Y70" s="58"/>
      <c r="Z70" s="58"/>
    </row>
    <row r="71" ht="15.75" customHeight="1">
      <c r="A71" s="21" t="s">
        <v>805</v>
      </c>
      <c r="B71" s="52" t="s">
        <v>197</v>
      </c>
      <c r="C71" s="53" t="s">
        <v>382</v>
      </c>
      <c r="D71" s="22" t="s">
        <v>185</v>
      </c>
      <c r="E71" s="53" t="s">
        <v>768</v>
      </c>
      <c r="F71" s="22">
        <v>9630.0</v>
      </c>
      <c r="G71" s="53" t="s">
        <v>723</v>
      </c>
      <c r="H71" s="22" t="s">
        <v>91</v>
      </c>
      <c r="I71" s="53" t="s">
        <v>723</v>
      </c>
      <c r="J71" s="22" t="s">
        <v>85</v>
      </c>
      <c r="K71" s="52" t="s">
        <v>687</v>
      </c>
      <c r="L71" s="21" t="s">
        <v>760</v>
      </c>
      <c r="M71" s="54">
        <v>44041.0</v>
      </c>
      <c r="N71" s="55" t="s">
        <v>735</v>
      </c>
      <c r="O71" s="64" t="s">
        <v>736</v>
      </c>
      <c r="P71" s="57" t="s">
        <v>761</v>
      </c>
      <c r="Q71" s="57" t="s">
        <v>761</v>
      </c>
      <c r="R71" s="58"/>
      <c r="S71" s="58"/>
      <c r="T71" s="58"/>
      <c r="U71" s="58"/>
      <c r="V71" s="58"/>
      <c r="W71" s="58"/>
      <c r="X71" s="58"/>
      <c r="Y71" s="58"/>
      <c r="Z71" s="58"/>
    </row>
    <row r="72" ht="15.75" customHeight="1">
      <c r="A72" s="21" t="s">
        <v>806</v>
      </c>
      <c r="B72" s="52" t="s">
        <v>197</v>
      </c>
      <c r="C72" s="53" t="s">
        <v>401</v>
      </c>
      <c r="D72" s="22" t="s">
        <v>83</v>
      </c>
      <c r="E72" s="53" t="s">
        <v>685</v>
      </c>
      <c r="F72" s="22" t="s">
        <v>402</v>
      </c>
      <c r="G72" s="21" t="s">
        <v>335</v>
      </c>
      <c r="H72" s="22" t="s">
        <v>91</v>
      </c>
      <c r="I72" s="22" t="s">
        <v>91</v>
      </c>
      <c r="J72" s="22" t="s">
        <v>85</v>
      </c>
      <c r="K72" s="53" t="s">
        <v>687</v>
      </c>
      <c r="L72" s="22" t="s">
        <v>688</v>
      </c>
      <c r="M72" s="54">
        <v>44042.0</v>
      </c>
      <c r="N72" s="55" t="s">
        <v>701</v>
      </c>
      <c r="O72" s="56" t="s">
        <v>690</v>
      </c>
      <c r="P72" s="57" t="s">
        <v>788</v>
      </c>
      <c r="Q72" s="57" t="s">
        <v>788</v>
      </c>
      <c r="R72" s="58"/>
      <c r="S72" s="58"/>
      <c r="T72" s="58"/>
      <c r="U72" s="58"/>
      <c r="V72" s="58"/>
      <c r="W72" s="58"/>
      <c r="X72" s="58"/>
      <c r="Y72" s="58"/>
      <c r="Z72" s="58"/>
    </row>
    <row r="73" ht="15.75" customHeight="1">
      <c r="A73" s="21" t="s">
        <v>807</v>
      </c>
      <c r="B73" s="52" t="s">
        <v>197</v>
      </c>
      <c r="C73" s="53" t="s">
        <v>808</v>
      </c>
      <c r="D73" s="22" t="s">
        <v>185</v>
      </c>
      <c r="E73" s="53" t="s">
        <v>698</v>
      </c>
      <c r="F73" s="27">
        <v>43733.0</v>
      </c>
      <c r="G73" s="53" t="s">
        <v>723</v>
      </c>
      <c r="H73" s="22" t="s">
        <v>91</v>
      </c>
      <c r="I73" s="53" t="s">
        <v>723</v>
      </c>
      <c r="J73" s="22" t="s">
        <v>85</v>
      </c>
      <c r="K73" s="52" t="s">
        <v>687</v>
      </c>
      <c r="L73" s="21" t="s">
        <v>760</v>
      </c>
      <c r="M73" s="54">
        <v>44041.0</v>
      </c>
      <c r="N73" s="55" t="s">
        <v>735</v>
      </c>
      <c r="O73" s="64" t="s">
        <v>736</v>
      </c>
      <c r="P73" s="57" t="s">
        <v>761</v>
      </c>
      <c r="Q73" s="57" t="s">
        <v>761</v>
      </c>
      <c r="R73" s="58"/>
      <c r="S73" s="58"/>
      <c r="T73" s="58"/>
      <c r="U73" s="58"/>
      <c r="V73" s="58"/>
      <c r="W73" s="58"/>
      <c r="X73" s="58"/>
      <c r="Y73" s="58"/>
      <c r="Z73" s="58"/>
    </row>
    <row r="74">
      <c r="A74" s="23" t="s">
        <v>410</v>
      </c>
      <c r="B74" s="52" t="s">
        <v>696</v>
      </c>
      <c r="C74" s="53" t="s">
        <v>411</v>
      </c>
      <c r="D74" s="22" t="s">
        <v>83</v>
      </c>
      <c r="E74" s="53" t="s">
        <v>698</v>
      </c>
      <c r="F74" s="27">
        <v>40598.0</v>
      </c>
      <c r="G74" s="61" t="s">
        <v>686</v>
      </c>
      <c r="H74" s="22" t="s">
        <v>91</v>
      </c>
      <c r="I74" s="22" t="s">
        <v>91</v>
      </c>
      <c r="J74" s="22" t="s">
        <v>85</v>
      </c>
      <c r="K74" s="53" t="s">
        <v>687</v>
      </c>
      <c r="L74" s="22" t="s">
        <v>688</v>
      </c>
      <c r="M74" s="54">
        <v>44042.0</v>
      </c>
      <c r="N74" s="55" t="s">
        <v>701</v>
      </c>
      <c r="O74" s="56" t="s">
        <v>690</v>
      </c>
      <c r="P74" s="57" t="s">
        <v>744</v>
      </c>
      <c r="Q74" s="57" t="s">
        <v>744</v>
      </c>
      <c r="R74" s="58"/>
      <c r="S74" s="58"/>
      <c r="T74" s="58"/>
      <c r="U74" s="58"/>
      <c r="V74" s="58"/>
      <c r="W74" s="58"/>
      <c r="X74" s="58"/>
      <c r="Y74" s="58"/>
      <c r="Z74" s="58"/>
    </row>
    <row r="75" ht="15.75" customHeight="1">
      <c r="A75" s="21" t="s">
        <v>360</v>
      </c>
      <c r="B75" s="52" t="s">
        <v>44</v>
      </c>
      <c r="C75" s="53" t="s">
        <v>809</v>
      </c>
      <c r="D75" s="22" t="s">
        <v>185</v>
      </c>
      <c r="E75" s="53" t="s">
        <v>685</v>
      </c>
      <c r="F75" s="22" t="s">
        <v>362</v>
      </c>
      <c r="G75" s="21" t="s">
        <v>91</v>
      </c>
      <c r="H75" s="22" t="s">
        <v>91</v>
      </c>
      <c r="I75" s="22" t="s">
        <v>91</v>
      </c>
      <c r="J75" s="22" t="s">
        <v>85</v>
      </c>
      <c r="K75" s="53" t="s">
        <v>687</v>
      </c>
      <c r="L75" s="22" t="s">
        <v>810</v>
      </c>
      <c r="M75" s="54">
        <v>44040.0</v>
      </c>
      <c r="N75" s="55" t="s">
        <v>692</v>
      </c>
      <c r="O75" s="56" t="s">
        <v>690</v>
      </c>
      <c r="P75" s="57" t="s">
        <v>782</v>
      </c>
      <c r="Q75" s="57" t="s">
        <v>782</v>
      </c>
      <c r="R75" s="58"/>
      <c r="S75" s="58"/>
      <c r="T75" s="58"/>
      <c r="U75" s="58"/>
      <c r="V75" s="58"/>
      <c r="W75" s="58"/>
      <c r="X75" s="58"/>
      <c r="Y75" s="58"/>
      <c r="Z75" s="58"/>
    </row>
    <row r="76" ht="15.75" customHeight="1">
      <c r="A76" s="21" t="s">
        <v>811</v>
      </c>
      <c r="B76" s="52" t="s">
        <v>197</v>
      </c>
      <c r="C76" s="53" t="s">
        <v>812</v>
      </c>
      <c r="D76" s="22" t="s">
        <v>185</v>
      </c>
      <c r="E76" s="52" t="s">
        <v>768</v>
      </c>
      <c r="F76" s="21">
        <v>100.0</v>
      </c>
      <c r="G76" s="53" t="s">
        <v>723</v>
      </c>
      <c r="H76" s="21" t="s">
        <v>91</v>
      </c>
      <c r="I76" s="53" t="s">
        <v>723</v>
      </c>
      <c r="J76" s="21" t="s">
        <v>85</v>
      </c>
      <c r="K76" s="52" t="s">
        <v>687</v>
      </c>
      <c r="L76" s="21" t="s">
        <v>760</v>
      </c>
      <c r="M76" s="54">
        <v>44041.0</v>
      </c>
      <c r="N76" s="55" t="s">
        <v>735</v>
      </c>
      <c r="O76" s="64" t="s">
        <v>736</v>
      </c>
      <c r="P76" s="57" t="s">
        <v>761</v>
      </c>
      <c r="Q76" s="57" t="s">
        <v>761</v>
      </c>
      <c r="R76" s="58"/>
      <c r="S76" s="58"/>
      <c r="T76" s="58"/>
      <c r="U76" s="58"/>
      <c r="V76" s="58"/>
      <c r="W76" s="58"/>
      <c r="X76" s="58"/>
      <c r="Y76" s="58"/>
      <c r="Z76" s="58"/>
    </row>
    <row r="77" ht="15.75" customHeight="1">
      <c r="A77" s="21" t="s">
        <v>813</v>
      </c>
      <c r="B77" s="52" t="s">
        <v>197</v>
      </c>
      <c r="C77" s="53" t="s">
        <v>814</v>
      </c>
      <c r="D77" s="22" t="s">
        <v>185</v>
      </c>
      <c r="E77" s="53" t="s">
        <v>768</v>
      </c>
      <c r="F77" s="22">
        <v>100.0</v>
      </c>
      <c r="G77" s="53" t="s">
        <v>723</v>
      </c>
      <c r="H77" s="22" t="s">
        <v>91</v>
      </c>
      <c r="I77" s="53" t="s">
        <v>723</v>
      </c>
      <c r="J77" s="22" t="s">
        <v>85</v>
      </c>
      <c r="K77" s="52" t="s">
        <v>687</v>
      </c>
      <c r="L77" s="21" t="s">
        <v>760</v>
      </c>
      <c r="M77" s="54">
        <v>44041.0</v>
      </c>
      <c r="N77" s="55" t="s">
        <v>735</v>
      </c>
      <c r="O77" s="64" t="s">
        <v>736</v>
      </c>
      <c r="P77" s="57" t="s">
        <v>761</v>
      </c>
      <c r="Q77" s="57" t="s">
        <v>761</v>
      </c>
      <c r="R77" s="58"/>
      <c r="S77" s="58"/>
      <c r="T77" s="58"/>
      <c r="U77" s="58"/>
      <c r="V77" s="58"/>
      <c r="W77" s="58"/>
      <c r="X77" s="58"/>
      <c r="Y77" s="58"/>
      <c r="Z77" s="58"/>
    </row>
    <row r="78" ht="15.75" customHeight="1">
      <c r="A78" s="21" t="s">
        <v>815</v>
      </c>
      <c r="B78" s="52" t="s">
        <v>197</v>
      </c>
      <c r="C78" s="53" t="s">
        <v>816</v>
      </c>
      <c r="D78" s="22" t="s">
        <v>185</v>
      </c>
      <c r="E78" s="53" t="s">
        <v>768</v>
      </c>
      <c r="F78" s="22">
        <v>15.0</v>
      </c>
      <c r="G78" s="53" t="s">
        <v>723</v>
      </c>
      <c r="H78" s="21" t="s">
        <v>91</v>
      </c>
      <c r="I78" s="53" t="s">
        <v>723</v>
      </c>
      <c r="J78" s="22" t="s">
        <v>85</v>
      </c>
      <c r="K78" s="52" t="s">
        <v>687</v>
      </c>
      <c r="L78" s="21" t="s">
        <v>760</v>
      </c>
      <c r="M78" s="54">
        <v>44041.0</v>
      </c>
      <c r="N78" s="55" t="s">
        <v>735</v>
      </c>
      <c r="O78" s="64" t="s">
        <v>736</v>
      </c>
      <c r="P78" s="57" t="s">
        <v>761</v>
      </c>
      <c r="Q78" s="57" t="s">
        <v>761</v>
      </c>
      <c r="R78" s="58"/>
      <c r="S78" s="58"/>
      <c r="T78" s="58"/>
      <c r="U78" s="58"/>
      <c r="V78" s="58"/>
      <c r="W78" s="58"/>
      <c r="X78" s="58"/>
      <c r="Y78" s="58"/>
      <c r="Z78" s="58"/>
    </row>
    <row r="79" ht="15.75" customHeight="1">
      <c r="A79" s="21" t="s">
        <v>817</v>
      </c>
      <c r="B79" s="52" t="s">
        <v>197</v>
      </c>
      <c r="C79" s="53" t="s">
        <v>818</v>
      </c>
      <c r="D79" s="22" t="s">
        <v>185</v>
      </c>
      <c r="E79" s="53" t="s">
        <v>768</v>
      </c>
      <c r="F79" s="22">
        <v>25.0</v>
      </c>
      <c r="G79" s="53" t="s">
        <v>723</v>
      </c>
      <c r="H79" s="22" t="s">
        <v>91</v>
      </c>
      <c r="I79" s="53" t="s">
        <v>723</v>
      </c>
      <c r="J79" s="22" t="s">
        <v>85</v>
      </c>
      <c r="K79" s="52" t="s">
        <v>687</v>
      </c>
      <c r="L79" s="21" t="s">
        <v>760</v>
      </c>
      <c r="M79" s="54">
        <v>44041.0</v>
      </c>
      <c r="N79" s="55" t="s">
        <v>735</v>
      </c>
      <c r="O79" s="64" t="s">
        <v>736</v>
      </c>
      <c r="P79" s="57" t="s">
        <v>761</v>
      </c>
      <c r="Q79" s="57" t="s">
        <v>761</v>
      </c>
      <c r="R79" s="58"/>
      <c r="S79" s="58"/>
      <c r="T79" s="58"/>
      <c r="U79" s="58"/>
      <c r="V79" s="58"/>
      <c r="W79" s="58"/>
      <c r="X79" s="58"/>
      <c r="Y79" s="58"/>
      <c r="Z79" s="58"/>
    </row>
    <row r="80" ht="15.75" customHeight="1">
      <c r="A80" s="21" t="s">
        <v>819</v>
      </c>
      <c r="B80" s="52" t="s">
        <v>197</v>
      </c>
      <c r="C80" s="53" t="s">
        <v>820</v>
      </c>
      <c r="D80" s="22" t="s">
        <v>185</v>
      </c>
      <c r="E80" s="53" t="s">
        <v>768</v>
      </c>
      <c r="F80" s="22">
        <v>289425.0</v>
      </c>
      <c r="G80" s="53" t="s">
        <v>723</v>
      </c>
      <c r="H80" s="22" t="s">
        <v>91</v>
      </c>
      <c r="I80" s="53" t="s">
        <v>723</v>
      </c>
      <c r="J80" s="22" t="s">
        <v>85</v>
      </c>
      <c r="K80" s="52" t="s">
        <v>687</v>
      </c>
      <c r="L80" s="21" t="s">
        <v>760</v>
      </c>
      <c r="M80" s="54">
        <v>44041.0</v>
      </c>
      <c r="N80" s="55" t="s">
        <v>735</v>
      </c>
      <c r="O80" s="64" t="s">
        <v>736</v>
      </c>
      <c r="P80" s="57" t="s">
        <v>761</v>
      </c>
      <c r="Q80" s="57" t="s">
        <v>761</v>
      </c>
      <c r="R80" s="58"/>
      <c r="S80" s="58"/>
      <c r="T80" s="58"/>
      <c r="U80" s="58"/>
      <c r="V80" s="58"/>
      <c r="W80" s="58"/>
      <c r="X80" s="58"/>
      <c r="Y80" s="58"/>
      <c r="Z80" s="58"/>
    </row>
    <row r="81" ht="15.75" customHeight="1">
      <c r="A81" s="21" t="s">
        <v>821</v>
      </c>
      <c r="B81" s="52" t="s">
        <v>197</v>
      </c>
      <c r="C81" s="53" t="s">
        <v>371</v>
      </c>
      <c r="D81" s="22" t="s">
        <v>185</v>
      </c>
      <c r="E81" s="53" t="s">
        <v>768</v>
      </c>
      <c r="F81" s="22">
        <v>370.0</v>
      </c>
      <c r="G81" s="53" t="s">
        <v>723</v>
      </c>
      <c r="H81" s="22" t="s">
        <v>91</v>
      </c>
      <c r="I81" s="53" t="s">
        <v>723</v>
      </c>
      <c r="J81" s="22" t="s">
        <v>85</v>
      </c>
      <c r="K81" s="52" t="s">
        <v>687</v>
      </c>
      <c r="L81" s="21" t="s">
        <v>760</v>
      </c>
      <c r="M81" s="54">
        <v>44041.0</v>
      </c>
      <c r="N81" s="55" t="s">
        <v>735</v>
      </c>
      <c r="O81" s="64" t="s">
        <v>736</v>
      </c>
      <c r="P81" s="57" t="s">
        <v>761</v>
      </c>
      <c r="Q81" s="57" t="s">
        <v>761</v>
      </c>
      <c r="R81" s="58"/>
      <c r="S81" s="58"/>
      <c r="T81" s="58"/>
      <c r="U81" s="58"/>
      <c r="V81" s="58"/>
      <c r="W81" s="58"/>
      <c r="X81" s="58"/>
      <c r="Y81" s="58"/>
      <c r="Z81" s="58"/>
    </row>
    <row r="82" ht="15.75" customHeight="1">
      <c r="A82" s="23" t="s">
        <v>151</v>
      </c>
      <c r="B82" s="52" t="s">
        <v>44</v>
      </c>
      <c r="C82" s="53" t="s">
        <v>822</v>
      </c>
      <c r="D82" s="22" t="s">
        <v>135</v>
      </c>
      <c r="E82" s="53" t="s">
        <v>685</v>
      </c>
      <c r="F82" s="22" t="s">
        <v>154</v>
      </c>
      <c r="G82" s="21" t="s">
        <v>136</v>
      </c>
      <c r="H82" s="22" t="s">
        <v>91</v>
      </c>
      <c r="I82" s="22" t="s">
        <v>91</v>
      </c>
      <c r="J82" s="28">
        <v>1.0</v>
      </c>
      <c r="K82" s="52" t="s">
        <v>749</v>
      </c>
      <c r="L82" s="21" t="s">
        <v>763</v>
      </c>
      <c r="M82" s="54">
        <v>43983.0</v>
      </c>
      <c r="N82" s="55" t="s">
        <v>692</v>
      </c>
      <c r="O82" s="56" t="s">
        <v>690</v>
      </c>
      <c r="P82" s="57" t="s">
        <v>782</v>
      </c>
      <c r="Q82" s="57" t="s">
        <v>782</v>
      </c>
      <c r="R82" s="58"/>
      <c r="S82" s="58"/>
      <c r="T82" s="58"/>
      <c r="U82" s="58"/>
      <c r="V82" s="58"/>
      <c r="W82" s="58"/>
      <c r="X82" s="58"/>
      <c r="Y82" s="58"/>
      <c r="Z82" s="58"/>
    </row>
    <row r="83" ht="15.75" customHeight="1">
      <c r="A83" s="23" t="s">
        <v>155</v>
      </c>
      <c r="B83" s="52" t="s">
        <v>44</v>
      </c>
      <c r="C83" s="53" t="s">
        <v>823</v>
      </c>
      <c r="D83" s="22" t="s">
        <v>135</v>
      </c>
      <c r="E83" s="53" t="s">
        <v>685</v>
      </c>
      <c r="F83" s="22" t="s">
        <v>157</v>
      </c>
      <c r="G83" s="21" t="s">
        <v>136</v>
      </c>
      <c r="H83" s="22" t="s">
        <v>91</v>
      </c>
      <c r="I83" s="22" t="s">
        <v>91</v>
      </c>
      <c r="J83" s="28">
        <v>1.0</v>
      </c>
      <c r="K83" s="52" t="s">
        <v>749</v>
      </c>
      <c r="L83" s="21" t="s">
        <v>763</v>
      </c>
      <c r="M83" s="54">
        <v>43983.0</v>
      </c>
      <c r="N83" s="55" t="s">
        <v>692</v>
      </c>
      <c r="O83" s="56" t="s">
        <v>690</v>
      </c>
      <c r="P83" s="57" t="s">
        <v>782</v>
      </c>
      <c r="Q83" s="57" t="s">
        <v>782</v>
      </c>
      <c r="R83" s="58"/>
      <c r="S83" s="58"/>
      <c r="T83" s="58"/>
      <c r="U83" s="58"/>
      <c r="V83" s="58"/>
      <c r="W83" s="58"/>
      <c r="X83" s="58"/>
      <c r="Y83" s="58"/>
      <c r="Z83" s="58"/>
    </row>
    <row r="84" ht="15.75" customHeight="1">
      <c r="A84" s="23" t="s">
        <v>158</v>
      </c>
      <c r="B84" s="52" t="s">
        <v>44</v>
      </c>
      <c r="C84" s="53" t="s">
        <v>824</v>
      </c>
      <c r="D84" s="22" t="s">
        <v>135</v>
      </c>
      <c r="E84" s="53" t="s">
        <v>685</v>
      </c>
      <c r="F84" s="22" t="s">
        <v>160</v>
      </c>
      <c r="G84" s="21" t="s">
        <v>136</v>
      </c>
      <c r="H84" s="22" t="s">
        <v>91</v>
      </c>
      <c r="I84" s="22" t="s">
        <v>91</v>
      </c>
      <c r="J84" s="28">
        <v>1.0</v>
      </c>
      <c r="K84" s="52" t="s">
        <v>749</v>
      </c>
      <c r="L84" s="21" t="s">
        <v>763</v>
      </c>
      <c r="M84" s="54">
        <v>43983.0</v>
      </c>
      <c r="N84" s="55" t="s">
        <v>692</v>
      </c>
      <c r="O84" s="56" t="s">
        <v>690</v>
      </c>
      <c r="P84" s="57" t="s">
        <v>782</v>
      </c>
      <c r="Q84" s="57" t="s">
        <v>782</v>
      </c>
      <c r="R84" s="58"/>
      <c r="S84" s="58"/>
      <c r="T84" s="58"/>
      <c r="U84" s="58"/>
      <c r="V84" s="58"/>
      <c r="W84" s="58"/>
      <c r="X84" s="58"/>
      <c r="Y84" s="58"/>
      <c r="Z84" s="58"/>
    </row>
    <row r="85" ht="15.75" customHeight="1">
      <c r="A85" s="23" t="s">
        <v>161</v>
      </c>
      <c r="B85" s="52" t="s">
        <v>44</v>
      </c>
      <c r="C85" s="53" t="s">
        <v>825</v>
      </c>
      <c r="D85" s="22" t="s">
        <v>135</v>
      </c>
      <c r="E85" s="53" t="s">
        <v>685</v>
      </c>
      <c r="F85" s="22" t="s">
        <v>163</v>
      </c>
      <c r="G85" s="21" t="s">
        <v>136</v>
      </c>
      <c r="H85" s="22" t="s">
        <v>91</v>
      </c>
      <c r="I85" s="22" t="s">
        <v>91</v>
      </c>
      <c r="J85" s="28">
        <v>1.0</v>
      </c>
      <c r="K85" s="52" t="s">
        <v>749</v>
      </c>
      <c r="L85" s="21" t="s">
        <v>763</v>
      </c>
      <c r="M85" s="54">
        <v>43983.0</v>
      </c>
      <c r="N85" s="55" t="s">
        <v>692</v>
      </c>
      <c r="O85" s="56" t="s">
        <v>690</v>
      </c>
      <c r="P85" s="57" t="s">
        <v>782</v>
      </c>
      <c r="Q85" s="57" t="s">
        <v>782</v>
      </c>
      <c r="R85" s="58"/>
      <c r="S85" s="58"/>
      <c r="T85" s="58"/>
      <c r="U85" s="58"/>
      <c r="V85" s="58"/>
      <c r="W85" s="58"/>
      <c r="X85" s="58"/>
      <c r="Y85" s="58"/>
      <c r="Z85" s="58"/>
    </row>
    <row r="86" ht="15.75" customHeight="1">
      <c r="A86" s="23" t="s">
        <v>164</v>
      </c>
      <c r="B86" s="52" t="s">
        <v>44</v>
      </c>
      <c r="C86" s="53" t="s">
        <v>826</v>
      </c>
      <c r="D86" s="22" t="s">
        <v>135</v>
      </c>
      <c r="E86" s="53" t="s">
        <v>685</v>
      </c>
      <c r="F86" s="22" t="s">
        <v>154</v>
      </c>
      <c r="G86" s="21" t="s">
        <v>136</v>
      </c>
      <c r="H86" s="22" t="s">
        <v>91</v>
      </c>
      <c r="I86" s="22" t="s">
        <v>91</v>
      </c>
      <c r="J86" s="28">
        <v>0.6765</v>
      </c>
      <c r="K86" s="52" t="s">
        <v>749</v>
      </c>
      <c r="L86" s="21" t="s">
        <v>763</v>
      </c>
      <c r="M86" s="54">
        <v>43983.0</v>
      </c>
      <c r="N86" s="55" t="s">
        <v>692</v>
      </c>
      <c r="O86" s="56" t="s">
        <v>690</v>
      </c>
      <c r="P86" s="57" t="s">
        <v>782</v>
      </c>
      <c r="Q86" s="57" t="s">
        <v>782</v>
      </c>
      <c r="R86" s="58"/>
      <c r="S86" s="58"/>
      <c r="T86" s="58"/>
      <c r="U86" s="58"/>
      <c r="V86" s="58"/>
      <c r="W86" s="58"/>
      <c r="X86" s="58"/>
      <c r="Y86" s="58"/>
      <c r="Z86" s="58"/>
    </row>
    <row r="87" ht="15.75" customHeight="1">
      <c r="A87" s="23" t="s">
        <v>166</v>
      </c>
      <c r="B87" s="52" t="s">
        <v>44</v>
      </c>
      <c r="C87" s="53" t="s">
        <v>827</v>
      </c>
      <c r="D87" s="22" t="s">
        <v>135</v>
      </c>
      <c r="E87" s="53" t="s">
        <v>685</v>
      </c>
      <c r="F87" s="22" t="s">
        <v>157</v>
      </c>
      <c r="G87" s="21" t="s">
        <v>136</v>
      </c>
      <c r="H87" s="22" t="s">
        <v>91</v>
      </c>
      <c r="I87" s="22" t="s">
        <v>91</v>
      </c>
      <c r="J87" s="28">
        <v>0.6765</v>
      </c>
      <c r="K87" s="52" t="s">
        <v>749</v>
      </c>
      <c r="L87" s="21" t="s">
        <v>763</v>
      </c>
      <c r="M87" s="54">
        <v>43983.0</v>
      </c>
      <c r="N87" s="55" t="s">
        <v>692</v>
      </c>
      <c r="O87" s="56" t="s">
        <v>690</v>
      </c>
      <c r="P87" s="57" t="s">
        <v>782</v>
      </c>
      <c r="Q87" s="57" t="s">
        <v>782</v>
      </c>
      <c r="R87" s="58"/>
      <c r="S87" s="58"/>
      <c r="T87" s="58"/>
      <c r="U87" s="58"/>
      <c r="V87" s="58"/>
      <c r="W87" s="58"/>
      <c r="X87" s="58"/>
      <c r="Y87" s="58"/>
      <c r="Z87" s="58"/>
    </row>
    <row r="88" ht="15.75" customHeight="1">
      <c r="A88" s="23" t="s">
        <v>168</v>
      </c>
      <c r="B88" s="52" t="s">
        <v>44</v>
      </c>
      <c r="C88" s="53" t="s">
        <v>828</v>
      </c>
      <c r="D88" s="22" t="s">
        <v>135</v>
      </c>
      <c r="E88" s="53" t="s">
        <v>685</v>
      </c>
      <c r="F88" s="22" t="s">
        <v>160</v>
      </c>
      <c r="G88" s="21" t="s">
        <v>136</v>
      </c>
      <c r="H88" s="22" t="s">
        <v>91</v>
      </c>
      <c r="I88" s="22" t="s">
        <v>91</v>
      </c>
      <c r="J88" s="28">
        <v>0.6765</v>
      </c>
      <c r="K88" s="52" t="s">
        <v>749</v>
      </c>
      <c r="L88" s="21" t="s">
        <v>763</v>
      </c>
      <c r="M88" s="54">
        <v>43983.0</v>
      </c>
      <c r="N88" s="55" t="s">
        <v>692</v>
      </c>
      <c r="O88" s="56" t="s">
        <v>690</v>
      </c>
      <c r="P88" s="57" t="s">
        <v>782</v>
      </c>
      <c r="Q88" s="57" t="s">
        <v>782</v>
      </c>
      <c r="R88" s="58"/>
      <c r="S88" s="58"/>
      <c r="T88" s="58"/>
      <c r="U88" s="58"/>
      <c r="V88" s="58"/>
      <c r="W88" s="58"/>
      <c r="X88" s="58"/>
      <c r="Y88" s="58"/>
      <c r="Z88" s="58"/>
    </row>
    <row r="89" ht="15.75" customHeight="1">
      <c r="A89" s="23" t="s">
        <v>170</v>
      </c>
      <c r="B89" s="52" t="s">
        <v>44</v>
      </c>
      <c r="C89" s="53" t="s">
        <v>829</v>
      </c>
      <c r="D89" s="22" t="s">
        <v>135</v>
      </c>
      <c r="E89" s="53" t="s">
        <v>685</v>
      </c>
      <c r="F89" s="22" t="s">
        <v>163</v>
      </c>
      <c r="G89" s="21" t="s">
        <v>136</v>
      </c>
      <c r="H89" s="22" t="s">
        <v>91</v>
      </c>
      <c r="I89" s="22" t="s">
        <v>91</v>
      </c>
      <c r="J89" s="28">
        <v>0.6765</v>
      </c>
      <c r="K89" s="52" t="s">
        <v>749</v>
      </c>
      <c r="L89" s="21" t="s">
        <v>763</v>
      </c>
      <c r="M89" s="54">
        <v>43983.0</v>
      </c>
      <c r="N89" s="55" t="s">
        <v>692</v>
      </c>
      <c r="O89" s="56" t="s">
        <v>690</v>
      </c>
      <c r="P89" s="57" t="s">
        <v>782</v>
      </c>
      <c r="Q89" s="57" t="s">
        <v>782</v>
      </c>
      <c r="R89" s="58"/>
      <c r="S89" s="58"/>
      <c r="T89" s="58"/>
      <c r="U89" s="58"/>
      <c r="V89" s="58"/>
      <c r="W89" s="58"/>
      <c r="X89" s="58"/>
      <c r="Y89" s="58"/>
      <c r="Z89" s="58"/>
    </row>
    <row r="90" ht="15.75" customHeight="1">
      <c r="A90" s="23" t="s">
        <v>116</v>
      </c>
      <c r="B90" s="52" t="s">
        <v>696</v>
      </c>
      <c r="C90" s="53" t="s">
        <v>830</v>
      </c>
      <c r="D90" s="22" t="s">
        <v>185</v>
      </c>
      <c r="E90" s="53" t="s">
        <v>694</v>
      </c>
      <c r="F90" s="22">
        <v>12.0</v>
      </c>
      <c r="G90" s="21" t="s">
        <v>86</v>
      </c>
      <c r="H90" s="22" t="s">
        <v>91</v>
      </c>
      <c r="I90" s="22" t="s">
        <v>91</v>
      </c>
      <c r="J90" s="22" t="s">
        <v>85</v>
      </c>
      <c r="K90" s="53" t="s">
        <v>687</v>
      </c>
      <c r="L90" s="22" t="s">
        <v>688</v>
      </c>
      <c r="M90" s="54">
        <v>44042.0</v>
      </c>
      <c r="N90" s="55" t="s">
        <v>692</v>
      </c>
      <c r="O90" s="56" t="s">
        <v>690</v>
      </c>
      <c r="P90" s="57" t="s">
        <v>691</v>
      </c>
      <c r="Q90" s="57" t="s">
        <v>691</v>
      </c>
      <c r="R90" s="58"/>
      <c r="S90" s="58"/>
      <c r="T90" s="58"/>
      <c r="U90" s="58"/>
      <c r="V90" s="58"/>
      <c r="W90" s="58"/>
      <c r="X90" s="58"/>
      <c r="Y90" s="58"/>
      <c r="Z90" s="58"/>
    </row>
    <row r="91" ht="15.75" customHeight="1">
      <c r="A91" s="23" t="s">
        <v>261</v>
      </c>
      <c r="B91" s="52" t="s">
        <v>197</v>
      </c>
      <c r="C91" s="53" t="s">
        <v>831</v>
      </c>
      <c r="D91" s="22" t="s">
        <v>185</v>
      </c>
      <c r="E91" s="62" t="s">
        <v>720</v>
      </c>
      <c r="F91" s="63" t="b">
        <v>1</v>
      </c>
      <c r="G91" s="52" t="s">
        <v>686</v>
      </c>
      <c r="H91" s="22" t="s">
        <v>91</v>
      </c>
      <c r="I91" s="22" t="s">
        <v>91</v>
      </c>
      <c r="J91" s="22" t="s">
        <v>85</v>
      </c>
      <c r="K91" s="53" t="s">
        <v>687</v>
      </c>
      <c r="L91" s="22" t="s">
        <v>688</v>
      </c>
      <c r="M91" s="54">
        <v>44042.0</v>
      </c>
      <c r="N91" s="55" t="s">
        <v>701</v>
      </c>
      <c r="O91" s="64"/>
      <c r="P91" s="57" t="s">
        <v>705</v>
      </c>
      <c r="Q91" s="57" t="s">
        <v>705</v>
      </c>
      <c r="R91" s="58"/>
      <c r="S91" s="58"/>
      <c r="T91" s="58"/>
      <c r="U91" s="58"/>
      <c r="V91" s="58"/>
      <c r="W91" s="58"/>
      <c r="X91" s="58"/>
      <c r="Y91" s="58"/>
      <c r="Z91" s="58"/>
    </row>
    <row r="92" ht="15.75" customHeight="1">
      <c r="A92" s="23" t="s">
        <v>363</v>
      </c>
      <c r="B92" s="52" t="s">
        <v>197</v>
      </c>
      <c r="C92" s="62" t="s">
        <v>832</v>
      </c>
      <c r="D92" s="65" t="s">
        <v>185</v>
      </c>
      <c r="E92" s="62" t="s">
        <v>720</v>
      </c>
      <c r="F92" s="63" t="b">
        <v>1</v>
      </c>
      <c r="G92" s="52" t="s">
        <v>686</v>
      </c>
      <c r="H92" s="65" t="s">
        <v>91</v>
      </c>
      <c r="I92" s="65" t="s">
        <v>91</v>
      </c>
      <c r="J92" s="65" t="s">
        <v>85</v>
      </c>
      <c r="K92" s="53" t="s">
        <v>687</v>
      </c>
      <c r="L92" s="22" t="s">
        <v>688</v>
      </c>
      <c r="M92" s="54">
        <v>44042.0</v>
      </c>
      <c r="N92" s="55" t="s">
        <v>741</v>
      </c>
      <c r="O92" s="64"/>
      <c r="P92" s="57" t="s">
        <v>702</v>
      </c>
      <c r="Q92" s="57" t="s">
        <v>702</v>
      </c>
      <c r="R92" s="58"/>
      <c r="S92" s="58"/>
      <c r="T92" s="58"/>
      <c r="U92" s="58"/>
      <c r="V92" s="58"/>
      <c r="W92" s="58"/>
      <c r="X92" s="58"/>
      <c r="Y92" s="58"/>
      <c r="Z92" s="58"/>
    </row>
    <row r="93" ht="15.75" customHeight="1">
      <c r="A93" s="23" t="s">
        <v>833</v>
      </c>
      <c r="B93" s="52" t="s">
        <v>44</v>
      </c>
      <c r="C93" s="53" t="s">
        <v>834</v>
      </c>
      <c r="D93" s="22" t="s">
        <v>83</v>
      </c>
      <c r="E93" s="68" t="s">
        <v>685</v>
      </c>
      <c r="F93" s="69" t="s">
        <v>346</v>
      </c>
      <c r="G93" s="61" t="s">
        <v>686</v>
      </c>
      <c r="H93" s="22" t="s">
        <v>91</v>
      </c>
      <c r="I93" s="22" t="s">
        <v>91</v>
      </c>
      <c r="J93" s="22" t="s">
        <v>85</v>
      </c>
      <c r="K93" s="53" t="s">
        <v>687</v>
      </c>
      <c r="L93" s="22" t="s">
        <v>688</v>
      </c>
      <c r="M93" s="54">
        <v>44041.0</v>
      </c>
      <c r="N93" s="55" t="s">
        <v>701</v>
      </c>
      <c r="O93" s="64" t="s">
        <v>732</v>
      </c>
      <c r="P93" s="57" t="s">
        <v>691</v>
      </c>
      <c r="Q93" s="57" t="s">
        <v>691</v>
      </c>
      <c r="R93" s="58"/>
      <c r="S93" s="58"/>
      <c r="T93" s="58"/>
      <c r="U93" s="58"/>
      <c r="V93" s="58"/>
      <c r="W93" s="58"/>
      <c r="X93" s="58"/>
      <c r="Y93" s="58"/>
      <c r="Z93" s="58"/>
    </row>
    <row r="94" ht="15.75" customHeight="1">
      <c r="A94" s="23" t="s">
        <v>347</v>
      </c>
      <c r="B94" s="52" t="s">
        <v>44</v>
      </c>
      <c r="C94" s="53" t="s">
        <v>348</v>
      </c>
      <c r="D94" s="22" t="s">
        <v>83</v>
      </c>
      <c r="E94" s="53" t="s">
        <v>685</v>
      </c>
      <c r="F94" s="22" t="s">
        <v>349</v>
      </c>
      <c r="G94" s="61" t="s">
        <v>835</v>
      </c>
      <c r="H94" s="22" t="s">
        <v>91</v>
      </c>
      <c r="I94" s="22" t="s">
        <v>91</v>
      </c>
      <c r="J94" s="22" t="s">
        <v>85</v>
      </c>
      <c r="K94" s="53" t="s">
        <v>687</v>
      </c>
      <c r="L94" s="22" t="s">
        <v>688</v>
      </c>
      <c r="M94" s="54">
        <v>44042.0</v>
      </c>
      <c r="N94" s="55" t="s">
        <v>701</v>
      </c>
      <c r="O94" s="56" t="s">
        <v>690</v>
      </c>
      <c r="P94" s="57" t="s">
        <v>691</v>
      </c>
      <c r="Q94" s="57" t="s">
        <v>691</v>
      </c>
      <c r="R94" s="58"/>
      <c r="S94" s="58"/>
      <c r="T94" s="58"/>
      <c r="U94" s="58"/>
      <c r="V94" s="58"/>
      <c r="W94" s="58"/>
      <c r="X94" s="58"/>
      <c r="Y94" s="58"/>
      <c r="Z94" s="58"/>
    </row>
    <row r="95" ht="15.75" customHeight="1">
      <c r="A95" s="23" t="s">
        <v>149</v>
      </c>
      <c r="B95" s="52" t="s">
        <v>44</v>
      </c>
      <c r="C95" s="53" t="s">
        <v>150</v>
      </c>
      <c r="D95" s="22" t="s">
        <v>83</v>
      </c>
      <c r="E95" s="70" t="s">
        <v>698</v>
      </c>
      <c r="F95" s="71">
        <v>29250.0</v>
      </c>
      <c r="G95" s="61" t="s">
        <v>835</v>
      </c>
      <c r="H95" s="22" t="s">
        <v>91</v>
      </c>
      <c r="I95" s="22" t="s">
        <v>91</v>
      </c>
      <c r="J95" s="22" t="s">
        <v>85</v>
      </c>
      <c r="K95" s="53" t="s">
        <v>687</v>
      </c>
      <c r="L95" s="22" t="s">
        <v>688</v>
      </c>
      <c r="M95" s="54">
        <v>44042.0</v>
      </c>
      <c r="N95" s="55" t="s">
        <v>701</v>
      </c>
      <c r="O95" s="56" t="s">
        <v>690</v>
      </c>
      <c r="P95" s="57" t="s">
        <v>691</v>
      </c>
      <c r="Q95" s="57" t="s">
        <v>691</v>
      </c>
      <c r="R95" s="58"/>
      <c r="S95" s="58"/>
      <c r="T95" s="58"/>
      <c r="U95" s="58"/>
      <c r="V95" s="58"/>
      <c r="W95" s="58"/>
      <c r="X95" s="58"/>
      <c r="Y95" s="58"/>
      <c r="Z95" s="58"/>
    </row>
    <row r="96" ht="15.75" customHeight="1">
      <c r="A96" s="23" t="s">
        <v>92</v>
      </c>
      <c r="B96" s="52" t="s">
        <v>44</v>
      </c>
      <c r="C96" s="53" t="s">
        <v>836</v>
      </c>
      <c r="D96" s="22" t="s">
        <v>83</v>
      </c>
      <c r="E96" s="53" t="s">
        <v>685</v>
      </c>
      <c r="F96" s="22">
        <v>1024.0</v>
      </c>
      <c r="G96" s="52" t="s">
        <v>686</v>
      </c>
      <c r="H96" s="22" t="s">
        <v>91</v>
      </c>
      <c r="I96" s="22" t="s">
        <v>91</v>
      </c>
      <c r="J96" s="22" t="s">
        <v>85</v>
      </c>
      <c r="K96" s="53" t="s">
        <v>687</v>
      </c>
      <c r="L96" s="22" t="s">
        <v>688</v>
      </c>
      <c r="M96" s="54">
        <v>44042.0</v>
      </c>
      <c r="N96" s="55" t="s">
        <v>692</v>
      </c>
      <c r="O96" s="56" t="s">
        <v>690</v>
      </c>
      <c r="P96" s="57" t="s">
        <v>691</v>
      </c>
      <c r="Q96" s="57" t="s">
        <v>691</v>
      </c>
      <c r="R96" s="58"/>
      <c r="S96" s="58"/>
      <c r="T96" s="58"/>
      <c r="U96" s="58"/>
      <c r="V96" s="58"/>
      <c r="W96" s="58"/>
      <c r="X96" s="58"/>
      <c r="Y96" s="58"/>
      <c r="Z96" s="58"/>
    </row>
    <row r="97" ht="15.75" customHeight="1">
      <c r="A97" s="23" t="s">
        <v>125</v>
      </c>
      <c r="B97" s="52" t="s">
        <v>44</v>
      </c>
      <c r="C97" s="53" t="s">
        <v>128</v>
      </c>
      <c r="D97" s="22" t="s">
        <v>83</v>
      </c>
      <c r="E97" s="53" t="s">
        <v>685</v>
      </c>
      <c r="F97" s="22" t="s">
        <v>129</v>
      </c>
      <c r="G97" s="61" t="s">
        <v>835</v>
      </c>
      <c r="H97" s="22" t="s">
        <v>91</v>
      </c>
      <c r="I97" s="22" t="s">
        <v>91</v>
      </c>
      <c r="J97" s="22" t="s">
        <v>85</v>
      </c>
      <c r="K97" s="53" t="s">
        <v>687</v>
      </c>
      <c r="L97" s="22" t="s">
        <v>688</v>
      </c>
      <c r="M97" s="54">
        <v>44042.0</v>
      </c>
      <c r="N97" s="55" t="s">
        <v>701</v>
      </c>
      <c r="O97" s="56" t="s">
        <v>690</v>
      </c>
      <c r="P97" s="57" t="s">
        <v>691</v>
      </c>
      <c r="Q97" s="57" t="s">
        <v>691</v>
      </c>
      <c r="R97" s="58"/>
      <c r="S97" s="58"/>
      <c r="T97" s="58"/>
      <c r="U97" s="58"/>
      <c r="V97" s="58"/>
      <c r="W97" s="58"/>
      <c r="X97" s="58"/>
      <c r="Y97" s="58"/>
      <c r="Z97" s="58"/>
    </row>
    <row r="98" ht="15.75" customHeight="1">
      <c r="A98" s="23" t="s">
        <v>130</v>
      </c>
      <c r="B98" s="52" t="s">
        <v>44</v>
      </c>
      <c r="C98" s="53" t="s">
        <v>131</v>
      </c>
      <c r="D98" s="22" t="s">
        <v>83</v>
      </c>
      <c r="E98" s="53" t="s">
        <v>685</v>
      </c>
      <c r="F98" s="22" t="s">
        <v>132</v>
      </c>
      <c r="G98" s="61" t="s">
        <v>835</v>
      </c>
      <c r="H98" s="22" t="s">
        <v>91</v>
      </c>
      <c r="I98" s="22" t="s">
        <v>91</v>
      </c>
      <c r="J98" s="22" t="s">
        <v>85</v>
      </c>
      <c r="K98" s="53" t="s">
        <v>687</v>
      </c>
      <c r="L98" s="22" t="s">
        <v>688</v>
      </c>
      <c r="M98" s="54">
        <v>44042.0</v>
      </c>
      <c r="N98" s="55" t="s">
        <v>701</v>
      </c>
      <c r="O98" s="56" t="s">
        <v>690</v>
      </c>
      <c r="P98" s="57" t="s">
        <v>691</v>
      </c>
      <c r="Q98" s="57" t="s">
        <v>691</v>
      </c>
      <c r="R98" s="58"/>
      <c r="S98" s="58"/>
      <c r="T98" s="58"/>
      <c r="U98" s="58"/>
      <c r="V98" s="58"/>
      <c r="W98" s="58"/>
      <c r="X98" s="58"/>
      <c r="Y98" s="58"/>
      <c r="Z98" s="58"/>
    </row>
    <row r="99" ht="15.75" customHeight="1">
      <c r="A99" s="23" t="s">
        <v>143</v>
      </c>
      <c r="B99" s="52" t="s">
        <v>44</v>
      </c>
      <c r="C99" s="53" t="s">
        <v>144</v>
      </c>
      <c r="D99" s="22" t="s">
        <v>83</v>
      </c>
      <c r="E99" s="53" t="s">
        <v>685</v>
      </c>
      <c r="F99" s="22" t="s">
        <v>145</v>
      </c>
      <c r="G99" s="61" t="s">
        <v>835</v>
      </c>
      <c r="H99" s="22" t="s">
        <v>91</v>
      </c>
      <c r="I99" s="22" t="s">
        <v>91</v>
      </c>
      <c r="J99" s="22" t="s">
        <v>85</v>
      </c>
      <c r="K99" s="53" t="s">
        <v>687</v>
      </c>
      <c r="L99" s="22" t="s">
        <v>688</v>
      </c>
      <c r="M99" s="54">
        <v>44042.0</v>
      </c>
      <c r="N99" s="55" t="s">
        <v>701</v>
      </c>
      <c r="O99" s="56" t="s">
        <v>690</v>
      </c>
      <c r="P99" s="57" t="s">
        <v>691</v>
      </c>
      <c r="Q99" s="57" t="s">
        <v>691</v>
      </c>
      <c r="R99" s="58"/>
      <c r="S99" s="58"/>
      <c r="T99" s="58"/>
      <c r="U99" s="58"/>
      <c r="V99" s="58"/>
      <c r="W99" s="58"/>
      <c r="X99" s="58"/>
      <c r="Y99" s="58"/>
      <c r="Z99" s="58"/>
    </row>
    <row r="100" ht="15.75" customHeight="1">
      <c r="A100" s="23" t="s">
        <v>458</v>
      </c>
      <c r="B100" s="52" t="s">
        <v>197</v>
      </c>
      <c r="C100" s="53" t="s">
        <v>837</v>
      </c>
      <c r="D100" s="22" t="s">
        <v>83</v>
      </c>
      <c r="E100" s="53" t="s">
        <v>685</v>
      </c>
      <c r="F100" s="22" t="s">
        <v>460</v>
      </c>
      <c r="G100" s="61" t="s">
        <v>686</v>
      </c>
      <c r="H100" s="22" t="s">
        <v>91</v>
      </c>
      <c r="I100" s="22" t="s">
        <v>91</v>
      </c>
      <c r="J100" s="21" t="s">
        <v>85</v>
      </c>
      <c r="K100" s="53" t="s">
        <v>687</v>
      </c>
      <c r="L100" s="22" t="s">
        <v>688</v>
      </c>
      <c r="M100" s="54">
        <v>44042.0</v>
      </c>
      <c r="N100" s="55" t="s">
        <v>735</v>
      </c>
      <c r="O100" s="64" t="s">
        <v>736</v>
      </c>
      <c r="P100" s="57" t="s">
        <v>761</v>
      </c>
      <c r="Q100" s="57" t="s">
        <v>761</v>
      </c>
      <c r="R100" s="58"/>
      <c r="S100" s="58"/>
      <c r="T100" s="58"/>
      <c r="U100" s="58"/>
      <c r="V100" s="58"/>
      <c r="W100" s="58"/>
      <c r="X100" s="58"/>
      <c r="Y100" s="58"/>
      <c r="Z100" s="58"/>
    </row>
    <row r="101" ht="15.75" customHeight="1">
      <c r="A101" s="23" t="s">
        <v>258</v>
      </c>
      <c r="B101" s="52" t="s">
        <v>197</v>
      </c>
      <c r="C101" s="53" t="s">
        <v>838</v>
      </c>
      <c r="D101" s="22" t="s">
        <v>185</v>
      </c>
      <c r="E101" s="53" t="s">
        <v>685</v>
      </c>
      <c r="F101" s="22" t="s">
        <v>839</v>
      </c>
      <c r="G101" s="52" t="s">
        <v>686</v>
      </c>
      <c r="H101" s="22" t="s">
        <v>91</v>
      </c>
      <c r="I101" s="22" t="s">
        <v>91</v>
      </c>
      <c r="J101" s="22" t="s">
        <v>85</v>
      </c>
      <c r="K101" s="53" t="s">
        <v>687</v>
      </c>
      <c r="L101" s="22" t="s">
        <v>688</v>
      </c>
      <c r="M101" s="54">
        <v>44042.0</v>
      </c>
      <c r="N101" s="55" t="s">
        <v>701</v>
      </c>
      <c r="O101" s="56" t="s">
        <v>690</v>
      </c>
      <c r="P101" s="57" t="s">
        <v>691</v>
      </c>
      <c r="Q101" s="57" t="s">
        <v>691</v>
      </c>
      <c r="R101" s="58"/>
      <c r="S101" s="58"/>
      <c r="T101" s="58"/>
      <c r="U101" s="58"/>
      <c r="V101" s="58"/>
      <c r="W101" s="58"/>
      <c r="X101" s="58"/>
      <c r="Y101" s="58"/>
      <c r="Z101" s="58"/>
    </row>
    <row r="102" ht="15.75" customHeight="1">
      <c r="A102" s="21" t="s">
        <v>840</v>
      </c>
      <c r="B102" s="52" t="s">
        <v>197</v>
      </c>
      <c r="C102" s="53" t="s">
        <v>331</v>
      </c>
      <c r="D102" s="22" t="s">
        <v>185</v>
      </c>
      <c r="E102" s="53" t="s">
        <v>685</v>
      </c>
      <c r="F102" s="22" t="s">
        <v>332</v>
      </c>
      <c r="G102" s="53" t="s">
        <v>723</v>
      </c>
      <c r="H102" s="22" t="s">
        <v>91</v>
      </c>
      <c r="I102" s="53" t="s">
        <v>723</v>
      </c>
      <c r="J102" s="21" t="s">
        <v>85</v>
      </c>
      <c r="K102" s="53" t="s">
        <v>687</v>
      </c>
      <c r="L102" s="22" t="s">
        <v>688</v>
      </c>
      <c r="M102" s="54">
        <v>44042.0</v>
      </c>
      <c r="N102" s="55" t="s">
        <v>741</v>
      </c>
      <c r="O102" s="56" t="s">
        <v>690</v>
      </c>
      <c r="P102" s="57" t="s">
        <v>745</v>
      </c>
      <c r="Q102" s="57" t="s">
        <v>745</v>
      </c>
      <c r="R102" s="58"/>
      <c r="S102" s="58"/>
      <c r="T102" s="58"/>
      <c r="U102" s="58"/>
      <c r="V102" s="58"/>
      <c r="W102" s="58"/>
      <c r="X102" s="58"/>
      <c r="Y102" s="58"/>
      <c r="Z102" s="58"/>
    </row>
    <row r="103" ht="15.75" customHeight="1">
      <c r="A103" s="21" t="s">
        <v>841</v>
      </c>
      <c r="B103" s="52" t="s">
        <v>842</v>
      </c>
      <c r="C103" s="53" t="s">
        <v>199</v>
      </c>
      <c r="D103" s="53" t="s">
        <v>83</v>
      </c>
      <c r="E103" s="53" t="s">
        <v>685</v>
      </c>
      <c r="F103" s="22" t="s">
        <v>200</v>
      </c>
      <c r="G103" s="53" t="s">
        <v>394</v>
      </c>
      <c r="H103" s="53" t="s">
        <v>394</v>
      </c>
      <c r="I103" s="53" t="s">
        <v>394</v>
      </c>
      <c r="J103" s="22" t="s">
        <v>85</v>
      </c>
      <c r="K103" s="53" t="s">
        <v>749</v>
      </c>
      <c r="L103" s="22" t="s">
        <v>749</v>
      </c>
      <c r="M103" s="54">
        <v>43922.0</v>
      </c>
      <c r="N103" s="55" t="s">
        <v>741</v>
      </c>
      <c r="O103" s="56" t="s">
        <v>732</v>
      </c>
      <c r="P103" s="57" t="s">
        <v>691</v>
      </c>
      <c r="Q103" s="57" t="s">
        <v>691</v>
      </c>
      <c r="R103" s="58"/>
      <c r="S103" s="58"/>
      <c r="T103" s="58"/>
      <c r="U103" s="58"/>
      <c r="V103" s="58"/>
      <c r="W103" s="58"/>
      <c r="X103" s="58"/>
      <c r="Y103" s="58"/>
      <c r="Z103" s="58"/>
    </row>
    <row r="104" ht="15.75" customHeight="1">
      <c r="A104" s="21" t="s">
        <v>205</v>
      </c>
      <c r="B104" s="53" t="s">
        <v>46</v>
      </c>
      <c r="C104" s="53" t="s">
        <v>843</v>
      </c>
      <c r="D104" s="53" t="s">
        <v>83</v>
      </c>
      <c r="E104" s="53" t="s">
        <v>685</v>
      </c>
      <c r="F104" s="22" t="s">
        <v>209</v>
      </c>
      <c r="G104" s="53" t="s">
        <v>394</v>
      </c>
      <c r="H104" s="53" t="s">
        <v>394</v>
      </c>
      <c r="I104" s="53" t="s">
        <v>394</v>
      </c>
      <c r="J104" s="22" t="s">
        <v>85</v>
      </c>
      <c r="K104" s="53" t="s">
        <v>749</v>
      </c>
      <c r="L104" s="22" t="s">
        <v>749</v>
      </c>
      <c r="M104" s="54">
        <v>43922.0</v>
      </c>
      <c r="N104" s="55" t="s">
        <v>741</v>
      </c>
      <c r="O104" s="56" t="s">
        <v>732</v>
      </c>
      <c r="P104" s="57" t="s">
        <v>691</v>
      </c>
      <c r="Q104" s="57" t="s">
        <v>691</v>
      </c>
      <c r="R104" s="58"/>
      <c r="S104" s="58"/>
      <c r="T104" s="58"/>
      <c r="U104" s="58"/>
      <c r="V104" s="58"/>
      <c r="W104" s="58"/>
      <c r="X104" s="58"/>
      <c r="Y104" s="58"/>
      <c r="Z104" s="58"/>
    </row>
    <row r="105" ht="15.75" customHeight="1">
      <c r="A105" s="21" t="s">
        <v>202</v>
      </c>
      <c r="B105" s="52" t="s">
        <v>197</v>
      </c>
      <c r="C105" s="53" t="s">
        <v>844</v>
      </c>
      <c r="D105" s="53" t="s">
        <v>83</v>
      </c>
      <c r="E105" s="53" t="s">
        <v>685</v>
      </c>
      <c r="F105" s="22" t="s">
        <v>845</v>
      </c>
      <c r="G105" s="53" t="s">
        <v>394</v>
      </c>
      <c r="H105" s="53" t="s">
        <v>394</v>
      </c>
      <c r="I105" s="53" t="s">
        <v>394</v>
      </c>
      <c r="J105" s="22" t="s">
        <v>85</v>
      </c>
      <c r="K105" s="53" t="s">
        <v>749</v>
      </c>
      <c r="L105" s="22" t="s">
        <v>749</v>
      </c>
      <c r="M105" s="54">
        <v>43952.0</v>
      </c>
      <c r="N105" s="55" t="s">
        <v>741</v>
      </c>
      <c r="O105" s="56" t="s">
        <v>732</v>
      </c>
      <c r="P105" s="57" t="s">
        <v>724</v>
      </c>
      <c r="Q105" s="57" t="s">
        <v>724</v>
      </c>
      <c r="R105" s="58"/>
      <c r="S105" s="58"/>
      <c r="T105" s="58"/>
      <c r="U105" s="58"/>
      <c r="V105" s="58"/>
      <c r="W105" s="58"/>
      <c r="X105" s="58"/>
      <c r="Y105" s="58"/>
      <c r="Z105" s="58"/>
    </row>
    <row r="106" ht="15.75" customHeight="1">
      <c r="A106" s="23" t="s">
        <v>175</v>
      </c>
      <c r="B106" s="52" t="s">
        <v>842</v>
      </c>
      <c r="C106" s="53" t="s">
        <v>177</v>
      </c>
      <c r="D106" s="22" t="s">
        <v>83</v>
      </c>
      <c r="E106" s="53" t="s">
        <v>685</v>
      </c>
      <c r="F106" s="22" t="s">
        <v>178</v>
      </c>
      <c r="G106" s="52" t="s">
        <v>686</v>
      </c>
      <c r="H106" s="22" t="s">
        <v>91</v>
      </c>
      <c r="I106" s="22" t="s">
        <v>91</v>
      </c>
      <c r="J106" s="22" t="s">
        <v>85</v>
      </c>
      <c r="K106" s="52" t="s">
        <v>687</v>
      </c>
      <c r="L106" s="21" t="s">
        <v>846</v>
      </c>
      <c r="M106" s="54">
        <v>44042.0</v>
      </c>
      <c r="N106" s="55" t="s">
        <v>692</v>
      </c>
      <c r="O106" s="56" t="s">
        <v>690</v>
      </c>
      <c r="P106" s="57" t="s">
        <v>691</v>
      </c>
      <c r="Q106" s="57" t="s">
        <v>691</v>
      </c>
      <c r="R106" s="58"/>
      <c r="S106" s="58"/>
      <c r="T106" s="58"/>
      <c r="U106" s="58"/>
      <c r="V106" s="58"/>
      <c r="W106" s="58"/>
      <c r="X106" s="58"/>
      <c r="Y106" s="58"/>
      <c r="Z106" s="58"/>
    </row>
    <row r="107" ht="15.75" customHeight="1">
      <c r="A107" s="23" t="s">
        <v>847</v>
      </c>
      <c r="B107" s="52" t="s">
        <v>44</v>
      </c>
      <c r="C107" s="53" t="s">
        <v>848</v>
      </c>
      <c r="D107" s="22" t="s">
        <v>83</v>
      </c>
      <c r="E107" s="53" t="s">
        <v>685</v>
      </c>
      <c r="F107" s="22" t="s">
        <v>352</v>
      </c>
      <c r="G107" s="52" t="s">
        <v>686</v>
      </c>
      <c r="H107" s="22" t="s">
        <v>91</v>
      </c>
      <c r="I107" s="22" t="s">
        <v>91</v>
      </c>
      <c r="J107" s="22" t="s">
        <v>85</v>
      </c>
      <c r="K107" s="53" t="s">
        <v>687</v>
      </c>
      <c r="L107" s="22" t="s">
        <v>688</v>
      </c>
      <c r="M107" s="54">
        <v>44042.0</v>
      </c>
      <c r="N107" s="55" t="s">
        <v>701</v>
      </c>
      <c r="O107" s="56" t="s">
        <v>690</v>
      </c>
      <c r="P107" s="57" t="s">
        <v>691</v>
      </c>
      <c r="Q107" s="57" t="s">
        <v>691</v>
      </c>
      <c r="R107" s="58"/>
      <c r="S107" s="58"/>
      <c r="T107" s="58"/>
      <c r="U107" s="58"/>
      <c r="V107" s="58"/>
      <c r="W107" s="58"/>
      <c r="X107" s="58"/>
      <c r="Y107" s="58"/>
      <c r="Z107" s="58"/>
    </row>
    <row r="108" ht="15.75" customHeight="1">
      <c r="A108" s="21" t="s">
        <v>389</v>
      </c>
      <c r="B108" s="52" t="s">
        <v>44</v>
      </c>
      <c r="C108" s="53" t="s">
        <v>390</v>
      </c>
      <c r="D108" s="22" t="s">
        <v>185</v>
      </c>
      <c r="E108" s="53" t="s">
        <v>774</v>
      </c>
      <c r="F108" s="22">
        <v>1500.0</v>
      </c>
      <c r="G108" s="52" t="s">
        <v>686</v>
      </c>
      <c r="H108" s="22" t="s">
        <v>91</v>
      </c>
      <c r="I108" s="22" t="s">
        <v>91</v>
      </c>
      <c r="J108" s="22" t="s">
        <v>85</v>
      </c>
      <c r="K108" s="53" t="s">
        <v>749</v>
      </c>
      <c r="L108" s="22" t="s">
        <v>688</v>
      </c>
      <c r="M108" s="54">
        <v>44029.0</v>
      </c>
      <c r="N108" s="55" t="s">
        <v>701</v>
      </c>
      <c r="O108" s="56" t="s">
        <v>690</v>
      </c>
      <c r="P108" s="57" t="s">
        <v>771</v>
      </c>
      <c r="Q108" s="57" t="s">
        <v>771</v>
      </c>
      <c r="R108" s="58"/>
      <c r="S108" s="58"/>
      <c r="T108" s="58"/>
      <c r="U108" s="58"/>
      <c r="V108" s="58"/>
      <c r="W108" s="58"/>
      <c r="X108" s="58"/>
      <c r="Y108" s="58"/>
      <c r="Z108" s="58"/>
    </row>
    <row r="109" ht="15.75" customHeight="1">
      <c r="A109" s="23" t="s">
        <v>120</v>
      </c>
      <c r="B109" s="52" t="s">
        <v>197</v>
      </c>
      <c r="C109" s="53" t="s">
        <v>849</v>
      </c>
      <c r="D109" s="22" t="s">
        <v>185</v>
      </c>
      <c r="E109" s="62" t="s">
        <v>720</v>
      </c>
      <c r="F109" s="63" t="b">
        <v>1</v>
      </c>
      <c r="G109" s="52" t="s">
        <v>686</v>
      </c>
      <c r="H109" s="22" t="s">
        <v>91</v>
      </c>
      <c r="I109" s="22" t="s">
        <v>91</v>
      </c>
      <c r="J109" s="22" t="s">
        <v>85</v>
      </c>
      <c r="K109" s="53" t="s">
        <v>687</v>
      </c>
      <c r="L109" s="22" t="s">
        <v>688</v>
      </c>
      <c r="M109" s="54">
        <v>44041.0</v>
      </c>
      <c r="N109" s="55" t="s">
        <v>692</v>
      </c>
      <c r="O109" s="56" t="s">
        <v>690</v>
      </c>
      <c r="P109" s="57" t="s">
        <v>724</v>
      </c>
      <c r="Q109" s="57" t="s">
        <v>724</v>
      </c>
      <c r="R109" s="58"/>
      <c r="S109" s="58"/>
      <c r="T109" s="58"/>
      <c r="U109" s="58"/>
      <c r="V109" s="58"/>
      <c r="W109" s="58"/>
      <c r="X109" s="58"/>
      <c r="Y109" s="58"/>
      <c r="Z109" s="58"/>
    </row>
    <row r="110" ht="15.75" customHeight="1">
      <c r="A110" s="21" t="s">
        <v>850</v>
      </c>
      <c r="B110" s="52" t="s">
        <v>197</v>
      </c>
      <c r="C110" s="53" t="s">
        <v>851</v>
      </c>
      <c r="D110" s="22" t="s">
        <v>185</v>
      </c>
      <c r="E110" s="53" t="s">
        <v>694</v>
      </c>
      <c r="F110" s="22">
        <v>1844641.0</v>
      </c>
      <c r="G110" s="53" t="s">
        <v>723</v>
      </c>
      <c r="H110" s="22" t="s">
        <v>91</v>
      </c>
      <c r="I110" s="53" t="s">
        <v>723</v>
      </c>
      <c r="J110" s="22" t="s">
        <v>85</v>
      </c>
      <c r="K110" s="52" t="s">
        <v>687</v>
      </c>
      <c r="L110" s="21" t="s">
        <v>688</v>
      </c>
      <c r="M110" s="54">
        <v>44041.0</v>
      </c>
      <c r="N110" s="55" t="s">
        <v>692</v>
      </c>
      <c r="O110" s="56" t="s">
        <v>690</v>
      </c>
      <c r="P110" s="57" t="s">
        <v>724</v>
      </c>
      <c r="Q110" s="57" t="s">
        <v>724</v>
      </c>
      <c r="R110" s="58"/>
      <c r="S110" s="58"/>
      <c r="T110" s="58"/>
      <c r="U110" s="58"/>
      <c r="V110" s="58"/>
      <c r="W110" s="58"/>
      <c r="X110" s="58"/>
      <c r="Y110" s="58"/>
      <c r="Z110" s="58"/>
    </row>
    <row r="111" ht="15.75" customHeight="1">
      <c r="A111" s="23" t="s">
        <v>190</v>
      </c>
      <c r="B111" s="52" t="s">
        <v>696</v>
      </c>
      <c r="C111" s="53" t="s">
        <v>191</v>
      </c>
      <c r="D111" s="22" t="s">
        <v>185</v>
      </c>
      <c r="E111" s="53" t="s">
        <v>685</v>
      </c>
      <c r="F111" s="22" t="s">
        <v>192</v>
      </c>
      <c r="G111" s="52" t="s">
        <v>686</v>
      </c>
      <c r="H111" s="22" t="s">
        <v>91</v>
      </c>
      <c r="I111" s="22" t="s">
        <v>91</v>
      </c>
      <c r="J111" s="22" t="s">
        <v>85</v>
      </c>
      <c r="K111" s="53" t="s">
        <v>687</v>
      </c>
      <c r="L111" s="22" t="s">
        <v>687</v>
      </c>
      <c r="M111" s="54">
        <v>44040.0</v>
      </c>
      <c r="N111" s="55" t="s">
        <v>741</v>
      </c>
      <c r="O111" s="56" t="s">
        <v>690</v>
      </c>
      <c r="P111" s="57" t="s">
        <v>782</v>
      </c>
      <c r="Q111" s="57" t="s">
        <v>782</v>
      </c>
      <c r="R111" s="58"/>
      <c r="S111" s="58"/>
      <c r="T111" s="58"/>
      <c r="U111" s="58"/>
      <c r="V111" s="58"/>
      <c r="W111" s="58"/>
      <c r="X111" s="58"/>
      <c r="Y111" s="58"/>
      <c r="Z111" s="58"/>
    </row>
    <row r="112" ht="15.75" customHeight="1">
      <c r="A112" s="23" t="s">
        <v>183</v>
      </c>
      <c r="B112" s="52" t="s">
        <v>696</v>
      </c>
      <c r="C112" s="53" t="s">
        <v>184</v>
      </c>
      <c r="D112" s="22" t="s">
        <v>185</v>
      </c>
      <c r="E112" s="53" t="s">
        <v>685</v>
      </c>
      <c r="F112" s="22" t="s">
        <v>186</v>
      </c>
      <c r="G112" s="52" t="s">
        <v>686</v>
      </c>
      <c r="H112" s="22" t="s">
        <v>91</v>
      </c>
      <c r="I112" s="22" t="s">
        <v>91</v>
      </c>
      <c r="J112" s="22" t="s">
        <v>85</v>
      </c>
      <c r="K112" s="53" t="s">
        <v>687</v>
      </c>
      <c r="L112" s="22" t="s">
        <v>687</v>
      </c>
      <c r="M112" s="54">
        <v>44040.0</v>
      </c>
      <c r="N112" s="55" t="s">
        <v>741</v>
      </c>
      <c r="O112" s="56" t="s">
        <v>690</v>
      </c>
      <c r="P112" s="57" t="s">
        <v>782</v>
      </c>
      <c r="Q112" s="57" t="s">
        <v>782</v>
      </c>
      <c r="R112" s="58"/>
      <c r="S112" s="58"/>
      <c r="T112" s="58"/>
      <c r="U112" s="58"/>
      <c r="V112" s="58"/>
      <c r="W112" s="58"/>
      <c r="X112" s="58"/>
      <c r="Y112" s="58"/>
      <c r="Z112" s="58"/>
    </row>
    <row r="113" ht="15.75" customHeight="1">
      <c r="A113" s="23" t="s">
        <v>187</v>
      </c>
      <c r="B113" s="52" t="s">
        <v>696</v>
      </c>
      <c r="C113" s="53" t="s">
        <v>188</v>
      </c>
      <c r="D113" s="22" t="s">
        <v>185</v>
      </c>
      <c r="E113" s="53" t="s">
        <v>685</v>
      </c>
      <c r="F113" s="22" t="s">
        <v>189</v>
      </c>
      <c r="G113" s="52" t="s">
        <v>686</v>
      </c>
      <c r="H113" s="22" t="s">
        <v>91</v>
      </c>
      <c r="I113" s="22" t="s">
        <v>91</v>
      </c>
      <c r="J113" s="22" t="s">
        <v>85</v>
      </c>
      <c r="K113" s="53" t="s">
        <v>687</v>
      </c>
      <c r="L113" s="22" t="s">
        <v>687</v>
      </c>
      <c r="M113" s="54">
        <v>44040.0</v>
      </c>
      <c r="N113" s="55" t="s">
        <v>741</v>
      </c>
      <c r="O113" s="56" t="s">
        <v>690</v>
      </c>
      <c r="P113" s="57" t="s">
        <v>782</v>
      </c>
      <c r="Q113" s="57" t="s">
        <v>782</v>
      </c>
      <c r="R113" s="58"/>
      <c r="S113" s="58"/>
      <c r="T113" s="58"/>
      <c r="U113" s="58"/>
      <c r="V113" s="58"/>
      <c r="W113" s="58"/>
      <c r="X113" s="58"/>
      <c r="Y113" s="58"/>
      <c r="Z113" s="58"/>
    </row>
    <row r="114" ht="15.75" customHeight="1">
      <c r="A114" s="23" t="s">
        <v>336</v>
      </c>
      <c r="B114" s="53" t="s">
        <v>197</v>
      </c>
      <c r="C114" s="53" t="s">
        <v>852</v>
      </c>
      <c r="D114" s="22" t="s">
        <v>135</v>
      </c>
      <c r="E114" s="53" t="s">
        <v>685</v>
      </c>
      <c r="F114" s="22">
        <v>1.0</v>
      </c>
      <c r="G114" s="21" t="s">
        <v>136</v>
      </c>
      <c r="H114" s="22" t="s">
        <v>91</v>
      </c>
      <c r="I114" s="23" t="s">
        <v>91</v>
      </c>
      <c r="J114" s="21" t="s">
        <v>853</v>
      </c>
      <c r="K114" s="52" t="s">
        <v>749</v>
      </c>
      <c r="L114" s="21" t="s">
        <v>763</v>
      </c>
      <c r="M114" s="54">
        <v>43983.0</v>
      </c>
      <c r="N114" s="55" t="s">
        <v>741</v>
      </c>
      <c r="O114" s="64"/>
      <c r="P114" s="57" t="s">
        <v>724</v>
      </c>
      <c r="Q114" s="57" t="s">
        <v>724</v>
      </c>
      <c r="R114" s="58"/>
      <c r="S114" s="58"/>
      <c r="T114" s="58"/>
      <c r="U114" s="58"/>
      <c r="V114" s="58"/>
      <c r="W114" s="58"/>
      <c r="X114" s="58"/>
      <c r="Y114" s="58"/>
      <c r="Z114" s="58"/>
    </row>
    <row r="115" ht="15.75" customHeight="1">
      <c r="A115" s="23" t="s">
        <v>263</v>
      </c>
      <c r="B115" s="52" t="s">
        <v>197</v>
      </c>
      <c r="C115" s="53" t="s">
        <v>854</v>
      </c>
      <c r="D115" s="22" t="s">
        <v>185</v>
      </c>
      <c r="E115" s="62" t="s">
        <v>720</v>
      </c>
      <c r="F115" s="63" t="b">
        <v>1</v>
      </c>
      <c r="G115" s="52" t="s">
        <v>686</v>
      </c>
      <c r="H115" s="22" t="s">
        <v>91</v>
      </c>
      <c r="I115" s="22" t="s">
        <v>91</v>
      </c>
      <c r="J115" s="22" t="s">
        <v>85</v>
      </c>
      <c r="K115" s="53" t="s">
        <v>687</v>
      </c>
      <c r="L115" s="22" t="s">
        <v>688</v>
      </c>
      <c r="M115" s="54">
        <v>44042.0</v>
      </c>
      <c r="N115" s="55" t="s">
        <v>701</v>
      </c>
      <c r="O115" s="56" t="s">
        <v>690</v>
      </c>
      <c r="P115" s="57" t="s">
        <v>691</v>
      </c>
      <c r="Q115" s="57" t="s">
        <v>691</v>
      </c>
      <c r="R115" s="58"/>
      <c r="S115" s="58"/>
      <c r="T115" s="58"/>
      <c r="U115" s="58"/>
      <c r="V115" s="58"/>
      <c r="W115" s="58"/>
      <c r="X115" s="58"/>
      <c r="Y115" s="58"/>
      <c r="Z115" s="58"/>
    </row>
    <row r="116" ht="15.75" customHeight="1">
      <c r="A116" s="21" t="s">
        <v>455</v>
      </c>
      <c r="B116" s="52" t="s">
        <v>44</v>
      </c>
      <c r="C116" s="52" t="s">
        <v>456</v>
      </c>
      <c r="D116" s="22" t="s">
        <v>83</v>
      </c>
      <c r="E116" s="52" t="s">
        <v>685</v>
      </c>
      <c r="F116" s="21" t="s">
        <v>457</v>
      </c>
      <c r="G116" s="21" t="s">
        <v>335</v>
      </c>
      <c r="H116" s="22" t="s">
        <v>91</v>
      </c>
      <c r="I116" s="22" t="s">
        <v>91</v>
      </c>
      <c r="J116" s="22" t="s">
        <v>85</v>
      </c>
      <c r="K116" s="53" t="s">
        <v>687</v>
      </c>
      <c r="L116" s="22" t="s">
        <v>688</v>
      </c>
      <c r="M116" s="54">
        <v>44042.0</v>
      </c>
      <c r="N116" s="55" t="s">
        <v>692</v>
      </c>
      <c r="O116" s="56" t="s">
        <v>690</v>
      </c>
      <c r="P116" s="57" t="s">
        <v>705</v>
      </c>
      <c r="Q116" s="57" t="s">
        <v>705</v>
      </c>
      <c r="R116" s="58"/>
      <c r="S116" s="58"/>
      <c r="T116" s="58"/>
      <c r="U116" s="58"/>
      <c r="V116" s="58"/>
      <c r="W116" s="58"/>
      <c r="X116" s="58"/>
      <c r="Y116" s="58"/>
      <c r="Z116" s="58"/>
    </row>
    <row r="117" ht="15.75" customHeight="1">
      <c r="A117" s="23" t="s">
        <v>339</v>
      </c>
      <c r="B117" s="53" t="s">
        <v>197</v>
      </c>
      <c r="C117" s="53" t="s">
        <v>340</v>
      </c>
      <c r="D117" s="22" t="s">
        <v>135</v>
      </c>
      <c r="E117" s="53" t="s">
        <v>685</v>
      </c>
      <c r="F117" s="22">
        <v>0.123</v>
      </c>
      <c r="G117" s="21" t="s">
        <v>136</v>
      </c>
      <c r="H117" s="22" t="s">
        <v>91</v>
      </c>
      <c r="I117" s="23" t="s">
        <v>91</v>
      </c>
      <c r="J117" s="21" t="s">
        <v>855</v>
      </c>
      <c r="K117" s="52" t="s">
        <v>749</v>
      </c>
      <c r="L117" s="21" t="s">
        <v>763</v>
      </c>
      <c r="M117" s="54">
        <v>43983.0</v>
      </c>
      <c r="N117" s="55" t="s">
        <v>692</v>
      </c>
      <c r="O117" s="56" t="s">
        <v>690</v>
      </c>
      <c r="P117" s="57" t="s">
        <v>724</v>
      </c>
      <c r="Q117" s="57" t="s">
        <v>724</v>
      </c>
      <c r="R117" s="58"/>
      <c r="S117" s="58"/>
      <c r="T117" s="58"/>
      <c r="U117" s="58"/>
      <c r="V117" s="58"/>
      <c r="W117" s="58"/>
      <c r="X117" s="58"/>
      <c r="Y117" s="58"/>
      <c r="Z117" s="58"/>
    </row>
    <row r="118" ht="15.75" customHeight="1">
      <c r="A118" s="21" t="s">
        <v>856</v>
      </c>
      <c r="B118" s="52" t="s">
        <v>44</v>
      </c>
      <c r="C118" s="53" t="s">
        <v>857</v>
      </c>
      <c r="D118" s="22" t="s">
        <v>185</v>
      </c>
      <c r="E118" s="53" t="s">
        <v>777</v>
      </c>
      <c r="F118" s="22">
        <v>1024.0</v>
      </c>
      <c r="G118" s="53" t="s">
        <v>723</v>
      </c>
      <c r="H118" s="21" t="s">
        <v>91</v>
      </c>
      <c r="I118" s="53" t="s">
        <v>723</v>
      </c>
      <c r="J118" s="22" t="e">
        <v>#N/A</v>
      </c>
      <c r="K118" s="53" t="s">
        <v>687</v>
      </c>
      <c r="L118" s="22" t="s">
        <v>688</v>
      </c>
      <c r="M118" s="54">
        <v>44041.0</v>
      </c>
      <c r="N118" s="55" t="s">
        <v>692</v>
      </c>
      <c r="O118" s="56" t="s">
        <v>690</v>
      </c>
      <c r="P118" s="57" t="s">
        <v>724</v>
      </c>
      <c r="Q118" s="57" t="s">
        <v>724</v>
      </c>
      <c r="R118" s="58"/>
      <c r="S118" s="58"/>
      <c r="T118" s="58"/>
      <c r="U118" s="58"/>
      <c r="V118" s="58"/>
      <c r="W118" s="58"/>
      <c r="X118" s="58"/>
      <c r="Y118" s="58"/>
      <c r="Z118" s="58"/>
    </row>
    <row r="119" ht="15.75" customHeight="1">
      <c r="A119" s="23" t="s">
        <v>858</v>
      </c>
      <c r="B119" s="53" t="s">
        <v>197</v>
      </c>
      <c r="C119" s="53" t="s">
        <v>859</v>
      </c>
      <c r="D119" s="65" t="s">
        <v>135</v>
      </c>
      <c r="E119" s="62" t="s">
        <v>698</v>
      </c>
      <c r="F119" s="72">
        <v>43709.0</v>
      </c>
      <c r="G119" s="22" t="s">
        <v>136</v>
      </c>
      <c r="H119" s="21" t="s">
        <v>359</v>
      </c>
      <c r="I119" s="21" t="s">
        <v>359</v>
      </c>
      <c r="J119" s="65" t="s">
        <v>90</v>
      </c>
      <c r="K119" s="53" t="s">
        <v>749</v>
      </c>
      <c r="L119" s="22" t="s">
        <v>749</v>
      </c>
      <c r="M119" s="54">
        <v>43983.0</v>
      </c>
      <c r="N119" s="55" t="s">
        <v>764</v>
      </c>
      <c r="O119" s="64" t="s">
        <v>732</v>
      </c>
      <c r="P119" s="57" t="s">
        <v>761</v>
      </c>
      <c r="Q119" s="57" t="s">
        <v>761</v>
      </c>
      <c r="R119" s="58"/>
      <c r="S119" s="58"/>
      <c r="T119" s="58"/>
      <c r="U119" s="58"/>
      <c r="V119" s="58"/>
      <c r="W119" s="58"/>
      <c r="X119" s="58"/>
      <c r="Y119" s="58"/>
      <c r="Z119" s="58"/>
    </row>
    <row r="120" ht="15.75" customHeight="1">
      <c r="A120" s="23" t="s">
        <v>860</v>
      </c>
      <c r="B120" s="53" t="s">
        <v>44</v>
      </c>
      <c r="C120" s="53" t="s">
        <v>861</v>
      </c>
      <c r="D120" s="65" t="s">
        <v>135</v>
      </c>
      <c r="E120" s="53" t="s">
        <v>713</v>
      </c>
      <c r="F120" s="22">
        <v>50.0</v>
      </c>
      <c r="G120" s="22" t="s">
        <v>136</v>
      </c>
      <c r="H120" s="21" t="s">
        <v>359</v>
      </c>
      <c r="I120" s="21" t="s">
        <v>359</v>
      </c>
      <c r="J120" s="65" t="s">
        <v>90</v>
      </c>
      <c r="K120" s="53" t="s">
        <v>749</v>
      </c>
      <c r="L120" s="22" t="s">
        <v>749</v>
      </c>
      <c r="M120" s="54">
        <v>43983.0</v>
      </c>
      <c r="N120" s="55" t="s">
        <v>764</v>
      </c>
      <c r="O120" s="64" t="s">
        <v>732</v>
      </c>
      <c r="P120" s="57" t="s">
        <v>761</v>
      </c>
      <c r="Q120" s="57" t="s">
        <v>761</v>
      </c>
      <c r="R120" s="58"/>
      <c r="S120" s="58"/>
      <c r="T120" s="58"/>
      <c r="U120" s="58"/>
      <c r="V120" s="58"/>
      <c r="W120" s="58"/>
      <c r="X120" s="58"/>
      <c r="Y120" s="58"/>
      <c r="Z120" s="58"/>
    </row>
    <row r="121" ht="15.75" customHeight="1">
      <c r="A121" s="23" t="s">
        <v>862</v>
      </c>
      <c r="B121" s="53" t="s">
        <v>197</v>
      </c>
      <c r="C121" s="53" t="s">
        <v>863</v>
      </c>
      <c r="D121" s="65" t="s">
        <v>135</v>
      </c>
      <c r="E121" s="53" t="s">
        <v>864</v>
      </c>
      <c r="F121" s="22">
        <v>0.18</v>
      </c>
      <c r="G121" s="22" t="s">
        <v>136</v>
      </c>
      <c r="H121" s="65" t="s">
        <v>311</v>
      </c>
      <c r="I121" s="65" t="s">
        <v>311</v>
      </c>
      <c r="J121" s="65" t="s">
        <v>90</v>
      </c>
      <c r="K121" s="53" t="s">
        <v>749</v>
      </c>
      <c r="L121" s="22" t="s">
        <v>749</v>
      </c>
      <c r="M121" s="54">
        <v>43983.0</v>
      </c>
      <c r="N121" s="55" t="s">
        <v>764</v>
      </c>
      <c r="O121" s="64" t="s">
        <v>732</v>
      </c>
      <c r="P121" s="57" t="s">
        <v>761</v>
      </c>
      <c r="Q121" s="57" t="s">
        <v>761</v>
      </c>
      <c r="R121" s="58"/>
      <c r="S121" s="58"/>
      <c r="T121" s="58"/>
      <c r="U121" s="58"/>
      <c r="V121" s="58"/>
      <c r="W121" s="58"/>
      <c r="X121" s="58"/>
      <c r="Y121" s="58"/>
      <c r="Z121" s="58"/>
    </row>
    <row r="122" ht="15.75" customHeight="1">
      <c r="A122" s="23" t="s">
        <v>865</v>
      </c>
      <c r="B122" s="53" t="s">
        <v>197</v>
      </c>
      <c r="C122" s="53" t="s">
        <v>866</v>
      </c>
      <c r="D122" s="65" t="s">
        <v>135</v>
      </c>
      <c r="E122" s="53" t="s">
        <v>685</v>
      </c>
      <c r="F122" s="22" t="s">
        <v>867</v>
      </c>
      <c r="G122" s="22" t="s">
        <v>136</v>
      </c>
      <c r="H122" s="65" t="s">
        <v>311</v>
      </c>
      <c r="I122" s="65" t="s">
        <v>311</v>
      </c>
      <c r="J122" s="65" t="s">
        <v>90</v>
      </c>
      <c r="K122" s="53" t="s">
        <v>749</v>
      </c>
      <c r="L122" s="22" t="s">
        <v>749</v>
      </c>
      <c r="M122" s="54">
        <v>43983.0</v>
      </c>
      <c r="N122" s="55" t="s">
        <v>764</v>
      </c>
      <c r="O122" s="64" t="s">
        <v>732</v>
      </c>
      <c r="P122" s="57" t="s">
        <v>761</v>
      </c>
      <c r="Q122" s="57" t="s">
        <v>761</v>
      </c>
      <c r="R122" s="58"/>
      <c r="S122" s="58"/>
      <c r="T122" s="58"/>
      <c r="U122" s="58"/>
      <c r="V122" s="58"/>
      <c r="W122" s="58"/>
      <c r="X122" s="58"/>
      <c r="Y122" s="58"/>
      <c r="Z122" s="58"/>
    </row>
    <row r="123" ht="15.75" customHeight="1">
      <c r="A123" s="52" t="s">
        <v>868</v>
      </c>
      <c r="B123" s="53" t="s">
        <v>197</v>
      </c>
      <c r="C123" s="53" t="s">
        <v>869</v>
      </c>
      <c r="D123" s="22" t="s">
        <v>185</v>
      </c>
      <c r="E123" s="53" t="s">
        <v>685</v>
      </c>
      <c r="F123" s="53" t="s">
        <v>870</v>
      </c>
      <c r="G123" s="53" t="s">
        <v>723</v>
      </c>
      <c r="H123" s="22" t="s">
        <v>91</v>
      </c>
      <c r="I123" s="53" t="s">
        <v>723</v>
      </c>
      <c r="J123" s="22" t="s">
        <v>90</v>
      </c>
      <c r="K123" s="52" t="s">
        <v>749</v>
      </c>
      <c r="L123" s="21" t="s">
        <v>763</v>
      </c>
      <c r="M123" s="54">
        <v>43983.0</v>
      </c>
      <c r="N123" s="55" t="s">
        <v>741</v>
      </c>
      <c r="O123" s="64" t="s">
        <v>736</v>
      </c>
      <c r="P123" s="57" t="s">
        <v>745</v>
      </c>
      <c r="Q123" s="57" t="s">
        <v>745</v>
      </c>
      <c r="R123" s="58"/>
      <c r="S123" s="58"/>
      <c r="T123" s="58"/>
      <c r="U123" s="58"/>
      <c r="V123" s="58"/>
      <c r="W123" s="58"/>
      <c r="X123" s="58"/>
      <c r="Y123" s="58"/>
      <c r="Z123" s="58"/>
    </row>
    <row r="124" ht="15.75" customHeight="1">
      <c r="A124" s="21" t="s">
        <v>871</v>
      </c>
      <c r="B124" s="52" t="s">
        <v>197</v>
      </c>
      <c r="C124" s="53" t="s">
        <v>872</v>
      </c>
      <c r="D124" s="22" t="s">
        <v>185</v>
      </c>
      <c r="E124" s="53" t="s">
        <v>768</v>
      </c>
      <c r="F124" s="22">
        <v>50.0</v>
      </c>
      <c r="G124" s="62" t="s">
        <v>723</v>
      </c>
      <c r="H124" s="52" t="s">
        <v>723</v>
      </c>
      <c r="I124" s="53" t="s">
        <v>723</v>
      </c>
      <c r="J124" s="22" t="s">
        <v>85</v>
      </c>
      <c r="K124" s="53" t="s">
        <v>687</v>
      </c>
      <c r="L124" s="22" t="s">
        <v>760</v>
      </c>
      <c r="M124" s="54">
        <v>44041.0</v>
      </c>
      <c r="N124" s="55" t="s">
        <v>735</v>
      </c>
      <c r="O124" s="64" t="s">
        <v>736</v>
      </c>
      <c r="P124" s="57" t="s">
        <v>761</v>
      </c>
      <c r="Q124" s="57" t="s">
        <v>761</v>
      </c>
      <c r="R124" s="58"/>
      <c r="S124" s="58"/>
      <c r="T124" s="58"/>
      <c r="U124" s="58"/>
      <c r="V124" s="58"/>
      <c r="W124" s="58"/>
      <c r="X124" s="58"/>
      <c r="Y124" s="58"/>
      <c r="Z124" s="58"/>
    </row>
    <row r="125" ht="15.75" customHeight="1">
      <c r="A125" s="21" t="s">
        <v>873</v>
      </c>
      <c r="B125" s="52" t="s">
        <v>197</v>
      </c>
      <c r="C125" s="53" t="s">
        <v>874</v>
      </c>
      <c r="D125" s="22" t="s">
        <v>185</v>
      </c>
      <c r="E125" s="53" t="s">
        <v>713</v>
      </c>
      <c r="F125" s="22">
        <v>23.0</v>
      </c>
      <c r="G125" s="62" t="s">
        <v>723</v>
      </c>
      <c r="H125" s="52" t="s">
        <v>723</v>
      </c>
      <c r="I125" s="53" t="s">
        <v>723</v>
      </c>
      <c r="J125" s="22" t="s">
        <v>85</v>
      </c>
      <c r="K125" s="53" t="s">
        <v>687</v>
      </c>
      <c r="L125" s="22" t="s">
        <v>760</v>
      </c>
      <c r="M125" s="54">
        <v>44041.0</v>
      </c>
      <c r="N125" s="55" t="s">
        <v>735</v>
      </c>
      <c r="O125" s="64" t="s">
        <v>736</v>
      </c>
      <c r="P125" s="57" t="s">
        <v>761</v>
      </c>
      <c r="Q125" s="57" t="s">
        <v>761</v>
      </c>
      <c r="R125" s="58"/>
      <c r="S125" s="58"/>
      <c r="T125" s="58"/>
      <c r="U125" s="58"/>
      <c r="V125" s="58"/>
      <c r="W125" s="58"/>
      <c r="X125" s="58"/>
      <c r="Y125" s="58"/>
      <c r="Z125" s="58"/>
    </row>
    <row r="126" ht="15.75" customHeight="1">
      <c r="A126" s="21" t="s">
        <v>875</v>
      </c>
      <c r="B126" s="52" t="s">
        <v>197</v>
      </c>
      <c r="C126" s="53" t="s">
        <v>876</v>
      </c>
      <c r="D126" s="22" t="s">
        <v>185</v>
      </c>
      <c r="E126" s="59" t="s">
        <v>768</v>
      </c>
      <c r="F126" s="25" t="s">
        <v>877</v>
      </c>
      <c r="G126" s="62" t="s">
        <v>723</v>
      </c>
      <c r="H126" s="52" t="s">
        <v>723</v>
      </c>
      <c r="I126" s="53" t="s">
        <v>723</v>
      </c>
      <c r="J126" s="22" t="s">
        <v>85</v>
      </c>
      <c r="K126" s="53" t="s">
        <v>687</v>
      </c>
      <c r="L126" s="22" t="s">
        <v>760</v>
      </c>
      <c r="M126" s="54">
        <v>44041.0</v>
      </c>
      <c r="N126" s="55" t="s">
        <v>735</v>
      </c>
      <c r="O126" s="64" t="s">
        <v>736</v>
      </c>
      <c r="P126" s="57" t="s">
        <v>761</v>
      </c>
      <c r="Q126" s="57" t="s">
        <v>761</v>
      </c>
      <c r="R126" s="58"/>
      <c r="S126" s="58"/>
      <c r="T126" s="58"/>
      <c r="U126" s="58"/>
      <c r="V126" s="58"/>
      <c r="W126" s="58"/>
      <c r="X126" s="58"/>
      <c r="Y126" s="58"/>
      <c r="Z126" s="58"/>
    </row>
    <row r="127" ht="15.75" customHeight="1">
      <c r="A127" s="21" t="s">
        <v>878</v>
      </c>
      <c r="B127" s="52" t="s">
        <v>197</v>
      </c>
      <c r="C127" s="53" t="s">
        <v>879</v>
      </c>
      <c r="D127" s="22" t="s">
        <v>185</v>
      </c>
      <c r="E127" s="59" t="s">
        <v>768</v>
      </c>
      <c r="F127" s="25" t="s">
        <v>877</v>
      </c>
      <c r="G127" s="62" t="s">
        <v>723</v>
      </c>
      <c r="H127" s="52" t="s">
        <v>723</v>
      </c>
      <c r="I127" s="53" t="s">
        <v>723</v>
      </c>
      <c r="J127" s="22" t="s">
        <v>85</v>
      </c>
      <c r="K127" s="53" t="s">
        <v>687</v>
      </c>
      <c r="L127" s="22" t="s">
        <v>760</v>
      </c>
      <c r="M127" s="54">
        <v>44041.0</v>
      </c>
      <c r="N127" s="55" t="s">
        <v>735</v>
      </c>
      <c r="O127" s="64" t="s">
        <v>736</v>
      </c>
      <c r="P127" s="57" t="s">
        <v>761</v>
      </c>
      <c r="Q127" s="57" t="s">
        <v>761</v>
      </c>
      <c r="R127" s="58"/>
      <c r="S127" s="58"/>
      <c r="T127" s="58"/>
      <c r="U127" s="58"/>
      <c r="V127" s="58"/>
      <c r="W127" s="58"/>
      <c r="X127" s="58"/>
      <c r="Y127" s="58"/>
      <c r="Z127" s="58"/>
    </row>
    <row r="128" ht="15.75" customHeight="1">
      <c r="A128" s="21" t="s">
        <v>880</v>
      </c>
      <c r="B128" s="52" t="s">
        <v>197</v>
      </c>
      <c r="C128" s="53" t="s">
        <v>881</v>
      </c>
      <c r="D128" s="22" t="s">
        <v>185</v>
      </c>
      <c r="E128" s="59" t="s">
        <v>713</v>
      </c>
      <c r="F128" s="25" t="s">
        <v>877</v>
      </c>
      <c r="G128" s="62" t="s">
        <v>723</v>
      </c>
      <c r="H128" s="52" t="s">
        <v>723</v>
      </c>
      <c r="I128" s="53" t="s">
        <v>723</v>
      </c>
      <c r="J128" s="22" t="s">
        <v>85</v>
      </c>
      <c r="K128" s="53" t="s">
        <v>687</v>
      </c>
      <c r="L128" s="22" t="s">
        <v>760</v>
      </c>
      <c r="M128" s="54">
        <v>44041.0</v>
      </c>
      <c r="N128" s="55" t="s">
        <v>735</v>
      </c>
      <c r="O128" s="64" t="s">
        <v>736</v>
      </c>
      <c r="P128" s="57" t="s">
        <v>761</v>
      </c>
      <c r="Q128" s="57" t="s">
        <v>761</v>
      </c>
      <c r="R128" s="58"/>
      <c r="S128" s="58"/>
      <c r="T128" s="58"/>
      <c r="U128" s="58"/>
      <c r="V128" s="58"/>
      <c r="W128" s="58"/>
      <c r="X128" s="58"/>
      <c r="Y128" s="58"/>
      <c r="Z128" s="58"/>
    </row>
    <row r="129" ht="15.75" customHeight="1">
      <c r="A129" s="21" t="s">
        <v>882</v>
      </c>
      <c r="B129" s="52" t="s">
        <v>197</v>
      </c>
      <c r="C129" s="53" t="s">
        <v>883</v>
      </c>
      <c r="D129" s="22" t="s">
        <v>185</v>
      </c>
      <c r="E129" s="59" t="s">
        <v>768</v>
      </c>
      <c r="F129" s="25" t="s">
        <v>877</v>
      </c>
      <c r="G129" s="62" t="s">
        <v>723</v>
      </c>
      <c r="H129" s="52" t="s">
        <v>723</v>
      </c>
      <c r="I129" s="53" t="s">
        <v>723</v>
      </c>
      <c r="J129" s="22" t="s">
        <v>85</v>
      </c>
      <c r="K129" s="53" t="s">
        <v>687</v>
      </c>
      <c r="L129" s="22" t="s">
        <v>760</v>
      </c>
      <c r="M129" s="54">
        <v>44041.0</v>
      </c>
      <c r="N129" s="55" t="s">
        <v>735</v>
      </c>
      <c r="O129" s="64" t="s">
        <v>736</v>
      </c>
      <c r="P129" s="57" t="s">
        <v>761</v>
      </c>
      <c r="Q129" s="57" t="s">
        <v>761</v>
      </c>
      <c r="R129" s="58"/>
      <c r="S129" s="58"/>
      <c r="T129" s="58"/>
      <c r="U129" s="58"/>
      <c r="V129" s="58"/>
      <c r="W129" s="58"/>
      <c r="X129" s="58"/>
      <c r="Y129" s="58"/>
      <c r="Z129" s="58"/>
    </row>
    <row r="130" ht="15.75" customHeight="1">
      <c r="A130" s="21" t="s">
        <v>884</v>
      </c>
      <c r="B130" s="52" t="s">
        <v>197</v>
      </c>
      <c r="C130" s="53" t="s">
        <v>885</v>
      </c>
      <c r="D130" s="22" t="s">
        <v>185</v>
      </c>
      <c r="E130" s="53" t="s">
        <v>713</v>
      </c>
      <c r="F130" s="22">
        <v>8.0</v>
      </c>
      <c r="G130" s="62" t="s">
        <v>723</v>
      </c>
      <c r="H130" s="52" t="s">
        <v>723</v>
      </c>
      <c r="I130" s="53" t="s">
        <v>723</v>
      </c>
      <c r="J130" s="22" t="s">
        <v>85</v>
      </c>
      <c r="K130" s="53" t="s">
        <v>687</v>
      </c>
      <c r="L130" s="22" t="s">
        <v>760</v>
      </c>
      <c r="M130" s="54">
        <v>44042.0</v>
      </c>
      <c r="N130" s="55" t="s">
        <v>692</v>
      </c>
      <c r="O130" s="56" t="s">
        <v>690</v>
      </c>
      <c r="P130" s="57" t="s">
        <v>745</v>
      </c>
      <c r="Q130" s="57" t="s">
        <v>745</v>
      </c>
      <c r="R130" s="58"/>
      <c r="S130" s="58"/>
      <c r="T130" s="58"/>
      <c r="U130" s="58"/>
      <c r="V130" s="58"/>
      <c r="W130" s="58"/>
      <c r="X130" s="58"/>
      <c r="Y130" s="58"/>
      <c r="Z130" s="58"/>
    </row>
    <row r="131" ht="15.75" customHeight="1">
      <c r="A131" s="21" t="s">
        <v>886</v>
      </c>
      <c r="B131" s="52" t="s">
        <v>197</v>
      </c>
      <c r="C131" s="53" t="s">
        <v>887</v>
      </c>
      <c r="D131" s="22" t="s">
        <v>185</v>
      </c>
      <c r="E131" s="53" t="s">
        <v>698</v>
      </c>
      <c r="F131" s="27">
        <v>43733.0</v>
      </c>
      <c r="G131" s="62" t="s">
        <v>723</v>
      </c>
      <c r="H131" s="52" t="s">
        <v>723</v>
      </c>
      <c r="I131" s="53" t="s">
        <v>723</v>
      </c>
      <c r="J131" s="22" t="s">
        <v>85</v>
      </c>
      <c r="K131" s="53" t="s">
        <v>687</v>
      </c>
      <c r="L131" s="22" t="s">
        <v>760</v>
      </c>
      <c r="M131" s="54">
        <v>44042.0</v>
      </c>
      <c r="N131" s="55" t="s">
        <v>692</v>
      </c>
      <c r="O131" s="56" t="s">
        <v>690</v>
      </c>
      <c r="P131" s="57" t="s">
        <v>745</v>
      </c>
      <c r="Q131" s="57" t="s">
        <v>745</v>
      </c>
      <c r="R131" s="58"/>
      <c r="S131" s="58"/>
      <c r="T131" s="58"/>
      <c r="U131" s="58"/>
      <c r="V131" s="58"/>
      <c r="W131" s="58"/>
      <c r="X131" s="58"/>
      <c r="Y131" s="58"/>
      <c r="Z131" s="58"/>
    </row>
    <row r="132" ht="15.75" customHeight="1">
      <c r="A132" s="21" t="s">
        <v>888</v>
      </c>
      <c r="B132" s="52" t="s">
        <v>44</v>
      </c>
      <c r="C132" s="53" t="s">
        <v>889</v>
      </c>
      <c r="D132" s="22" t="s">
        <v>185</v>
      </c>
      <c r="E132" s="53" t="s">
        <v>777</v>
      </c>
      <c r="F132" s="22">
        <v>100.0</v>
      </c>
      <c r="G132" s="53" t="s">
        <v>723</v>
      </c>
      <c r="H132" s="21" t="s">
        <v>91</v>
      </c>
      <c r="I132" s="53" t="s">
        <v>723</v>
      </c>
      <c r="J132" s="22" t="s">
        <v>85</v>
      </c>
      <c r="K132" s="53" t="s">
        <v>687</v>
      </c>
      <c r="L132" s="22" t="s">
        <v>688</v>
      </c>
      <c r="M132" s="54">
        <v>44041.0</v>
      </c>
      <c r="N132" s="55" t="s">
        <v>692</v>
      </c>
      <c r="O132" s="56" t="s">
        <v>690</v>
      </c>
      <c r="P132" s="57" t="s">
        <v>724</v>
      </c>
      <c r="Q132" s="57" t="s">
        <v>724</v>
      </c>
      <c r="R132" s="58"/>
      <c r="S132" s="58"/>
      <c r="T132" s="58"/>
      <c r="U132" s="58"/>
      <c r="V132" s="58"/>
      <c r="W132" s="58"/>
      <c r="X132" s="58"/>
      <c r="Y132" s="58"/>
      <c r="Z132" s="58"/>
    </row>
    <row r="133" ht="15.75" customHeight="1">
      <c r="A133" s="21" t="s">
        <v>890</v>
      </c>
      <c r="B133" s="52" t="s">
        <v>197</v>
      </c>
      <c r="C133" s="53" t="s">
        <v>891</v>
      </c>
      <c r="D133" s="22" t="s">
        <v>185</v>
      </c>
      <c r="E133" s="53" t="s">
        <v>713</v>
      </c>
      <c r="F133" s="22">
        <v>62220.0</v>
      </c>
      <c r="G133" s="53" t="s">
        <v>723</v>
      </c>
      <c r="H133" s="22" t="s">
        <v>91</v>
      </c>
      <c r="I133" s="53" t="s">
        <v>723</v>
      </c>
      <c r="J133" s="22" t="s">
        <v>85</v>
      </c>
      <c r="K133" s="53" t="s">
        <v>687</v>
      </c>
      <c r="L133" s="22" t="s">
        <v>688</v>
      </c>
      <c r="M133" s="54">
        <v>44041.0</v>
      </c>
      <c r="N133" s="55" t="s">
        <v>692</v>
      </c>
      <c r="O133" s="56" t="s">
        <v>690</v>
      </c>
      <c r="P133" s="57" t="s">
        <v>724</v>
      </c>
      <c r="Q133" s="57" t="s">
        <v>724</v>
      </c>
      <c r="R133" s="58"/>
      <c r="S133" s="58"/>
      <c r="T133" s="58"/>
      <c r="U133" s="58"/>
      <c r="V133" s="58"/>
      <c r="W133" s="58"/>
      <c r="X133" s="58"/>
      <c r="Y133" s="58"/>
      <c r="Z133" s="58"/>
    </row>
    <row r="134" ht="15.75" customHeight="1">
      <c r="A134" s="21" t="s">
        <v>892</v>
      </c>
      <c r="B134" s="52" t="s">
        <v>52</v>
      </c>
      <c r="C134" s="53" t="s">
        <v>893</v>
      </c>
      <c r="D134" s="22" t="s">
        <v>185</v>
      </c>
      <c r="E134" s="59" t="s">
        <v>768</v>
      </c>
      <c r="F134" s="25" t="s">
        <v>894</v>
      </c>
      <c r="G134" s="62" t="s">
        <v>723</v>
      </c>
      <c r="H134" s="52" t="s">
        <v>723</v>
      </c>
      <c r="I134" s="53" t="s">
        <v>723</v>
      </c>
      <c r="J134" s="22" t="s">
        <v>85</v>
      </c>
      <c r="K134" s="53" t="s">
        <v>687</v>
      </c>
      <c r="L134" s="22" t="s">
        <v>688</v>
      </c>
      <c r="M134" s="54">
        <v>44042.0</v>
      </c>
      <c r="N134" s="55" t="s">
        <v>735</v>
      </c>
      <c r="O134" s="64" t="s">
        <v>736</v>
      </c>
      <c r="P134" s="57" t="s">
        <v>721</v>
      </c>
      <c r="Q134" s="57" t="s">
        <v>721</v>
      </c>
      <c r="R134" s="58"/>
      <c r="S134" s="58"/>
      <c r="T134" s="58"/>
      <c r="U134" s="58"/>
      <c r="V134" s="58"/>
      <c r="W134" s="58"/>
      <c r="X134" s="58"/>
      <c r="Y134" s="58"/>
      <c r="Z134" s="58"/>
    </row>
    <row r="135" ht="15.75" customHeight="1">
      <c r="A135" s="21" t="s">
        <v>895</v>
      </c>
      <c r="B135" s="52" t="s">
        <v>52</v>
      </c>
      <c r="C135" s="53" t="s">
        <v>896</v>
      </c>
      <c r="D135" s="22" t="s">
        <v>185</v>
      </c>
      <c r="E135" s="59" t="s">
        <v>768</v>
      </c>
      <c r="F135" s="25" t="s">
        <v>894</v>
      </c>
      <c r="G135" s="62" t="s">
        <v>723</v>
      </c>
      <c r="H135" s="52" t="s">
        <v>723</v>
      </c>
      <c r="I135" s="53" t="s">
        <v>723</v>
      </c>
      <c r="J135" s="22" t="s">
        <v>85</v>
      </c>
      <c r="K135" s="53" t="s">
        <v>687</v>
      </c>
      <c r="L135" s="22" t="s">
        <v>688</v>
      </c>
      <c r="M135" s="54">
        <v>44042.0</v>
      </c>
      <c r="N135" s="55" t="s">
        <v>735</v>
      </c>
      <c r="O135" s="64" t="s">
        <v>736</v>
      </c>
      <c r="P135" s="57" t="s">
        <v>721</v>
      </c>
      <c r="Q135" s="57" t="s">
        <v>721</v>
      </c>
      <c r="R135" s="58"/>
      <c r="S135" s="58"/>
      <c r="T135" s="58"/>
      <c r="U135" s="58"/>
      <c r="V135" s="58"/>
      <c r="W135" s="58"/>
      <c r="X135" s="58"/>
      <c r="Y135" s="58"/>
      <c r="Z135" s="58"/>
    </row>
    <row r="136" ht="15.75" customHeight="1">
      <c r="A136" s="21" t="s">
        <v>897</v>
      </c>
      <c r="B136" s="52" t="s">
        <v>52</v>
      </c>
      <c r="C136" s="53" t="s">
        <v>898</v>
      </c>
      <c r="D136" s="22" t="s">
        <v>185</v>
      </c>
      <c r="E136" s="53" t="s">
        <v>713</v>
      </c>
      <c r="F136" s="22">
        <v>12.0</v>
      </c>
      <c r="G136" s="62" t="s">
        <v>723</v>
      </c>
      <c r="H136" s="52" t="s">
        <v>723</v>
      </c>
      <c r="I136" s="53" t="s">
        <v>723</v>
      </c>
      <c r="J136" s="22" t="s">
        <v>85</v>
      </c>
      <c r="K136" s="53" t="s">
        <v>687</v>
      </c>
      <c r="L136" s="22" t="s">
        <v>688</v>
      </c>
      <c r="M136" s="54">
        <v>44042.0</v>
      </c>
      <c r="N136" s="55" t="s">
        <v>735</v>
      </c>
      <c r="O136" s="64" t="s">
        <v>736</v>
      </c>
      <c r="P136" s="57" t="s">
        <v>721</v>
      </c>
      <c r="Q136" s="57" t="s">
        <v>721</v>
      </c>
      <c r="R136" s="58"/>
      <c r="S136" s="58"/>
      <c r="T136" s="58"/>
      <c r="U136" s="58"/>
      <c r="V136" s="58"/>
      <c r="W136" s="58"/>
      <c r="X136" s="58"/>
      <c r="Y136" s="58"/>
      <c r="Z136" s="58"/>
    </row>
    <row r="137" ht="15.75" customHeight="1">
      <c r="A137" s="21" t="s">
        <v>899</v>
      </c>
      <c r="B137" s="52" t="s">
        <v>52</v>
      </c>
      <c r="C137" s="53" t="s">
        <v>900</v>
      </c>
      <c r="D137" s="22" t="s">
        <v>185</v>
      </c>
      <c r="E137" s="53" t="s">
        <v>713</v>
      </c>
      <c r="F137" s="22">
        <v>49.0</v>
      </c>
      <c r="G137" s="62" t="s">
        <v>723</v>
      </c>
      <c r="H137" s="52" t="s">
        <v>723</v>
      </c>
      <c r="I137" s="53" t="s">
        <v>723</v>
      </c>
      <c r="J137" s="22" t="s">
        <v>85</v>
      </c>
      <c r="K137" s="53" t="s">
        <v>687</v>
      </c>
      <c r="L137" s="22" t="s">
        <v>688</v>
      </c>
      <c r="M137" s="54">
        <v>44042.0</v>
      </c>
      <c r="N137" s="55" t="s">
        <v>735</v>
      </c>
      <c r="O137" s="64" t="s">
        <v>736</v>
      </c>
      <c r="P137" s="57" t="s">
        <v>721</v>
      </c>
      <c r="Q137" s="57" t="s">
        <v>721</v>
      </c>
      <c r="R137" s="58"/>
      <c r="S137" s="58"/>
      <c r="T137" s="58"/>
      <c r="U137" s="58"/>
      <c r="V137" s="58"/>
      <c r="W137" s="58"/>
      <c r="X137" s="58"/>
      <c r="Y137" s="58"/>
      <c r="Z137" s="58"/>
    </row>
    <row r="138" ht="15.75" customHeight="1">
      <c r="A138" s="21" t="s">
        <v>901</v>
      </c>
      <c r="B138" s="52" t="s">
        <v>52</v>
      </c>
      <c r="C138" s="53" t="s">
        <v>902</v>
      </c>
      <c r="D138" s="22" t="s">
        <v>185</v>
      </c>
      <c r="E138" s="59" t="s">
        <v>768</v>
      </c>
      <c r="F138" s="25" t="s">
        <v>894</v>
      </c>
      <c r="G138" s="62" t="s">
        <v>723</v>
      </c>
      <c r="H138" s="52" t="s">
        <v>723</v>
      </c>
      <c r="I138" s="53" t="s">
        <v>723</v>
      </c>
      <c r="J138" s="22" t="s">
        <v>85</v>
      </c>
      <c r="K138" s="53" t="s">
        <v>687</v>
      </c>
      <c r="L138" s="22" t="s">
        <v>688</v>
      </c>
      <c r="M138" s="54">
        <v>44042.0</v>
      </c>
      <c r="N138" s="55" t="s">
        <v>735</v>
      </c>
      <c r="O138" s="64" t="s">
        <v>736</v>
      </c>
      <c r="P138" s="57" t="s">
        <v>721</v>
      </c>
      <c r="Q138" s="57" t="s">
        <v>721</v>
      </c>
      <c r="R138" s="58"/>
      <c r="S138" s="58"/>
      <c r="T138" s="58"/>
      <c r="U138" s="58"/>
      <c r="V138" s="58"/>
      <c r="W138" s="58"/>
      <c r="X138" s="58"/>
      <c r="Y138" s="58"/>
      <c r="Z138" s="58"/>
    </row>
    <row r="139" ht="15.75" customHeight="1">
      <c r="A139" s="21" t="s">
        <v>903</v>
      </c>
      <c r="B139" s="52" t="s">
        <v>52</v>
      </c>
      <c r="C139" s="52" t="s">
        <v>904</v>
      </c>
      <c r="D139" s="22" t="s">
        <v>185</v>
      </c>
      <c r="E139" s="73" t="s">
        <v>768</v>
      </c>
      <c r="F139" s="26" t="s">
        <v>894</v>
      </c>
      <c r="G139" s="62" t="s">
        <v>723</v>
      </c>
      <c r="H139" s="52" t="s">
        <v>723</v>
      </c>
      <c r="I139" s="53" t="s">
        <v>723</v>
      </c>
      <c r="J139" s="21" t="s">
        <v>85</v>
      </c>
      <c r="K139" s="53" t="s">
        <v>687</v>
      </c>
      <c r="L139" s="22" t="s">
        <v>688</v>
      </c>
      <c r="M139" s="54">
        <v>44042.0</v>
      </c>
      <c r="N139" s="55" t="s">
        <v>735</v>
      </c>
      <c r="O139" s="64" t="s">
        <v>736</v>
      </c>
      <c r="P139" s="57" t="s">
        <v>721</v>
      </c>
      <c r="Q139" s="57" t="s">
        <v>721</v>
      </c>
      <c r="R139" s="58"/>
      <c r="S139" s="58"/>
      <c r="T139" s="58"/>
      <c r="U139" s="58"/>
      <c r="V139" s="58"/>
      <c r="W139" s="58"/>
      <c r="X139" s="58"/>
      <c r="Y139" s="58"/>
      <c r="Z139" s="58"/>
    </row>
    <row r="140" ht="15.75" customHeight="1">
      <c r="A140" s="21" t="s">
        <v>905</v>
      </c>
      <c r="B140" s="52" t="s">
        <v>197</v>
      </c>
      <c r="C140" s="52" t="s">
        <v>906</v>
      </c>
      <c r="D140" s="22" t="s">
        <v>185</v>
      </c>
      <c r="E140" s="52" t="s">
        <v>713</v>
      </c>
      <c r="F140" s="21">
        <v>9.0</v>
      </c>
      <c r="G140" s="62" t="s">
        <v>723</v>
      </c>
      <c r="H140" s="52" t="s">
        <v>723</v>
      </c>
      <c r="I140" s="53" t="s">
        <v>723</v>
      </c>
      <c r="J140" s="21" t="s">
        <v>85</v>
      </c>
      <c r="K140" s="53" t="s">
        <v>687</v>
      </c>
      <c r="L140" s="22" t="s">
        <v>760</v>
      </c>
      <c r="M140" s="54">
        <v>44041.0</v>
      </c>
      <c r="N140" s="55" t="s">
        <v>692</v>
      </c>
      <c r="O140" s="56" t="s">
        <v>690</v>
      </c>
      <c r="P140" s="57" t="s">
        <v>724</v>
      </c>
      <c r="Q140" s="57" t="s">
        <v>724</v>
      </c>
      <c r="R140" s="58"/>
      <c r="S140" s="58"/>
      <c r="T140" s="58"/>
      <c r="U140" s="58"/>
      <c r="V140" s="58"/>
      <c r="W140" s="58"/>
      <c r="X140" s="58"/>
      <c r="Y140" s="58"/>
      <c r="Z140" s="58"/>
    </row>
    <row r="141" ht="15.75" customHeight="1">
      <c r="A141" s="21" t="s">
        <v>907</v>
      </c>
      <c r="B141" s="52" t="s">
        <v>197</v>
      </c>
      <c r="C141" s="52" t="s">
        <v>908</v>
      </c>
      <c r="D141" s="22" t="s">
        <v>185</v>
      </c>
      <c r="E141" s="52" t="s">
        <v>713</v>
      </c>
      <c r="F141" s="21">
        <v>10.0</v>
      </c>
      <c r="G141" s="62" t="s">
        <v>723</v>
      </c>
      <c r="H141" s="52" t="s">
        <v>723</v>
      </c>
      <c r="I141" s="53" t="s">
        <v>723</v>
      </c>
      <c r="J141" s="21" t="s">
        <v>85</v>
      </c>
      <c r="K141" s="53" t="s">
        <v>687</v>
      </c>
      <c r="L141" s="22" t="s">
        <v>760</v>
      </c>
      <c r="M141" s="54">
        <v>44041.0</v>
      </c>
      <c r="N141" s="55" t="s">
        <v>692</v>
      </c>
      <c r="O141" s="56" t="s">
        <v>690</v>
      </c>
      <c r="P141" s="57" t="s">
        <v>724</v>
      </c>
      <c r="Q141" s="57" t="s">
        <v>724</v>
      </c>
      <c r="R141" s="58"/>
      <c r="S141" s="58"/>
      <c r="T141" s="58"/>
      <c r="U141" s="58"/>
      <c r="V141" s="58"/>
      <c r="W141" s="58"/>
      <c r="X141" s="58"/>
      <c r="Y141" s="58"/>
      <c r="Z141" s="58"/>
    </row>
    <row r="142" ht="15.75" customHeight="1">
      <c r="A142" s="21" t="s">
        <v>909</v>
      </c>
      <c r="B142" s="52" t="s">
        <v>44</v>
      </c>
      <c r="C142" s="52" t="s">
        <v>910</v>
      </c>
      <c r="D142" s="22" t="s">
        <v>185</v>
      </c>
      <c r="E142" s="52" t="s">
        <v>694</v>
      </c>
      <c r="F142" s="21">
        <v>41.0</v>
      </c>
      <c r="G142" s="62" t="s">
        <v>723</v>
      </c>
      <c r="H142" s="52" t="s">
        <v>723</v>
      </c>
      <c r="I142" s="53" t="s">
        <v>723</v>
      </c>
      <c r="J142" s="21" t="s">
        <v>85</v>
      </c>
      <c r="K142" s="53" t="s">
        <v>687</v>
      </c>
      <c r="L142" s="22" t="s">
        <v>760</v>
      </c>
      <c r="M142" s="54">
        <v>44041.0</v>
      </c>
      <c r="N142" s="55" t="s">
        <v>692</v>
      </c>
      <c r="O142" s="56" t="s">
        <v>690</v>
      </c>
      <c r="P142" s="57" t="s">
        <v>724</v>
      </c>
      <c r="Q142" s="57" t="s">
        <v>724</v>
      </c>
      <c r="R142" s="58"/>
      <c r="S142" s="58"/>
      <c r="T142" s="58"/>
      <c r="U142" s="58"/>
      <c r="V142" s="58"/>
      <c r="W142" s="58"/>
      <c r="X142" s="58"/>
      <c r="Y142" s="58"/>
      <c r="Z142" s="58"/>
    </row>
    <row r="143" ht="15.75" customHeight="1">
      <c r="A143" s="21" t="s">
        <v>911</v>
      </c>
      <c r="B143" s="52" t="s">
        <v>197</v>
      </c>
      <c r="C143" s="53" t="s">
        <v>912</v>
      </c>
      <c r="D143" s="22" t="s">
        <v>185</v>
      </c>
      <c r="E143" s="53" t="s">
        <v>698</v>
      </c>
      <c r="F143" s="27">
        <v>43709.65902777778</v>
      </c>
      <c r="G143" s="53" t="s">
        <v>686</v>
      </c>
      <c r="H143" s="22" t="s">
        <v>91</v>
      </c>
      <c r="I143" s="22" t="s">
        <v>91</v>
      </c>
      <c r="J143" s="22" t="s">
        <v>85</v>
      </c>
      <c r="K143" s="53" t="s">
        <v>687</v>
      </c>
      <c r="L143" s="22" t="s">
        <v>810</v>
      </c>
      <c r="M143" s="54">
        <v>44042.0</v>
      </c>
      <c r="N143" s="55" t="s">
        <v>913</v>
      </c>
      <c r="O143" s="56" t="s">
        <v>914</v>
      </c>
      <c r="P143" s="57" t="s">
        <v>782</v>
      </c>
      <c r="Q143" s="57" t="s">
        <v>782</v>
      </c>
      <c r="R143" s="58"/>
      <c r="S143" s="58"/>
      <c r="T143" s="58"/>
      <c r="U143" s="58"/>
      <c r="V143" s="58"/>
      <c r="W143" s="58"/>
      <c r="X143" s="58"/>
      <c r="Y143" s="58"/>
      <c r="Z143" s="58"/>
    </row>
    <row r="144" ht="15.75" customHeight="1">
      <c r="A144" s="21" t="s">
        <v>915</v>
      </c>
      <c r="B144" s="52" t="s">
        <v>152</v>
      </c>
      <c r="C144" s="53" t="s">
        <v>916</v>
      </c>
      <c r="D144" s="22" t="s">
        <v>185</v>
      </c>
      <c r="E144" s="53" t="s">
        <v>685</v>
      </c>
      <c r="F144" s="22" t="s">
        <v>917</v>
      </c>
      <c r="G144" s="53" t="s">
        <v>686</v>
      </c>
      <c r="H144" s="22" t="s">
        <v>91</v>
      </c>
      <c r="I144" s="22" t="s">
        <v>91</v>
      </c>
      <c r="J144" s="22" t="s">
        <v>85</v>
      </c>
      <c r="K144" s="53" t="s">
        <v>687</v>
      </c>
      <c r="L144" s="22" t="s">
        <v>810</v>
      </c>
      <c r="M144" s="54">
        <v>44042.0</v>
      </c>
      <c r="N144" s="55" t="s">
        <v>913</v>
      </c>
      <c r="O144" s="56" t="s">
        <v>914</v>
      </c>
      <c r="P144" s="57" t="s">
        <v>782</v>
      </c>
      <c r="Q144" s="57" t="s">
        <v>782</v>
      </c>
      <c r="R144" s="58"/>
      <c r="S144" s="58"/>
      <c r="T144" s="58"/>
      <c r="U144" s="58"/>
      <c r="V144" s="58"/>
      <c r="W144" s="58"/>
      <c r="X144" s="58"/>
      <c r="Y144" s="58"/>
      <c r="Z144" s="58"/>
    </row>
    <row r="145" ht="15.75" customHeight="1">
      <c r="A145" s="21" t="s">
        <v>481</v>
      </c>
      <c r="B145" s="52" t="s">
        <v>197</v>
      </c>
      <c r="C145" s="52" t="s">
        <v>918</v>
      </c>
      <c r="D145" s="22" t="s">
        <v>185</v>
      </c>
      <c r="E145" s="52" t="s">
        <v>768</v>
      </c>
      <c r="F145" s="21">
        <v>36.0</v>
      </c>
      <c r="G145" s="62" t="s">
        <v>723</v>
      </c>
      <c r="H145" s="52" t="s">
        <v>723</v>
      </c>
      <c r="I145" s="53" t="s">
        <v>723</v>
      </c>
      <c r="J145" s="21" t="s">
        <v>85</v>
      </c>
      <c r="K145" s="53" t="s">
        <v>687</v>
      </c>
      <c r="L145" s="22" t="s">
        <v>760</v>
      </c>
      <c r="M145" s="54">
        <v>44041.0</v>
      </c>
      <c r="N145" s="55" t="s">
        <v>692</v>
      </c>
      <c r="O145" s="56" t="s">
        <v>690</v>
      </c>
      <c r="P145" s="57" t="s">
        <v>724</v>
      </c>
      <c r="Q145" s="57" t="s">
        <v>724</v>
      </c>
      <c r="R145" s="58"/>
      <c r="S145" s="58"/>
      <c r="T145" s="58"/>
      <c r="U145" s="58"/>
      <c r="V145" s="58"/>
      <c r="W145" s="58"/>
      <c r="X145" s="58"/>
      <c r="Y145" s="58"/>
      <c r="Z145" s="58"/>
    </row>
    <row r="146" ht="15.75" customHeight="1">
      <c r="A146" s="21" t="s">
        <v>483</v>
      </c>
      <c r="B146" s="52" t="s">
        <v>197</v>
      </c>
      <c r="C146" s="52" t="s">
        <v>919</v>
      </c>
      <c r="D146" s="22" t="s">
        <v>185</v>
      </c>
      <c r="E146" s="52" t="s">
        <v>768</v>
      </c>
      <c r="F146" s="21">
        <v>24.0</v>
      </c>
      <c r="G146" s="62" t="s">
        <v>723</v>
      </c>
      <c r="H146" s="52" t="s">
        <v>723</v>
      </c>
      <c r="I146" s="53" t="s">
        <v>723</v>
      </c>
      <c r="J146" s="21" t="s">
        <v>85</v>
      </c>
      <c r="K146" s="53" t="s">
        <v>687</v>
      </c>
      <c r="L146" s="22" t="s">
        <v>760</v>
      </c>
      <c r="M146" s="54">
        <v>44041.0</v>
      </c>
      <c r="N146" s="55" t="s">
        <v>692</v>
      </c>
      <c r="O146" s="56" t="s">
        <v>690</v>
      </c>
      <c r="P146" s="57" t="s">
        <v>724</v>
      </c>
      <c r="Q146" s="57" t="s">
        <v>724</v>
      </c>
      <c r="R146" s="58"/>
      <c r="S146" s="58"/>
      <c r="T146" s="58"/>
      <c r="U146" s="58"/>
      <c r="V146" s="58"/>
      <c r="W146" s="58"/>
      <c r="X146" s="58"/>
      <c r="Y146" s="58"/>
      <c r="Z146" s="58"/>
    </row>
    <row r="147" ht="15.75" customHeight="1">
      <c r="A147" s="21" t="s">
        <v>485</v>
      </c>
      <c r="B147" s="52" t="s">
        <v>44</v>
      </c>
      <c r="C147" s="52" t="s">
        <v>920</v>
      </c>
      <c r="D147" s="22" t="s">
        <v>185</v>
      </c>
      <c r="E147" s="52" t="s">
        <v>713</v>
      </c>
      <c r="F147" s="21">
        <v>19.0</v>
      </c>
      <c r="G147" s="62" t="s">
        <v>723</v>
      </c>
      <c r="H147" s="52" t="s">
        <v>723</v>
      </c>
      <c r="I147" s="53" t="s">
        <v>723</v>
      </c>
      <c r="J147" s="21" t="s">
        <v>85</v>
      </c>
      <c r="K147" s="53" t="s">
        <v>687</v>
      </c>
      <c r="L147" s="22" t="s">
        <v>760</v>
      </c>
      <c r="M147" s="54">
        <v>44041.0</v>
      </c>
      <c r="N147" s="74" t="s">
        <v>692</v>
      </c>
      <c r="O147" s="64" t="s">
        <v>736</v>
      </c>
      <c r="P147" s="57" t="s">
        <v>724</v>
      </c>
      <c r="Q147" s="57" t="s">
        <v>724</v>
      </c>
      <c r="R147" s="58"/>
      <c r="S147" s="58"/>
      <c r="T147" s="58"/>
      <c r="U147" s="58"/>
      <c r="V147" s="58"/>
      <c r="W147" s="58"/>
      <c r="X147" s="58"/>
      <c r="Y147" s="58"/>
      <c r="Z147" s="58"/>
    </row>
    <row r="148" ht="15.75" customHeight="1">
      <c r="A148" s="21" t="s">
        <v>487</v>
      </c>
      <c r="B148" s="52" t="s">
        <v>197</v>
      </c>
      <c r="C148" s="52" t="s">
        <v>488</v>
      </c>
      <c r="D148" s="22" t="s">
        <v>185</v>
      </c>
      <c r="E148" s="52" t="s">
        <v>768</v>
      </c>
      <c r="F148" s="21">
        <v>23.0</v>
      </c>
      <c r="G148" s="62" t="s">
        <v>723</v>
      </c>
      <c r="H148" s="52" t="s">
        <v>723</v>
      </c>
      <c r="I148" s="53" t="s">
        <v>723</v>
      </c>
      <c r="J148" s="21" t="s">
        <v>85</v>
      </c>
      <c r="K148" s="53" t="s">
        <v>687</v>
      </c>
      <c r="L148" s="22" t="s">
        <v>760</v>
      </c>
      <c r="M148" s="54">
        <v>44041.0</v>
      </c>
      <c r="N148" s="55" t="s">
        <v>692</v>
      </c>
      <c r="O148" s="56" t="s">
        <v>690</v>
      </c>
      <c r="P148" s="57" t="s">
        <v>724</v>
      </c>
      <c r="Q148" s="57" t="s">
        <v>724</v>
      </c>
      <c r="R148" s="58"/>
      <c r="S148" s="58"/>
      <c r="T148" s="58"/>
      <c r="U148" s="58"/>
      <c r="V148" s="58"/>
      <c r="W148" s="58"/>
      <c r="X148" s="58"/>
      <c r="Y148" s="58"/>
      <c r="Z148" s="58"/>
    </row>
    <row r="149" ht="15.75" customHeight="1">
      <c r="A149" s="21" t="s">
        <v>489</v>
      </c>
      <c r="B149" s="52" t="s">
        <v>152</v>
      </c>
      <c r="C149" s="53" t="s">
        <v>490</v>
      </c>
      <c r="D149" s="22" t="s">
        <v>185</v>
      </c>
      <c r="E149" s="53" t="s">
        <v>685</v>
      </c>
      <c r="F149" s="22" t="s">
        <v>921</v>
      </c>
      <c r="G149" s="22" t="s">
        <v>476</v>
      </c>
      <c r="H149" s="22" t="s">
        <v>476</v>
      </c>
      <c r="I149" s="22" t="s">
        <v>476</v>
      </c>
      <c r="J149" s="22" t="s">
        <v>85</v>
      </c>
      <c r="K149" s="53" t="s">
        <v>749</v>
      </c>
      <c r="L149" s="22" t="s">
        <v>749</v>
      </c>
      <c r="M149" s="54">
        <v>43983.0</v>
      </c>
      <c r="N149" s="55" t="s">
        <v>692</v>
      </c>
      <c r="O149" s="56" t="s">
        <v>690</v>
      </c>
      <c r="P149" s="57" t="s">
        <v>782</v>
      </c>
      <c r="Q149" s="57" t="s">
        <v>782</v>
      </c>
      <c r="R149" s="58"/>
      <c r="S149" s="58"/>
      <c r="T149" s="58"/>
      <c r="U149" s="58"/>
      <c r="V149" s="58"/>
      <c r="W149" s="58"/>
      <c r="X149" s="58"/>
      <c r="Y149" s="58"/>
      <c r="Z149" s="58"/>
    </row>
    <row r="150" ht="15.75" customHeight="1">
      <c r="A150" s="21" t="s">
        <v>491</v>
      </c>
      <c r="B150" s="52" t="s">
        <v>152</v>
      </c>
      <c r="C150" s="53" t="s">
        <v>492</v>
      </c>
      <c r="D150" s="22" t="s">
        <v>185</v>
      </c>
      <c r="E150" s="53" t="s">
        <v>685</v>
      </c>
      <c r="F150" s="22" t="s">
        <v>922</v>
      </c>
      <c r="G150" s="22" t="s">
        <v>476</v>
      </c>
      <c r="H150" s="22" t="s">
        <v>476</v>
      </c>
      <c r="I150" s="22" t="s">
        <v>476</v>
      </c>
      <c r="J150" s="22" t="s">
        <v>85</v>
      </c>
      <c r="K150" s="53" t="s">
        <v>749</v>
      </c>
      <c r="L150" s="22" t="s">
        <v>749</v>
      </c>
      <c r="M150" s="54">
        <v>43983.0</v>
      </c>
      <c r="N150" s="55" t="s">
        <v>692</v>
      </c>
      <c r="O150" s="56" t="s">
        <v>690</v>
      </c>
      <c r="P150" s="57" t="s">
        <v>782</v>
      </c>
      <c r="Q150" s="57" t="s">
        <v>782</v>
      </c>
      <c r="R150" s="58"/>
      <c r="S150" s="58"/>
      <c r="T150" s="58"/>
      <c r="U150" s="58"/>
      <c r="V150" s="58"/>
      <c r="W150" s="58"/>
      <c r="X150" s="58"/>
      <c r="Y150" s="58"/>
      <c r="Z150" s="58"/>
    </row>
    <row r="151" ht="15.75" customHeight="1">
      <c r="A151" s="21" t="s">
        <v>493</v>
      </c>
      <c r="B151" s="52" t="s">
        <v>152</v>
      </c>
      <c r="C151" s="53" t="s">
        <v>494</v>
      </c>
      <c r="D151" s="22" t="s">
        <v>185</v>
      </c>
      <c r="E151" s="53" t="s">
        <v>685</v>
      </c>
      <c r="F151" s="22" t="s">
        <v>923</v>
      </c>
      <c r="G151" s="22" t="s">
        <v>476</v>
      </c>
      <c r="H151" s="22" t="s">
        <v>476</v>
      </c>
      <c r="I151" s="22" t="s">
        <v>476</v>
      </c>
      <c r="J151" s="22" t="s">
        <v>85</v>
      </c>
      <c r="K151" s="53" t="s">
        <v>749</v>
      </c>
      <c r="L151" s="22" t="s">
        <v>749</v>
      </c>
      <c r="M151" s="54">
        <v>43983.0</v>
      </c>
      <c r="N151" s="55" t="s">
        <v>692</v>
      </c>
      <c r="O151" s="56" t="s">
        <v>690</v>
      </c>
      <c r="P151" s="57" t="s">
        <v>782</v>
      </c>
      <c r="Q151" s="57" t="s">
        <v>782</v>
      </c>
      <c r="R151" s="58"/>
      <c r="S151" s="58"/>
      <c r="T151" s="58"/>
      <c r="U151" s="58"/>
      <c r="V151" s="58"/>
      <c r="W151" s="58"/>
      <c r="X151" s="58"/>
      <c r="Y151" s="58"/>
      <c r="Z151" s="58"/>
    </row>
    <row r="152" ht="15.75" customHeight="1">
      <c r="A152" s="21" t="s">
        <v>495</v>
      </c>
      <c r="B152" s="52" t="s">
        <v>44</v>
      </c>
      <c r="C152" s="53" t="s">
        <v>496</v>
      </c>
      <c r="D152" s="22" t="s">
        <v>185</v>
      </c>
      <c r="E152" s="53" t="s">
        <v>685</v>
      </c>
      <c r="F152" s="22" t="s">
        <v>924</v>
      </c>
      <c r="G152" s="22" t="s">
        <v>476</v>
      </c>
      <c r="H152" s="22" t="s">
        <v>476</v>
      </c>
      <c r="I152" s="22" t="s">
        <v>476</v>
      </c>
      <c r="J152" s="22" t="s">
        <v>85</v>
      </c>
      <c r="K152" s="53" t="s">
        <v>749</v>
      </c>
      <c r="L152" s="22" t="s">
        <v>749</v>
      </c>
      <c r="M152" s="54">
        <v>43983.0</v>
      </c>
      <c r="N152" s="55" t="s">
        <v>692</v>
      </c>
      <c r="O152" s="56" t="s">
        <v>690</v>
      </c>
      <c r="P152" s="57" t="s">
        <v>782</v>
      </c>
      <c r="Q152" s="57" t="s">
        <v>782</v>
      </c>
      <c r="R152" s="58"/>
      <c r="S152" s="58"/>
      <c r="T152" s="58"/>
      <c r="U152" s="58"/>
      <c r="V152" s="58"/>
      <c r="W152" s="58"/>
      <c r="X152" s="58"/>
      <c r="Y152" s="58"/>
      <c r="Z152" s="58"/>
    </row>
    <row r="153" ht="15.75" customHeight="1">
      <c r="A153" s="21" t="s">
        <v>497</v>
      </c>
      <c r="B153" s="52" t="s">
        <v>152</v>
      </c>
      <c r="C153" s="53" t="s">
        <v>498</v>
      </c>
      <c r="D153" s="22" t="s">
        <v>185</v>
      </c>
      <c r="E153" s="53" t="s">
        <v>685</v>
      </c>
      <c r="F153" s="22" t="s">
        <v>925</v>
      </c>
      <c r="G153" s="22" t="s">
        <v>476</v>
      </c>
      <c r="H153" s="22" t="s">
        <v>476</v>
      </c>
      <c r="I153" s="22" t="s">
        <v>476</v>
      </c>
      <c r="J153" s="22" t="s">
        <v>85</v>
      </c>
      <c r="K153" s="53" t="s">
        <v>749</v>
      </c>
      <c r="L153" s="22" t="s">
        <v>749</v>
      </c>
      <c r="M153" s="54">
        <v>43983.0</v>
      </c>
      <c r="N153" s="55" t="s">
        <v>692</v>
      </c>
      <c r="O153" s="56" t="s">
        <v>690</v>
      </c>
      <c r="P153" s="57" t="s">
        <v>782</v>
      </c>
      <c r="Q153" s="57" t="s">
        <v>782</v>
      </c>
      <c r="R153" s="58"/>
      <c r="S153" s="58"/>
      <c r="T153" s="58"/>
      <c r="U153" s="58"/>
      <c r="V153" s="58"/>
      <c r="W153" s="58"/>
      <c r="X153" s="58"/>
      <c r="Y153" s="58"/>
      <c r="Z153" s="58"/>
    </row>
    <row r="154" ht="15.75" customHeight="1">
      <c r="A154" s="21" t="s">
        <v>499</v>
      </c>
      <c r="B154" s="52" t="s">
        <v>152</v>
      </c>
      <c r="C154" s="53" t="s">
        <v>500</v>
      </c>
      <c r="D154" s="22" t="s">
        <v>185</v>
      </c>
      <c r="E154" s="53" t="s">
        <v>685</v>
      </c>
      <c r="F154" s="22" t="s">
        <v>926</v>
      </c>
      <c r="G154" s="22" t="s">
        <v>476</v>
      </c>
      <c r="H154" s="22" t="s">
        <v>476</v>
      </c>
      <c r="I154" s="22" t="s">
        <v>476</v>
      </c>
      <c r="J154" s="22" t="s">
        <v>85</v>
      </c>
      <c r="K154" s="53" t="s">
        <v>749</v>
      </c>
      <c r="L154" s="22" t="s">
        <v>749</v>
      </c>
      <c r="M154" s="54">
        <v>43983.0</v>
      </c>
      <c r="N154" s="55" t="s">
        <v>692</v>
      </c>
      <c r="O154" s="56" t="s">
        <v>690</v>
      </c>
      <c r="P154" s="57" t="s">
        <v>782</v>
      </c>
      <c r="Q154" s="57" t="s">
        <v>782</v>
      </c>
      <c r="R154" s="58"/>
      <c r="S154" s="58"/>
      <c r="T154" s="58"/>
      <c r="U154" s="58"/>
      <c r="V154" s="58"/>
      <c r="W154" s="58"/>
      <c r="X154" s="58"/>
      <c r="Y154" s="58"/>
      <c r="Z154" s="58"/>
    </row>
    <row r="155" ht="15.75" customHeight="1">
      <c r="A155" s="21" t="s">
        <v>501</v>
      </c>
      <c r="B155" s="52" t="s">
        <v>152</v>
      </c>
      <c r="C155" s="53" t="s">
        <v>502</v>
      </c>
      <c r="D155" s="22" t="s">
        <v>185</v>
      </c>
      <c r="E155" s="53" t="s">
        <v>685</v>
      </c>
      <c r="F155" s="22" t="s">
        <v>927</v>
      </c>
      <c r="G155" s="22" t="s">
        <v>476</v>
      </c>
      <c r="H155" s="22" t="s">
        <v>476</v>
      </c>
      <c r="I155" s="22" t="s">
        <v>476</v>
      </c>
      <c r="J155" s="22" t="s">
        <v>85</v>
      </c>
      <c r="K155" s="53" t="s">
        <v>749</v>
      </c>
      <c r="L155" s="22" t="s">
        <v>749</v>
      </c>
      <c r="M155" s="54">
        <v>43983.0</v>
      </c>
      <c r="N155" s="55" t="s">
        <v>692</v>
      </c>
      <c r="O155" s="56" t="s">
        <v>690</v>
      </c>
      <c r="P155" s="57" t="s">
        <v>782</v>
      </c>
      <c r="Q155" s="57" t="s">
        <v>782</v>
      </c>
      <c r="R155" s="58"/>
      <c r="S155" s="58"/>
      <c r="T155" s="58"/>
      <c r="U155" s="58"/>
      <c r="V155" s="58"/>
      <c r="W155" s="58"/>
      <c r="X155" s="58"/>
      <c r="Y155" s="58"/>
      <c r="Z155" s="58"/>
    </row>
    <row r="156" ht="15.75" customHeight="1">
      <c r="A156" s="21" t="s">
        <v>503</v>
      </c>
      <c r="B156" s="52" t="s">
        <v>44</v>
      </c>
      <c r="C156" s="53" t="s">
        <v>504</v>
      </c>
      <c r="D156" s="22" t="s">
        <v>185</v>
      </c>
      <c r="E156" s="53" t="s">
        <v>685</v>
      </c>
      <c r="F156" s="22" t="s">
        <v>928</v>
      </c>
      <c r="G156" s="22" t="s">
        <v>476</v>
      </c>
      <c r="H156" s="22" t="s">
        <v>476</v>
      </c>
      <c r="I156" s="22" t="s">
        <v>476</v>
      </c>
      <c r="J156" s="22" t="s">
        <v>85</v>
      </c>
      <c r="K156" s="53" t="s">
        <v>749</v>
      </c>
      <c r="L156" s="22" t="s">
        <v>749</v>
      </c>
      <c r="M156" s="54">
        <v>43983.0</v>
      </c>
      <c r="N156" s="55" t="s">
        <v>692</v>
      </c>
      <c r="O156" s="56" t="s">
        <v>690</v>
      </c>
      <c r="P156" s="57" t="s">
        <v>782</v>
      </c>
      <c r="Q156" s="57" t="s">
        <v>782</v>
      </c>
      <c r="R156" s="58"/>
      <c r="S156" s="58"/>
      <c r="T156" s="58"/>
      <c r="U156" s="58"/>
      <c r="V156" s="58"/>
      <c r="W156" s="58"/>
      <c r="X156" s="58"/>
      <c r="Y156" s="58"/>
      <c r="Z156" s="58"/>
    </row>
    <row r="157" ht="15.75" customHeight="1">
      <c r="A157" s="21" t="s">
        <v>505</v>
      </c>
      <c r="B157" s="52" t="s">
        <v>152</v>
      </c>
      <c r="C157" s="53" t="s">
        <v>506</v>
      </c>
      <c r="D157" s="22" t="s">
        <v>185</v>
      </c>
      <c r="E157" s="53" t="s">
        <v>685</v>
      </c>
      <c r="F157" s="22" t="s">
        <v>921</v>
      </c>
      <c r="G157" s="22" t="s">
        <v>476</v>
      </c>
      <c r="H157" s="22" t="s">
        <v>476</v>
      </c>
      <c r="I157" s="22" t="s">
        <v>476</v>
      </c>
      <c r="J157" s="22" t="s">
        <v>85</v>
      </c>
      <c r="K157" s="53" t="s">
        <v>749</v>
      </c>
      <c r="L157" s="22" t="s">
        <v>749</v>
      </c>
      <c r="M157" s="54">
        <v>43983.0</v>
      </c>
      <c r="N157" s="55" t="s">
        <v>692</v>
      </c>
      <c r="O157" s="56" t="s">
        <v>690</v>
      </c>
      <c r="P157" s="57" t="s">
        <v>782</v>
      </c>
      <c r="Q157" s="57" t="s">
        <v>782</v>
      </c>
      <c r="R157" s="58"/>
      <c r="S157" s="58"/>
      <c r="T157" s="58"/>
      <c r="U157" s="58"/>
      <c r="V157" s="58"/>
      <c r="W157" s="58"/>
      <c r="X157" s="58"/>
      <c r="Y157" s="58"/>
      <c r="Z157" s="58"/>
    </row>
    <row r="158" ht="15.75" customHeight="1">
      <c r="A158" s="21" t="s">
        <v>507</v>
      </c>
      <c r="B158" s="52" t="s">
        <v>152</v>
      </c>
      <c r="C158" s="53" t="s">
        <v>508</v>
      </c>
      <c r="D158" s="22" t="s">
        <v>185</v>
      </c>
      <c r="E158" s="53" t="s">
        <v>685</v>
      </c>
      <c r="F158" s="22" t="s">
        <v>929</v>
      </c>
      <c r="G158" s="22" t="s">
        <v>476</v>
      </c>
      <c r="H158" s="22" t="s">
        <v>476</v>
      </c>
      <c r="I158" s="22" t="s">
        <v>476</v>
      </c>
      <c r="J158" s="22" t="s">
        <v>85</v>
      </c>
      <c r="K158" s="53" t="s">
        <v>749</v>
      </c>
      <c r="L158" s="22" t="s">
        <v>749</v>
      </c>
      <c r="M158" s="54">
        <v>43983.0</v>
      </c>
      <c r="N158" s="55" t="s">
        <v>692</v>
      </c>
      <c r="O158" s="56" t="s">
        <v>690</v>
      </c>
      <c r="P158" s="57" t="s">
        <v>782</v>
      </c>
      <c r="Q158" s="57" t="s">
        <v>782</v>
      </c>
      <c r="R158" s="58"/>
      <c r="S158" s="58"/>
      <c r="T158" s="58"/>
      <c r="U158" s="58"/>
      <c r="V158" s="58"/>
      <c r="W158" s="58"/>
      <c r="X158" s="58"/>
      <c r="Y158" s="58"/>
      <c r="Z158" s="58"/>
    </row>
    <row r="159" ht="15.75" customHeight="1">
      <c r="A159" s="21" t="s">
        <v>509</v>
      </c>
      <c r="B159" s="52" t="s">
        <v>152</v>
      </c>
      <c r="C159" s="53" t="s">
        <v>510</v>
      </c>
      <c r="D159" s="22" t="s">
        <v>185</v>
      </c>
      <c r="E159" s="53" t="s">
        <v>685</v>
      </c>
      <c r="F159" s="22" t="s">
        <v>930</v>
      </c>
      <c r="G159" s="22" t="s">
        <v>476</v>
      </c>
      <c r="H159" s="22" t="s">
        <v>476</v>
      </c>
      <c r="I159" s="22" t="s">
        <v>476</v>
      </c>
      <c r="J159" s="22" t="s">
        <v>85</v>
      </c>
      <c r="K159" s="53" t="s">
        <v>749</v>
      </c>
      <c r="L159" s="22" t="s">
        <v>749</v>
      </c>
      <c r="M159" s="54">
        <v>43983.0</v>
      </c>
      <c r="N159" s="55" t="s">
        <v>692</v>
      </c>
      <c r="O159" s="56" t="s">
        <v>690</v>
      </c>
      <c r="P159" s="57" t="s">
        <v>782</v>
      </c>
      <c r="Q159" s="57" t="s">
        <v>782</v>
      </c>
      <c r="R159" s="58"/>
      <c r="S159" s="58"/>
      <c r="T159" s="58"/>
      <c r="U159" s="58"/>
      <c r="V159" s="58"/>
      <c r="W159" s="58"/>
      <c r="X159" s="58"/>
      <c r="Y159" s="58"/>
      <c r="Z159" s="58"/>
    </row>
    <row r="160" ht="15.75" customHeight="1">
      <c r="A160" s="21" t="s">
        <v>511</v>
      </c>
      <c r="B160" s="52" t="s">
        <v>44</v>
      </c>
      <c r="C160" s="53" t="s">
        <v>512</v>
      </c>
      <c r="D160" s="22" t="s">
        <v>185</v>
      </c>
      <c r="E160" s="53" t="s">
        <v>685</v>
      </c>
      <c r="F160" s="22" t="s">
        <v>931</v>
      </c>
      <c r="G160" s="22" t="s">
        <v>476</v>
      </c>
      <c r="H160" s="22" t="s">
        <v>476</v>
      </c>
      <c r="I160" s="22" t="s">
        <v>476</v>
      </c>
      <c r="J160" s="22" t="s">
        <v>85</v>
      </c>
      <c r="K160" s="53" t="s">
        <v>749</v>
      </c>
      <c r="L160" s="22" t="s">
        <v>749</v>
      </c>
      <c r="M160" s="54">
        <v>43983.0</v>
      </c>
      <c r="N160" s="55" t="s">
        <v>692</v>
      </c>
      <c r="O160" s="56" t="s">
        <v>690</v>
      </c>
      <c r="P160" s="57" t="s">
        <v>782</v>
      </c>
      <c r="Q160" s="57" t="s">
        <v>782</v>
      </c>
      <c r="R160" s="58"/>
      <c r="S160" s="58"/>
      <c r="T160" s="58"/>
      <c r="U160" s="58"/>
      <c r="V160" s="58"/>
      <c r="W160" s="58"/>
      <c r="X160" s="58"/>
      <c r="Y160" s="58"/>
      <c r="Z160" s="58"/>
    </row>
    <row r="161" ht="15.75" customHeight="1">
      <c r="A161" s="21" t="s">
        <v>932</v>
      </c>
      <c r="B161" s="52" t="s">
        <v>197</v>
      </c>
      <c r="C161" s="52" t="s">
        <v>933</v>
      </c>
      <c r="D161" s="22" t="s">
        <v>185</v>
      </c>
      <c r="E161" s="52" t="s">
        <v>694</v>
      </c>
      <c r="F161" s="21">
        <v>140769.0</v>
      </c>
      <c r="G161" s="53" t="s">
        <v>723</v>
      </c>
      <c r="H161" s="21" t="s">
        <v>91</v>
      </c>
      <c r="I161" s="53" t="s">
        <v>723</v>
      </c>
      <c r="J161" s="21" t="s">
        <v>85</v>
      </c>
      <c r="K161" s="53" t="s">
        <v>687</v>
      </c>
      <c r="L161" s="22" t="s">
        <v>688</v>
      </c>
      <c r="M161" s="54">
        <v>44041.0</v>
      </c>
      <c r="N161" s="74" t="s">
        <v>701</v>
      </c>
      <c r="O161" s="56" t="s">
        <v>690</v>
      </c>
      <c r="P161" s="57" t="s">
        <v>724</v>
      </c>
      <c r="Q161" s="57" t="s">
        <v>724</v>
      </c>
      <c r="R161" s="58"/>
      <c r="S161" s="58"/>
      <c r="T161" s="58"/>
      <c r="U161" s="58"/>
      <c r="V161" s="58"/>
      <c r="W161" s="58"/>
      <c r="X161" s="58"/>
      <c r="Y161" s="58"/>
      <c r="Z161" s="58"/>
    </row>
    <row r="162" ht="15.75" customHeight="1">
      <c r="A162" s="23" t="s">
        <v>515</v>
      </c>
      <c r="B162" s="53" t="s">
        <v>46</v>
      </c>
      <c r="C162" s="53" t="s">
        <v>934</v>
      </c>
      <c r="D162" s="22" t="s">
        <v>185</v>
      </c>
      <c r="E162" s="62" t="s">
        <v>720</v>
      </c>
      <c r="F162" s="62" t="b">
        <v>1</v>
      </c>
      <c r="G162" s="65" t="s">
        <v>517</v>
      </c>
      <c r="H162" s="65" t="s">
        <v>517</v>
      </c>
      <c r="I162" s="65" t="s">
        <v>90</v>
      </c>
      <c r="J162" s="22" t="s">
        <v>85</v>
      </c>
      <c r="K162" s="53" t="s">
        <v>749</v>
      </c>
      <c r="L162" s="22" t="s">
        <v>714</v>
      </c>
      <c r="M162" s="54">
        <v>43770.0</v>
      </c>
      <c r="N162" s="55" t="s">
        <v>692</v>
      </c>
      <c r="O162" s="56" t="s">
        <v>690</v>
      </c>
      <c r="P162" s="57" t="s">
        <v>782</v>
      </c>
      <c r="Q162" s="57" t="s">
        <v>782</v>
      </c>
      <c r="R162" s="58"/>
      <c r="S162" s="58"/>
      <c r="T162" s="58"/>
      <c r="U162" s="58"/>
      <c r="V162" s="58"/>
      <c r="W162" s="58"/>
      <c r="X162" s="58"/>
      <c r="Y162" s="58"/>
      <c r="Z162" s="58"/>
    </row>
    <row r="163" ht="15.75" customHeight="1">
      <c r="A163" s="23" t="s">
        <v>518</v>
      </c>
      <c r="B163" s="53" t="s">
        <v>46</v>
      </c>
      <c r="C163" s="53" t="s">
        <v>935</v>
      </c>
      <c r="D163" s="22" t="s">
        <v>185</v>
      </c>
      <c r="E163" s="53" t="s">
        <v>685</v>
      </c>
      <c r="F163" s="53" t="s">
        <v>936</v>
      </c>
      <c r="G163" s="65" t="s">
        <v>517</v>
      </c>
      <c r="H163" s="65" t="s">
        <v>517</v>
      </c>
      <c r="I163" s="65" t="s">
        <v>90</v>
      </c>
      <c r="J163" s="22" t="s">
        <v>85</v>
      </c>
      <c r="K163" s="53" t="s">
        <v>749</v>
      </c>
      <c r="L163" s="22" t="s">
        <v>714</v>
      </c>
      <c r="M163" s="54">
        <v>43770.0</v>
      </c>
      <c r="N163" s="55" t="s">
        <v>692</v>
      </c>
      <c r="O163" s="56" t="s">
        <v>690</v>
      </c>
      <c r="P163" s="57" t="s">
        <v>782</v>
      </c>
      <c r="Q163" s="57" t="s">
        <v>782</v>
      </c>
      <c r="R163" s="58"/>
      <c r="S163" s="58"/>
      <c r="T163" s="58"/>
      <c r="U163" s="58"/>
      <c r="V163" s="58"/>
      <c r="W163" s="58"/>
      <c r="X163" s="58"/>
      <c r="Y163" s="58"/>
      <c r="Z163" s="58"/>
    </row>
    <row r="164" ht="15.75" customHeight="1">
      <c r="A164" s="23" t="s">
        <v>521</v>
      </c>
      <c r="B164" s="53" t="s">
        <v>46</v>
      </c>
      <c r="C164" s="53" t="s">
        <v>937</v>
      </c>
      <c r="D164" s="22" t="s">
        <v>185</v>
      </c>
      <c r="E164" s="75" t="s">
        <v>685</v>
      </c>
      <c r="F164" s="75" t="s">
        <v>938</v>
      </c>
      <c r="G164" s="65" t="s">
        <v>517</v>
      </c>
      <c r="H164" s="65" t="s">
        <v>517</v>
      </c>
      <c r="I164" s="65" t="s">
        <v>90</v>
      </c>
      <c r="J164" s="22" t="s">
        <v>85</v>
      </c>
      <c r="K164" s="53" t="s">
        <v>749</v>
      </c>
      <c r="L164" s="22" t="s">
        <v>714</v>
      </c>
      <c r="M164" s="54">
        <v>43770.0</v>
      </c>
      <c r="N164" s="55" t="s">
        <v>692</v>
      </c>
      <c r="O164" s="56" t="s">
        <v>690</v>
      </c>
      <c r="P164" s="57" t="s">
        <v>782</v>
      </c>
      <c r="Q164" s="57" t="s">
        <v>782</v>
      </c>
      <c r="R164" s="58"/>
      <c r="S164" s="58"/>
      <c r="T164" s="58"/>
      <c r="U164" s="58"/>
      <c r="V164" s="58"/>
      <c r="W164" s="58"/>
      <c r="X164" s="58"/>
      <c r="Y164" s="58"/>
      <c r="Z164" s="58"/>
    </row>
    <row r="165" ht="15.75" customHeight="1">
      <c r="A165" s="23" t="s">
        <v>524</v>
      </c>
      <c r="B165" s="53" t="s">
        <v>46</v>
      </c>
      <c r="C165" s="53" t="s">
        <v>939</v>
      </c>
      <c r="D165" s="22" t="s">
        <v>185</v>
      </c>
      <c r="E165" s="62" t="s">
        <v>720</v>
      </c>
      <c r="F165" s="62" t="b">
        <v>1</v>
      </c>
      <c r="G165" s="65" t="s">
        <v>517</v>
      </c>
      <c r="H165" s="65" t="s">
        <v>517</v>
      </c>
      <c r="I165" s="65" t="s">
        <v>90</v>
      </c>
      <c r="J165" s="22" t="s">
        <v>85</v>
      </c>
      <c r="K165" s="53" t="s">
        <v>749</v>
      </c>
      <c r="L165" s="22" t="s">
        <v>714</v>
      </c>
      <c r="M165" s="54">
        <v>43770.0</v>
      </c>
      <c r="N165" s="55" t="s">
        <v>692</v>
      </c>
      <c r="O165" s="56" t="s">
        <v>690</v>
      </c>
      <c r="P165" s="57" t="s">
        <v>782</v>
      </c>
      <c r="Q165" s="57" t="s">
        <v>782</v>
      </c>
      <c r="R165" s="58"/>
      <c r="S165" s="58"/>
      <c r="T165" s="58"/>
      <c r="U165" s="58"/>
      <c r="V165" s="58"/>
      <c r="W165" s="58"/>
      <c r="X165" s="58"/>
      <c r="Y165" s="58"/>
      <c r="Z165" s="58"/>
    </row>
    <row r="166" ht="15.75" customHeight="1">
      <c r="A166" s="23" t="s">
        <v>526</v>
      </c>
      <c r="B166" s="53" t="s">
        <v>46</v>
      </c>
      <c r="C166" s="53" t="s">
        <v>940</v>
      </c>
      <c r="D166" s="22" t="s">
        <v>185</v>
      </c>
      <c r="E166" s="53" t="s">
        <v>685</v>
      </c>
      <c r="F166" s="53" t="s">
        <v>936</v>
      </c>
      <c r="G166" s="65" t="s">
        <v>517</v>
      </c>
      <c r="H166" s="65" t="s">
        <v>517</v>
      </c>
      <c r="I166" s="65" t="s">
        <v>90</v>
      </c>
      <c r="J166" s="22" t="s">
        <v>85</v>
      </c>
      <c r="K166" s="53" t="s">
        <v>749</v>
      </c>
      <c r="L166" s="22" t="s">
        <v>714</v>
      </c>
      <c r="M166" s="54">
        <v>43770.0</v>
      </c>
      <c r="N166" s="55" t="s">
        <v>692</v>
      </c>
      <c r="O166" s="56" t="s">
        <v>690</v>
      </c>
      <c r="P166" s="57" t="s">
        <v>782</v>
      </c>
      <c r="Q166" s="57" t="s">
        <v>782</v>
      </c>
      <c r="R166" s="58"/>
      <c r="S166" s="58"/>
      <c r="T166" s="58"/>
      <c r="U166" s="58"/>
      <c r="V166" s="58"/>
      <c r="W166" s="58"/>
      <c r="X166" s="58"/>
      <c r="Y166" s="58"/>
      <c r="Z166" s="58"/>
    </row>
    <row r="167" ht="15.75" customHeight="1">
      <c r="A167" s="23" t="s">
        <v>528</v>
      </c>
      <c r="B167" s="53" t="s">
        <v>46</v>
      </c>
      <c r="C167" s="53" t="s">
        <v>941</v>
      </c>
      <c r="D167" s="22" t="s">
        <v>185</v>
      </c>
      <c r="E167" s="75" t="s">
        <v>685</v>
      </c>
      <c r="F167" s="75" t="s">
        <v>942</v>
      </c>
      <c r="G167" s="65" t="s">
        <v>517</v>
      </c>
      <c r="H167" s="65" t="s">
        <v>517</v>
      </c>
      <c r="I167" s="65" t="s">
        <v>90</v>
      </c>
      <c r="J167" s="22" t="s">
        <v>85</v>
      </c>
      <c r="K167" s="53" t="s">
        <v>749</v>
      </c>
      <c r="L167" s="22" t="s">
        <v>714</v>
      </c>
      <c r="M167" s="54">
        <v>43770.0</v>
      </c>
      <c r="N167" s="55" t="s">
        <v>692</v>
      </c>
      <c r="O167" s="56" t="s">
        <v>690</v>
      </c>
      <c r="P167" s="57" t="s">
        <v>782</v>
      </c>
      <c r="Q167" s="57" t="s">
        <v>782</v>
      </c>
      <c r="R167" s="58"/>
      <c r="S167" s="58"/>
      <c r="T167" s="58"/>
      <c r="U167" s="58"/>
      <c r="V167" s="58"/>
      <c r="W167" s="58"/>
      <c r="X167" s="58"/>
      <c r="Y167" s="58"/>
      <c r="Z167" s="58"/>
    </row>
    <row r="168" ht="15.75" customHeight="1">
      <c r="A168" s="23" t="s">
        <v>531</v>
      </c>
      <c r="B168" s="53" t="s">
        <v>46</v>
      </c>
      <c r="C168" s="53" t="s">
        <v>943</v>
      </c>
      <c r="D168" s="22" t="s">
        <v>185</v>
      </c>
      <c r="E168" s="62" t="s">
        <v>720</v>
      </c>
      <c r="F168" s="62" t="b">
        <v>1</v>
      </c>
      <c r="G168" s="65" t="s">
        <v>517</v>
      </c>
      <c r="H168" s="65" t="s">
        <v>517</v>
      </c>
      <c r="I168" s="65" t="s">
        <v>90</v>
      </c>
      <c r="J168" s="22" t="s">
        <v>85</v>
      </c>
      <c r="K168" s="53" t="s">
        <v>749</v>
      </c>
      <c r="L168" s="22" t="s">
        <v>714</v>
      </c>
      <c r="M168" s="54">
        <v>43983.0</v>
      </c>
      <c r="N168" s="55" t="s">
        <v>692</v>
      </c>
      <c r="O168" s="56" t="s">
        <v>690</v>
      </c>
      <c r="P168" s="57" t="s">
        <v>782</v>
      </c>
      <c r="Q168" s="57" t="s">
        <v>782</v>
      </c>
      <c r="R168" s="58"/>
      <c r="S168" s="58"/>
      <c r="T168" s="58"/>
      <c r="U168" s="58"/>
      <c r="V168" s="58"/>
      <c r="W168" s="58"/>
      <c r="X168" s="58"/>
      <c r="Y168" s="58"/>
      <c r="Z168" s="58"/>
    </row>
    <row r="169" ht="15.75" customHeight="1">
      <c r="A169" s="23" t="s">
        <v>533</v>
      </c>
      <c r="B169" s="53" t="s">
        <v>46</v>
      </c>
      <c r="C169" s="53" t="s">
        <v>944</v>
      </c>
      <c r="D169" s="22" t="s">
        <v>185</v>
      </c>
      <c r="E169" s="53" t="s">
        <v>685</v>
      </c>
      <c r="F169" s="53" t="s">
        <v>936</v>
      </c>
      <c r="G169" s="65" t="s">
        <v>517</v>
      </c>
      <c r="H169" s="65" t="s">
        <v>517</v>
      </c>
      <c r="I169" s="65" t="s">
        <v>90</v>
      </c>
      <c r="J169" s="22" t="s">
        <v>85</v>
      </c>
      <c r="K169" s="53" t="s">
        <v>749</v>
      </c>
      <c r="L169" s="22" t="s">
        <v>714</v>
      </c>
      <c r="M169" s="54">
        <v>43983.0</v>
      </c>
      <c r="N169" s="55" t="s">
        <v>692</v>
      </c>
      <c r="O169" s="56" t="s">
        <v>690</v>
      </c>
      <c r="P169" s="57" t="s">
        <v>782</v>
      </c>
      <c r="Q169" s="57" t="s">
        <v>782</v>
      </c>
      <c r="R169" s="58"/>
      <c r="S169" s="58"/>
      <c r="T169" s="58"/>
      <c r="U169" s="58"/>
      <c r="V169" s="58"/>
      <c r="W169" s="58"/>
      <c r="X169" s="58"/>
      <c r="Y169" s="58"/>
      <c r="Z169" s="58"/>
    </row>
    <row r="170" ht="15.75" customHeight="1">
      <c r="A170" s="23" t="s">
        <v>535</v>
      </c>
      <c r="B170" s="53" t="s">
        <v>46</v>
      </c>
      <c r="C170" s="53" t="s">
        <v>945</v>
      </c>
      <c r="D170" s="22" t="s">
        <v>185</v>
      </c>
      <c r="E170" s="53" t="s">
        <v>685</v>
      </c>
      <c r="F170" s="53" t="s">
        <v>946</v>
      </c>
      <c r="G170" s="65" t="s">
        <v>517</v>
      </c>
      <c r="H170" s="65" t="s">
        <v>517</v>
      </c>
      <c r="I170" s="65" t="s">
        <v>90</v>
      </c>
      <c r="J170" s="22" t="s">
        <v>85</v>
      </c>
      <c r="K170" s="53" t="s">
        <v>749</v>
      </c>
      <c r="L170" s="22" t="s">
        <v>714</v>
      </c>
      <c r="M170" s="54">
        <v>43983.0</v>
      </c>
      <c r="N170" s="55" t="s">
        <v>692</v>
      </c>
      <c r="O170" s="56" t="s">
        <v>690</v>
      </c>
      <c r="P170" s="57" t="s">
        <v>782</v>
      </c>
      <c r="Q170" s="57" t="s">
        <v>782</v>
      </c>
      <c r="R170" s="58"/>
      <c r="S170" s="58"/>
      <c r="T170" s="58"/>
      <c r="U170" s="58"/>
      <c r="V170" s="58"/>
      <c r="W170" s="58"/>
      <c r="X170" s="58"/>
      <c r="Y170" s="58"/>
      <c r="Z170" s="58"/>
    </row>
    <row r="171" ht="15.75" customHeight="1">
      <c r="A171" s="23" t="s">
        <v>538</v>
      </c>
      <c r="B171" s="53" t="s">
        <v>46</v>
      </c>
      <c r="C171" s="53" t="s">
        <v>947</v>
      </c>
      <c r="D171" s="22" t="s">
        <v>185</v>
      </c>
      <c r="E171" s="62" t="s">
        <v>720</v>
      </c>
      <c r="F171" s="62" t="b">
        <v>1</v>
      </c>
      <c r="G171" s="65" t="s">
        <v>517</v>
      </c>
      <c r="H171" s="65" t="s">
        <v>517</v>
      </c>
      <c r="I171" s="65" t="s">
        <v>90</v>
      </c>
      <c r="J171" s="22" t="s">
        <v>85</v>
      </c>
      <c r="K171" s="53" t="s">
        <v>749</v>
      </c>
      <c r="L171" s="22" t="s">
        <v>714</v>
      </c>
      <c r="M171" s="54">
        <v>43983.0</v>
      </c>
      <c r="N171" s="55" t="s">
        <v>692</v>
      </c>
      <c r="O171" s="56" t="s">
        <v>690</v>
      </c>
      <c r="P171" s="57" t="s">
        <v>782</v>
      </c>
      <c r="Q171" s="57" t="s">
        <v>782</v>
      </c>
      <c r="R171" s="58"/>
      <c r="S171" s="58"/>
      <c r="T171" s="58"/>
      <c r="U171" s="58"/>
      <c r="V171" s="58"/>
      <c r="W171" s="58"/>
      <c r="X171" s="58"/>
      <c r="Y171" s="58"/>
      <c r="Z171" s="58"/>
    </row>
    <row r="172" ht="15.75" customHeight="1">
      <c r="A172" s="23" t="s">
        <v>540</v>
      </c>
      <c r="B172" s="53" t="s">
        <v>46</v>
      </c>
      <c r="C172" s="53" t="s">
        <v>948</v>
      </c>
      <c r="D172" s="22" t="s">
        <v>185</v>
      </c>
      <c r="E172" s="53" t="s">
        <v>685</v>
      </c>
      <c r="F172" s="53" t="s">
        <v>936</v>
      </c>
      <c r="G172" s="65" t="s">
        <v>517</v>
      </c>
      <c r="H172" s="65" t="s">
        <v>517</v>
      </c>
      <c r="I172" s="65" t="s">
        <v>90</v>
      </c>
      <c r="J172" s="22" t="s">
        <v>85</v>
      </c>
      <c r="K172" s="53" t="s">
        <v>749</v>
      </c>
      <c r="L172" s="22" t="s">
        <v>714</v>
      </c>
      <c r="M172" s="54">
        <v>43983.0</v>
      </c>
      <c r="N172" s="55" t="s">
        <v>692</v>
      </c>
      <c r="O172" s="56" t="s">
        <v>690</v>
      </c>
      <c r="P172" s="57" t="s">
        <v>782</v>
      </c>
      <c r="Q172" s="57" t="s">
        <v>782</v>
      </c>
      <c r="R172" s="58"/>
      <c r="S172" s="58"/>
      <c r="T172" s="58"/>
      <c r="U172" s="58"/>
      <c r="V172" s="58"/>
      <c r="W172" s="58"/>
      <c r="X172" s="58"/>
      <c r="Y172" s="58"/>
      <c r="Z172" s="58"/>
    </row>
    <row r="173" ht="15.75" customHeight="1">
      <c r="A173" s="23" t="s">
        <v>542</v>
      </c>
      <c r="B173" s="53" t="s">
        <v>46</v>
      </c>
      <c r="C173" s="53" t="s">
        <v>949</v>
      </c>
      <c r="D173" s="22" t="s">
        <v>185</v>
      </c>
      <c r="E173" s="53" t="s">
        <v>685</v>
      </c>
      <c r="F173" s="53" t="s">
        <v>950</v>
      </c>
      <c r="G173" s="65" t="s">
        <v>517</v>
      </c>
      <c r="H173" s="65" t="s">
        <v>517</v>
      </c>
      <c r="I173" s="65" t="s">
        <v>90</v>
      </c>
      <c r="J173" s="22" t="s">
        <v>85</v>
      </c>
      <c r="K173" s="53" t="s">
        <v>749</v>
      </c>
      <c r="L173" s="22" t="s">
        <v>714</v>
      </c>
      <c r="M173" s="54">
        <v>43983.0</v>
      </c>
      <c r="N173" s="55" t="s">
        <v>692</v>
      </c>
      <c r="O173" s="56" t="s">
        <v>690</v>
      </c>
      <c r="P173" s="57" t="s">
        <v>782</v>
      </c>
      <c r="Q173" s="57" t="s">
        <v>782</v>
      </c>
      <c r="R173" s="58"/>
      <c r="S173" s="58"/>
      <c r="T173" s="58"/>
      <c r="U173" s="58"/>
      <c r="V173" s="58"/>
      <c r="W173" s="58"/>
      <c r="X173" s="58"/>
      <c r="Y173" s="58"/>
      <c r="Z173" s="58"/>
    </row>
    <row r="174" ht="15.75" customHeight="1">
      <c r="A174" s="23" t="s">
        <v>545</v>
      </c>
      <c r="B174" s="53" t="s">
        <v>46</v>
      </c>
      <c r="C174" s="53" t="s">
        <v>951</v>
      </c>
      <c r="D174" s="22" t="s">
        <v>185</v>
      </c>
      <c r="E174" s="62" t="s">
        <v>720</v>
      </c>
      <c r="F174" s="62" t="b">
        <v>1</v>
      </c>
      <c r="G174" s="65" t="s">
        <v>517</v>
      </c>
      <c r="H174" s="65" t="s">
        <v>517</v>
      </c>
      <c r="I174" s="65" t="s">
        <v>90</v>
      </c>
      <c r="J174" s="22" t="s">
        <v>85</v>
      </c>
      <c r="K174" s="53" t="s">
        <v>749</v>
      </c>
      <c r="L174" s="22" t="s">
        <v>714</v>
      </c>
      <c r="M174" s="54">
        <v>43983.0</v>
      </c>
      <c r="N174" s="55" t="s">
        <v>692</v>
      </c>
      <c r="O174" s="56" t="s">
        <v>690</v>
      </c>
      <c r="P174" s="57" t="s">
        <v>782</v>
      </c>
      <c r="Q174" s="57" t="s">
        <v>782</v>
      </c>
      <c r="R174" s="58"/>
      <c r="S174" s="58"/>
      <c r="T174" s="58"/>
      <c r="U174" s="58"/>
      <c r="V174" s="58"/>
      <c r="W174" s="58"/>
      <c r="X174" s="58"/>
      <c r="Y174" s="58"/>
      <c r="Z174" s="58"/>
    </row>
    <row r="175" ht="15.75" customHeight="1">
      <c r="A175" s="23" t="s">
        <v>547</v>
      </c>
      <c r="B175" s="53" t="s">
        <v>46</v>
      </c>
      <c r="C175" s="53" t="s">
        <v>952</v>
      </c>
      <c r="D175" s="22" t="s">
        <v>185</v>
      </c>
      <c r="E175" s="53" t="s">
        <v>685</v>
      </c>
      <c r="F175" s="53" t="s">
        <v>936</v>
      </c>
      <c r="G175" s="65" t="s">
        <v>517</v>
      </c>
      <c r="H175" s="65" t="s">
        <v>517</v>
      </c>
      <c r="I175" s="65" t="s">
        <v>90</v>
      </c>
      <c r="J175" s="22" t="s">
        <v>85</v>
      </c>
      <c r="K175" s="53" t="s">
        <v>749</v>
      </c>
      <c r="L175" s="22" t="s">
        <v>714</v>
      </c>
      <c r="M175" s="54">
        <v>43983.0</v>
      </c>
      <c r="N175" s="55" t="s">
        <v>692</v>
      </c>
      <c r="O175" s="56" t="s">
        <v>690</v>
      </c>
      <c r="P175" s="57" t="s">
        <v>782</v>
      </c>
      <c r="Q175" s="57" t="s">
        <v>782</v>
      </c>
      <c r="R175" s="58"/>
      <c r="S175" s="58"/>
      <c r="T175" s="58"/>
      <c r="U175" s="58"/>
      <c r="V175" s="58"/>
      <c r="W175" s="58"/>
      <c r="X175" s="58"/>
      <c r="Y175" s="58"/>
      <c r="Z175" s="58"/>
    </row>
    <row r="176" ht="15.75" customHeight="1">
      <c r="A176" s="23" t="s">
        <v>550</v>
      </c>
      <c r="B176" s="53" t="s">
        <v>46</v>
      </c>
      <c r="C176" s="53" t="s">
        <v>953</v>
      </c>
      <c r="D176" s="22" t="s">
        <v>185</v>
      </c>
      <c r="E176" s="53" t="s">
        <v>685</v>
      </c>
      <c r="F176" s="53" t="s">
        <v>954</v>
      </c>
      <c r="G176" s="65" t="s">
        <v>517</v>
      </c>
      <c r="H176" s="65" t="s">
        <v>517</v>
      </c>
      <c r="I176" s="65" t="s">
        <v>90</v>
      </c>
      <c r="J176" s="22" t="s">
        <v>85</v>
      </c>
      <c r="K176" s="53" t="s">
        <v>749</v>
      </c>
      <c r="L176" s="22" t="s">
        <v>714</v>
      </c>
      <c r="M176" s="54">
        <v>43983.0</v>
      </c>
      <c r="N176" s="55" t="s">
        <v>692</v>
      </c>
      <c r="O176" s="56" t="s">
        <v>690</v>
      </c>
      <c r="P176" s="57" t="s">
        <v>782</v>
      </c>
      <c r="Q176" s="57" t="s">
        <v>782</v>
      </c>
      <c r="R176" s="58"/>
      <c r="S176" s="58"/>
      <c r="T176" s="58"/>
      <c r="U176" s="58"/>
      <c r="V176" s="58"/>
      <c r="W176" s="58"/>
      <c r="X176" s="58"/>
      <c r="Y176" s="58"/>
      <c r="Z176" s="58"/>
    </row>
    <row r="177" ht="15.75" customHeight="1">
      <c r="A177" s="23" t="s">
        <v>553</v>
      </c>
      <c r="B177" s="53" t="s">
        <v>46</v>
      </c>
      <c r="C177" s="53" t="s">
        <v>955</v>
      </c>
      <c r="D177" s="22" t="s">
        <v>185</v>
      </c>
      <c r="E177" s="62" t="s">
        <v>720</v>
      </c>
      <c r="F177" s="62" t="b">
        <v>1</v>
      </c>
      <c r="G177" s="65" t="s">
        <v>517</v>
      </c>
      <c r="H177" s="65" t="s">
        <v>517</v>
      </c>
      <c r="I177" s="65" t="s">
        <v>90</v>
      </c>
      <c r="J177" s="22" t="s">
        <v>85</v>
      </c>
      <c r="K177" s="53" t="s">
        <v>749</v>
      </c>
      <c r="L177" s="22" t="s">
        <v>714</v>
      </c>
      <c r="M177" s="54">
        <v>43983.0</v>
      </c>
      <c r="N177" s="55" t="s">
        <v>692</v>
      </c>
      <c r="O177" s="56" t="s">
        <v>690</v>
      </c>
      <c r="P177" s="57" t="s">
        <v>782</v>
      </c>
      <c r="Q177" s="57" t="s">
        <v>782</v>
      </c>
      <c r="R177" s="58"/>
      <c r="S177" s="58"/>
      <c r="T177" s="58"/>
      <c r="U177" s="58"/>
      <c r="V177" s="58"/>
      <c r="W177" s="58"/>
      <c r="X177" s="58"/>
      <c r="Y177" s="58"/>
      <c r="Z177" s="58"/>
    </row>
    <row r="178" ht="15.75" customHeight="1">
      <c r="A178" s="23" t="s">
        <v>555</v>
      </c>
      <c r="B178" s="53" t="s">
        <v>46</v>
      </c>
      <c r="C178" s="53" t="s">
        <v>956</v>
      </c>
      <c r="D178" s="22" t="s">
        <v>185</v>
      </c>
      <c r="E178" s="53" t="s">
        <v>685</v>
      </c>
      <c r="F178" s="53" t="s">
        <v>936</v>
      </c>
      <c r="G178" s="65" t="s">
        <v>517</v>
      </c>
      <c r="H178" s="65" t="s">
        <v>517</v>
      </c>
      <c r="I178" s="65" t="s">
        <v>90</v>
      </c>
      <c r="J178" s="22" t="s">
        <v>85</v>
      </c>
      <c r="K178" s="53" t="s">
        <v>749</v>
      </c>
      <c r="L178" s="22" t="s">
        <v>714</v>
      </c>
      <c r="M178" s="54">
        <v>43983.0</v>
      </c>
      <c r="N178" s="55" t="s">
        <v>692</v>
      </c>
      <c r="O178" s="56" t="s">
        <v>690</v>
      </c>
      <c r="P178" s="57" t="s">
        <v>782</v>
      </c>
      <c r="Q178" s="57" t="s">
        <v>782</v>
      </c>
      <c r="R178" s="58"/>
      <c r="S178" s="58"/>
      <c r="T178" s="58"/>
      <c r="U178" s="58"/>
      <c r="V178" s="58"/>
      <c r="W178" s="58"/>
      <c r="X178" s="58"/>
      <c r="Y178" s="58"/>
      <c r="Z178" s="58"/>
    </row>
    <row r="179" ht="15.75" customHeight="1">
      <c r="A179" s="23" t="s">
        <v>557</v>
      </c>
      <c r="B179" s="53" t="s">
        <v>46</v>
      </c>
      <c r="C179" s="53" t="s">
        <v>957</v>
      </c>
      <c r="D179" s="22" t="s">
        <v>185</v>
      </c>
      <c r="E179" s="53" t="s">
        <v>685</v>
      </c>
      <c r="F179" s="53" t="s">
        <v>958</v>
      </c>
      <c r="G179" s="65" t="s">
        <v>517</v>
      </c>
      <c r="H179" s="65" t="s">
        <v>517</v>
      </c>
      <c r="I179" s="65" t="s">
        <v>90</v>
      </c>
      <c r="J179" s="22" t="s">
        <v>85</v>
      </c>
      <c r="K179" s="53" t="s">
        <v>749</v>
      </c>
      <c r="L179" s="22" t="s">
        <v>714</v>
      </c>
      <c r="M179" s="54">
        <v>43983.0</v>
      </c>
      <c r="N179" s="55" t="s">
        <v>692</v>
      </c>
      <c r="O179" s="56" t="s">
        <v>690</v>
      </c>
      <c r="P179" s="57" t="s">
        <v>782</v>
      </c>
      <c r="Q179" s="57" t="s">
        <v>782</v>
      </c>
      <c r="R179" s="58"/>
      <c r="S179" s="58"/>
      <c r="T179" s="58"/>
      <c r="U179" s="58"/>
      <c r="V179" s="58"/>
      <c r="W179" s="58"/>
      <c r="X179" s="58"/>
      <c r="Y179" s="58"/>
      <c r="Z179" s="58"/>
    </row>
    <row r="180" ht="15.75" customHeight="1">
      <c r="A180" s="23" t="s">
        <v>560</v>
      </c>
      <c r="B180" s="53" t="s">
        <v>46</v>
      </c>
      <c r="C180" s="53" t="s">
        <v>959</v>
      </c>
      <c r="D180" s="22" t="s">
        <v>185</v>
      </c>
      <c r="E180" s="62" t="s">
        <v>720</v>
      </c>
      <c r="F180" s="62" t="b">
        <v>1</v>
      </c>
      <c r="G180" s="65" t="s">
        <v>517</v>
      </c>
      <c r="H180" s="65" t="s">
        <v>517</v>
      </c>
      <c r="I180" s="65" t="s">
        <v>90</v>
      </c>
      <c r="J180" s="22" t="s">
        <v>85</v>
      </c>
      <c r="K180" s="53" t="s">
        <v>749</v>
      </c>
      <c r="L180" s="22" t="s">
        <v>714</v>
      </c>
      <c r="M180" s="54">
        <v>43983.0</v>
      </c>
      <c r="N180" s="55" t="s">
        <v>692</v>
      </c>
      <c r="O180" s="56" t="s">
        <v>690</v>
      </c>
      <c r="P180" s="57" t="s">
        <v>782</v>
      </c>
      <c r="Q180" s="57" t="s">
        <v>782</v>
      </c>
      <c r="R180" s="58"/>
      <c r="S180" s="58"/>
      <c r="T180" s="58"/>
      <c r="U180" s="58"/>
      <c r="V180" s="58"/>
      <c r="W180" s="58"/>
      <c r="X180" s="58"/>
      <c r="Y180" s="58"/>
      <c r="Z180" s="58"/>
    </row>
    <row r="181" ht="15.75" customHeight="1">
      <c r="A181" s="23" t="s">
        <v>562</v>
      </c>
      <c r="B181" s="53" t="s">
        <v>46</v>
      </c>
      <c r="C181" s="53" t="s">
        <v>960</v>
      </c>
      <c r="D181" s="22" t="s">
        <v>185</v>
      </c>
      <c r="E181" s="53" t="s">
        <v>685</v>
      </c>
      <c r="F181" s="53" t="s">
        <v>936</v>
      </c>
      <c r="G181" s="65" t="s">
        <v>517</v>
      </c>
      <c r="H181" s="65" t="s">
        <v>517</v>
      </c>
      <c r="I181" s="65" t="s">
        <v>90</v>
      </c>
      <c r="J181" s="22" t="s">
        <v>85</v>
      </c>
      <c r="K181" s="53" t="s">
        <v>749</v>
      </c>
      <c r="L181" s="22" t="s">
        <v>714</v>
      </c>
      <c r="M181" s="54">
        <v>43983.0</v>
      </c>
      <c r="N181" s="55" t="s">
        <v>692</v>
      </c>
      <c r="O181" s="56" t="s">
        <v>690</v>
      </c>
      <c r="P181" s="57" t="s">
        <v>782</v>
      </c>
      <c r="Q181" s="57" t="s">
        <v>782</v>
      </c>
      <c r="R181" s="58"/>
      <c r="S181" s="58"/>
      <c r="T181" s="58"/>
      <c r="U181" s="58"/>
      <c r="V181" s="58"/>
      <c r="W181" s="58"/>
      <c r="X181" s="58"/>
      <c r="Y181" s="58"/>
      <c r="Z181" s="58"/>
    </row>
    <row r="182" ht="15.75" customHeight="1">
      <c r="A182" s="23" t="s">
        <v>564</v>
      </c>
      <c r="B182" s="53" t="s">
        <v>46</v>
      </c>
      <c r="C182" s="53" t="s">
        <v>961</v>
      </c>
      <c r="D182" s="22" t="s">
        <v>185</v>
      </c>
      <c r="E182" s="53" t="s">
        <v>685</v>
      </c>
      <c r="F182" s="53" t="s">
        <v>962</v>
      </c>
      <c r="G182" s="65" t="s">
        <v>517</v>
      </c>
      <c r="H182" s="65" t="s">
        <v>517</v>
      </c>
      <c r="I182" s="65" t="s">
        <v>90</v>
      </c>
      <c r="J182" s="22" t="s">
        <v>85</v>
      </c>
      <c r="K182" s="53" t="s">
        <v>749</v>
      </c>
      <c r="L182" s="22" t="s">
        <v>714</v>
      </c>
      <c r="M182" s="54">
        <v>43983.0</v>
      </c>
      <c r="N182" s="55" t="s">
        <v>692</v>
      </c>
      <c r="O182" s="56" t="s">
        <v>690</v>
      </c>
      <c r="P182" s="57" t="s">
        <v>782</v>
      </c>
      <c r="Q182" s="57" t="s">
        <v>782</v>
      </c>
      <c r="R182" s="58"/>
      <c r="S182" s="58"/>
      <c r="T182" s="58"/>
      <c r="U182" s="58"/>
      <c r="V182" s="58"/>
      <c r="W182" s="58"/>
      <c r="X182" s="58"/>
      <c r="Y182" s="58"/>
      <c r="Z182" s="58"/>
    </row>
    <row r="183" ht="15.75" customHeight="1">
      <c r="A183" s="23" t="s">
        <v>567</v>
      </c>
      <c r="B183" s="53" t="s">
        <v>46</v>
      </c>
      <c r="C183" s="53" t="s">
        <v>963</v>
      </c>
      <c r="D183" s="22" t="s">
        <v>185</v>
      </c>
      <c r="E183" s="62" t="s">
        <v>720</v>
      </c>
      <c r="F183" s="62" t="b">
        <v>1</v>
      </c>
      <c r="G183" s="65" t="s">
        <v>517</v>
      </c>
      <c r="H183" s="65" t="s">
        <v>517</v>
      </c>
      <c r="I183" s="65" t="s">
        <v>90</v>
      </c>
      <c r="J183" s="22" t="s">
        <v>85</v>
      </c>
      <c r="K183" s="53" t="s">
        <v>749</v>
      </c>
      <c r="L183" s="22" t="s">
        <v>714</v>
      </c>
      <c r="M183" s="54">
        <v>43983.0</v>
      </c>
      <c r="N183" s="55" t="s">
        <v>692</v>
      </c>
      <c r="O183" s="56" t="s">
        <v>690</v>
      </c>
      <c r="P183" s="57" t="s">
        <v>782</v>
      </c>
      <c r="Q183" s="57" t="s">
        <v>782</v>
      </c>
      <c r="R183" s="58"/>
      <c r="S183" s="58"/>
      <c r="T183" s="58"/>
      <c r="U183" s="58"/>
      <c r="V183" s="58"/>
      <c r="W183" s="58"/>
      <c r="X183" s="58"/>
      <c r="Y183" s="58"/>
      <c r="Z183" s="58"/>
    </row>
    <row r="184" ht="15.75" customHeight="1">
      <c r="A184" s="23" t="s">
        <v>569</v>
      </c>
      <c r="B184" s="53" t="s">
        <v>46</v>
      </c>
      <c r="C184" s="53" t="s">
        <v>964</v>
      </c>
      <c r="D184" s="22" t="s">
        <v>185</v>
      </c>
      <c r="E184" s="53" t="s">
        <v>685</v>
      </c>
      <c r="F184" s="53" t="s">
        <v>936</v>
      </c>
      <c r="G184" s="65" t="s">
        <v>517</v>
      </c>
      <c r="H184" s="65" t="s">
        <v>517</v>
      </c>
      <c r="I184" s="65" t="s">
        <v>90</v>
      </c>
      <c r="J184" s="22" t="s">
        <v>85</v>
      </c>
      <c r="K184" s="53" t="s">
        <v>749</v>
      </c>
      <c r="L184" s="22" t="s">
        <v>714</v>
      </c>
      <c r="M184" s="54">
        <v>43983.0</v>
      </c>
      <c r="N184" s="55" t="s">
        <v>692</v>
      </c>
      <c r="O184" s="56" t="s">
        <v>690</v>
      </c>
      <c r="P184" s="57" t="s">
        <v>782</v>
      </c>
      <c r="Q184" s="57" t="s">
        <v>782</v>
      </c>
      <c r="R184" s="58"/>
      <c r="S184" s="58"/>
      <c r="T184" s="58"/>
      <c r="U184" s="58"/>
      <c r="V184" s="58"/>
      <c r="W184" s="58"/>
      <c r="X184" s="58"/>
      <c r="Y184" s="58"/>
      <c r="Z184" s="58"/>
    </row>
    <row r="185" ht="15.75" customHeight="1">
      <c r="A185" s="23" t="s">
        <v>571</v>
      </c>
      <c r="B185" s="53" t="s">
        <v>46</v>
      </c>
      <c r="C185" s="53" t="s">
        <v>965</v>
      </c>
      <c r="D185" s="22" t="s">
        <v>185</v>
      </c>
      <c r="E185" s="53" t="s">
        <v>685</v>
      </c>
      <c r="F185" s="53" t="s">
        <v>966</v>
      </c>
      <c r="G185" s="65" t="s">
        <v>517</v>
      </c>
      <c r="H185" s="65" t="s">
        <v>517</v>
      </c>
      <c r="I185" s="65" t="s">
        <v>90</v>
      </c>
      <c r="J185" s="22" t="s">
        <v>85</v>
      </c>
      <c r="K185" s="53" t="s">
        <v>749</v>
      </c>
      <c r="L185" s="22" t="s">
        <v>714</v>
      </c>
      <c r="M185" s="54">
        <v>43983.0</v>
      </c>
      <c r="N185" s="55" t="s">
        <v>692</v>
      </c>
      <c r="O185" s="56" t="s">
        <v>690</v>
      </c>
      <c r="P185" s="57" t="s">
        <v>782</v>
      </c>
      <c r="Q185" s="57" t="s">
        <v>782</v>
      </c>
      <c r="R185" s="58"/>
      <c r="S185" s="58"/>
      <c r="T185" s="58"/>
      <c r="U185" s="58"/>
      <c r="V185" s="58"/>
      <c r="W185" s="58"/>
      <c r="X185" s="58"/>
      <c r="Y185" s="58"/>
      <c r="Z185" s="58"/>
    </row>
    <row r="186" ht="15.75" customHeight="1">
      <c r="A186" s="23" t="s">
        <v>574</v>
      </c>
      <c r="B186" s="53" t="s">
        <v>46</v>
      </c>
      <c r="C186" s="53" t="s">
        <v>967</v>
      </c>
      <c r="D186" s="22" t="s">
        <v>185</v>
      </c>
      <c r="E186" s="62" t="s">
        <v>720</v>
      </c>
      <c r="F186" s="62" t="b">
        <v>1</v>
      </c>
      <c r="G186" s="65" t="s">
        <v>517</v>
      </c>
      <c r="H186" s="65" t="s">
        <v>517</v>
      </c>
      <c r="I186" s="65" t="s">
        <v>90</v>
      </c>
      <c r="J186" s="22" t="s">
        <v>85</v>
      </c>
      <c r="K186" s="53" t="s">
        <v>749</v>
      </c>
      <c r="L186" s="22" t="s">
        <v>714</v>
      </c>
      <c r="M186" s="54">
        <v>43952.0</v>
      </c>
      <c r="N186" s="55" t="s">
        <v>692</v>
      </c>
      <c r="O186" s="56" t="s">
        <v>690</v>
      </c>
      <c r="P186" s="57" t="s">
        <v>782</v>
      </c>
      <c r="Q186" s="57" t="s">
        <v>782</v>
      </c>
      <c r="R186" s="58"/>
      <c r="S186" s="58"/>
      <c r="T186" s="58"/>
      <c r="U186" s="58"/>
      <c r="V186" s="58"/>
      <c r="W186" s="58"/>
      <c r="X186" s="58"/>
      <c r="Y186" s="58"/>
      <c r="Z186" s="58"/>
    </row>
    <row r="187" ht="15.75" customHeight="1">
      <c r="A187" s="23" t="s">
        <v>576</v>
      </c>
      <c r="B187" s="53" t="s">
        <v>46</v>
      </c>
      <c r="C187" s="53" t="s">
        <v>968</v>
      </c>
      <c r="D187" s="22" t="s">
        <v>185</v>
      </c>
      <c r="E187" s="53" t="s">
        <v>685</v>
      </c>
      <c r="F187" s="53" t="s">
        <v>936</v>
      </c>
      <c r="G187" s="65" t="s">
        <v>517</v>
      </c>
      <c r="H187" s="65" t="s">
        <v>517</v>
      </c>
      <c r="I187" s="65" t="s">
        <v>90</v>
      </c>
      <c r="J187" s="22" t="s">
        <v>85</v>
      </c>
      <c r="K187" s="53" t="s">
        <v>749</v>
      </c>
      <c r="L187" s="22" t="s">
        <v>714</v>
      </c>
      <c r="M187" s="54">
        <v>43952.0</v>
      </c>
      <c r="N187" s="55" t="s">
        <v>692</v>
      </c>
      <c r="O187" s="56" t="s">
        <v>690</v>
      </c>
      <c r="P187" s="57" t="s">
        <v>782</v>
      </c>
      <c r="Q187" s="57" t="s">
        <v>782</v>
      </c>
      <c r="R187" s="58"/>
      <c r="S187" s="58"/>
      <c r="T187" s="58"/>
      <c r="U187" s="58"/>
      <c r="V187" s="58"/>
      <c r="W187" s="58"/>
      <c r="X187" s="58"/>
      <c r="Y187" s="58"/>
      <c r="Z187" s="58"/>
    </row>
    <row r="188" ht="15.75" customHeight="1">
      <c r="A188" s="23" t="s">
        <v>578</v>
      </c>
      <c r="B188" s="53" t="s">
        <v>46</v>
      </c>
      <c r="C188" s="53" t="s">
        <v>969</v>
      </c>
      <c r="D188" s="22" t="s">
        <v>185</v>
      </c>
      <c r="E188" s="53" t="s">
        <v>685</v>
      </c>
      <c r="F188" s="53" t="s">
        <v>970</v>
      </c>
      <c r="G188" s="65" t="s">
        <v>517</v>
      </c>
      <c r="H188" s="65" t="s">
        <v>517</v>
      </c>
      <c r="I188" s="65" t="s">
        <v>90</v>
      </c>
      <c r="J188" s="22" t="s">
        <v>85</v>
      </c>
      <c r="K188" s="53" t="s">
        <v>749</v>
      </c>
      <c r="L188" s="22" t="s">
        <v>714</v>
      </c>
      <c r="M188" s="54">
        <v>43952.0</v>
      </c>
      <c r="N188" s="55" t="s">
        <v>692</v>
      </c>
      <c r="O188" s="56" t="s">
        <v>690</v>
      </c>
      <c r="P188" s="57" t="s">
        <v>782</v>
      </c>
      <c r="Q188" s="57" t="s">
        <v>782</v>
      </c>
      <c r="R188" s="58"/>
      <c r="S188" s="58"/>
      <c r="T188" s="58"/>
      <c r="U188" s="58"/>
      <c r="V188" s="58"/>
      <c r="W188" s="58"/>
      <c r="X188" s="58"/>
      <c r="Y188" s="58"/>
      <c r="Z188" s="58"/>
    </row>
    <row r="189" ht="15.75" customHeight="1">
      <c r="A189" s="23" t="s">
        <v>581</v>
      </c>
      <c r="B189" s="53" t="s">
        <v>46</v>
      </c>
      <c r="C189" s="53" t="s">
        <v>971</v>
      </c>
      <c r="D189" s="22" t="s">
        <v>185</v>
      </c>
      <c r="E189" s="62" t="s">
        <v>720</v>
      </c>
      <c r="F189" s="62" t="b">
        <v>1</v>
      </c>
      <c r="G189" s="65" t="s">
        <v>517</v>
      </c>
      <c r="H189" s="65" t="s">
        <v>517</v>
      </c>
      <c r="I189" s="65" t="s">
        <v>90</v>
      </c>
      <c r="J189" s="22" t="s">
        <v>85</v>
      </c>
      <c r="K189" s="53" t="s">
        <v>749</v>
      </c>
      <c r="L189" s="22" t="s">
        <v>714</v>
      </c>
      <c r="M189" s="54">
        <v>43983.0</v>
      </c>
      <c r="N189" s="55" t="s">
        <v>692</v>
      </c>
      <c r="O189" s="56" t="s">
        <v>690</v>
      </c>
      <c r="P189" s="57" t="s">
        <v>782</v>
      </c>
      <c r="Q189" s="57" t="s">
        <v>782</v>
      </c>
      <c r="R189" s="58"/>
      <c r="S189" s="58"/>
      <c r="T189" s="58"/>
      <c r="U189" s="58"/>
      <c r="V189" s="58"/>
      <c r="W189" s="58"/>
      <c r="X189" s="58"/>
      <c r="Y189" s="58"/>
      <c r="Z189" s="58"/>
    </row>
    <row r="190" ht="15.75" customHeight="1">
      <c r="A190" s="23" t="s">
        <v>583</v>
      </c>
      <c r="B190" s="53" t="s">
        <v>46</v>
      </c>
      <c r="C190" s="53" t="s">
        <v>972</v>
      </c>
      <c r="D190" s="22" t="s">
        <v>185</v>
      </c>
      <c r="E190" s="53" t="s">
        <v>685</v>
      </c>
      <c r="F190" s="53" t="s">
        <v>936</v>
      </c>
      <c r="G190" s="65" t="s">
        <v>517</v>
      </c>
      <c r="H190" s="65" t="s">
        <v>517</v>
      </c>
      <c r="I190" s="65" t="s">
        <v>90</v>
      </c>
      <c r="J190" s="22" t="s">
        <v>85</v>
      </c>
      <c r="K190" s="53" t="s">
        <v>749</v>
      </c>
      <c r="L190" s="22" t="s">
        <v>714</v>
      </c>
      <c r="M190" s="54">
        <v>43983.0</v>
      </c>
      <c r="N190" s="55" t="s">
        <v>692</v>
      </c>
      <c r="O190" s="56" t="s">
        <v>690</v>
      </c>
      <c r="P190" s="57" t="s">
        <v>782</v>
      </c>
      <c r="Q190" s="57" t="s">
        <v>782</v>
      </c>
      <c r="R190" s="58"/>
      <c r="S190" s="58"/>
      <c r="T190" s="58"/>
      <c r="U190" s="58"/>
      <c r="V190" s="58"/>
      <c r="W190" s="58"/>
      <c r="X190" s="58"/>
      <c r="Y190" s="58"/>
      <c r="Z190" s="58"/>
    </row>
    <row r="191" ht="15.75" customHeight="1">
      <c r="A191" s="23" t="s">
        <v>585</v>
      </c>
      <c r="B191" s="53" t="s">
        <v>46</v>
      </c>
      <c r="C191" s="53" t="s">
        <v>973</v>
      </c>
      <c r="D191" s="22" t="s">
        <v>185</v>
      </c>
      <c r="E191" s="53" t="s">
        <v>685</v>
      </c>
      <c r="F191" s="53" t="s">
        <v>974</v>
      </c>
      <c r="G191" s="65" t="s">
        <v>517</v>
      </c>
      <c r="H191" s="65" t="s">
        <v>517</v>
      </c>
      <c r="I191" s="65" t="s">
        <v>90</v>
      </c>
      <c r="J191" s="22" t="s">
        <v>85</v>
      </c>
      <c r="K191" s="53" t="s">
        <v>749</v>
      </c>
      <c r="L191" s="22" t="s">
        <v>714</v>
      </c>
      <c r="M191" s="54">
        <v>43983.0</v>
      </c>
      <c r="N191" s="55" t="s">
        <v>692</v>
      </c>
      <c r="O191" s="56" t="s">
        <v>690</v>
      </c>
      <c r="P191" s="57" t="s">
        <v>782</v>
      </c>
      <c r="Q191" s="57" t="s">
        <v>782</v>
      </c>
      <c r="R191" s="58"/>
      <c r="S191" s="58"/>
      <c r="T191" s="58"/>
      <c r="U191" s="58"/>
      <c r="V191" s="58"/>
      <c r="W191" s="58"/>
      <c r="X191" s="58"/>
      <c r="Y191" s="58"/>
      <c r="Z191" s="58"/>
    </row>
    <row r="192" ht="15.75" customHeight="1">
      <c r="A192" s="23" t="s">
        <v>588</v>
      </c>
      <c r="B192" s="53" t="s">
        <v>46</v>
      </c>
      <c r="C192" s="53" t="s">
        <v>975</v>
      </c>
      <c r="D192" s="22" t="s">
        <v>185</v>
      </c>
      <c r="E192" s="62" t="s">
        <v>720</v>
      </c>
      <c r="F192" s="62" t="b">
        <v>1</v>
      </c>
      <c r="G192" s="65" t="s">
        <v>517</v>
      </c>
      <c r="H192" s="65" t="s">
        <v>517</v>
      </c>
      <c r="I192" s="65" t="s">
        <v>90</v>
      </c>
      <c r="J192" s="22" t="s">
        <v>85</v>
      </c>
      <c r="K192" s="53" t="s">
        <v>749</v>
      </c>
      <c r="L192" s="22" t="s">
        <v>714</v>
      </c>
      <c r="M192" s="54">
        <v>43922.0</v>
      </c>
      <c r="N192" s="55" t="s">
        <v>692</v>
      </c>
      <c r="O192" s="56" t="s">
        <v>690</v>
      </c>
      <c r="P192" s="57" t="s">
        <v>782</v>
      </c>
      <c r="Q192" s="57" t="s">
        <v>782</v>
      </c>
      <c r="R192" s="58"/>
      <c r="S192" s="58"/>
      <c r="T192" s="58"/>
      <c r="U192" s="58"/>
      <c r="V192" s="58"/>
      <c r="W192" s="58"/>
      <c r="X192" s="58"/>
      <c r="Y192" s="58"/>
      <c r="Z192" s="58"/>
    </row>
    <row r="193" ht="15.75" customHeight="1">
      <c r="A193" s="23" t="s">
        <v>590</v>
      </c>
      <c r="B193" s="53" t="s">
        <v>46</v>
      </c>
      <c r="C193" s="53" t="s">
        <v>976</v>
      </c>
      <c r="D193" s="22" t="s">
        <v>185</v>
      </c>
      <c r="E193" s="53" t="s">
        <v>685</v>
      </c>
      <c r="F193" s="53" t="s">
        <v>977</v>
      </c>
      <c r="G193" s="65" t="s">
        <v>517</v>
      </c>
      <c r="H193" s="65" t="s">
        <v>517</v>
      </c>
      <c r="I193" s="65" t="s">
        <v>90</v>
      </c>
      <c r="J193" s="22" t="s">
        <v>85</v>
      </c>
      <c r="K193" s="53" t="s">
        <v>749</v>
      </c>
      <c r="L193" s="22" t="s">
        <v>714</v>
      </c>
      <c r="M193" s="54">
        <v>43922.0</v>
      </c>
      <c r="N193" s="55" t="s">
        <v>692</v>
      </c>
      <c r="O193" s="56" t="s">
        <v>690</v>
      </c>
      <c r="P193" s="57" t="s">
        <v>782</v>
      </c>
      <c r="Q193" s="57" t="s">
        <v>782</v>
      </c>
      <c r="R193" s="58"/>
      <c r="S193" s="58"/>
      <c r="T193" s="58"/>
      <c r="U193" s="58"/>
      <c r="V193" s="58"/>
      <c r="W193" s="58"/>
      <c r="X193" s="58"/>
      <c r="Y193" s="58"/>
      <c r="Z193" s="58"/>
    </row>
    <row r="194" ht="15.75" customHeight="1">
      <c r="A194" s="23" t="s">
        <v>592</v>
      </c>
      <c r="B194" s="53" t="s">
        <v>46</v>
      </c>
      <c r="C194" s="53" t="s">
        <v>978</v>
      </c>
      <c r="D194" s="22" t="s">
        <v>185</v>
      </c>
      <c r="E194" s="53" t="s">
        <v>685</v>
      </c>
      <c r="F194" s="53" t="s">
        <v>979</v>
      </c>
      <c r="G194" s="65" t="s">
        <v>517</v>
      </c>
      <c r="H194" s="65" t="s">
        <v>517</v>
      </c>
      <c r="I194" s="65" t="s">
        <v>90</v>
      </c>
      <c r="J194" s="22" t="s">
        <v>85</v>
      </c>
      <c r="K194" s="53" t="s">
        <v>749</v>
      </c>
      <c r="L194" s="22" t="s">
        <v>714</v>
      </c>
      <c r="M194" s="54">
        <v>43922.0</v>
      </c>
      <c r="N194" s="55" t="s">
        <v>692</v>
      </c>
      <c r="O194" s="56" t="s">
        <v>690</v>
      </c>
      <c r="P194" s="57" t="s">
        <v>782</v>
      </c>
      <c r="Q194" s="57" t="s">
        <v>782</v>
      </c>
      <c r="R194" s="58"/>
      <c r="S194" s="58"/>
      <c r="T194" s="58"/>
      <c r="U194" s="58"/>
      <c r="V194" s="58"/>
      <c r="W194" s="58"/>
      <c r="X194" s="58"/>
      <c r="Y194" s="58"/>
      <c r="Z194" s="58"/>
    </row>
    <row r="195" ht="15.75" customHeight="1">
      <c r="A195" s="23" t="s">
        <v>595</v>
      </c>
      <c r="B195" s="53" t="s">
        <v>46</v>
      </c>
      <c r="C195" s="53" t="s">
        <v>980</v>
      </c>
      <c r="D195" s="22" t="s">
        <v>185</v>
      </c>
      <c r="E195" s="62" t="s">
        <v>720</v>
      </c>
      <c r="F195" s="62" t="b">
        <v>1</v>
      </c>
      <c r="G195" s="65" t="s">
        <v>517</v>
      </c>
      <c r="H195" s="65" t="s">
        <v>517</v>
      </c>
      <c r="I195" s="65" t="s">
        <v>90</v>
      </c>
      <c r="J195" s="22" t="s">
        <v>85</v>
      </c>
      <c r="K195" s="53" t="s">
        <v>749</v>
      </c>
      <c r="L195" s="22" t="s">
        <v>714</v>
      </c>
      <c r="M195" s="54">
        <v>43983.0</v>
      </c>
      <c r="N195" s="55" t="s">
        <v>692</v>
      </c>
      <c r="O195" s="56" t="s">
        <v>690</v>
      </c>
      <c r="P195" s="57" t="s">
        <v>782</v>
      </c>
      <c r="Q195" s="57" t="s">
        <v>782</v>
      </c>
      <c r="R195" s="58"/>
      <c r="S195" s="58"/>
      <c r="T195" s="58"/>
      <c r="U195" s="58"/>
      <c r="V195" s="58"/>
      <c r="W195" s="58"/>
      <c r="X195" s="58"/>
      <c r="Y195" s="58"/>
      <c r="Z195" s="58"/>
    </row>
    <row r="196" ht="15.75" customHeight="1">
      <c r="A196" s="23" t="s">
        <v>597</v>
      </c>
      <c r="B196" s="53" t="s">
        <v>46</v>
      </c>
      <c r="C196" s="53" t="s">
        <v>981</v>
      </c>
      <c r="D196" s="22" t="s">
        <v>185</v>
      </c>
      <c r="E196" s="53" t="s">
        <v>685</v>
      </c>
      <c r="F196" s="53" t="s">
        <v>982</v>
      </c>
      <c r="G196" s="65" t="s">
        <v>517</v>
      </c>
      <c r="H196" s="65" t="s">
        <v>517</v>
      </c>
      <c r="I196" s="65" t="s">
        <v>90</v>
      </c>
      <c r="J196" s="22" t="s">
        <v>85</v>
      </c>
      <c r="K196" s="53" t="s">
        <v>749</v>
      </c>
      <c r="L196" s="22" t="s">
        <v>714</v>
      </c>
      <c r="M196" s="54">
        <v>43983.0</v>
      </c>
      <c r="N196" s="55" t="s">
        <v>692</v>
      </c>
      <c r="O196" s="56" t="s">
        <v>690</v>
      </c>
      <c r="P196" s="57" t="s">
        <v>782</v>
      </c>
      <c r="Q196" s="57" t="s">
        <v>782</v>
      </c>
      <c r="R196" s="58"/>
      <c r="S196" s="58"/>
      <c r="T196" s="58"/>
      <c r="U196" s="58"/>
      <c r="V196" s="58"/>
      <c r="W196" s="58"/>
      <c r="X196" s="58"/>
      <c r="Y196" s="58"/>
      <c r="Z196" s="58"/>
    </row>
    <row r="197" ht="15.75" customHeight="1">
      <c r="A197" s="23" t="s">
        <v>599</v>
      </c>
      <c r="B197" s="53" t="s">
        <v>46</v>
      </c>
      <c r="C197" s="53" t="s">
        <v>983</v>
      </c>
      <c r="D197" s="22" t="s">
        <v>185</v>
      </c>
      <c r="E197" s="53" t="s">
        <v>685</v>
      </c>
      <c r="F197" s="53" t="s">
        <v>984</v>
      </c>
      <c r="G197" s="65" t="s">
        <v>517</v>
      </c>
      <c r="H197" s="65" t="s">
        <v>517</v>
      </c>
      <c r="I197" s="65" t="s">
        <v>90</v>
      </c>
      <c r="J197" s="22" t="s">
        <v>85</v>
      </c>
      <c r="K197" s="53" t="s">
        <v>749</v>
      </c>
      <c r="L197" s="22" t="s">
        <v>714</v>
      </c>
      <c r="M197" s="54">
        <v>43983.0</v>
      </c>
      <c r="N197" s="55" t="s">
        <v>692</v>
      </c>
      <c r="O197" s="56" t="s">
        <v>690</v>
      </c>
      <c r="P197" s="57" t="s">
        <v>782</v>
      </c>
      <c r="Q197" s="57" t="s">
        <v>782</v>
      </c>
      <c r="R197" s="58"/>
      <c r="S197" s="58"/>
      <c r="T197" s="58"/>
      <c r="U197" s="58"/>
      <c r="V197" s="58"/>
      <c r="W197" s="58"/>
      <c r="X197" s="58"/>
      <c r="Y197" s="58"/>
      <c r="Z197" s="58"/>
    </row>
    <row r="198" ht="15.75" customHeight="1">
      <c r="A198" s="23" t="s">
        <v>602</v>
      </c>
      <c r="B198" s="53" t="s">
        <v>46</v>
      </c>
      <c r="C198" s="53" t="s">
        <v>985</v>
      </c>
      <c r="D198" s="22" t="s">
        <v>185</v>
      </c>
      <c r="E198" s="62" t="s">
        <v>720</v>
      </c>
      <c r="F198" s="62" t="b">
        <v>1</v>
      </c>
      <c r="G198" s="65" t="s">
        <v>517</v>
      </c>
      <c r="H198" s="65" t="s">
        <v>517</v>
      </c>
      <c r="I198" s="65" t="s">
        <v>90</v>
      </c>
      <c r="J198" s="22" t="s">
        <v>85</v>
      </c>
      <c r="K198" s="53" t="s">
        <v>749</v>
      </c>
      <c r="L198" s="22" t="s">
        <v>714</v>
      </c>
      <c r="M198" s="54">
        <v>43983.0</v>
      </c>
      <c r="N198" s="55" t="s">
        <v>692</v>
      </c>
      <c r="O198" s="56" t="s">
        <v>690</v>
      </c>
      <c r="P198" s="57" t="s">
        <v>782</v>
      </c>
      <c r="Q198" s="57" t="s">
        <v>782</v>
      </c>
      <c r="R198" s="58"/>
      <c r="S198" s="58"/>
      <c r="T198" s="58"/>
      <c r="U198" s="58"/>
      <c r="V198" s="58"/>
      <c r="W198" s="58"/>
      <c r="X198" s="58"/>
      <c r="Y198" s="58"/>
      <c r="Z198" s="58"/>
    </row>
    <row r="199" ht="15.75" customHeight="1">
      <c r="A199" s="23" t="s">
        <v>604</v>
      </c>
      <c r="B199" s="53" t="s">
        <v>46</v>
      </c>
      <c r="C199" s="53" t="s">
        <v>986</v>
      </c>
      <c r="D199" s="22" t="s">
        <v>185</v>
      </c>
      <c r="E199" s="53" t="s">
        <v>685</v>
      </c>
      <c r="F199" s="53" t="s">
        <v>936</v>
      </c>
      <c r="G199" s="65" t="s">
        <v>517</v>
      </c>
      <c r="H199" s="65" t="s">
        <v>517</v>
      </c>
      <c r="I199" s="65" t="s">
        <v>90</v>
      </c>
      <c r="J199" s="22" t="s">
        <v>85</v>
      </c>
      <c r="K199" s="53" t="s">
        <v>749</v>
      </c>
      <c r="L199" s="22" t="s">
        <v>714</v>
      </c>
      <c r="M199" s="54">
        <v>43983.0</v>
      </c>
      <c r="N199" s="55" t="s">
        <v>692</v>
      </c>
      <c r="O199" s="56" t="s">
        <v>690</v>
      </c>
      <c r="P199" s="57" t="s">
        <v>782</v>
      </c>
      <c r="Q199" s="57" t="s">
        <v>782</v>
      </c>
      <c r="R199" s="58"/>
      <c r="S199" s="58"/>
      <c r="T199" s="58"/>
      <c r="U199" s="58"/>
      <c r="V199" s="58"/>
      <c r="W199" s="58"/>
      <c r="X199" s="58"/>
      <c r="Y199" s="58"/>
      <c r="Z199" s="58"/>
    </row>
    <row r="200" ht="15.75" customHeight="1">
      <c r="A200" s="23" t="s">
        <v>606</v>
      </c>
      <c r="B200" s="52" t="s">
        <v>46</v>
      </c>
      <c r="C200" s="53" t="s">
        <v>987</v>
      </c>
      <c r="D200" s="22" t="s">
        <v>185</v>
      </c>
      <c r="E200" s="53" t="s">
        <v>685</v>
      </c>
      <c r="F200" s="53" t="s">
        <v>988</v>
      </c>
      <c r="G200" s="23" t="s">
        <v>517</v>
      </c>
      <c r="H200" s="23" t="s">
        <v>517</v>
      </c>
      <c r="I200" s="65" t="s">
        <v>90</v>
      </c>
      <c r="J200" s="21" t="s">
        <v>85</v>
      </c>
      <c r="K200" s="53" t="s">
        <v>749</v>
      </c>
      <c r="L200" s="22" t="s">
        <v>714</v>
      </c>
      <c r="M200" s="54">
        <v>43983.0</v>
      </c>
      <c r="N200" s="55" t="s">
        <v>692</v>
      </c>
      <c r="O200" s="56" t="s">
        <v>690</v>
      </c>
      <c r="P200" s="57" t="s">
        <v>782</v>
      </c>
      <c r="Q200" s="57" t="s">
        <v>782</v>
      </c>
      <c r="R200" s="58"/>
      <c r="S200" s="58"/>
      <c r="T200" s="58"/>
      <c r="U200" s="58"/>
      <c r="V200" s="58"/>
      <c r="W200" s="58"/>
      <c r="X200" s="58"/>
      <c r="Y200" s="58"/>
      <c r="Z200" s="58"/>
    </row>
    <row r="201" ht="15.75" customHeight="1">
      <c r="A201" s="23" t="s">
        <v>609</v>
      </c>
      <c r="B201" s="53" t="s">
        <v>46</v>
      </c>
      <c r="C201" s="53" t="s">
        <v>989</v>
      </c>
      <c r="D201" s="22" t="s">
        <v>185</v>
      </c>
      <c r="E201" s="62" t="s">
        <v>720</v>
      </c>
      <c r="F201" s="62" t="b">
        <v>1</v>
      </c>
      <c r="G201" s="65" t="s">
        <v>517</v>
      </c>
      <c r="H201" s="65" t="s">
        <v>517</v>
      </c>
      <c r="I201" s="65" t="s">
        <v>90</v>
      </c>
      <c r="J201" s="22" t="s">
        <v>85</v>
      </c>
      <c r="K201" s="53" t="s">
        <v>749</v>
      </c>
      <c r="L201" s="22" t="s">
        <v>714</v>
      </c>
      <c r="M201" s="54">
        <v>43983.0</v>
      </c>
      <c r="N201" s="55" t="s">
        <v>692</v>
      </c>
      <c r="O201" s="56" t="s">
        <v>690</v>
      </c>
      <c r="P201" s="57" t="s">
        <v>782</v>
      </c>
      <c r="Q201" s="57" t="s">
        <v>782</v>
      </c>
      <c r="R201" s="58"/>
      <c r="S201" s="58"/>
      <c r="T201" s="58"/>
      <c r="U201" s="58"/>
      <c r="V201" s="58"/>
      <c r="W201" s="58"/>
      <c r="X201" s="58"/>
      <c r="Y201" s="58"/>
      <c r="Z201" s="58"/>
    </row>
    <row r="202" ht="15.75" customHeight="1">
      <c r="A202" s="23" t="s">
        <v>611</v>
      </c>
      <c r="B202" s="53" t="s">
        <v>46</v>
      </c>
      <c r="C202" s="53" t="s">
        <v>990</v>
      </c>
      <c r="D202" s="22" t="s">
        <v>185</v>
      </c>
      <c r="E202" s="53" t="s">
        <v>685</v>
      </c>
      <c r="F202" s="53" t="s">
        <v>982</v>
      </c>
      <c r="G202" s="65" t="s">
        <v>517</v>
      </c>
      <c r="H202" s="65" t="s">
        <v>517</v>
      </c>
      <c r="I202" s="65" t="s">
        <v>90</v>
      </c>
      <c r="J202" s="22" t="s">
        <v>85</v>
      </c>
      <c r="K202" s="53" t="s">
        <v>749</v>
      </c>
      <c r="L202" s="22" t="s">
        <v>714</v>
      </c>
      <c r="M202" s="54">
        <v>43983.0</v>
      </c>
      <c r="N202" s="55" t="s">
        <v>692</v>
      </c>
      <c r="O202" s="56" t="s">
        <v>690</v>
      </c>
      <c r="P202" s="57" t="s">
        <v>782</v>
      </c>
      <c r="Q202" s="57" t="s">
        <v>782</v>
      </c>
      <c r="R202" s="58"/>
      <c r="S202" s="58"/>
      <c r="T202" s="58"/>
      <c r="U202" s="58"/>
      <c r="V202" s="58"/>
      <c r="W202" s="58"/>
      <c r="X202" s="58"/>
      <c r="Y202" s="58"/>
      <c r="Z202" s="58"/>
    </row>
    <row r="203" ht="15.75" customHeight="1">
      <c r="A203" s="23" t="s">
        <v>613</v>
      </c>
      <c r="B203" s="53" t="s">
        <v>46</v>
      </c>
      <c r="C203" s="53" t="s">
        <v>991</v>
      </c>
      <c r="D203" s="22" t="s">
        <v>185</v>
      </c>
      <c r="E203" s="53" t="s">
        <v>685</v>
      </c>
      <c r="F203" s="53" t="s">
        <v>992</v>
      </c>
      <c r="G203" s="65" t="s">
        <v>517</v>
      </c>
      <c r="H203" s="65" t="s">
        <v>517</v>
      </c>
      <c r="I203" s="65" t="s">
        <v>90</v>
      </c>
      <c r="J203" s="22" t="s">
        <v>85</v>
      </c>
      <c r="K203" s="53" t="s">
        <v>749</v>
      </c>
      <c r="L203" s="22" t="s">
        <v>714</v>
      </c>
      <c r="M203" s="54">
        <v>43983.0</v>
      </c>
      <c r="N203" s="55" t="s">
        <v>692</v>
      </c>
      <c r="O203" s="56" t="s">
        <v>690</v>
      </c>
      <c r="P203" s="57" t="s">
        <v>782</v>
      </c>
      <c r="Q203" s="57" t="s">
        <v>782</v>
      </c>
      <c r="R203" s="58"/>
      <c r="S203" s="58"/>
      <c r="T203" s="58"/>
      <c r="U203" s="58"/>
      <c r="V203" s="58"/>
      <c r="W203" s="58"/>
      <c r="X203" s="58"/>
      <c r="Y203" s="58"/>
      <c r="Z203" s="58"/>
    </row>
    <row r="204" ht="15.75" customHeight="1">
      <c r="A204" s="23" t="s">
        <v>616</v>
      </c>
      <c r="B204" s="53" t="s">
        <v>46</v>
      </c>
      <c r="C204" s="53" t="s">
        <v>993</v>
      </c>
      <c r="D204" s="22" t="s">
        <v>185</v>
      </c>
      <c r="E204" s="62" t="s">
        <v>720</v>
      </c>
      <c r="F204" s="62" t="b">
        <v>1</v>
      </c>
      <c r="G204" s="65" t="s">
        <v>517</v>
      </c>
      <c r="H204" s="65" t="s">
        <v>517</v>
      </c>
      <c r="I204" s="65" t="s">
        <v>90</v>
      </c>
      <c r="J204" s="22" t="s">
        <v>85</v>
      </c>
      <c r="K204" s="53" t="s">
        <v>749</v>
      </c>
      <c r="L204" s="22" t="s">
        <v>714</v>
      </c>
      <c r="M204" s="54">
        <v>43983.0</v>
      </c>
      <c r="N204" s="55" t="s">
        <v>692</v>
      </c>
      <c r="O204" s="56" t="s">
        <v>690</v>
      </c>
      <c r="P204" s="57" t="s">
        <v>782</v>
      </c>
      <c r="Q204" s="57" t="s">
        <v>782</v>
      </c>
      <c r="R204" s="58"/>
      <c r="S204" s="58"/>
      <c r="T204" s="58"/>
      <c r="U204" s="58"/>
      <c r="V204" s="58"/>
      <c r="W204" s="58"/>
      <c r="X204" s="58"/>
      <c r="Y204" s="58"/>
      <c r="Z204" s="58"/>
    </row>
    <row r="205" ht="15.75" customHeight="1">
      <c r="A205" s="23" t="s">
        <v>618</v>
      </c>
      <c r="B205" s="53" t="s">
        <v>46</v>
      </c>
      <c r="C205" s="53" t="s">
        <v>994</v>
      </c>
      <c r="D205" s="22" t="s">
        <v>185</v>
      </c>
      <c r="E205" s="53" t="s">
        <v>685</v>
      </c>
      <c r="F205" s="53" t="s">
        <v>977</v>
      </c>
      <c r="G205" s="65" t="s">
        <v>517</v>
      </c>
      <c r="H205" s="65" t="s">
        <v>517</v>
      </c>
      <c r="I205" s="65" t="s">
        <v>90</v>
      </c>
      <c r="J205" s="22" t="s">
        <v>85</v>
      </c>
      <c r="K205" s="53" t="s">
        <v>749</v>
      </c>
      <c r="L205" s="22" t="s">
        <v>714</v>
      </c>
      <c r="M205" s="54">
        <v>43983.0</v>
      </c>
      <c r="N205" s="55" t="s">
        <v>692</v>
      </c>
      <c r="O205" s="56" t="s">
        <v>690</v>
      </c>
      <c r="P205" s="57" t="s">
        <v>782</v>
      </c>
      <c r="Q205" s="57" t="s">
        <v>782</v>
      </c>
      <c r="R205" s="58"/>
      <c r="S205" s="58"/>
      <c r="T205" s="58"/>
      <c r="U205" s="58"/>
      <c r="V205" s="58"/>
      <c r="W205" s="58"/>
      <c r="X205" s="58"/>
      <c r="Y205" s="58"/>
      <c r="Z205" s="58"/>
    </row>
    <row r="206" ht="15.75" customHeight="1">
      <c r="A206" s="23" t="s">
        <v>620</v>
      </c>
      <c r="B206" s="53" t="s">
        <v>46</v>
      </c>
      <c r="C206" s="53" t="s">
        <v>995</v>
      </c>
      <c r="D206" s="22" t="s">
        <v>185</v>
      </c>
      <c r="E206" s="53" t="s">
        <v>685</v>
      </c>
      <c r="F206" s="53" t="s">
        <v>996</v>
      </c>
      <c r="G206" s="65" t="s">
        <v>517</v>
      </c>
      <c r="H206" s="65" t="s">
        <v>517</v>
      </c>
      <c r="I206" s="65" t="s">
        <v>90</v>
      </c>
      <c r="J206" s="22" t="s">
        <v>85</v>
      </c>
      <c r="K206" s="53" t="s">
        <v>749</v>
      </c>
      <c r="L206" s="22" t="s">
        <v>714</v>
      </c>
      <c r="M206" s="54">
        <v>43983.0</v>
      </c>
      <c r="N206" s="55" t="s">
        <v>692</v>
      </c>
      <c r="O206" s="56" t="s">
        <v>690</v>
      </c>
      <c r="P206" s="57" t="s">
        <v>782</v>
      </c>
      <c r="Q206" s="57" t="s">
        <v>782</v>
      </c>
      <c r="R206" s="58"/>
      <c r="S206" s="58"/>
      <c r="T206" s="58"/>
      <c r="U206" s="58"/>
      <c r="V206" s="58"/>
      <c r="W206" s="58"/>
      <c r="X206" s="58"/>
      <c r="Y206" s="58"/>
      <c r="Z206" s="58"/>
    </row>
    <row r="207" ht="15.75" customHeight="1">
      <c r="A207" s="23" t="s">
        <v>630</v>
      </c>
      <c r="B207" s="53" t="s">
        <v>46</v>
      </c>
      <c r="C207" s="53" t="s">
        <v>997</v>
      </c>
      <c r="D207" s="22" t="s">
        <v>185</v>
      </c>
      <c r="E207" s="62" t="s">
        <v>720</v>
      </c>
      <c r="F207" s="62" t="b">
        <v>1</v>
      </c>
      <c r="G207" s="65" t="s">
        <v>517</v>
      </c>
      <c r="H207" s="65" t="s">
        <v>517</v>
      </c>
      <c r="I207" s="65" t="s">
        <v>90</v>
      </c>
      <c r="J207" s="22" t="s">
        <v>85</v>
      </c>
      <c r="K207" s="53" t="s">
        <v>749</v>
      </c>
      <c r="L207" s="22" t="s">
        <v>714</v>
      </c>
      <c r="M207" s="54">
        <v>43983.0</v>
      </c>
      <c r="N207" s="55" t="s">
        <v>692</v>
      </c>
      <c r="O207" s="56" t="s">
        <v>690</v>
      </c>
      <c r="P207" s="57" t="s">
        <v>782</v>
      </c>
      <c r="Q207" s="57" t="s">
        <v>782</v>
      </c>
      <c r="R207" s="58"/>
      <c r="S207" s="58"/>
      <c r="T207" s="58"/>
      <c r="U207" s="58"/>
      <c r="V207" s="58"/>
      <c r="W207" s="58"/>
      <c r="X207" s="58"/>
      <c r="Y207" s="58"/>
      <c r="Z207" s="58"/>
    </row>
    <row r="208" ht="15.75" customHeight="1">
      <c r="A208" s="23" t="s">
        <v>632</v>
      </c>
      <c r="B208" s="53" t="s">
        <v>46</v>
      </c>
      <c r="C208" s="53" t="s">
        <v>998</v>
      </c>
      <c r="D208" s="22" t="s">
        <v>185</v>
      </c>
      <c r="E208" s="53" t="s">
        <v>685</v>
      </c>
      <c r="F208" s="53" t="s">
        <v>982</v>
      </c>
      <c r="G208" s="65" t="s">
        <v>517</v>
      </c>
      <c r="H208" s="65" t="s">
        <v>517</v>
      </c>
      <c r="I208" s="65" t="s">
        <v>90</v>
      </c>
      <c r="J208" s="22" t="s">
        <v>85</v>
      </c>
      <c r="K208" s="53" t="s">
        <v>749</v>
      </c>
      <c r="L208" s="22" t="s">
        <v>714</v>
      </c>
      <c r="M208" s="54">
        <v>43983.0</v>
      </c>
      <c r="N208" s="55" t="s">
        <v>692</v>
      </c>
      <c r="O208" s="56" t="s">
        <v>690</v>
      </c>
      <c r="P208" s="57" t="s">
        <v>782</v>
      </c>
      <c r="Q208" s="57" t="s">
        <v>782</v>
      </c>
      <c r="R208" s="58"/>
      <c r="S208" s="58"/>
      <c r="T208" s="58"/>
      <c r="U208" s="58"/>
      <c r="V208" s="58"/>
      <c r="W208" s="58"/>
      <c r="X208" s="58"/>
      <c r="Y208" s="58"/>
      <c r="Z208" s="58"/>
    </row>
    <row r="209" ht="15.75" customHeight="1">
      <c r="A209" s="23" t="s">
        <v>634</v>
      </c>
      <c r="B209" s="53" t="s">
        <v>46</v>
      </c>
      <c r="C209" s="53" t="s">
        <v>999</v>
      </c>
      <c r="D209" s="22" t="s">
        <v>185</v>
      </c>
      <c r="E209" s="53" t="s">
        <v>685</v>
      </c>
      <c r="F209" s="53" t="s">
        <v>1000</v>
      </c>
      <c r="G209" s="65" t="s">
        <v>517</v>
      </c>
      <c r="H209" s="65" t="s">
        <v>517</v>
      </c>
      <c r="I209" s="65" t="s">
        <v>90</v>
      </c>
      <c r="J209" s="22" t="s">
        <v>85</v>
      </c>
      <c r="K209" s="53" t="s">
        <v>749</v>
      </c>
      <c r="L209" s="22" t="s">
        <v>714</v>
      </c>
      <c r="M209" s="54">
        <v>43983.0</v>
      </c>
      <c r="N209" s="55" t="s">
        <v>692</v>
      </c>
      <c r="O209" s="56" t="s">
        <v>690</v>
      </c>
      <c r="P209" s="57" t="s">
        <v>782</v>
      </c>
      <c r="Q209" s="57" t="s">
        <v>782</v>
      </c>
      <c r="R209" s="58"/>
      <c r="S209" s="58"/>
      <c r="T209" s="58"/>
      <c r="U209" s="58"/>
      <c r="V209" s="58"/>
      <c r="W209" s="58"/>
      <c r="X209" s="58"/>
      <c r="Y209" s="58"/>
      <c r="Z209" s="58"/>
    </row>
    <row r="210" ht="15.75" customHeight="1">
      <c r="A210" s="23" t="s">
        <v>637</v>
      </c>
      <c r="B210" s="53" t="s">
        <v>46</v>
      </c>
      <c r="C210" s="53" t="s">
        <v>1001</v>
      </c>
      <c r="D210" s="22" t="s">
        <v>185</v>
      </c>
      <c r="E210" s="62" t="s">
        <v>720</v>
      </c>
      <c r="F210" s="62" t="b">
        <v>1</v>
      </c>
      <c r="G210" s="65" t="s">
        <v>517</v>
      </c>
      <c r="H210" s="65" t="s">
        <v>517</v>
      </c>
      <c r="I210" s="65" t="s">
        <v>90</v>
      </c>
      <c r="J210" s="22" t="s">
        <v>85</v>
      </c>
      <c r="K210" s="53" t="s">
        <v>749</v>
      </c>
      <c r="L210" s="22" t="s">
        <v>714</v>
      </c>
      <c r="M210" s="54">
        <v>43983.0</v>
      </c>
      <c r="N210" s="55" t="s">
        <v>692</v>
      </c>
      <c r="O210" s="56" t="s">
        <v>690</v>
      </c>
      <c r="P210" s="57" t="s">
        <v>782</v>
      </c>
      <c r="Q210" s="57" t="s">
        <v>782</v>
      </c>
      <c r="R210" s="58"/>
      <c r="S210" s="58"/>
      <c r="T210" s="58"/>
      <c r="U210" s="58"/>
      <c r="V210" s="58"/>
      <c r="W210" s="58"/>
      <c r="X210" s="58"/>
      <c r="Y210" s="58"/>
      <c r="Z210" s="58"/>
    </row>
    <row r="211" ht="15.75" customHeight="1">
      <c r="A211" s="23" t="s">
        <v>639</v>
      </c>
      <c r="B211" s="53" t="s">
        <v>46</v>
      </c>
      <c r="C211" s="53" t="s">
        <v>1002</v>
      </c>
      <c r="D211" s="22" t="s">
        <v>185</v>
      </c>
      <c r="E211" s="53" t="s">
        <v>685</v>
      </c>
      <c r="F211" s="53" t="s">
        <v>977</v>
      </c>
      <c r="G211" s="65" t="s">
        <v>517</v>
      </c>
      <c r="H211" s="65" t="s">
        <v>517</v>
      </c>
      <c r="I211" s="65" t="s">
        <v>90</v>
      </c>
      <c r="J211" s="22" t="s">
        <v>85</v>
      </c>
      <c r="K211" s="53" t="s">
        <v>749</v>
      </c>
      <c r="L211" s="22" t="s">
        <v>714</v>
      </c>
      <c r="M211" s="54">
        <v>43983.0</v>
      </c>
      <c r="N211" s="55" t="s">
        <v>692</v>
      </c>
      <c r="O211" s="56" t="s">
        <v>690</v>
      </c>
      <c r="P211" s="57" t="s">
        <v>782</v>
      </c>
      <c r="Q211" s="57" t="s">
        <v>782</v>
      </c>
      <c r="R211" s="58"/>
      <c r="S211" s="58"/>
      <c r="T211" s="58"/>
      <c r="U211" s="58"/>
      <c r="V211" s="58"/>
      <c r="W211" s="58"/>
      <c r="X211" s="58"/>
      <c r="Y211" s="58"/>
      <c r="Z211" s="58"/>
    </row>
    <row r="212" ht="15.75" customHeight="1">
      <c r="A212" s="23" t="s">
        <v>641</v>
      </c>
      <c r="B212" s="53" t="s">
        <v>46</v>
      </c>
      <c r="C212" s="53" t="s">
        <v>1003</v>
      </c>
      <c r="D212" s="22" t="s">
        <v>185</v>
      </c>
      <c r="E212" s="53" t="s">
        <v>685</v>
      </c>
      <c r="F212" s="53" t="s">
        <v>1000</v>
      </c>
      <c r="G212" s="65" t="s">
        <v>517</v>
      </c>
      <c r="H212" s="65" t="s">
        <v>517</v>
      </c>
      <c r="I212" s="65" t="s">
        <v>90</v>
      </c>
      <c r="J212" s="22" t="s">
        <v>85</v>
      </c>
      <c r="K212" s="53" t="s">
        <v>749</v>
      </c>
      <c r="L212" s="22" t="s">
        <v>714</v>
      </c>
      <c r="M212" s="54">
        <v>43983.0</v>
      </c>
      <c r="N212" s="55" t="s">
        <v>692</v>
      </c>
      <c r="O212" s="56" t="s">
        <v>690</v>
      </c>
      <c r="P212" s="57" t="s">
        <v>782</v>
      </c>
      <c r="Q212" s="57" t="s">
        <v>782</v>
      </c>
      <c r="R212" s="58"/>
      <c r="S212" s="58"/>
      <c r="T212" s="58"/>
      <c r="U212" s="58"/>
      <c r="V212" s="58"/>
      <c r="W212" s="58"/>
      <c r="X212" s="58"/>
      <c r="Y212" s="58"/>
      <c r="Z212" s="58"/>
    </row>
    <row r="213" ht="15.75" customHeight="1">
      <c r="A213" s="23" t="s">
        <v>644</v>
      </c>
      <c r="B213" s="53" t="s">
        <v>46</v>
      </c>
      <c r="C213" s="53" t="s">
        <v>1004</v>
      </c>
      <c r="D213" s="22" t="s">
        <v>185</v>
      </c>
      <c r="E213" s="62" t="s">
        <v>720</v>
      </c>
      <c r="F213" s="62" t="b">
        <v>1</v>
      </c>
      <c r="G213" s="65" t="s">
        <v>517</v>
      </c>
      <c r="H213" s="65" t="s">
        <v>517</v>
      </c>
      <c r="I213" s="65" t="s">
        <v>90</v>
      </c>
      <c r="J213" s="22" t="s">
        <v>85</v>
      </c>
      <c r="K213" s="53" t="s">
        <v>749</v>
      </c>
      <c r="L213" s="22" t="s">
        <v>714</v>
      </c>
      <c r="M213" s="54">
        <v>43983.0</v>
      </c>
      <c r="N213" s="55" t="s">
        <v>692</v>
      </c>
      <c r="O213" s="56" t="s">
        <v>690</v>
      </c>
      <c r="P213" s="57" t="s">
        <v>782</v>
      </c>
      <c r="Q213" s="57" t="s">
        <v>782</v>
      </c>
      <c r="R213" s="58"/>
      <c r="S213" s="58"/>
      <c r="T213" s="58"/>
      <c r="U213" s="58"/>
      <c r="V213" s="58"/>
      <c r="W213" s="58"/>
      <c r="X213" s="58"/>
      <c r="Y213" s="58"/>
      <c r="Z213" s="58"/>
    </row>
    <row r="214" ht="15.75" customHeight="1">
      <c r="A214" s="23" t="s">
        <v>646</v>
      </c>
      <c r="B214" s="53" t="s">
        <v>46</v>
      </c>
      <c r="C214" s="53" t="s">
        <v>1005</v>
      </c>
      <c r="D214" s="22" t="s">
        <v>185</v>
      </c>
      <c r="E214" s="53" t="s">
        <v>685</v>
      </c>
      <c r="F214" s="53" t="s">
        <v>936</v>
      </c>
      <c r="G214" s="65" t="s">
        <v>517</v>
      </c>
      <c r="H214" s="65" t="s">
        <v>517</v>
      </c>
      <c r="I214" s="65" t="s">
        <v>90</v>
      </c>
      <c r="J214" s="22" t="s">
        <v>85</v>
      </c>
      <c r="K214" s="53" t="s">
        <v>749</v>
      </c>
      <c r="L214" s="22" t="s">
        <v>714</v>
      </c>
      <c r="M214" s="54">
        <v>43983.0</v>
      </c>
      <c r="N214" s="55" t="s">
        <v>692</v>
      </c>
      <c r="O214" s="56" t="s">
        <v>690</v>
      </c>
      <c r="P214" s="57" t="s">
        <v>782</v>
      </c>
      <c r="Q214" s="57" t="s">
        <v>782</v>
      </c>
      <c r="R214" s="58"/>
      <c r="S214" s="58"/>
      <c r="T214" s="58"/>
      <c r="U214" s="58"/>
      <c r="V214" s="58"/>
      <c r="W214" s="58"/>
      <c r="X214" s="58"/>
      <c r="Y214" s="58"/>
      <c r="Z214" s="58"/>
    </row>
    <row r="215" ht="15.75" customHeight="1">
      <c r="A215" s="23" t="s">
        <v>648</v>
      </c>
      <c r="B215" s="53" t="s">
        <v>46</v>
      </c>
      <c r="C215" s="53" t="s">
        <v>1006</v>
      </c>
      <c r="D215" s="22" t="s">
        <v>185</v>
      </c>
      <c r="E215" s="53" t="s">
        <v>685</v>
      </c>
      <c r="F215" s="53" t="s">
        <v>1007</v>
      </c>
      <c r="G215" s="65" t="s">
        <v>517</v>
      </c>
      <c r="H215" s="65" t="s">
        <v>517</v>
      </c>
      <c r="I215" s="65" t="s">
        <v>90</v>
      </c>
      <c r="J215" s="22" t="s">
        <v>85</v>
      </c>
      <c r="K215" s="53" t="s">
        <v>749</v>
      </c>
      <c r="L215" s="22" t="s">
        <v>714</v>
      </c>
      <c r="M215" s="54">
        <v>43983.0</v>
      </c>
      <c r="N215" s="55" t="s">
        <v>692</v>
      </c>
      <c r="O215" s="56" t="s">
        <v>690</v>
      </c>
      <c r="P215" s="57" t="s">
        <v>782</v>
      </c>
      <c r="Q215" s="57" t="s">
        <v>782</v>
      </c>
      <c r="R215" s="58"/>
      <c r="S215" s="58"/>
      <c r="T215" s="58"/>
      <c r="U215" s="58"/>
      <c r="V215" s="58"/>
      <c r="W215" s="58"/>
      <c r="X215" s="58"/>
      <c r="Y215" s="58"/>
      <c r="Z215" s="58"/>
    </row>
    <row r="216" ht="15.75" customHeight="1">
      <c r="A216" s="23" t="s">
        <v>651</v>
      </c>
      <c r="B216" s="53" t="s">
        <v>46</v>
      </c>
      <c r="C216" s="53" t="s">
        <v>1008</v>
      </c>
      <c r="D216" s="22" t="s">
        <v>185</v>
      </c>
      <c r="E216" s="62" t="s">
        <v>720</v>
      </c>
      <c r="F216" s="62" t="b">
        <v>1</v>
      </c>
      <c r="G216" s="65" t="s">
        <v>517</v>
      </c>
      <c r="H216" s="65" t="s">
        <v>517</v>
      </c>
      <c r="I216" s="65" t="s">
        <v>90</v>
      </c>
      <c r="J216" s="22" t="s">
        <v>85</v>
      </c>
      <c r="K216" s="53" t="s">
        <v>749</v>
      </c>
      <c r="L216" s="22" t="s">
        <v>714</v>
      </c>
      <c r="M216" s="54">
        <v>43983.0</v>
      </c>
      <c r="N216" s="55" t="s">
        <v>692</v>
      </c>
      <c r="O216" s="56" t="s">
        <v>690</v>
      </c>
      <c r="P216" s="57" t="s">
        <v>782</v>
      </c>
      <c r="Q216" s="57" t="s">
        <v>782</v>
      </c>
      <c r="R216" s="58"/>
      <c r="S216" s="58"/>
      <c r="T216" s="58"/>
      <c r="U216" s="58"/>
      <c r="V216" s="58"/>
      <c r="W216" s="58"/>
      <c r="X216" s="58"/>
      <c r="Y216" s="58"/>
      <c r="Z216" s="58"/>
    </row>
    <row r="217" ht="15.75" customHeight="1">
      <c r="A217" s="23" t="s">
        <v>653</v>
      </c>
      <c r="B217" s="53" t="s">
        <v>46</v>
      </c>
      <c r="C217" s="53" t="s">
        <v>1009</v>
      </c>
      <c r="D217" s="22" t="s">
        <v>185</v>
      </c>
      <c r="E217" s="53" t="s">
        <v>685</v>
      </c>
      <c r="F217" s="53" t="s">
        <v>936</v>
      </c>
      <c r="G217" s="65" t="s">
        <v>517</v>
      </c>
      <c r="H217" s="65" t="s">
        <v>517</v>
      </c>
      <c r="I217" s="65" t="s">
        <v>90</v>
      </c>
      <c r="J217" s="22" t="s">
        <v>85</v>
      </c>
      <c r="K217" s="53" t="s">
        <v>749</v>
      </c>
      <c r="L217" s="22" t="s">
        <v>714</v>
      </c>
      <c r="M217" s="54">
        <v>43983.0</v>
      </c>
      <c r="N217" s="55" t="s">
        <v>692</v>
      </c>
      <c r="O217" s="56" t="s">
        <v>690</v>
      </c>
      <c r="P217" s="57" t="s">
        <v>782</v>
      </c>
      <c r="Q217" s="57" t="s">
        <v>782</v>
      </c>
      <c r="R217" s="58"/>
      <c r="S217" s="58"/>
      <c r="T217" s="58"/>
      <c r="U217" s="58"/>
      <c r="V217" s="58"/>
      <c r="W217" s="58"/>
      <c r="X217" s="58"/>
      <c r="Y217" s="58"/>
      <c r="Z217" s="58"/>
    </row>
    <row r="218" ht="15.75" customHeight="1">
      <c r="A218" s="23" t="s">
        <v>655</v>
      </c>
      <c r="B218" s="53" t="s">
        <v>46</v>
      </c>
      <c r="C218" s="53" t="s">
        <v>1010</v>
      </c>
      <c r="D218" s="22" t="s">
        <v>185</v>
      </c>
      <c r="E218" s="53" t="s">
        <v>685</v>
      </c>
      <c r="F218" s="53" t="s">
        <v>1011</v>
      </c>
      <c r="G218" s="65" t="s">
        <v>517</v>
      </c>
      <c r="H218" s="65" t="s">
        <v>517</v>
      </c>
      <c r="I218" s="65" t="s">
        <v>90</v>
      </c>
      <c r="J218" s="22" t="s">
        <v>85</v>
      </c>
      <c r="K218" s="53" t="s">
        <v>749</v>
      </c>
      <c r="L218" s="22" t="s">
        <v>714</v>
      </c>
      <c r="M218" s="54">
        <v>43983.0</v>
      </c>
      <c r="N218" s="55" t="s">
        <v>692</v>
      </c>
      <c r="O218" s="56" t="s">
        <v>690</v>
      </c>
      <c r="P218" s="57" t="s">
        <v>782</v>
      </c>
      <c r="Q218" s="57" t="s">
        <v>782</v>
      </c>
      <c r="R218" s="58"/>
      <c r="S218" s="58"/>
      <c r="T218" s="58"/>
      <c r="U218" s="58"/>
      <c r="V218" s="58"/>
      <c r="W218" s="58"/>
      <c r="X218" s="58"/>
      <c r="Y218" s="58"/>
      <c r="Z218" s="58"/>
    </row>
    <row r="219" ht="15.75" customHeight="1">
      <c r="A219" s="23" t="s">
        <v>658</v>
      </c>
      <c r="B219" s="53" t="s">
        <v>46</v>
      </c>
      <c r="C219" s="53" t="s">
        <v>1012</v>
      </c>
      <c r="D219" s="22" t="s">
        <v>185</v>
      </c>
      <c r="E219" s="62" t="s">
        <v>720</v>
      </c>
      <c r="F219" s="62" t="b">
        <v>1</v>
      </c>
      <c r="G219" s="65" t="s">
        <v>517</v>
      </c>
      <c r="H219" s="65" t="s">
        <v>517</v>
      </c>
      <c r="I219" s="65" t="s">
        <v>90</v>
      </c>
      <c r="J219" s="22" t="s">
        <v>85</v>
      </c>
      <c r="K219" s="53" t="s">
        <v>749</v>
      </c>
      <c r="L219" s="22" t="s">
        <v>714</v>
      </c>
      <c r="M219" s="54">
        <v>43983.0</v>
      </c>
      <c r="N219" s="55" t="s">
        <v>692</v>
      </c>
      <c r="O219" s="56" t="s">
        <v>690</v>
      </c>
      <c r="P219" s="57" t="s">
        <v>782</v>
      </c>
      <c r="Q219" s="57" t="s">
        <v>782</v>
      </c>
      <c r="R219" s="58"/>
      <c r="S219" s="58"/>
      <c r="T219" s="58"/>
      <c r="U219" s="58"/>
      <c r="V219" s="58"/>
      <c r="W219" s="58"/>
      <c r="X219" s="58"/>
      <c r="Y219" s="58"/>
      <c r="Z219" s="58"/>
    </row>
    <row r="220" ht="15.75" customHeight="1">
      <c r="A220" s="23" t="s">
        <v>660</v>
      </c>
      <c r="B220" s="53" t="s">
        <v>46</v>
      </c>
      <c r="C220" s="53" t="s">
        <v>1013</v>
      </c>
      <c r="D220" s="22" t="s">
        <v>185</v>
      </c>
      <c r="E220" s="53" t="s">
        <v>685</v>
      </c>
      <c r="F220" s="53" t="s">
        <v>936</v>
      </c>
      <c r="G220" s="65" t="s">
        <v>517</v>
      </c>
      <c r="H220" s="65" t="s">
        <v>517</v>
      </c>
      <c r="I220" s="65" t="s">
        <v>90</v>
      </c>
      <c r="J220" s="22" t="s">
        <v>85</v>
      </c>
      <c r="K220" s="53" t="s">
        <v>749</v>
      </c>
      <c r="L220" s="22" t="s">
        <v>714</v>
      </c>
      <c r="M220" s="54">
        <v>43983.0</v>
      </c>
      <c r="N220" s="55" t="s">
        <v>692</v>
      </c>
      <c r="O220" s="56" t="s">
        <v>690</v>
      </c>
      <c r="P220" s="57" t="s">
        <v>782</v>
      </c>
      <c r="Q220" s="57" t="s">
        <v>782</v>
      </c>
      <c r="R220" s="58"/>
      <c r="S220" s="58"/>
      <c r="T220" s="58"/>
      <c r="U220" s="58"/>
      <c r="V220" s="58"/>
      <c r="W220" s="58"/>
      <c r="X220" s="58"/>
      <c r="Y220" s="58"/>
      <c r="Z220" s="58"/>
    </row>
    <row r="221" ht="15.75" customHeight="1">
      <c r="A221" s="23" t="s">
        <v>662</v>
      </c>
      <c r="B221" s="52" t="s">
        <v>46</v>
      </c>
      <c r="C221" s="53" t="s">
        <v>1014</v>
      </c>
      <c r="D221" s="22" t="s">
        <v>185</v>
      </c>
      <c r="E221" s="53" t="s">
        <v>685</v>
      </c>
      <c r="F221" s="53" t="s">
        <v>1015</v>
      </c>
      <c r="G221" s="23" t="s">
        <v>517</v>
      </c>
      <c r="H221" s="23" t="s">
        <v>517</v>
      </c>
      <c r="I221" s="65" t="s">
        <v>90</v>
      </c>
      <c r="J221" s="21" t="s">
        <v>85</v>
      </c>
      <c r="K221" s="53" t="s">
        <v>749</v>
      </c>
      <c r="L221" s="22" t="s">
        <v>714</v>
      </c>
      <c r="M221" s="54">
        <v>43983.0</v>
      </c>
      <c r="N221" s="55" t="s">
        <v>692</v>
      </c>
      <c r="O221" s="56" t="s">
        <v>690</v>
      </c>
      <c r="P221" s="57" t="s">
        <v>782</v>
      </c>
      <c r="Q221" s="57" t="s">
        <v>782</v>
      </c>
      <c r="R221" s="58"/>
      <c r="S221" s="58"/>
      <c r="T221" s="58"/>
      <c r="U221" s="58"/>
      <c r="V221" s="58"/>
      <c r="W221" s="58"/>
      <c r="X221" s="58"/>
      <c r="Y221" s="58"/>
      <c r="Z221" s="58"/>
    </row>
    <row r="222" ht="15.75" customHeight="1">
      <c r="A222" s="23" t="s">
        <v>665</v>
      </c>
      <c r="B222" s="53" t="s">
        <v>46</v>
      </c>
      <c r="C222" s="53" t="s">
        <v>1016</v>
      </c>
      <c r="D222" s="22" t="s">
        <v>185</v>
      </c>
      <c r="E222" s="62" t="s">
        <v>720</v>
      </c>
      <c r="F222" s="62" t="b">
        <v>1</v>
      </c>
      <c r="G222" s="65" t="s">
        <v>517</v>
      </c>
      <c r="H222" s="65" t="s">
        <v>517</v>
      </c>
      <c r="I222" s="65" t="s">
        <v>90</v>
      </c>
      <c r="J222" s="22" t="s">
        <v>85</v>
      </c>
      <c r="K222" s="53" t="s">
        <v>749</v>
      </c>
      <c r="L222" s="22" t="s">
        <v>714</v>
      </c>
      <c r="M222" s="54">
        <v>43983.0</v>
      </c>
      <c r="N222" s="55" t="s">
        <v>692</v>
      </c>
      <c r="O222" s="56" t="s">
        <v>690</v>
      </c>
      <c r="P222" s="57" t="s">
        <v>782</v>
      </c>
      <c r="Q222" s="57" t="s">
        <v>782</v>
      </c>
      <c r="R222" s="58"/>
      <c r="S222" s="58"/>
      <c r="T222" s="58"/>
      <c r="U222" s="58"/>
      <c r="V222" s="58"/>
      <c r="W222" s="58"/>
      <c r="X222" s="58"/>
      <c r="Y222" s="58"/>
      <c r="Z222" s="58"/>
    </row>
    <row r="223" ht="15.75" customHeight="1">
      <c r="A223" s="23" t="s">
        <v>667</v>
      </c>
      <c r="B223" s="53" t="s">
        <v>46</v>
      </c>
      <c r="C223" s="53" t="s">
        <v>1017</v>
      </c>
      <c r="D223" s="22" t="s">
        <v>185</v>
      </c>
      <c r="E223" s="53" t="s">
        <v>685</v>
      </c>
      <c r="F223" s="53" t="s">
        <v>936</v>
      </c>
      <c r="G223" s="65" t="s">
        <v>517</v>
      </c>
      <c r="H223" s="65" t="s">
        <v>517</v>
      </c>
      <c r="I223" s="65" t="s">
        <v>90</v>
      </c>
      <c r="J223" s="22" t="s">
        <v>85</v>
      </c>
      <c r="K223" s="53" t="s">
        <v>749</v>
      </c>
      <c r="L223" s="22" t="s">
        <v>714</v>
      </c>
      <c r="M223" s="54">
        <v>43983.0</v>
      </c>
      <c r="N223" s="55" t="s">
        <v>692</v>
      </c>
      <c r="O223" s="56" t="s">
        <v>690</v>
      </c>
      <c r="P223" s="57" t="s">
        <v>782</v>
      </c>
      <c r="Q223" s="57" t="s">
        <v>782</v>
      </c>
      <c r="R223" s="58"/>
      <c r="S223" s="58"/>
      <c r="T223" s="58"/>
      <c r="U223" s="58"/>
      <c r="V223" s="58"/>
      <c r="W223" s="58"/>
      <c r="X223" s="58"/>
      <c r="Y223" s="58"/>
      <c r="Z223" s="58"/>
    </row>
    <row r="224" ht="15.75" customHeight="1">
      <c r="A224" s="23" t="s">
        <v>669</v>
      </c>
      <c r="B224" s="53" t="s">
        <v>46</v>
      </c>
      <c r="C224" s="53" t="s">
        <v>1018</v>
      </c>
      <c r="D224" s="22" t="s">
        <v>185</v>
      </c>
      <c r="E224" s="53" t="s">
        <v>685</v>
      </c>
      <c r="F224" s="53" t="s">
        <v>1019</v>
      </c>
      <c r="G224" s="65" t="s">
        <v>517</v>
      </c>
      <c r="H224" s="65" t="s">
        <v>517</v>
      </c>
      <c r="I224" s="65" t="s">
        <v>90</v>
      </c>
      <c r="J224" s="22" t="s">
        <v>85</v>
      </c>
      <c r="K224" s="53" t="s">
        <v>749</v>
      </c>
      <c r="L224" s="22" t="s">
        <v>714</v>
      </c>
      <c r="M224" s="54">
        <v>43983.0</v>
      </c>
      <c r="N224" s="55" t="s">
        <v>692</v>
      </c>
      <c r="O224" s="56" t="s">
        <v>690</v>
      </c>
      <c r="P224" s="57" t="s">
        <v>782</v>
      </c>
      <c r="Q224" s="57" t="s">
        <v>782</v>
      </c>
      <c r="R224" s="58"/>
      <c r="S224" s="58"/>
      <c r="T224" s="58"/>
      <c r="U224" s="58"/>
      <c r="V224" s="58"/>
      <c r="W224" s="58"/>
      <c r="X224" s="58"/>
      <c r="Y224" s="58"/>
      <c r="Z224" s="58"/>
    </row>
    <row r="225" ht="15.75" customHeight="1">
      <c r="A225" s="23" t="s">
        <v>672</v>
      </c>
      <c r="B225" s="53" t="s">
        <v>46</v>
      </c>
      <c r="C225" s="53" t="s">
        <v>1020</v>
      </c>
      <c r="D225" s="22" t="s">
        <v>185</v>
      </c>
      <c r="E225" s="62" t="s">
        <v>720</v>
      </c>
      <c r="F225" s="62" t="b">
        <v>1</v>
      </c>
      <c r="G225" s="65" t="s">
        <v>517</v>
      </c>
      <c r="H225" s="65" t="s">
        <v>517</v>
      </c>
      <c r="I225" s="65" t="s">
        <v>90</v>
      </c>
      <c r="J225" s="22" t="s">
        <v>85</v>
      </c>
      <c r="K225" s="53" t="s">
        <v>749</v>
      </c>
      <c r="L225" s="22" t="s">
        <v>714</v>
      </c>
      <c r="M225" s="54">
        <v>43983.0</v>
      </c>
      <c r="N225" s="55" t="s">
        <v>692</v>
      </c>
      <c r="O225" s="56" t="s">
        <v>690</v>
      </c>
      <c r="P225" s="57" t="s">
        <v>782</v>
      </c>
      <c r="Q225" s="57" t="s">
        <v>782</v>
      </c>
      <c r="R225" s="58"/>
      <c r="S225" s="58"/>
      <c r="T225" s="58"/>
      <c r="U225" s="58"/>
      <c r="V225" s="58"/>
      <c r="W225" s="58"/>
      <c r="X225" s="58"/>
      <c r="Y225" s="58"/>
      <c r="Z225" s="58"/>
    </row>
    <row r="226" ht="15.75" customHeight="1">
      <c r="A226" s="23" t="s">
        <v>674</v>
      </c>
      <c r="B226" s="53" t="s">
        <v>46</v>
      </c>
      <c r="C226" s="53" t="s">
        <v>1021</v>
      </c>
      <c r="D226" s="22" t="s">
        <v>185</v>
      </c>
      <c r="E226" s="53" t="s">
        <v>685</v>
      </c>
      <c r="F226" s="53" t="s">
        <v>936</v>
      </c>
      <c r="G226" s="65" t="s">
        <v>517</v>
      </c>
      <c r="H226" s="65" t="s">
        <v>517</v>
      </c>
      <c r="I226" s="65" t="s">
        <v>90</v>
      </c>
      <c r="J226" s="22" t="s">
        <v>85</v>
      </c>
      <c r="K226" s="53" t="s">
        <v>749</v>
      </c>
      <c r="L226" s="22" t="s">
        <v>714</v>
      </c>
      <c r="M226" s="54">
        <v>43983.0</v>
      </c>
      <c r="N226" s="55" t="s">
        <v>692</v>
      </c>
      <c r="O226" s="56" t="s">
        <v>690</v>
      </c>
      <c r="P226" s="57" t="s">
        <v>782</v>
      </c>
      <c r="Q226" s="57" t="s">
        <v>782</v>
      </c>
      <c r="R226" s="58"/>
      <c r="S226" s="58"/>
      <c r="T226" s="58"/>
      <c r="U226" s="58"/>
      <c r="V226" s="58"/>
      <c r="W226" s="58"/>
      <c r="X226" s="58"/>
      <c r="Y226" s="58"/>
      <c r="Z226" s="58"/>
    </row>
    <row r="227" ht="15.75" customHeight="1">
      <c r="A227" s="23" t="s">
        <v>676</v>
      </c>
      <c r="B227" s="53" t="s">
        <v>46</v>
      </c>
      <c r="C227" s="53" t="s">
        <v>1022</v>
      </c>
      <c r="D227" s="22" t="s">
        <v>185</v>
      </c>
      <c r="E227" s="53" t="s">
        <v>685</v>
      </c>
      <c r="F227" s="53" t="s">
        <v>1023</v>
      </c>
      <c r="G227" s="65" t="s">
        <v>517</v>
      </c>
      <c r="H227" s="65" t="s">
        <v>517</v>
      </c>
      <c r="I227" s="65" t="s">
        <v>90</v>
      </c>
      <c r="J227" s="22" t="s">
        <v>85</v>
      </c>
      <c r="K227" s="53" t="s">
        <v>749</v>
      </c>
      <c r="L227" s="22" t="s">
        <v>714</v>
      </c>
      <c r="M227" s="54">
        <v>43983.0</v>
      </c>
      <c r="N227" s="55" t="s">
        <v>692</v>
      </c>
      <c r="O227" s="56" t="s">
        <v>690</v>
      </c>
      <c r="P227" s="57" t="s">
        <v>782</v>
      </c>
      <c r="Q227" s="57" t="s">
        <v>782</v>
      </c>
      <c r="R227" s="58"/>
      <c r="S227" s="58"/>
      <c r="T227" s="58"/>
      <c r="U227" s="58"/>
      <c r="V227" s="58"/>
      <c r="W227" s="58"/>
      <c r="X227" s="58"/>
      <c r="Y227" s="58"/>
      <c r="Z227" s="58"/>
    </row>
    <row r="228" ht="15.75" customHeight="1">
      <c r="A228" s="21" t="s">
        <v>472</v>
      </c>
      <c r="B228" s="52" t="s">
        <v>197</v>
      </c>
      <c r="C228" s="53" t="s">
        <v>475</v>
      </c>
      <c r="D228" s="22" t="s">
        <v>185</v>
      </c>
      <c r="E228" s="53" t="s">
        <v>713</v>
      </c>
      <c r="F228" s="22">
        <v>1.0</v>
      </c>
      <c r="G228" s="22" t="s">
        <v>476</v>
      </c>
      <c r="H228" s="22" t="s">
        <v>476</v>
      </c>
      <c r="I228" s="22" t="s">
        <v>476</v>
      </c>
      <c r="J228" s="22" t="s">
        <v>85</v>
      </c>
      <c r="K228" s="53" t="s">
        <v>749</v>
      </c>
      <c r="L228" s="22" t="s">
        <v>749</v>
      </c>
      <c r="M228" s="54">
        <v>43983.0</v>
      </c>
      <c r="N228" s="55" t="s">
        <v>692</v>
      </c>
      <c r="O228" s="56" t="s">
        <v>690</v>
      </c>
      <c r="P228" s="57" t="s">
        <v>724</v>
      </c>
      <c r="Q228" s="57" t="s">
        <v>724</v>
      </c>
      <c r="R228" s="58"/>
      <c r="S228" s="58"/>
      <c r="T228" s="58"/>
      <c r="U228" s="58"/>
      <c r="V228" s="58"/>
      <c r="W228" s="58"/>
      <c r="X228" s="58"/>
      <c r="Y228" s="58"/>
      <c r="Z228" s="58"/>
    </row>
    <row r="229" ht="15.75" customHeight="1">
      <c r="A229" s="21" t="s">
        <v>477</v>
      </c>
      <c r="B229" s="52" t="s">
        <v>197</v>
      </c>
      <c r="C229" s="53" t="s">
        <v>1024</v>
      </c>
      <c r="D229" s="22" t="s">
        <v>185</v>
      </c>
      <c r="E229" s="53" t="s">
        <v>713</v>
      </c>
      <c r="F229" s="22">
        <v>1.0</v>
      </c>
      <c r="G229" s="22" t="s">
        <v>476</v>
      </c>
      <c r="H229" s="22" t="s">
        <v>476</v>
      </c>
      <c r="I229" s="22" t="s">
        <v>476</v>
      </c>
      <c r="J229" s="22" t="s">
        <v>85</v>
      </c>
      <c r="K229" s="53" t="s">
        <v>749</v>
      </c>
      <c r="L229" s="22" t="s">
        <v>749</v>
      </c>
      <c r="M229" s="54">
        <v>43983.0</v>
      </c>
      <c r="N229" s="55" t="s">
        <v>692</v>
      </c>
      <c r="O229" s="56" t="s">
        <v>690</v>
      </c>
      <c r="P229" s="57" t="s">
        <v>724</v>
      </c>
      <c r="Q229" s="57" t="s">
        <v>724</v>
      </c>
      <c r="R229" s="58"/>
      <c r="S229" s="58"/>
      <c r="T229" s="58"/>
      <c r="U229" s="58"/>
      <c r="V229" s="58"/>
      <c r="W229" s="58"/>
      <c r="X229" s="58"/>
      <c r="Y229" s="58"/>
      <c r="Z229" s="58"/>
    </row>
    <row r="230" ht="15.75" customHeight="1">
      <c r="A230" s="21" t="s">
        <v>479</v>
      </c>
      <c r="B230" s="52" t="s">
        <v>197</v>
      </c>
      <c r="C230" s="53" t="s">
        <v>1025</v>
      </c>
      <c r="D230" s="22" t="s">
        <v>185</v>
      </c>
      <c r="E230" s="53" t="s">
        <v>694</v>
      </c>
      <c r="F230" s="22">
        <v>2.242180288E9</v>
      </c>
      <c r="G230" s="22" t="s">
        <v>476</v>
      </c>
      <c r="H230" s="22" t="s">
        <v>476</v>
      </c>
      <c r="I230" s="22" t="s">
        <v>476</v>
      </c>
      <c r="J230" s="22" t="s">
        <v>85</v>
      </c>
      <c r="K230" s="53" t="s">
        <v>749</v>
      </c>
      <c r="L230" s="22" t="s">
        <v>749</v>
      </c>
      <c r="M230" s="54">
        <v>43983.0</v>
      </c>
      <c r="N230" s="55" t="s">
        <v>692</v>
      </c>
      <c r="O230" s="56" t="s">
        <v>690</v>
      </c>
      <c r="P230" s="57" t="s">
        <v>724</v>
      </c>
      <c r="Q230" s="57" t="s">
        <v>724</v>
      </c>
      <c r="R230" s="58"/>
      <c r="S230" s="58"/>
      <c r="T230" s="58"/>
      <c r="U230" s="58"/>
      <c r="V230" s="58"/>
      <c r="W230" s="58"/>
      <c r="X230" s="58"/>
      <c r="Y230" s="58"/>
      <c r="Z230" s="58"/>
    </row>
    <row r="231" ht="15.75" customHeight="1">
      <c r="A231" s="23" t="s">
        <v>1026</v>
      </c>
      <c r="B231" s="53" t="s">
        <v>46</v>
      </c>
      <c r="C231" s="53" t="s">
        <v>1027</v>
      </c>
      <c r="D231" s="22" t="s">
        <v>185</v>
      </c>
      <c r="E231" s="62" t="s">
        <v>720</v>
      </c>
      <c r="F231" s="62" t="b">
        <v>1</v>
      </c>
      <c r="G231" s="65" t="s">
        <v>517</v>
      </c>
      <c r="H231" s="65" t="s">
        <v>517</v>
      </c>
      <c r="I231" s="65" t="s">
        <v>90</v>
      </c>
      <c r="J231" s="22" t="s">
        <v>85</v>
      </c>
      <c r="K231" s="53" t="s">
        <v>749</v>
      </c>
      <c r="L231" s="22" t="s">
        <v>714</v>
      </c>
      <c r="M231" s="54">
        <v>43952.0</v>
      </c>
      <c r="N231" s="55" t="s">
        <v>692</v>
      </c>
      <c r="O231" s="56" t="s">
        <v>690</v>
      </c>
      <c r="P231" s="57" t="s">
        <v>782</v>
      </c>
      <c r="Q231" s="57" t="s">
        <v>782</v>
      </c>
      <c r="R231" s="58"/>
      <c r="S231" s="58"/>
      <c r="T231" s="58"/>
      <c r="U231" s="58"/>
      <c r="V231" s="58"/>
      <c r="W231" s="58"/>
      <c r="X231" s="58"/>
      <c r="Y231" s="58"/>
      <c r="Z231" s="58"/>
    </row>
    <row r="232" ht="15.75" customHeight="1">
      <c r="A232" s="23" t="s">
        <v>1028</v>
      </c>
      <c r="B232" s="53" t="s">
        <v>46</v>
      </c>
      <c r="C232" s="53" t="s">
        <v>1029</v>
      </c>
      <c r="D232" s="22" t="s">
        <v>185</v>
      </c>
      <c r="E232" s="53" t="s">
        <v>685</v>
      </c>
      <c r="F232" s="53" t="s">
        <v>936</v>
      </c>
      <c r="G232" s="65" t="s">
        <v>517</v>
      </c>
      <c r="H232" s="65" t="s">
        <v>517</v>
      </c>
      <c r="I232" s="65" t="s">
        <v>90</v>
      </c>
      <c r="J232" s="22" t="s">
        <v>85</v>
      </c>
      <c r="K232" s="53" t="s">
        <v>749</v>
      </c>
      <c r="L232" s="22" t="s">
        <v>714</v>
      </c>
      <c r="M232" s="54">
        <v>43952.0</v>
      </c>
      <c r="N232" s="55" t="s">
        <v>692</v>
      </c>
      <c r="O232" s="56" t="s">
        <v>690</v>
      </c>
      <c r="P232" s="57" t="s">
        <v>782</v>
      </c>
      <c r="Q232" s="57" t="s">
        <v>782</v>
      </c>
      <c r="R232" s="58"/>
      <c r="S232" s="58"/>
      <c r="T232" s="58"/>
      <c r="U232" s="58"/>
      <c r="V232" s="58"/>
      <c r="W232" s="58"/>
      <c r="X232" s="58"/>
      <c r="Y232" s="58"/>
      <c r="Z232" s="58"/>
    </row>
    <row r="233" ht="15.75" customHeight="1">
      <c r="A233" s="23" t="s">
        <v>1030</v>
      </c>
      <c r="B233" s="53" t="s">
        <v>46</v>
      </c>
      <c r="C233" s="53" t="s">
        <v>1031</v>
      </c>
      <c r="D233" s="22" t="s">
        <v>185</v>
      </c>
      <c r="E233" s="53" t="s">
        <v>685</v>
      </c>
      <c r="F233" s="53" t="s">
        <v>1032</v>
      </c>
      <c r="G233" s="65" t="s">
        <v>517</v>
      </c>
      <c r="H233" s="65" t="s">
        <v>517</v>
      </c>
      <c r="I233" s="65" t="s">
        <v>90</v>
      </c>
      <c r="J233" s="22" t="s">
        <v>85</v>
      </c>
      <c r="K233" s="53" t="s">
        <v>749</v>
      </c>
      <c r="L233" s="22" t="s">
        <v>714</v>
      </c>
      <c r="M233" s="54">
        <v>43952.0</v>
      </c>
      <c r="N233" s="55" t="s">
        <v>692</v>
      </c>
      <c r="O233" s="56" t="s">
        <v>690</v>
      </c>
      <c r="P233" s="57" t="s">
        <v>782</v>
      </c>
      <c r="Q233" s="57" t="s">
        <v>782</v>
      </c>
      <c r="R233" s="58"/>
      <c r="S233" s="58"/>
      <c r="T233" s="58"/>
      <c r="U233" s="58"/>
      <c r="V233" s="58"/>
      <c r="W233" s="58"/>
      <c r="X233" s="58"/>
      <c r="Y233" s="58"/>
      <c r="Z233" s="58"/>
    </row>
    <row r="234" ht="15.75" customHeight="1">
      <c r="A234" s="23" t="s">
        <v>1033</v>
      </c>
      <c r="B234" s="53" t="s">
        <v>46</v>
      </c>
      <c r="C234" s="53" t="s">
        <v>1034</v>
      </c>
      <c r="D234" s="22" t="s">
        <v>185</v>
      </c>
      <c r="E234" s="62" t="s">
        <v>720</v>
      </c>
      <c r="F234" s="62" t="b">
        <v>1</v>
      </c>
      <c r="G234" s="65" t="s">
        <v>517</v>
      </c>
      <c r="H234" s="65" t="s">
        <v>517</v>
      </c>
      <c r="I234" s="65" t="s">
        <v>90</v>
      </c>
      <c r="J234" s="22" t="s">
        <v>85</v>
      </c>
      <c r="K234" s="53" t="s">
        <v>749</v>
      </c>
      <c r="L234" s="22" t="s">
        <v>714</v>
      </c>
      <c r="M234" s="54">
        <v>43952.0</v>
      </c>
      <c r="N234" s="55" t="s">
        <v>692</v>
      </c>
      <c r="O234" s="56" t="s">
        <v>690</v>
      </c>
      <c r="P234" s="57" t="s">
        <v>782</v>
      </c>
      <c r="Q234" s="57" t="s">
        <v>782</v>
      </c>
      <c r="R234" s="58"/>
      <c r="S234" s="58"/>
      <c r="T234" s="58"/>
      <c r="U234" s="58"/>
      <c r="V234" s="58"/>
      <c r="W234" s="58"/>
      <c r="X234" s="58"/>
      <c r="Y234" s="58"/>
      <c r="Z234" s="58"/>
    </row>
    <row r="235" ht="15.75" customHeight="1">
      <c r="A235" s="23" t="s">
        <v>1035</v>
      </c>
      <c r="B235" s="53" t="s">
        <v>46</v>
      </c>
      <c r="C235" s="53" t="s">
        <v>1036</v>
      </c>
      <c r="D235" s="22" t="s">
        <v>185</v>
      </c>
      <c r="E235" s="53" t="s">
        <v>685</v>
      </c>
      <c r="F235" s="53" t="s">
        <v>936</v>
      </c>
      <c r="G235" s="65" t="s">
        <v>517</v>
      </c>
      <c r="H235" s="65" t="s">
        <v>517</v>
      </c>
      <c r="I235" s="65" t="s">
        <v>90</v>
      </c>
      <c r="J235" s="22" t="s">
        <v>85</v>
      </c>
      <c r="K235" s="53" t="s">
        <v>749</v>
      </c>
      <c r="L235" s="22" t="s">
        <v>714</v>
      </c>
      <c r="M235" s="54">
        <v>43952.0</v>
      </c>
      <c r="N235" s="55" t="s">
        <v>692</v>
      </c>
      <c r="O235" s="56" t="s">
        <v>690</v>
      </c>
      <c r="P235" s="57" t="s">
        <v>782</v>
      </c>
      <c r="Q235" s="57" t="s">
        <v>782</v>
      </c>
      <c r="R235" s="58"/>
      <c r="S235" s="58"/>
      <c r="T235" s="58"/>
      <c r="U235" s="58"/>
      <c r="V235" s="58"/>
      <c r="W235" s="58"/>
      <c r="X235" s="58"/>
      <c r="Y235" s="58"/>
      <c r="Z235" s="58"/>
    </row>
    <row r="236" ht="15.75" customHeight="1">
      <c r="A236" s="23" t="s">
        <v>1037</v>
      </c>
      <c r="B236" s="53" t="s">
        <v>46</v>
      </c>
      <c r="C236" s="53" t="s">
        <v>1038</v>
      </c>
      <c r="D236" s="22" t="s">
        <v>185</v>
      </c>
      <c r="E236" s="53" t="s">
        <v>685</v>
      </c>
      <c r="F236" s="53" t="s">
        <v>1032</v>
      </c>
      <c r="G236" s="65" t="s">
        <v>517</v>
      </c>
      <c r="H236" s="65" t="s">
        <v>517</v>
      </c>
      <c r="I236" s="65" t="s">
        <v>90</v>
      </c>
      <c r="J236" s="22" t="s">
        <v>85</v>
      </c>
      <c r="K236" s="53" t="s">
        <v>749</v>
      </c>
      <c r="L236" s="22" t="s">
        <v>714</v>
      </c>
      <c r="M236" s="54">
        <v>43952.0</v>
      </c>
      <c r="N236" s="55" t="s">
        <v>692</v>
      </c>
      <c r="O236" s="56" t="s">
        <v>690</v>
      </c>
      <c r="P236" s="57" t="s">
        <v>782</v>
      </c>
      <c r="Q236" s="57" t="s">
        <v>782</v>
      </c>
      <c r="R236" s="58"/>
      <c r="S236" s="58"/>
      <c r="T236" s="58"/>
      <c r="U236" s="58"/>
      <c r="V236" s="58"/>
      <c r="W236" s="58"/>
      <c r="X236" s="58"/>
      <c r="Y236" s="58"/>
      <c r="Z236" s="58"/>
    </row>
    <row r="237" ht="15.75" customHeight="1">
      <c r="A237" s="21" t="s">
        <v>1039</v>
      </c>
      <c r="B237" s="52" t="s">
        <v>52</v>
      </c>
      <c r="C237" s="61" t="s">
        <v>1040</v>
      </c>
      <c r="D237" s="22" t="s">
        <v>185</v>
      </c>
      <c r="E237" s="62" t="s">
        <v>698</v>
      </c>
      <c r="F237" s="72">
        <v>43787.0</v>
      </c>
      <c r="G237" s="62" t="s">
        <v>723</v>
      </c>
      <c r="H237" s="52" t="s">
        <v>723</v>
      </c>
      <c r="I237" s="53" t="s">
        <v>723</v>
      </c>
      <c r="J237" s="22" t="s">
        <v>85</v>
      </c>
      <c r="K237" s="53" t="s">
        <v>687</v>
      </c>
      <c r="L237" s="22" t="s">
        <v>688</v>
      </c>
      <c r="M237" s="54">
        <v>44042.0</v>
      </c>
      <c r="N237" s="55" t="s">
        <v>735</v>
      </c>
      <c r="O237" s="64" t="s">
        <v>736</v>
      </c>
      <c r="P237" s="57" t="s">
        <v>721</v>
      </c>
      <c r="Q237" s="57" t="s">
        <v>721</v>
      </c>
      <c r="R237" s="58"/>
      <c r="S237" s="58"/>
      <c r="T237" s="58"/>
      <c r="U237" s="58"/>
      <c r="V237" s="58"/>
      <c r="W237" s="58"/>
      <c r="X237" s="58"/>
      <c r="Y237" s="58"/>
      <c r="Z237" s="58"/>
    </row>
    <row r="238" ht="15.75" customHeight="1">
      <c r="A238" s="21" t="s">
        <v>1041</v>
      </c>
      <c r="B238" s="52" t="s">
        <v>52</v>
      </c>
      <c r="C238" s="61" t="s">
        <v>1042</v>
      </c>
      <c r="D238" s="22" t="s">
        <v>185</v>
      </c>
      <c r="E238" s="62" t="s">
        <v>698</v>
      </c>
      <c r="F238" s="72">
        <v>43796.51299768518</v>
      </c>
      <c r="G238" s="62" t="s">
        <v>723</v>
      </c>
      <c r="H238" s="52" t="s">
        <v>723</v>
      </c>
      <c r="I238" s="53" t="s">
        <v>723</v>
      </c>
      <c r="J238" s="22" t="s">
        <v>85</v>
      </c>
      <c r="K238" s="53" t="s">
        <v>687</v>
      </c>
      <c r="L238" s="22" t="s">
        <v>688</v>
      </c>
      <c r="M238" s="54">
        <v>44042.0</v>
      </c>
      <c r="N238" s="55" t="s">
        <v>735</v>
      </c>
      <c r="O238" s="64" t="s">
        <v>736</v>
      </c>
      <c r="P238" s="57" t="s">
        <v>721</v>
      </c>
      <c r="Q238" s="57" t="s">
        <v>721</v>
      </c>
      <c r="R238" s="58"/>
      <c r="S238" s="58"/>
      <c r="T238" s="58"/>
      <c r="U238" s="58"/>
      <c r="V238" s="58"/>
      <c r="W238" s="58"/>
      <c r="X238" s="58"/>
      <c r="Y238" s="58"/>
      <c r="Z238" s="58"/>
    </row>
    <row r="239" ht="15.75" customHeight="1">
      <c r="A239" s="21" t="s">
        <v>1043</v>
      </c>
      <c r="B239" s="52" t="s">
        <v>52</v>
      </c>
      <c r="C239" s="61" t="s">
        <v>1044</v>
      </c>
      <c r="D239" s="22" t="s">
        <v>185</v>
      </c>
      <c r="E239" s="62" t="s">
        <v>713</v>
      </c>
      <c r="F239" s="65">
        <v>20.0</v>
      </c>
      <c r="G239" s="62" t="s">
        <v>723</v>
      </c>
      <c r="H239" s="52" t="s">
        <v>723</v>
      </c>
      <c r="I239" s="53" t="s">
        <v>723</v>
      </c>
      <c r="J239" s="22" t="s">
        <v>85</v>
      </c>
      <c r="K239" s="53" t="s">
        <v>687</v>
      </c>
      <c r="L239" s="22" t="s">
        <v>688</v>
      </c>
      <c r="M239" s="54">
        <v>44042.0</v>
      </c>
      <c r="N239" s="55" t="s">
        <v>735</v>
      </c>
      <c r="O239" s="64" t="s">
        <v>736</v>
      </c>
      <c r="P239" s="57" t="s">
        <v>721</v>
      </c>
      <c r="Q239" s="57" t="s">
        <v>721</v>
      </c>
      <c r="R239" s="58"/>
      <c r="S239" s="58"/>
      <c r="T239" s="58"/>
      <c r="U239" s="58"/>
      <c r="V239" s="58"/>
      <c r="W239" s="58"/>
      <c r="X239" s="58"/>
      <c r="Y239" s="58"/>
      <c r="Z239" s="58"/>
    </row>
    <row r="240" ht="15.75" customHeight="1">
      <c r="A240" s="21" t="s">
        <v>1045</v>
      </c>
      <c r="B240" s="52" t="s">
        <v>52</v>
      </c>
      <c r="C240" s="61" t="s">
        <v>1046</v>
      </c>
      <c r="D240" s="22" t="s">
        <v>185</v>
      </c>
      <c r="E240" s="62" t="s">
        <v>713</v>
      </c>
      <c r="F240" s="65">
        <v>36.0</v>
      </c>
      <c r="G240" s="62" t="s">
        <v>723</v>
      </c>
      <c r="H240" s="52" t="s">
        <v>723</v>
      </c>
      <c r="I240" s="53" t="s">
        <v>723</v>
      </c>
      <c r="J240" s="22" t="s">
        <v>85</v>
      </c>
      <c r="K240" s="53" t="s">
        <v>687</v>
      </c>
      <c r="L240" s="22" t="s">
        <v>688</v>
      </c>
      <c r="M240" s="54">
        <v>44042.0</v>
      </c>
      <c r="N240" s="55" t="s">
        <v>735</v>
      </c>
      <c r="O240" s="64" t="s">
        <v>736</v>
      </c>
      <c r="P240" s="57" t="s">
        <v>721</v>
      </c>
      <c r="Q240" s="57" t="s">
        <v>721</v>
      </c>
      <c r="R240" s="58"/>
      <c r="S240" s="58"/>
      <c r="T240" s="58"/>
      <c r="U240" s="58"/>
      <c r="V240" s="58"/>
      <c r="W240" s="58"/>
      <c r="X240" s="58"/>
      <c r="Y240" s="58"/>
      <c r="Z240" s="58"/>
    </row>
    <row r="241" ht="15.75" customHeight="1">
      <c r="A241" s="61" t="s">
        <v>1047</v>
      </c>
      <c r="B241" s="52" t="s">
        <v>197</v>
      </c>
      <c r="C241" s="62" t="s">
        <v>1048</v>
      </c>
      <c r="D241" s="22" t="s">
        <v>185</v>
      </c>
      <c r="E241" s="62" t="s">
        <v>768</v>
      </c>
      <c r="F241" s="65">
        <v>50.0</v>
      </c>
      <c r="G241" s="62" t="s">
        <v>723</v>
      </c>
      <c r="H241" s="52" t="s">
        <v>723</v>
      </c>
      <c r="I241" s="53" t="s">
        <v>723</v>
      </c>
      <c r="J241" s="22" t="s">
        <v>85</v>
      </c>
      <c r="K241" s="53" t="s">
        <v>687</v>
      </c>
      <c r="L241" s="22" t="s">
        <v>760</v>
      </c>
      <c r="M241" s="54">
        <v>44041.0</v>
      </c>
      <c r="N241" s="55" t="s">
        <v>735</v>
      </c>
      <c r="O241" s="64" t="s">
        <v>736</v>
      </c>
      <c r="P241" s="57" t="s">
        <v>761</v>
      </c>
      <c r="Q241" s="57" t="s">
        <v>761</v>
      </c>
      <c r="R241" s="58"/>
      <c r="S241" s="58"/>
      <c r="T241" s="58"/>
      <c r="U241" s="58"/>
      <c r="V241" s="58"/>
      <c r="W241" s="58"/>
      <c r="X241" s="58"/>
      <c r="Y241" s="58"/>
      <c r="Z241" s="58"/>
    </row>
    <row r="242" ht="15.75" customHeight="1">
      <c r="A242" s="21" t="s">
        <v>1049</v>
      </c>
      <c r="B242" s="52" t="s">
        <v>197</v>
      </c>
      <c r="C242" s="62" t="s">
        <v>1050</v>
      </c>
      <c r="D242" s="65" t="s">
        <v>185</v>
      </c>
      <c r="E242" s="62" t="s">
        <v>720</v>
      </c>
      <c r="F242" s="63" t="b">
        <v>1</v>
      </c>
      <c r="G242" s="53" t="s">
        <v>1051</v>
      </c>
      <c r="H242" s="22" t="s">
        <v>1052</v>
      </c>
      <c r="I242" s="22" t="s">
        <v>1052</v>
      </c>
      <c r="J242" s="22" t="s">
        <v>85</v>
      </c>
      <c r="K242" s="53" t="s">
        <v>749</v>
      </c>
      <c r="L242" s="22" t="s">
        <v>688</v>
      </c>
      <c r="M242" s="54">
        <v>43983.0</v>
      </c>
      <c r="N242" s="55" t="s">
        <v>913</v>
      </c>
      <c r="O242" s="56" t="s">
        <v>914</v>
      </c>
      <c r="P242" s="57" t="s">
        <v>724</v>
      </c>
      <c r="Q242" s="57" t="s">
        <v>724</v>
      </c>
      <c r="R242" s="58"/>
      <c r="S242" s="58"/>
      <c r="T242" s="58"/>
      <c r="U242" s="58"/>
      <c r="V242" s="58"/>
      <c r="W242" s="58"/>
      <c r="X242" s="58"/>
      <c r="Y242" s="58"/>
      <c r="Z242" s="58"/>
    </row>
    <row r="243" ht="15.75" customHeight="1">
      <c r="A243" s="21" t="s">
        <v>1053</v>
      </c>
      <c r="B243" s="52" t="s">
        <v>197</v>
      </c>
      <c r="C243" s="62" t="s">
        <v>1054</v>
      </c>
      <c r="D243" s="65" t="s">
        <v>185</v>
      </c>
      <c r="E243" s="62" t="s">
        <v>720</v>
      </c>
      <c r="F243" s="63" t="b">
        <v>1</v>
      </c>
      <c r="G243" s="53" t="s">
        <v>1051</v>
      </c>
      <c r="H243" s="22" t="s">
        <v>1052</v>
      </c>
      <c r="I243" s="22" t="s">
        <v>1052</v>
      </c>
      <c r="J243" s="22" t="s">
        <v>85</v>
      </c>
      <c r="K243" s="53" t="s">
        <v>687</v>
      </c>
      <c r="L243" s="22" t="s">
        <v>688</v>
      </c>
      <c r="M243" s="54">
        <v>44036.0</v>
      </c>
      <c r="N243" s="55" t="s">
        <v>913</v>
      </c>
      <c r="O243" s="56" t="s">
        <v>914</v>
      </c>
      <c r="P243" s="57" t="s">
        <v>691</v>
      </c>
      <c r="Q243" s="57" t="s">
        <v>691</v>
      </c>
      <c r="R243" s="58"/>
      <c r="S243" s="58"/>
      <c r="T243" s="58"/>
      <c r="U243" s="58"/>
      <c r="V243" s="58"/>
      <c r="W243" s="58"/>
      <c r="X243" s="58"/>
      <c r="Y243" s="58"/>
      <c r="Z243" s="58"/>
    </row>
    <row r="244" ht="40.5" customHeight="1">
      <c r="A244" s="23" t="s">
        <v>1055</v>
      </c>
      <c r="B244" s="52" t="s">
        <v>197</v>
      </c>
      <c r="C244" s="62" t="s">
        <v>1056</v>
      </c>
      <c r="D244" s="22" t="s">
        <v>185</v>
      </c>
      <c r="E244" s="62" t="s">
        <v>685</v>
      </c>
      <c r="F244" s="65">
        <v>9.052912593E9</v>
      </c>
      <c r="G244" s="53" t="s">
        <v>1051</v>
      </c>
      <c r="H244" s="22" t="s">
        <v>1052</v>
      </c>
      <c r="I244" s="22" t="s">
        <v>1052</v>
      </c>
      <c r="J244" s="22" t="s">
        <v>85</v>
      </c>
      <c r="K244" s="53" t="s">
        <v>687</v>
      </c>
      <c r="L244" s="22" t="s">
        <v>760</v>
      </c>
      <c r="M244" s="54">
        <v>44041.0</v>
      </c>
      <c r="N244" s="55" t="s">
        <v>735</v>
      </c>
      <c r="O244" s="64" t="s">
        <v>736</v>
      </c>
      <c r="P244" s="57" t="s">
        <v>761</v>
      </c>
      <c r="Q244" s="57" t="s">
        <v>761</v>
      </c>
      <c r="R244" s="58"/>
      <c r="S244" s="58"/>
      <c r="T244" s="58"/>
      <c r="U244" s="58"/>
      <c r="V244" s="58"/>
      <c r="W244" s="58"/>
      <c r="X244" s="58"/>
      <c r="Y244" s="58"/>
      <c r="Z244" s="58"/>
    </row>
    <row r="245" ht="15.75" customHeight="1">
      <c r="A245" s="23" t="s">
        <v>1057</v>
      </c>
      <c r="B245" s="52" t="s">
        <v>197</v>
      </c>
      <c r="C245" s="62" t="s">
        <v>1058</v>
      </c>
      <c r="D245" s="22" t="s">
        <v>185</v>
      </c>
      <c r="E245" s="62" t="s">
        <v>685</v>
      </c>
      <c r="F245" s="65">
        <v>6.49390994E8</v>
      </c>
      <c r="G245" s="53" t="s">
        <v>1051</v>
      </c>
      <c r="H245" s="22" t="s">
        <v>1052</v>
      </c>
      <c r="I245" s="22" t="s">
        <v>1052</v>
      </c>
      <c r="J245" s="22" t="s">
        <v>85</v>
      </c>
      <c r="K245" s="53" t="s">
        <v>687</v>
      </c>
      <c r="L245" s="22" t="s">
        <v>760</v>
      </c>
      <c r="M245" s="54">
        <v>44041.0</v>
      </c>
      <c r="N245" s="55" t="s">
        <v>735</v>
      </c>
      <c r="O245" s="64" t="s">
        <v>736</v>
      </c>
      <c r="P245" s="57" t="s">
        <v>761</v>
      </c>
      <c r="Q245" s="57" t="s">
        <v>761</v>
      </c>
      <c r="R245" s="58"/>
      <c r="S245" s="58"/>
      <c r="T245" s="58"/>
      <c r="U245" s="58"/>
      <c r="V245" s="58"/>
      <c r="W245" s="58"/>
      <c r="X245" s="58"/>
      <c r="Y245" s="58"/>
      <c r="Z245" s="58"/>
    </row>
    <row r="246" ht="15.75" customHeight="1">
      <c r="A246" s="23" t="s">
        <v>1059</v>
      </c>
      <c r="B246" s="52" t="s">
        <v>197</v>
      </c>
      <c r="C246" s="53" t="s">
        <v>1060</v>
      </c>
      <c r="D246" s="22" t="s">
        <v>185</v>
      </c>
      <c r="E246" s="62" t="s">
        <v>720</v>
      </c>
      <c r="F246" s="63" t="b">
        <v>1</v>
      </c>
      <c r="G246" s="62" t="s">
        <v>686</v>
      </c>
      <c r="H246" s="22" t="s">
        <v>91</v>
      </c>
      <c r="I246" s="22" t="s">
        <v>91</v>
      </c>
      <c r="J246" s="22" t="s">
        <v>85</v>
      </c>
      <c r="K246" s="53" t="s">
        <v>687</v>
      </c>
      <c r="L246" s="22" t="s">
        <v>688</v>
      </c>
      <c r="M246" s="54">
        <v>44041.0</v>
      </c>
      <c r="N246" s="55" t="s">
        <v>692</v>
      </c>
      <c r="O246" s="56" t="s">
        <v>690</v>
      </c>
      <c r="P246" s="57" t="s">
        <v>724</v>
      </c>
      <c r="Q246" s="57" t="s">
        <v>724</v>
      </c>
      <c r="R246" s="58"/>
      <c r="S246" s="58"/>
      <c r="T246" s="58"/>
      <c r="U246" s="58"/>
      <c r="V246" s="58"/>
      <c r="W246" s="58"/>
      <c r="X246" s="58"/>
      <c r="Y246" s="58"/>
      <c r="Z246" s="58"/>
    </row>
    <row r="247" ht="15.75" customHeight="1">
      <c r="A247" s="21" t="s">
        <v>1061</v>
      </c>
      <c r="B247" s="52" t="s">
        <v>197</v>
      </c>
      <c r="C247" s="53" t="s">
        <v>1062</v>
      </c>
      <c r="D247" s="22" t="s">
        <v>185</v>
      </c>
      <c r="E247" s="62" t="s">
        <v>768</v>
      </c>
      <c r="F247" s="65">
        <v>65.0</v>
      </c>
      <c r="G247" s="62" t="s">
        <v>723</v>
      </c>
      <c r="H247" s="52" t="s">
        <v>723</v>
      </c>
      <c r="I247" s="53" t="s">
        <v>723</v>
      </c>
      <c r="J247" s="22" t="s">
        <v>85</v>
      </c>
      <c r="K247" s="53" t="s">
        <v>687</v>
      </c>
      <c r="L247" s="22" t="s">
        <v>760</v>
      </c>
      <c r="M247" s="54">
        <v>44041.0</v>
      </c>
      <c r="N247" s="55" t="s">
        <v>735</v>
      </c>
      <c r="O247" s="64" t="s">
        <v>736</v>
      </c>
      <c r="P247" s="57" t="s">
        <v>761</v>
      </c>
      <c r="Q247" s="57" t="s">
        <v>761</v>
      </c>
      <c r="R247" s="58"/>
      <c r="S247" s="58"/>
      <c r="T247" s="58"/>
      <c r="U247" s="58"/>
      <c r="V247" s="58"/>
      <c r="W247" s="58"/>
      <c r="X247" s="58"/>
      <c r="Y247" s="58"/>
      <c r="Z247" s="58"/>
    </row>
    <row r="248" ht="15.75" customHeight="1">
      <c r="A248" s="21" t="s">
        <v>1063</v>
      </c>
      <c r="B248" s="52" t="s">
        <v>197</v>
      </c>
      <c r="C248" s="53" t="s">
        <v>1064</v>
      </c>
      <c r="D248" s="22" t="s">
        <v>185</v>
      </c>
      <c r="E248" s="62" t="s">
        <v>768</v>
      </c>
      <c r="F248" s="65">
        <v>55.0</v>
      </c>
      <c r="G248" s="62" t="s">
        <v>723</v>
      </c>
      <c r="H248" s="52" t="s">
        <v>723</v>
      </c>
      <c r="I248" s="53" t="s">
        <v>723</v>
      </c>
      <c r="J248" s="22" t="s">
        <v>85</v>
      </c>
      <c r="K248" s="53" t="s">
        <v>687</v>
      </c>
      <c r="L248" s="22" t="s">
        <v>760</v>
      </c>
      <c r="M248" s="54">
        <v>44041.0</v>
      </c>
      <c r="N248" s="55" t="s">
        <v>735</v>
      </c>
      <c r="O248" s="64" t="s">
        <v>736</v>
      </c>
      <c r="P248" s="57" t="s">
        <v>761</v>
      </c>
      <c r="Q248" s="57" t="s">
        <v>761</v>
      </c>
      <c r="R248" s="58"/>
      <c r="S248" s="58"/>
      <c r="T248" s="58"/>
      <c r="U248" s="58"/>
      <c r="V248" s="58"/>
      <c r="W248" s="58"/>
      <c r="X248" s="58"/>
      <c r="Y248" s="58"/>
      <c r="Z248" s="58"/>
    </row>
    <row r="249" ht="15.75" customHeight="1">
      <c r="A249" s="61" t="s">
        <v>1065</v>
      </c>
      <c r="B249" s="62" t="s">
        <v>44</v>
      </c>
      <c r="C249" s="62" t="s">
        <v>1066</v>
      </c>
      <c r="D249" s="22" t="s">
        <v>185</v>
      </c>
      <c r="E249" s="62" t="s">
        <v>768</v>
      </c>
      <c r="F249" s="65">
        <v>19401.0</v>
      </c>
      <c r="G249" s="53" t="s">
        <v>723</v>
      </c>
      <c r="H249" s="22" t="s">
        <v>1067</v>
      </c>
      <c r="I249" s="53" t="s">
        <v>723</v>
      </c>
      <c r="J249" s="22" t="s">
        <v>85</v>
      </c>
      <c r="K249" s="53" t="s">
        <v>749</v>
      </c>
      <c r="L249" s="22" t="s">
        <v>688</v>
      </c>
      <c r="M249" s="54">
        <v>43983.0</v>
      </c>
      <c r="N249" s="55" t="s">
        <v>701</v>
      </c>
      <c r="O249" s="56" t="s">
        <v>736</v>
      </c>
      <c r="P249" s="76" t="s">
        <v>750</v>
      </c>
      <c r="Q249" s="76" t="s">
        <v>750</v>
      </c>
      <c r="R249" s="58"/>
      <c r="S249" s="58"/>
      <c r="T249" s="58"/>
      <c r="U249" s="58"/>
      <c r="V249" s="58"/>
      <c r="W249" s="58"/>
      <c r="X249" s="58"/>
      <c r="Y249" s="58"/>
      <c r="Z249" s="58"/>
    </row>
    <row r="250" ht="15.75" customHeight="1">
      <c r="A250" s="23" t="s">
        <v>1068</v>
      </c>
      <c r="B250" s="62" t="s">
        <v>197</v>
      </c>
      <c r="C250" s="62" t="s">
        <v>1069</v>
      </c>
      <c r="D250" s="65" t="s">
        <v>185</v>
      </c>
      <c r="E250" s="62" t="s">
        <v>720</v>
      </c>
      <c r="F250" s="63" t="b">
        <v>1</v>
      </c>
      <c r="G250" s="53" t="s">
        <v>723</v>
      </c>
      <c r="H250" s="22" t="s">
        <v>1067</v>
      </c>
      <c r="I250" s="53" t="s">
        <v>723</v>
      </c>
      <c r="J250" s="22" t="s">
        <v>85</v>
      </c>
      <c r="K250" s="53" t="s">
        <v>687</v>
      </c>
      <c r="L250" s="22" t="s">
        <v>688</v>
      </c>
      <c r="M250" s="54">
        <v>44042.0</v>
      </c>
      <c r="N250" s="55" t="s">
        <v>701</v>
      </c>
      <c r="O250" s="56" t="s">
        <v>690</v>
      </c>
      <c r="P250" s="57" t="s">
        <v>744</v>
      </c>
      <c r="Q250" s="57" t="s">
        <v>744</v>
      </c>
      <c r="R250" s="58"/>
      <c r="S250" s="58"/>
      <c r="T250" s="58"/>
      <c r="U250" s="58"/>
      <c r="V250" s="58"/>
      <c r="W250" s="58"/>
      <c r="X250" s="58"/>
      <c r="Y250" s="58"/>
      <c r="Z250" s="58"/>
    </row>
    <row r="251" ht="15.75" customHeight="1">
      <c r="A251" s="23" t="s">
        <v>1070</v>
      </c>
      <c r="B251" s="52" t="s">
        <v>197</v>
      </c>
      <c r="C251" s="62" t="s">
        <v>1071</v>
      </c>
      <c r="D251" s="22" t="s">
        <v>185</v>
      </c>
      <c r="E251" s="62" t="s">
        <v>768</v>
      </c>
      <c r="F251" s="65">
        <v>8374.31</v>
      </c>
      <c r="G251" s="53" t="s">
        <v>723</v>
      </c>
      <c r="H251" s="22" t="s">
        <v>1067</v>
      </c>
      <c r="I251" s="53" t="s">
        <v>723</v>
      </c>
      <c r="J251" s="22" t="s">
        <v>85</v>
      </c>
      <c r="K251" s="53" t="s">
        <v>749</v>
      </c>
      <c r="L251" s="22" t="s">
        <v>688</v>
      </c>
      <c r="M251" s="54">
        <v>44024.0</v>
      </c>
      <c r="N251" s="55" t="s">
        <v>701</v>
      </c>
      <c r="O251" s="56" t="s">
        <v>690</v>
      </c>
      <c r="P251" s="57" t="s">
        <v>771</v>
      </c>
      <c r="Q251" s="57" t="s">
        <v>771</v>
      </c>
      <c r="R251" s="58"/>
      <c r="S251" s="58"/>
      <c r="T251" s="58"/>
      <c r="U251" s="58"/>
      <c r="V251" s="58"/>
      <c r="W251" s="58"/>
      <c r="X251" s="58"/>
      <c r="Y251" s="58"/>
      <c r="Z251" s="58"/>
    </row>
    <row r="252" ht="15.75" customHeight="1">
      <c r="A252" s="23" t="s">
        <v>1072</v>
      </c>
      <c r="B252" s="52" t="s">
        <v>197</v>
      </c>
      <c r="C252" s="62" t="s">
        <v>1073</v>
      </c>
      <c r="D252" s="22" t="s">
        <v>185</v>
      </c>
      <c r="E252" s="62" t="s">
        <v>768</v>
      </c>
      <c r="F252" s="65">
        <v>1383.48</v>
      </c>
      <c r="G252" s="53" t="s">
        <v>723</v>
      </c>
      <c r="H252" s="22" t="s">
        <v>1067</v>
      </c>
      <c r="I252" s="53" t="s">
        <v>723</v>
      </c>
      <c r="J252" s="22" t="s">
        <v>85</v>
      </c>
      <c r="K252" s="53" t="s">
        <v>749</v>
      </c>
      <c r="L252" s="22" t="s">
        <v>688</v>
      </c>
      <c r="M252" s="54">
        <v>44024.0</v>
      </c>
      <c r="N252" s="55" t="s">
        <v>701</v>
      </c>
      <c r="O252" s="56" t="s">
        <v>690</v>
      </c>
      <c r="P252" s="57" t="s">
        <v>771</v>
      </c>
      <c r="Q252" s="57" t="s">
        <v>771</v>
      </c>
      <c r="R252" s="58"/>
      <c r="S252" s="58"/>
      <c r="T252" s="58"/>
      <c r="U252" s="58"/>
      <c r="V252" s="58"/>
      <c r="W252" s="58"/>
      <c r="X252" s="58"/>
      <c r="Y252" s="58"/>
      <c r="Z252" s="58"/>
    </row>
    <row r="253" ht="15.75" customHeight="1">
      <c r="A253" s="23" t="s">
        <v>1074</v>
      </c>
      <c r="B253" s="52" t="s">
        <v>197</v>
      </c>
      <c r="C253" s="62" t="s">
        <v>1075</v>
      </c>
      <c r="D253" s="22" t="s">
        <v>185</v>
      </c>
      <c r="E253" s="62" t="s">
        <v>768</v>
      </c>
      <c r="F253" s="65">
        <v>8374.31</v>
      </c>
      <c r="G253" s="53" t="s">
        <v>1051</v>
      </c>
      <c r="H253" s="21" t="s">
        <v>1052</v>
      </c>
      <c r="I253" s="53" t="s">
        <v>1052</v>
      </c>
      <c r="J253" s="22" t="s">
        <v>85</v>
      </c>
      <c r="K253" s="53" t="s">
        <v>749</v>
      </c>
      <c r="L253" s="22" t="s">
        <v>688</v>
      </c>
      <c r="M253" s="54">
        <v>44024.0</v>
      </c>
      <c r="N253" s="55" t="s">
        <v>701</v>
      </c>
      <c r="O253" s="56" t="s">
        <v>690</v>
      </c>
      <c r="P253" s="57" t="s">
        <v>771</v>
      </c>
      <c r="Q253" s="57" t="s">
        <v>771</v>
      </c>
      <c r="R253" s="58"/>
      <c r="S253" s="58"/>
      <c r="T253" s="58"/>
      <c r="U253" s="58"/>
      <c r="V253" s="58"/>
      <c r="W253" s="58"/>
      <c r="X253" s="58"/>
      <c r="Y253" s="58"/>
      <c r="Z253" s="58"/>
    </row>
    <row r="254" ht="15.75" customHeight="1">
      <c r="A254" s="23" t="s">
        <v>1076</v>
      </c>
      <c r="B254" s="62" t="s">
        <v>696</v>
      </c>
      <c r="C254" s="62" t="s">
        <v>1077</v>
      </c>
      <c r="D254" s="65" t="s">
        <v>185</v>
      </c>
      <c r="E254" s="62" t="s">
        <v>698</v>
      </c>
      <c r="F254" s="72">
        <v>44229.0</v>
      </c>
      <c r="G254" s="53" t="s">
        <v>1051</v>
      </c>
      <c r="H254" s="21" t="s">
        <v>1052</v>
      </c>
      <c r="I254" s="62" t="s">
        <v>1052</v>
      </c>
      <c r="J254" s="22" t="s">
        <v>85</v>
      </c>
      <c r="K254" s="53" t="s">
        <v>687</v>
      </c>
      <c r="L254" s="22" t="s">
        <v>688</v>
      </c>
      <c r="M254" s="54">
        <v>44042.0</v>
      </c>
      <c r="N254" s="55" t="s">
        <v>735</v>
      </c>
      <c r="O254" s="64" t="s">
        <v>736</v>
      </c>
      <c r="P254" s="57" t="s">
        <v>691</v>
      </c>
      <c r="Q254" s="57" t="s">
        <v>691</v>
      </c>
      <c r="R254" s="58"/>
      <c r="S254" s="58"/>
      <c r="T254" s="58"/>
      <c r="U254" s="58"/>
      <c r="V254" s="58"/>
      <c r="W254" s="58"/>
      <c r="X254" s="58"/>
      <c r="Y254" s="58"/>
      <c r="Z254" s="58"/>
    </row>
    <row r="255" ht="15.75" customHeight="1">
      <c r="A255" s="23" t="s">
        <v>1078</v>
      </c>
      <c r="B255" s="62" t="s">
        <v>197</v>
      </c>
      <c r="C255" s="62" t="s">
        <v>1079</v>
      </c>
      <c r="D255" s="65" t="s">
        <v>185</v>
      </c>
      <c r="E255" s="62" t="s">
        <v>720</v>
      </c>
      <c r="F255" s="63" t="b">
        <v>1</v>
      </c>
      <c r="G255" s="53" t="s">
        <v>1051</v>
      </c>
      <c r="H255" s="21" t="s">
        <v>1052</v>
      </c>
      <c r="I255" s="62" t="s">
        <v>1052</v>
      </c>
      <c r="J255" s="22" t="s">
        <v>85</v>
      </c>
      <c r="K255" s="53" t="s">
        <v>687</v>
      </c>
      <c r="L255" s="22" t="s">
        <v>760</v>
      </c>
      <c r="M255" s="54">
        <v>44041.0</v>
      </c>
      <c r="N255" s="55" t="s">
        <v>735</v>
      </c>
      <c r="O255" s="64" t="s">
        <v>736</v>
      </c>
      <c r="P255" s="57" t="s">
        <v>761</v>
      </c>
      <c r="Q255" s="57" t="s">
        <v>761</v>
      </c>
      <c r="R255" s="58"/>
      <c r="S255" s="58"/>
      <c r="T255" s="58"/>
      <c r="U255" s="58"/>
      <c r="V255" s="58"/>
      <c r="W255" s="58"/>
      <c r="X255" s="58"/>
      <c r="Y255" s="58"/>
      <c r="Z255" s="58"/>
    </row>
    <row r="256" ht="15.75" customHeight="1">
      <c r="A256" s="23" t="s">
        <v>1080</v>
      </c>
      <c r="B256" s="62" t="s">
        <v>197</v>
      </c>
      <c r="C256" s="62" t="s">
        <v>1081</v>
      </c>
      <c r="D256" s="65" t="s">
        <v>185</v>
      </c>
      <c r="E256" s="62" t="s">
        <v>720</v>
      </c>
      <c r="F256" s="63" t="b">
        <v>1</v>
      </c>
      <c r="G256" s="53" t="s">
        <v>1051</v>
      </c>
      <c r="H256" s="21" t="s">
        <v>1052</v>
      </c>
      <c r="I256" s="62" t="s">
        <v>1052</v>
      </c>
      <c r="J256" s="22" t="s">
        <v>85</v>
      </c>
      <c r="K256" s="53" t="s">
        <v>687</v>
      </c>
      <c r="L256" s="22" t="s">
        <v>760</v>
      </c>
      <c r="M256" s="54">
        <v>44041.0</v>
      </c>
      <c r="N256" s="55" t="s">
        <v>735</v>
      </c>
      <c r="O256" s="64" t="s">
        <v>736</v>
      </c>
      <c r="P256" s="57" t="s">
        <v>761</v>
      </c>
      <c r="Q256" s="57" t="s">
        <v>761</v>
      </c>
      <c r="R256" s="58"/>
      <c r="S256" s="58"/>
      <c r="T256" s="58"/>
      <c r="U256" s="58"/>
      <c r="V256" s="58"/>
      <c r="W256" s="58"/>
      <c r="X256" s="58"/>
      <c r="Y256" s="58"/>
      <c r="Z256" s="58"/>
    </row>
    <row r="257" ht="15.75" customHeight="1">
      <c r="A257" s="23" t="s">
        <v>1082</v>
      </c>
      <c r="B257" s="62" t="s">
        <v>197</v>
      </c>
      <c r="C257" s="62" t="s">
        <v>1083</v>
      </c>
      <c r="D257" s="65" t="s">
        <v>135</v>
      </c>
      <c r="E257" s="62" t="s">
        <v>768</v>
      </c>
      <c r="F257" s="65">
        <v>0.05</v>
      </c>
      <c r="G257" s="53" t="s">
        <v>1051</v>
      </c>
      <c r="H257" s="21" t="s">
        <v>1052</v>
      </c>
      <c r="I257" s="62" t="s">
        <v>1052</v>
      </c>
      <c r="J257" s="22"/>
      <c r="K257" s="53" t="s">
        <v>749</v>
      </c>
      <c r="L257" s="22" t="s">
        <v>763</v>
      </c>
      <c r="M257" s="54">
        <v>43983.0</v>
      </c>
      <c r="N257" s="60" t="s">
        <v>913</v>
      </c>
      <c r="O257" s="56" t="s">
        <v>914</v>
      </c>
      <c r="P257" s="57" t="s">
        <v>724</v>
      </c>
      <c r="Q257" s="57" t="s">
        <v>724</v>
      </c>
      <c r="R257" s="58"/>
      <c r="S257" s="58"/>
      <c r="T257" s="58"/>
      <c r="U257" s="58"/>
      <c r="V257" s="58"/>
      <c r="W257" s="58"/>
      <c r="X257" s="58"/>
      <c r="Y257" s="58"/>
      <c r="Z257" s="58"/>
    </row>
    <row r="258" ht="15.75" customHeight="1">
      <c r="A258" s="23" t="s">
        <v>1084</v>
      </c>
      <c r="B258" s="62" t="s">
        <v>696</v>
      </c>
      <c r="C258" s="62" t="s">
        <v>1085</v>
      </c>
      <c r="D258" s="65" t="s">
        <v>135</v>
      </c>
      <c r="E258" s="62" t="s">
        <v>685</v>
      </c>
      <c r="F258" s="65">
        <v>2999.0</v>
      </c>
      <c r="G258" s="53" t="s">
        <v>723</v>
      </c>
      <c r="H258" s="65" t="s">
        <v>1067</v>
      </c>
      <c r="I258" s="53" t="s">
        <v>723</v>
      </c>
      <c r="J258" s="22"/>
      <c r="K258" s="53" t="s">
        <v>749</v>
      </c>
      <c r="L258" s="22" t="s">
        <v>763</v>
      </c>
      <c r="M258" s="54">
        <v>43983.0</v>
      </c>
      <c r="N258" s="60" t="s">
        <v>701</v>
      </c>
      <c r="O258" s="56" t="s">
        <v>690</v>
      </c>
      <c r="P258" s="57" t="s">
        <v>702</v>
      </c>
      <c r="Q258" s="57" t="s">
        <v>702</v>
      </c>
      <c r="R258" s="58"/>
      <c r="S258" s="58"/>
      <c r="T258" s="58"/>
      <c r="U258" s="58"/>
      <c r="V258" s="58"/>
      <c r="W258" s="58"/>
      <c r="X258" s="58"/>
      <c r="Y258" s="58"/>
      <c r="Z258" s="58"/>
    </row>
    <row r="259" ht="15.75" customHeight="1">
      <c r="A259" s="23" t="s">
        <v>1086</v>
      </c>
      <c r="B259" s="62" t="s">
        <v>197</v>
      </c>
      <c r="C259" s="77" t="s">
        <v>1087</v>
      </c>
      <c r="D259" s="65" t="s">
        <v>185</v>
      </c>
      <c r="E259" s="62" t="s">
        <v>720</v>
      </c>
      <c r="F259" s="63" t="b">
        <v>1</v>
      </c>
      <c r="G259" s="53" t="s">
        <v>723</v>
      </c>
      <c r="H259" s="65" t="s">
        <v>1067</v>
      </c>
      <c r="I259" s="53" t="s">
        <v>723</v>
      </c>
      <c r="J259" s="22" t="s">
        <v>85</v>
      </c>
      <c r="K259" s="53" t="s">
        <v>687</v>
      </c>
      <c r="L259" s="22" t="s">
        <v>688</v>
      </c>
      <c r="M259" s="54">
        <v>44042.0</v>
      </c>
      <c r="N259" s="60" t="s">
        <v>701</v>
      </c>
      <c r="O259" s="64" t="s">
        <v>732</v>
      </c>
      <c r="P259" s="57" t="s">
        <v>771</v>
      </c>
      <c r="Q259" s="57" t="s">
        <v>771</v>
      </c>
      <c r="R259" s="58"/>
      <c r="S259" s="58"/>
      <c r="T259" s="58"/>
      <c r="U259" s="58"/>
      <c r="V259" s="58"/>
      <c r="W259" s="58"/>
      <c r="X259" s="58"/>
      <c r="Y259" s="58"/>
      <c r="Z259" s="58"/>
    </row>
    <row r="260" ht="15.75" customHeight="1">
      <c r="A260" s="23" t="s">
        <v>1088</v>
      </c>
      <c r="B260" s="62" t="s">
        <v>52</v>
      </c>
      <c r="C260" s="62" t="s">
        <v>1089</v>
      </c>
      <c r="D260" s="65" t="s">
        <v>185</v>
      </c>
      <c r="E260" s="62" t="s">
        <v>685</v>
      </c>
      <c r="F260" s="65" t="s">
        <v>1090</v>
      </c>
      <c r="G260" s="53" t="s">
        <v>1051</v>
      </c>
      <c r="H260" s="21" t="s">
        <v>1052</v>
      </c>
      <c r="I260" s="62" t="s">
        <v>1052</v>
      </c>
      <c r="J260" s="22" t="s">
        <v>85</v>
      </c>
      <c r="K260" s="53" t="s">
        <v>687</v>
      </c>
      <c r="L260" s="22" t="s">
        <v>688</v>
      </c>
      <c r="M260" s="54">
        <v>44042.0</v>
      </c>
      <c r="N260" s="55" t="s">
        <v>735</v>
      </c>
      <c r="O260" s="64" t="s">
        <v>736</v>
      </c>
      <c r="P260" s="57" t="s">
        <v>721</v>
      </c>
      <c r="Q260" s="57" t="s">
        <v>721</v>
      </c>
      <c r="R260" s="58"/>
      <c r="S260" s="58"/>
      <c r="T260" s="58"/>
      <c r="U260" s="58"/>
      <c r="V260" s="58"/>
      <c r="W260" s="58"/>
      <c r="X260" s="58"/>
      <c r="Y260" s="58"/>
      <c r="Z260" s="58"/>
    </row>
    <row r="261" ht="15.75" customHeight="1">
      <c r="A261" s="23" t="s">
        <v>1091</v>
      </c>
      <c r="B261" s="62" t="s">
        <v>52</v>
      </c>
      <c r="C261" s="62" t="s">
        <v>1092</v>
      </c>
      <c r="D261" s="65" t="s">
        <v>185</v>
      </c>
      <c r="E261" s="62" t="s">
        <v>685</v>
      </c>
      <c r="F261" s="65" t="s">
        <v>1093</v>
      </c>
      <c r="G261" s="53" t="s">
        <v>1051</v>
      </c>
      <c r="H261" s="21" t="s">
        <v>1052</v>
      </c>
      <c r="I261" s="62" t="s">
        <v>1052</v>
      </c>
      <c r="J261" s="22" t="s">
        <v>85</v>
      </c>
      <c r="K261" s="53" t="s">
        <v>687</v>
      </c>
      <c r="L261" s="22" t="s">
        <v>688</v>
      </c>
      <c r="M261" s="54">
        <v>44042.0</v>
      </c>
      <c r="N261" s="55" t="s">
        <v>735</v>
      </c>
      <c r="O261" s="64" t="s">
        <v>736</v>
      </c>
      <c r="P261" s="57" t="s">
        <v>721</v>
      </c>
      <c r="Q261" s="57" t="s">
        <v>721</v>
      </c>
      <c r="R261" s="58"/>
      <c r="S261" s="58"/>
      <c r="T261" s="58"/>
      <c r="U261" s="58"/>
      <c r="V261" s="58"/>
      <c r="W261" s="58"/>
      <c r="X261" s="58"/>
      <c r="Y261" s="58"/>
      <c r="Z261" s="58"/>
    </row>
    <row r="262" ht="15.75" customHeight="1">
      <c r="A262" s="23" t="s">
        <v>1094</v>
      </c>
      <c r="B262" s="62" t="s">
        <v>58</v>
      </c>
      <c r="C262" s="62" t="s">
        <v>1095</v>
      </c>
      <c r="D262" s="65" t="s">
        <v>185</v>
      </c>
      <c r="E262" s="62" t="s">
        <v>768</v>
      </c>
      <c r="F262" s="65">
        <v>3030.15</v>
      </c>
      <c r="G262" s="53" t="s">
        <v>1051</v>
      </c>
      <c r="H262" s="21" t="s">
        <v>1052</v>
      </c>
      <c r="I262" s="62" t="s">
        <v>1052</v>
      </c>
      <c r="J262" s="22" t="s">
        <v>85</v>
      </c>
      <c r="K262" s="62" t="s">
        <v>749</v>
      </c>
      <c r="L262" s="65" t="s">
        <v>749</v>
      </c>
      <c r="M262" s="54">
        <v>43983.0</v>
      </c>
      <c r="N262" s="55" t="s">
        <v>692</v>
      </c>
      <c r="O262" s="56" t="s">
        <v>690</v>
      </c>
      <c r="P262" s="57" t="s">
        <v>750</v>
      </c>
      <c r="Q262" s="57" t="s">
        <v>750</v>
      </c>
      <c r="R262" s="58"/>
      <c r="S262" s="58"/>
      <c r="T262" s="58"/>
      <c r="U262" s="58"/>
      <c r="V262" s="58"/>
      <c r="W262" s="58"/>
      <c r="X262" s="58"/>
      <c r="Y262" s="58"/>
      <c r="Z262" s="58"/>
    </row>
    <row r="263" ht="15.75" customHeight="1">
      <c r="A263" s="61" t="s">
        <v>1096</v>
      </c>
      <c r="B263" s="62" t="s">
        <v>197</v>
      </c>
      <c r="C263" s="53" t="s">
        <v>1097</v>
      </c>
      <c r="D263" s="65" t="s">
        <v>185</v>
      </c>
      <c r="E263" s="62" t="s">
        <v>768</v>
      </c>
      <c r="F263" s="65">
        <v>3000.0</v>
      </c>
      <c r="G263" s="65" t="s">
        <v>835</v>
      </c>
      <c r="H263" s="65" t="s">
        <v>91</v>
      </c>
      <c r="I263" s="65" t="s">
        <v>91</v>
      </c>
      <c r="J263" s="22" t="s">
        <v>85</v>
      </c>
      <c r="K263" s="53" t="s">
        <v>687</v>
      </c>
      <c r="L263" s="22" t="s">
        <v>688</v>
      </c>
      <c r="M263" s="54">
        <v>44042.0</v>
      </c>
      <c r="N263" s="60" t="s">
        <v>701</v>
      </c>
      <c r="O263" s="64"/>
      <c r="P263" s="76" t="s">
        <v>750</v>
      </c>
      <c r="Q263" s="76" t="s">
        <v>750</v>
      </c>
      <c r="R263" s="58"/>
      <c r="S263" s="58"/>
      <c r="T263" s="58"/>
      <c r="U263" s="58"/>
      <c r="V263" s="58"/>
      <c r="W263" s="58"/>
      <c r="X263" s="58"/>
      <c r="Y263" s="58"/>
      <c r="Z263" s="58"/>
    </row>
    <row r="264" ht="15.75" customHeight="1">
      <c r="A264" s="23" t="s">
        <v>1098</v>
      </c>
      <c r="B264" s="61" t="s">
        <v>44</v>
      </c>
      <c r="C264" s="61" t="s">
        <v>1099</v>
      </c>
      <c r="D264" s="23" t="s">
        <v>185</v>
      </c>
      <c r="E264" s="61" t="s">
        <v>768</v>
      </c>
      <c r="F264" s="23">
        <v>1499.0</v>
      </c>
      <c r="G264" s="53" t="s">
        <v>723</v>
      </c>
      <c r="H264" s="23" t="s">
        <v>1067</v>
      </c>
      <c r="I264" s="53" t="s">
        <v>723</v>
      </c>
      <c r="J264" s="23" t="s">
        <v>85</v>
      </c>
      <c r="K264" s="61" t="s">
        <v>749</v>
      </c>
      <c r="L264" s="23" t="s">
        <v>688</v>
      </c>
      <c r="M264" s="54">
        <v>44042.0</v>
      </c>
      <c r="N264" s="60" t="s">
        <v>701</v>
      </c>
      <c r="O264" s="56" t="s">
        <v>690</v>
      </c>
      <c r="P264" s="57" t="s">
        <v>705</v>
      </c>
      <c r="Q264" s="57" t="s">
        <v>705</v>
      </c>
      <c r="R264" s="58"/>
      <c r="S264" s="58"/>
      <c r="T264" s="58"/>
      <c r="U264" s="58"/>
      <c r="V264" s="58"/>
      <c r="W264" s="58"/>
      <c r="X264" s="58"/>
      <c r="Y264" s="58"/>
      <c r="Z264" s="58"/>
    </row>
    <row r="265" ht="15.75" customHeight="1">
      <c r="A265" s="60" t="s">
        <v>1100</v>
      </c>
      <c r="B265" s="60" t="s">
        <v>58</v>
      </c>
      <c r="C265" s="62" t="s">
        <v>1101</v>
      </c>
      <c r="D265" s="62" t="s">
        <v>185</v>
      </c>
      <c r="E265" s="62" t="s">
        <v>1102</v>
      </c>
      <c r="F265" s="62">
        <v>20.25</v>
      </c>
      <c r="G265" s="52" t="s">
        <v>394</v>
      </c>
      <c r="H265" s="62" t="s">
        <v>394</v>
      </c>
      <c r="I265" s="62" t="s">
        <v>394</v>
      </c>
      <c r="J265" s="62" t="s">
        <v>85</v>
      </c>
      <c r="K265" s="62" t="s">
        <v>749</v>
      </c>
      <c r="L265" s="62" t="s">
        <v>749</v>
      </c>
      <c r="M265" s="54">
        <v>43983.0</v>
      </c>
      <c r="N265" s="60" t="s">
        <v>701</v>
      </c>
      <c r="O265" s="64"/>
      <c r="P265" s="78" t="s">
        <v>750</v>
      </c>
      <c r="Q265" s="78" t="s">
        <v>750</v>
      </c>
      <c r="R265" s="79"/>
      <c r="S265" s="79"/>
      <c r="T265" s="79"/>
      <c r="U265" s="79"/>
      <c r="V265" s="79"/>
      <c r="W265" s="79"/>
      <c r="X265" s="79"/>
      <c r="Y265" s="79"/>
      <c r="Z265" s="79"/>
    </row>
    <row r="266" ht="15.75" customHeight="1">
      <c r="A266" s="60" t="s">
        <v>1103</v>
      </c>
      <c r="B266" s="60" t="s">
        <v>58</v>
      </c>
      <c r="C266" s="62" t="s">
        <v>1104</v>
      </c>
      <c r="D266" s="62" t="s">
        <v>185</v>
      </c>
      <c r="E266" s="62" t="s">
        <v>1102</v>
      </c>
      <c r="F266" s="62">
        <v>20.25</v>
      </c>
      <c r="G266" s="52" t="s">
        <v>394</v>
      </c>
      <c r="H266" s="62" t="s">
        <v>394</v>
      </c>
      <c r="I266" s="62" t="s">
        <v>394</v>
      </c>
      <c r="J266" s="62" t="s">
        <v>85</v>
      </c>
      <c r="K266" s="62" t="s">
        <v>749</v>
      </c>
      <c r="L266" s="62" t="s">
        <v>749</v>
      </c>
      <c r="M266" s="54">
        <v>43983.0</v>
      </c>
      <c r="N266" s="60" t="s">
        <v>701</v>
      </c>
      <c r="O266" s="64"/>
      <c r="P266" s="78" t="s">
        <v>750</v>
      </c>
      <c r="Q266" s="78" t="s">
        <v>750</v>
      </c>
      <c r="R266" s="79"/>
      <c r="S266" s="79"/>
      <c r="T266" s="79"/>
      <c r="U266" s="79"/>
      <c r="V266" s="79"/>
      <c r="W266" s="79"/>
      <c r="X266" s="79"/>
      <c r="Y266" s="79"/>
      <c r="Z266" s="79"/>
    </row>
    <row r="267" ht="15.75" customHeight="1">
      <c r="A267" s="60" t="s">
        <v>1105</v>
      </c>
      <c r="B267" s="60" t="s">
        <v>58</v>
      </c>
      <c r="C267" s="62" t="s">
        <v>1106</v>
      </c>
      <c r="D267" s="62" t="s">
        <v>185</v>
      </c>
      <c r="E267" s="62" t="s">
        <v>1102</v>
      </c>
      <c r="F267" s="62">
        <v>20.25</v>
      </c>
      <c r="G267" s="52" t="s">
        <v>394</v>
      </c>
      <c r="H267" s="62" t="s">
        <v>394</v>
      </c>
      <c r="I267" s="62" t="s">
        <v>394</v>
      </c>
      <c r="J267" s="62" t="s">
        <v>85</v>
      </c>
      <c r="K267" s="62" t="s">
        <v>749</v>
      </c>
      <c r="L267" s="62" t="s">
        <v>749</v>
      </c>
      <c r="M267" s="54">
        <v>43983.0</v>
      </c>
      <c r="N267" s="60" t="s">
        <v>701</v>
      </c>
      <c r="O267" s="64"/>
      <c r="P267" s="78" t="s">
        <v>750</v>
      </c>
      <c r="Q267" s="78" t="s">
        <v>750</v>
      </c>
      <c r="R267" s="79"/>
      <c r="S267" s="79"/>
      <c r="T267" s="79"/>
      <c r="U267" s="79"/>
      <c r="V267" s="79"/>
      <c r="W267" s="79"/>
      <c r="X267" s="79"/>
      <c r="Y267" s="79"/>
      <c r="Z267" s="79"/>
    </row>
    <row r="268" ht="15.75" customHeight="1">
      <c r="A268" s="60" t="s">
        <v>1107</v>
      </c>
      <c r="B268" s="60" t="s">
        <v>58</v>
      </c>
      <c r="C268" s="62" t="s">
        <v>1108</v>
      </c>
      <c r="D268" s="62" t="s">
        <v>185</v>
      </c>
      <c r="E268" s="62" t="s">
        <v>1102</v>
      </c>
      <c r="F268" s="62">
        <v>20.25</v>
      </c>
      <c r="G268" s="52" t="s">
        <v>394</v>
      </c>
      <c r="H268" s="62" t="s">
        <v>394</v>
      </c>
      <c r="I268" s="62" t="s">
        <v>394</v>
      </c>
      <c r="J268" s="62" t="s">
        <v>85</v>
      </c>
      <c r="K268" s="62" t="s">
        <v>749</v>
      </c>
      <c r="L268" s="62" t="s">
        <v>749</v>
      </c>
      <c r="M268" s="54">
        <v>43983.0</v>
      </c>
      <c r="N268" s="60" t="s">
        <v>701</v>
      </c>
      <c r="O268" s="64"/>
      <c r="P268" s="78" t="s">
        <v>750</v>
      </c>
      <c r="Q268" s="78" t="s">
        <v>750</v>
      </c>
      <c r="R268" s="79"/>
      <c r="S268" s="79"/>
      <c r="T268" s="79"/>
      <c r="U268" s="79"/>
      <c r="V268" s="79"/>
      <c r="W268" s="79"/>
      <c r="X268" s="79"/>
      <c r="Y268" s="79"/>
      <c r="Z268" s="79"/>
    </row>
    <row r="269" ht="15.75" customHeight="1">
      <c r="A269" s="60" t="s">
        <v>1109</v>
      </c>
      <c r="B269" s="60" t="s">
        <v>58</v>
      </c>
      <c r="C269" s="62" t="s">
        <v>1110</v>
      </c>
      <c r="D269" s="62" t="s">
        <v>185</v>
      </c>
      <c r="E269" s="62" t="s">
        <v>1102</v>
      </c>
      <c r="F269" s="62">
        <v>20.25</v>
      </c>
      <c r="G269" s="52" t="s">
        <v>394</v>
      </c>
      <c r="H269" s="62" t="s">
        <v>394</v>
      </c>
      <c r="I269" s="62" t="s">
        <v>394</v>
      </c>
      <c r="J269" s="62" t="s">
        <v>85</v>
      </c>
      <c r="K269" s="62" t="s">
        <v>749</v>
      </c>
      <c r="L269" s="62" t="s">
        <v>749</v>
      </c>
      <c r="M269" s="54">
        <v>43983.0</v>
      </c>
      <c r="N269" s="60" t="s">
        <v>701</v>
      </c>
      <c r="O269" s="64"/>
      <c r="P269" s="78" t="s">
        <v>750</v>
      </c>
      <c r="Q269" s="78" t="s">
        <v>750</v>
      </c>
      <c r="R269" s="79"/>
      <c r="S269" s="79"/>
      <c r="T269" s="79"/>
      <c r="U269" s="79"/>
      <c r="V269" s="79"/>
      <c r="W269" s="79"/>
      <c r="X269" s="79"/>
      <c r="Y269" s="79"/>
      <c r="Z269" s="79"/>
    </row>
    <row r="270" ht="15.75" customHeight="1">
      <c r="A270" s="60" t="s">
        <v>1111</v>
      </c>
      <c r="B270" s="60" t="s">
        <v>58</v>
      </c>
      <c r="C270" s="62" t="s">
        <v>1112</v>
      </c>
      <c r="D270" s="62" t="s">
        <v>185</v>
      </c>
      <c r="E270" s="62" t="s">
        <v>1102</v>
      </c>
      <c r="F270" s="62">
        <v>20.25</v>
      </c>
      <c r="G270" s="52" t="s">
        <v>394</v>
      </c>
      <c r="H270" s="62" t="s">
        <v>394</v>
      </c>
      <c r="I270" s="62" t="s">
        <v>394</v>
      </c>
      <c r="J270" s="62" t="s">
        <v>85</v>
      </c>
      <c r="K270" s="62" t="s">
        <v>749</v>
      </c>
      <c r="L270" s="62" t="s">
        <v>749</v>
      </c>
      <c r="M270" s="54">
        <v>43983.0</v>
      </c>
      <c r="N270" s="60" t="s">
        <v>701</v>
      </c>
      <c r="O270" s="64"/>
      <c r="P270" s="78" t="s">
        <v>750</v>
      </c>
      <c r="Q270" s="78" t="s">
        <v>750</v>
      </c>
      <c r="R270" s="79"/>
      <c r="S270" s="79"/>
      <c r="T270" s="79"/>
      <c r="U270" s="79"/>
      <c r="V270" s="79"/>
      <c r="W270" s="79"/>
      <c r="X270" s="79"/>
      <c r="Y270" s="79"/>
      <c r="Z270" s="79"/>
    </row>
    <row r="271" ht="15.75" customHeight="1">
      <c r="A271" s="60" t="s">
        <v>1113</v>
      </c>
      <c r="B271" s="60" t="s">
        <v>197</v>
      </c>
      <c r="C271" s="62" t="s">
        <v>1114</v>
      </c>
      <c r="D271" s="62" t="s">
        <v>185</v>
      </c>
      <c r="E271" s="62" t="s">
        <v>1115</v>
      </c>
      <c r="F271" s="62">
        <v>15.0</v>
      </c>
      <c r="G271" s="52" t="s">
        <v>394</v>
      </c>
      <c r="H271" s="62" t="s">
        <v>394</v>
      </c>
      <c r="I271" s="62" t="s">
        <v>394</v>
      </c>
      <c r="J271" s="62" t="s">
        <v>85</v>
      </c>
      <c r="K271" s="62" t="s">
        <v>687</v>
      </c>
      <c r="L271" s="62" t="s">
        <v>760</v>
      </c>
      <c r="M271" s="54">
        <v>44041.0</v>
      </c>
      <c r="N271" s="55" t="s">
        <v>735</v>
      </c>
      <c r="O271" s="64"/>
      <c r="P271" s="78" t="s">
        <v>761</v>
      </c>
      <c r="Q271" s="78" t="s">
        <v>761</v>
      </c>
      <c r="R271" s="79"/>
      <c r="S271" s="79"/>
      <c r="T271" s="79"/>
      <c r="U271" s="79"/>
      <c r="V271" s="79"/>
      <c r="W271" s="79"/>
      <c r="X271" s="79"/>
      <c r="Y271" s="79"/>
      <c r="Z271" s="79"/>
    </row>
    <row r="272" ht="15.75" customHeight="1">
      <c r="A272" s="60" t="s">
        <v>1116</v>
      </c>
      <c r="B272" s="60" t="s">
        <v>197</v>
      </c>
      <c r="C272" s="62" t="s">
        <v>1117</v>
      </c>
      <c r="D272" s="62" t="s">
        <v>185</v>
      </c>
      <c r="E272" s="62" t="s">
        <v>1115</v>
      </c>
      <c r="F272" s="62">
        <v>15.0</v>
      </c>
      <c r="G272" s="52" t="s">
        <v>394</v>
      </c>
      <c r="H272" s="62" t="s">
        <v>394</v>
      </c>
      <c r="I272" s="62" t="s">
        <v>394</v>
      </c>
      <c r="J272" s="62" t="s">
        <v>85</v>
      </c>
      <c r="K272" s="62" t="s">
        <v>687</v>
      </c>
      <c r="L272" s="62" t="s">
        <v>760</v>
      </c>
      <c r="M272" s="54">
        <v>44041.0</v>
      </c>
      <c r="N272" s="55" t="s">
        <v>735</v>
      </c>
      <c r="O272" s="64"/>
      <c r="P272" s="78" t="s">
        <v>761</v>
      </c>
      <c r="Q272" s="78" t="s">
        <v>761</v>
      </c>
      <c r="R272" s="79"/>
      <c r="S272" s="79"/>
      <c r="T272" s="79"/>
      <c r="U272" s="79"/>
      <c r="V272" s="79"/>
      <c r="W272" s="79"/>
      <c r="X272" s="79"/>
      <c r="Y272" s="79"/>
      <c r="Z272" s="79"/>
    </row>
    <row r="273" ht="15.75" customHeight="1">
      <c r="A273" s="60" t="s">
        <v>1118</v>
      </c>
      <c r="B273" s="60" t="s">
        <v>197</v>
      </c>
      <c r="C273" s="62" t="s">
        <v>1119</v>
      </c>
      <c r="D273" s="62" t="s">
        <v>185</v>
      </c>
      <c r="E273" s="62" t="s">
        <v>1115</v>
      </c>
      <c r="F273" s="62">
        <v>15.0</v>
      </c>
      <c r="G273" s="52" t="s">
        <v>394</v>
      </c>
      <c r="H273" s="62" t="s">
        <v>394</v>
      </c>
      <c r="I273" s="62" t="s">
        <v>394</v>
      </c>
      <c r="J273" s="62" t="s">
        <v>85</v>
      </c>
      <c r="K273" s="62" t="s">
        <v>687</v>
      </c>
      <c r="L273" s="62" t="s">
        <v>760</v>
      </c>
      <c r="M273" s="54">
        <v>44041.0</v>
      </c>
      <c r="N273" s="55" t="s">
        <v>735</v>
      </c>
      <c r="O273" s="64"/>
      <c r="P273" s="78" t="s">
        <v>761</v>
      </c>
      <c r="Q273" s="78" t="s">
        <v>761</v>
      </c>
      <c r="R273" s="79"/>
      <c r="S273" s="79"/>
      <c r="T273" s="79"/>
      <c r="U273" s="79"/>
      <c r="V273" s="79"/>
      <c r="W273" s="79"/>
      <c r="X273" s="79"/>
      <c r="Y273" s="79"/>
      <c r="Z273" s="79"/>
    </row>
    <row r="274" ht="15.75" customHeight="1">
      <c r="A274" s="60" t="s">
        <v>1120</v>
      </c>
      <c r="B274" s="60" t="s">
        <v>197</v>
      </c>
      <c r="C274" s="62" t="s">
        <v>1121</v>
      </c>
      <c r="D274" s="62" t="s">
        <v>185</v>
      </c>
      <c r="E274" s="62" t="s">
        <v>685</v>
      </c>
      <c r="F274" s="62" t="s">
        <v>1122</v>
      </c>
      <c r="G274" s="62" t="s">
        <v>723</v>
      </c>
      <c r="H274" s="62" t="s">
        <v>91</v>
      </c>
      <c r="I274" s="62" t="s">
        <v>723</v>
      </c>
      <c r="J274" s="62" t="s">
        <v>85</v>
      </c>
      <c r="K274" s="62" t="s">
        <v>749</v>
      </c>
      <c r="L274" s="62" t="s">
        <v>763</v>
      </c>
      <c r="M274" s="54">
        <v>43983.0</v>
      </c>
      <c r="N274" s="55" t="s">
        <v>741</v>
      </c>
      <c r="O274" s="80"/>
      <c r="P274" s="78" t="s">
        <v>745</v>
      </c>
      <c r="Q274" s="78" t="s">
        <v>745</v>
      </c>
      <c r="R274" s="79"/>
      <c r="S274" s="79"/>
      <c r="T274" s="79"/>
      <c r="U274" s="79"/>
      <c r="V274" s="79"/>
      <c r="W274" s="79"/>
      <c r="X274" s="79"/>
      <c r="Y274" s="79"/>
      <c r="Z274" s="79"/>
    </row>
    <row r="275" ht="15.75" customHeight="1">
      <c r="A275" s="60" t="s">
        <v>133</v>
      </c>
      <c r="B275" s="52" t="s">
        <v>44</v>
      </c>
      <c r="C275" s="62" t="s">
        <v>1123</v>
      </c>
      <c r="D275" s="62" t="s">
        <v>185</v>
      </c>
      <c r="E275" s="62" t="s">
        <v>1115</v>
      </c>
      <c r="F275" s="62">
        <v>58.0</v>
      </c>
      <c r="G275" s="62" t="s">
        <v>136</v>
      </c>
      <c r="H275" s="62" t="s">
        <v>1124</v>
      </c>
      <c r="I275" s="62" t="s">
        <v>1124</v>
      </c>
      <c r="J275" s="62" t="s">
        <v>85</v>
      </c>
      <c r="K275" s="62" t="s">
        <v>749</v>
      </c>
      <c r="L275" s="62" t="s">
        <v>763</v>
      </c>
      <c r="M275" s="54">
        <v>43983.0</v>
      </c>
      <c r="N275" s="55" t="s">
        <v>689</v>
      </c>
      <c r="O275" s="56" t="s">
        <v>690</v>
      </c>
      <c r="P275" s="78" t="s">
        <v>691</v>
      </c>
      <c r="Q275" s="78" t="s">
        <v>691</v>
      </c>
      <c r="R275" s="79"/>
      <c r="S275" s="79"/>
      <c r="T275" s="79"/>
      <c r="U275" s="79"/>
      <c r="V275" s="79"/>
      <c r="W275" s="79"/>
      <c r="X275" s="79"/>
      <c r="Y275" s="79"/>
      <c r="Z275" s="79"/>
    </row>
    <row r="276" ht="15.75" customHeight="1">
      <c r="A276" s="60" t="s">
        <v>172</v>
      </c>
      <c r="B276" s="52" t="s">
        <v>842</v>
      </c>
      <c r="C276" s="62" t="s">
        <v>1125</v>
      </c>
      <c r="D276" s="62" t="s">
        <v>185</v>
      </c>
      <c r="E276" s="62" t="s">
        <v>685</v>
      </c>
      <c r="F276" s="62" t="s">
        <v>1126</v>
      </c>
      <c r="G276" s="62" t="s">
        <v>136</v>
      </c>
      <c r="H276" s="62" t="s">
        <v>1124</v>
      </c>
      <c r="I276" s="62" t="s">
        <v>1124</v>
      </c>
      <c r="J276" s="62" t="s">
        <v>85</v>
      </c>
      <c r="K276" s="62" t="s">
        <v>749</v>
      </c>
      <c r="L276" s="62" t="s">
        <v>763</v>
      </c>
      <c r="M276" s="54">
        <v>43983.0</v>
      </c>
      <c r="N276" s="55" t="s">
        <v>689</v>
      </c>
      <c r="O276" s="56" t="s">
        <v>690</v>
      </c>
      <c r="P276" s="78" t="s">
        <v>691</v>
      </c>
      <c r="Q276" s="78" t="s">
        <v>691</v>
      </c>
      <c r="R276" s="79"/>
      <c r="S276" s="79"/>
      <c r="T276" s="79"/>
      <c r="U276" s="79"/>
      <c r="V276" s="79"/>
      <c r="W276" s="79"/>
      <c r="X276" s="79"/>
      <c r="Y276" s="79"/>
      <c r="Z276" s="79"/>
    </row>
    <row r="277" ht="15.75" customHeight="1">
      <c r="A277" s="60" t="s">
        <v>1127</v>
      </c>
      <c r="B277" s="60" t="s">
        <v>58</v>
      </c>
      <c r="C277" s="62" t="s">
        <v>1128</v>
      </c>
      <c r="D277" s="62" t="s">
        <v>185</v>
      </c>
      <c r="E277" s="62" t="s">
        <v>1102</v>
      </c>
      <c r="F277" s="62">
        <v>399.33</v>
      </c>
      <c r="G277" s="52" t="s">
        <v>394</v>
      </c>
      <c r="H277" s="62" t="s">
        <v>394</v>
      </c>
      <c r="I277" s="62" t="s">
        <v>394</v>
      </c>
      <c r="J277" s="62" t="s">
        <v>85</v>
      </c>
      <c r="K277" s="62" t="s">
        <v>749</v>
      </c>
      <c r="L277" s="62" t="s">
        <v>749</v>
      </c>
      <c r="M277" s="54">
        <v>43983.0</v>
      </c>
      <c r="N277" s="55" t="s">
        <v>701</v>
      </c>
      <c r="O277" s="80"/>
      <c r="P277" s="78" t="s">
        <v>750</v>
      </c>
      <c r="Q277" s="78" t="s">
        <v>750</v>
      </c>
      <c r="R277" s="79"/>
      <c r="S277" s="79"/>
      <c r="T277" s="79"/>
      <c r="U277" s="79"/>
      <c r="V277" s="79"/>
      <c r="W277" s="79"/>
      <c r="X277" s="79"/>
      <c r="Y277" s="79"/>
      <c r="Z277" s="79"/>
    </row>
    <row r="278" ht="15.75" customHeight="1">
      <c r="A278" s="60" t="s">
        <v>1129</v>
      </c>
      <c r="B278" s="60" t="s">
        <v>58</v>
      </c>
      <c r="C278" s="62" t="s">
        <v>1130</v>
      </c>
      <c r="D278" s="62" t="s">
        <v>185</v>
      </c>
      <c r="E278" s="62" t="s">
        <v>1102</v>
      </c>
      <c r="F278" s="62">
        <v>599.0</v>
      </c>
      <c r="G278" s="62" t="s">
        <v>394</v>
      </c>
      <c r="H278" s="62" t="s">
        <v>394</v>
      </c>
      <c r="I278" s="62" t="s">
        <v>394</v>
      </c>
      <c r="J278" s="62" t="s">
        <v>85</v>
      </c>
      <c r="K278" s="62" t="s">
        <v>749</v>
      </c>
      <c r="L278" s="62" t="s">
        <v>749</v>
      </c>
      <c r="M278" s="54">
        <v>43983.0</v>
      </c>
      <c r="N278" s="55" t="s">
        <v>701</v>
      </c>
      <c r="O278" s="80"/>
      <c r="P278" s="78" t="s">
        <v>750</v>
      </c>
      <c r="Q278" s="78" t="s">
        <v>750</v>
      </c>
      <c r="R278" s="79"/>
      <c r="S278" s="79"/>
      <c r="T278" s="79"/>
      <c r="U278" s="79"/>
      <c r="V278" s="79"/>
      <c r="W278" s="79"/>
      <c r="X278" s="79"/>
      <c r="Y278" s="79"/>
      <c r="Z278" s="79"/>
    </row>
    <row r="279" ht="15.75" customHeight="1">
      <c r="A279" s="60" t="s">
        <v>1131</v>
      </c>
      <c r="B279" s="60" t="s">
        <v>58</v>
      </c>
      <c r="C279" s="62" t="s">
        <v>1132</v>
      </c>
      <c r="D279" s="62" t="s">
        <v>185</v>
      </c>
      <c r="E279" s="62" t="s">
        <v>1102</v>
      </c>
      <c r="F279" s="62">
        <v>599.0</v>
      </c>
      <c r="G279" s="62" t="s">
        <v>394</v>
      </c>
      <c r="H279" s="62" t="s">
        <v>394</v>
      </c>
      <c r="I279" s="62" t="s">
        <v>394</v>
      </c>
      <c r="J279" s="62" t="s">
        <v>85</v>
      </c>
      <c r="K279" s="62" t="s">
        <v>749</v>
      </c>
      <c r="L279" s="62" t="s">
        <v>749</v>
      </c>
      <c r="M279" s="54">
        <v>43983.0</v>
      </c>
      <c r="N279" s="55" t="s">
        <v>701</v>
      </c>
      <c r="O279" s="80"/>
      <c r="P279" s="78" t="s">
        <v>750</v>
      </c>
      <c r="Q279" s="78" t="s">
        <v>750</v>
      </c>
      <c r="R279" s="79"/>
      <c r="S279" s="79"/>
      <c r="T279" s="79"/>
      <c r="U279" s="79"/>
      <c r="V279" s="79"/>
      <c r="W279" s="79"/>
      <c r="X279" s="79"/>
      <c r="Y279" s="79"/>
      <c r="Z279" s="79"/>
    </row>
    <row r="280" ht="15.75" customHeight="1">
      <c r="A280" s="60" t="s">
        <v>1133</v>
      </c>
      <c r="B280" s="60" t="s">
        <v>197</v>
      </c>
      <c r="C280" s="62" t="s">
        <v>1134</v>
      </c>
      <c r="D280" s="62" t="s">
        <v>185</v>
      </c>
      <c r="E280" s="62" t="s">
        <v>1102</v>
      </c>
      <c r="F280" s="62">
        <v>340.0</v>
      </c>
      <c r="G280" s="62" t="s">
        <v>723</v>
      </c>
      <c r="H280" s="52" t="s">
        <v>723</v>
      </c>
      <c r="I280" s="53" t="s">
        <v>723</v>
      </c>
      <c r="J280" s="62" t="s">
        <v>85</v>
      </c>
      <c r="K280" s="62" t="s">
        <v>687</v>
      </c>
      <c r="L280" s="62" t="s">
        <v>760</v>
      </c>
      <c r="M280" s="54">
        <v>44041.0</v>
      </c>
      <c r="N280" s="55" t="s">
        <v>692</v>
      </c>
      <c r="O280" s="56" t="s">
        <v>690</v>
      </c>
      <c r="P280" s="78" t="s">
        <v>724</v>
      </c>
      <c r="Q280" s="78" t="s">
        <v>724</v>
      </c>
      <c r="R280" s="79"/>
      <c r="S280" s="79"/>
      <c r="T280" s="79"/>
      <c r="U280" s="79"/>
      <c r="V280" s="79"/>
      <c r="W280" s="79"/>
      <c r="X280" s="79"/>
      <c r="Y280" s="79"/>
      <c r="Z280" s="79"/>
    </row>
    <row r="281" ht="15.75" customHeight="1">
      <c r="A281" s="60" t="s">
        <v>1135</v>
      </c>
      <c r="B281" s="60" t="s">
        <v>197</v>
      </c>
      <c r="C281" s="62" t="s">
        <v>1136</v>
      </c>
      <c r="D281" s="62" t="s">
        <v>185</v>
      </c>
      <c r="E281" s="62" t="s">
        <v>1102</v>
      </c>
      <c r="F281" s="62">
        <v>37.0</v>
      </c>
      <c r="G281" s="62" t="s">
        <v>723</v>
      </c>
      <c r="H281" s="52" t="s">
        <v>723</v>
      </c>
      <c r="I281" s="53" t="s">
        <v>723</v>
      </c>
      <c r="J281" s="62" t="s">
        <v>85</v>
      </c>
      <c r="K281" s="62" t="s">
        <v>687</v>
      </c>
      <c r="L281" s="62" t="s">
        <v>760</v>
      </c>
      <c r="M281" s="54">
        <v>44041.0</v>
      </c>
      <c r="N281" s="55" t="s">
        <v>692</v>
      </c>
      <c r="O281" s="56" t="s">
        <v>690</v>
      </c>
      <c r="P281" s="78" t="s">
        <v>724</v>
      </c>
      <c r="Q281" s="78" t="s">
        <v>724</v>
      </c>
      <c r="R281" s="79"/>
      <c r="S281" s="79"/>
      <c r="T281" s="79"/>
      <c r="U281" s="79"/>
      <c r="V281" s="79"/>
      <c r="W281" s="79"/>
      <c r="X281" s="79"/>
      <c r="Y281" s="79"/>
      <c r="Z281" s="79"/>
    </row>
    <row r="282" ht="15.75" customHeight="1">
      <c r="A282" s="60" t="s">
        <v>1137</v>
      </c>
      <c r="B282" s="60" t="s">
        <v>197</v>
      </c>
      <c r="C282" s="62" t="s">
        <v>1138</v>
      </c>
      <c r="D282" s="62" t="s">
        <v>185</v>
      </c>
      <c r="E282" s="62" t="s">
        <v>1102</v>
      </c>
      <c r="F282" s="62">
        <v>73.0</v>
      </c>
      <c r="G282" s="62" t="s">
        <v>723</v>
      </c>
      <c r="H282" s="52" t="s">
        <v>723</v>
      </c>
      <c r="I282" s="53" t="s">
        <v>723</v>
      </c>
      <c r="J282" s="62" t="s">
        <v>85</v>
      </c>
      <c r="K282" s="62" t="s">
        <v>687</v>
      </c>
      <c r="L282" s="62" t="s">
        <v>760</v>
      </c>
      <c r="M282" s="54">
        <v>44041.0</v>
      </c>
      <c r="N282" s="55" t="s">
        <v>692</v>
      </c>
      <c r="O282" s="56" t="s">
        <v>690</v>
      </c>
      <c r="P282" s="78" t="s">
        <v>724</v>
      </c>
      <c r="Q282" s="78" t="s">
        <v>724</v>
      </c>
      <c r="R282" s="79"/>
      <c r="S282" s="79"/>
      <c r="T282" s="79"/>
      <c r="U282" s="79"/>
      <c r="V282" s="79"/>
      <c r="W282" s="79"/>
      <c r="X282" s="79"/>
      <c r="Y282" s="79"/>
      <c r="Z282" s="79"/>
    </row>
    <row r="283" ht="15.75" customHeight="1">
      <c r="A283" s="60" t="s">
        <v>1139</v>
      </c>
      <c r="B283" s="60" t="s">
        <v>197</v>
      </c>
      <c r="C283" s="62" t="s">
        <v>1140</v>
      </c>
      <c r="D283" s="62" t="s">
        <v>185</v>
      </c>
      <c r="E283" s="62" t="s">
        <v>1115</v>
      </c>
      <c r="F283" s="62">
        <v>1.0</v>
      </c>
      <c r="G283" s="62" t="s">
        <v>394</v>
      </c>
      <c r="H283" s="62" t="s">
        <v>394</v>
      </c>
      <c r="I283" s="62" t="s">
        <v>394</v>
      </c>
      <c r="J283" s="62" t="s">
        <v>85</v>
      </c>
      <c r="K283" s="62" t="s">
        <v>687</v>
      </c>
      <c r="L283" s="62" t="s">
        <v>760</v>
      </c>
      <c r="M283" s="54">
        <v>44041.0</v>
      </c>
      <c r="N283" s="55" t="s">
        <v>735</v>
      </c>
      <c r="O283" s="80"/>
      <c r="P283" s="78" t="s">
        <v>761</v>
      </c>
      <c r="Q283" s="78" t="s">
        <v>761</v>
      </c>
      <c r="R283" s="79"/>
      <c r="S283" s="79"/>
      <c r="T283" s="79"/>
      <c r="U283" s="79"/>
      <c r="V283" s="79"/>
      <c r="W283" s="79"/>
      <c r="X283" s="79"/>
      <c r="Y283" s="79"/>
      <c r="Z283" s="79"/>
    </row>
    <row r="284" ht="15.75" customHeight="1">
      <c r="A284" s="60" t="s">
        <v>1141</v>
      </c>
      <c r="B284" s="60" t="s">
        <v>197</v>
      </c>
      <c r="C284" s="62" t="s">
        <v>1142</v>
      </c>
      <c r="D284" s="62" t="s">
        <v>185</v>
      </c>
      <c r="E284" s="62" t="s">
        <v>1115</v>
      </c>
      <c r="F284" s="62">
        <v>4.0</v>
      </c>
      <c r="G284" s="62" t="s">
        <v>394</v>
      </c>
      <c r="H284" s="62" t="s">
        <v>394</v>
      </c>
      <c r="I284" s="62" t="s">
        <v>394</v>
      </c>
      <c r="J284" s="62" t="s">
        <v>85</v>
      </c>
      <c r="K284" s="62" t="s">
        <v>687</v>
      </c>
      <c r="L284" s="62" t="s">
        <v>760</v>
      </c>
      <c r="M284" s="54">
        <v>44041.0</v>
      </c>
      <c r="N284" s="55" t="s">
        <v>735</v>
      </c>
      <c r="O284" s="80"/>
      <c r="P284" s="78" t="s">
        <v>761</v>
      </c>
      <c r="Q284" s="78" t="s">
        <v>761</v>
      </c>
      <c r="R284" s="79"/>
      <c r="S284" s="79"/>
      <c r="T284" s="79"/>
      <c r="U284" s="79"/>
      <c r="V284" s="79"/>
      <c r="W284" s="79"/>
      <c r="X284" s="79"/>
      <c r="Y284" s="79"/>
      <c r="Z284" s="79"/>
    </row>
    <row r="285" ht="15.75" customHeight="1">
      <c r="A285" s="60" t="s">
        <v>1143</v>
      </c>
      <c r="B285" s="60" t="s">
        <v>197</v>
      </c>
      <c r="C285" s="62" t="s">
        <v>1144</v>
      </c>
      <c r="D285" s="62" t="s">
        <v>185</v>
      </c>
      <c r="E285" s="62" t="s">
        <v>1115</v>
      </c>
      <c r="F285" s="62">
        <v>6.0</v>
      </c>
      <c r="G285" s="62" t="s">
        <v>394</v>
      </c>
      <c r="H285" s="62" t="s">
        <v>394</v>
      </c>
      <c r="I285" s="62" t="s">
        <v>394</v>
      </c>
      <c r="J285" s="62" t="s">
        <v>85</v>
      </c>
      <c r="K285" s="62" t="s">
        <v>687</v>
      </c>
      <c r="L285" s="62" t="s">
        <v>760</v>
      </c>
      <c r="M285" s="54">
        <v>44041.0</v>
      </c>
      <c r="N285" s="55" t="s">
        <v>735</v>
      </c>
      <c r="O285" s="80"/>
      <c r="P285" s="78" t="s">
        <v>761</v>
      </c>
      <c r="Q285" s="78" t="s">
        <v>761</v>
      </c>
      <c r="R285" s="79"/>
      <c r="S285" s="79"/>
      <c r="T285" s="79"/>
      <c r="U285" s="79"/>
      <c r="V285" s="79"/>
      <c r="W285" s="79"/>
      <c r="X285" s="79"/>
      <c r="Y285" s="79"/>
      <c r="Z285" s="79"/>
    </row>
    <row r="286" ht="15.75" customHeight="1">
      <c r="A286" s="60" t="s">
        <v>1145</v>
      </c>
      <c r="B286" s="60" t="s">
        <v>58</v>
      </c>
      <c r="C286" s="62" t="s">
        <v>1146</v>
      </c>
      <c r="D286" s="62" t="s">
        <v>185</v>
      </c>
      <c r="E286" s="62" t="s">
        <v>1102</v>
      </c>
      <c r="F286" s="62">
        <v>20.25</v>
      </c>
      <c r="G286" s="62" t="s">
        <v>394</v>
      </c>
      <c r="H286" s="62" t="s">
        <v>394</v>
      </c>
      <c r="I286" s="62" t="s">
        <v>394</v>
      </c>
      <c r="J286" s="62" t="s">
        <v>85</v>
      </c>
      <c r="K286" s="62" t="s">
        <v>749</v>
      </c>
      <c r="L286" s="62" t="s">
        <v>749</v>
      </c>
      <c r="M286" s="54">
        <v>43983.0</v>
      </c>
      <c r="N286" s="55" t="s">
        <v>701</v>
      </c>
      <c r="O286" s="80"/>
      <c r="P286" s="78" t="s">
        <v>750</v>
      </c>
      <c r="Q286" s="78" t="s">
        <v>750</v>
      </c>
      <c r="R286" s="79"/>
      <c r="S286" s="79"/>
      <c r="T286" s="79"/>
      <c r="U286" s="79"/>
      <c r="V286" s="79"/>
      <c r="W286" s="79"/>
      <c r="X286" s="79"/>
      <c r="Y286" s="79"/>
      <c r="Z286" s="79"/>
    </row>
    <row r="287" ht="15.75" customHeight="1">
      <c r="A287" s="60" t="s">
        <v>1147</v>
      </c>
      <c r="B287" s="60" t="s">
        <v>58</v>
      </c>
      <c r="C287" s="62" t="s">
        <v>1148</v>
      </c>
      <c r="D287" s="62" t="s">
        <v>185</v>
      </c>
      <c r="E287" s="62" t="s">
        <v>1102</v>
      </c>
      <c r="F287" s="62">
        <v>20.25</v>
      </c>
      <c r="G287" s="62" t="s">
        <v>394</v>
      </c>
      <c r="H287" s="62" t="s">
        <v>394</v>
      </c>
      <c r="I287" s="62" t="s">
        <v>394</v>
      </c>
      <c r="J287" s="62" t="s">
        <v>85</v>
      </c>
      <c r="K287" s="62" t="s">
        <v>749</v>
      </c>
      <c r="L287" s="62" t="s">
        <v>749</v>
      </c>
      <c r="M287" s="54">
        <v>43983.0</v>
      </c>
      <c r="N287" s="55" t="s">
        <v>701</v>
      </c>
      <c r="O287" s="80"/>
      <c r="P287" s="78" t="s">
        <v>750</v>
      </c>
      <c r="Q287" s="78" t="s">
        <v>750</v>
      </c>
      <c r="R287" s="79"/>
      <c r="S287" s="79"/>
      <c r="T287" s="79"/>
      <c r="U287" s="79"/>
      <c r="V287" s="79"/>
      <c r="W287" s="79"/>
      <c r="X287" s="79"/>
      <c r="Y287" s="79"/>
      <c r="Z287" s="79"/>
    </row>
    <row r="288" ht="15.75" customHeight="1">
      <c r="A288" s="60" t="s">
        <v>1149</v>
      </c>
      <c r="B288" s="60" t="s">
        <v>58</v>
      </c>
      <c r="C288" s="62" t="s">
        <v>1150</v>
      </c>
      <c r="D288" s="62" t="s">
        <v>185</v>
      </c>
      <c r="E288" s="62" t="s">
        <v>1102</v>
      </c>
      <c r="F288" s="62">
        <v>20.25</v>
      </c>
      <c r="G288" s="62" t="s">
        <v>394</v>
      </c>
      <c r="H288" s="62" t="s">
        <v>394</v>
      </c>
      <c r="I288" s="62" t="s">
        <v>394</v>
      </c>
      <c r="J288" s="62" t="s">
        <v>85</v>
      </c>
      <c r="K288" s="62" t="s">
        <v>749</v>
      </c>
      <c r="L288" s="62" t="s">
        <v>749</v>
      </c>
      <c r="M288" s="54">
        <v>43983.0</v>
      </c>
      <c r="N288" s="55" t="s">
        <v>701</v>
      </c>
      <c r="O288" s="80"/>
      <c r="P288" s="78" t="s">
        <v>750</v>
      </c>
      <c r="Q288" s="78" t="s">
        <v>750</v>
      </c>
      <c r="R288" s="79"/>
      <c r="S288" s="79"/>
      <c r="T288" s="79"/>
      <c r="U288" s="79"/>
      <c r="V288" s="79"/>
      <c r="W288" s="79"/>
      <c r="X288" s="79"/>
      <c r="Y288" s="79"/>
      <c r="Z288" s="79"/>
    </row>
    <row r="289" ht="15.75" customHeight="1">
      <c r="A289" s="60" t="s">
        <v>1151</v>
      </c>
      <c r="B289" s="60" t="s">
        <v>197</v>
      </c>
      <c r="C289" s="62" t="s">
        <v>1152</v>
      </c>
      <c r="D289" s="62" t="s">
        <v>185</v>
      </c>
      <c r="E289" s="62" t="s">
        <v>1102</v>
      </c>
      <c r="F289" s="62">
        <v>66.78</v>
      </c>
      <c r="G289" s="62" t="s">
        <v>136</v>
      </c>
      <c r="H289" s="62" t="s">
        <v>136</v>
      </c>
      <c r="I289" s="62" t="s">
        <v>835</v>
      </c>
      <c r="J289" s="65" t="s">
        <v>85</v>
      </c>
      <c r="K289" s="62" t="s">
        <v>749</v>
      </c>
      <c r="L289" s="62" t="s">
        <v>1153</v>
      </c>
      <c r="M289" s="54">
        <v>43983.0</v>
      </c>
      <c r="N289" s="55" t="s">
        <v>692</v>
      </c>
      <c r="O289" s="80"/>
      <c r="P289" s="78" t="s">
        <v>721</v>
      </c>
      <c r="Q289" s="78" t="s">
        <v>721</v>
      </c>
      <c r="R289" s="79"/>
      <c r="S289" s="79"/>
      <c r="T289" s="79"/>
      <c r="U289" s="79"/>
      <c r="V289" s="79"/>
      <c r="W289" s="79"/>
      <c r="X289" s="79"/>
      <c r="Y289" s="79"/>
      <c r="Z289" s="79"/>
    </row>
    <row r="290" ht="15.75" customHeight="1">
      <c r="A290" s="60" t="s">
        <v>1154</v>
      </c>
      <c r="B290" s="60" t="s">
        <v>197</v>
      </c>
      <c r="C290" s="62" t="s">
        <v>1155</v>
      </c>
      <c r="D290" s="62" t="s">
        <v>185</v>
      </c>
      <c r="E290" s="62" t="s">
        <v>1115</v>
      </c>
      <c r="F290" s="62">
        <v>289.0</v>
      </c>
      <c r="G290" s="62" t="s">
        <v>723</v>
      </c>
      <c r="H290" s="62" t="s">
        <v>91</v>
      </c>
      <c r="I290" s="53" t="s">
        <v>723</v>
      </c>
      <c r="J290" s="65" t="s">
        <v>85</v>
      </c>
      <c r="K290" s="62" t="s">
        <v>687</v>
      </c>
      <c r="L290" s="62" t="s">
        <v>688</v>
      </c>
      <c r="M290" s="54">
        <v>44041.0</v>
      </c>
      <c r="N290" s="55" t="s">
        <v>692</v>
      </c>
      <c r="O290" s="56" t="s">
        <v>690</v>
      </c>
      <c r="P290" s="78" t="s">
        <v>724</v>
      </c>
      <c r="Q290" s="78" t="s">
        <v>724</v>
      </c>
      <c r="R290" s="79"/>
      <c r="S290" s="79"/>
      <c r="T290" s="79"/>
      <c r="U290" s="79"/>
      <c r="V290" s="79"/>
      <c r="W290" s="79"/>
      <c r="X290" s="79"/>
      <c r="Y290" s="79"/>
      <c r="Z290" s="79"/>
    </row>
    <row r="291" ht="15.75" customHeight="1">
      <c r="A291" s="60" t="s">
        <v>1156</v>
      </c>
      <c r="B291" s="60" t="s">
        <v>52</v>
      </c>
      <c r="C291" s="62" t="s">
        <v>1157</v>
      </c>
      <c r="D291" s="62" t="s">
        <v>185</v>
      </c>
      <c r="E291" s="62" t="s">
        <v>698</v>
      </c>
      <c r="F291" s="63">
        <v>43971.333333333336</v>
      </c>
      <c r="G291" s="62" t="s">
        <v>723</v>
      </c>
      <c r="H291" s="62" t="s">
        <v>723</v>
      </c>
      <c r="I291" s="62" t="s">
        <v>723</v>
      </c>
      <c r="J291" s="65" t="s">
        <v>85</v>
      </c>
      <c r="K291" s="62" t="s">
        <v>687</v>
      </c>
      <c r="L291" s="62" t="s">
        <v>688</v>
      </c>
      <c r="M291" s="54">
        <v>44042.0</v>
      </c>
      <c r="N291" s="55" t="s">
        <v>735</v>
      </c>
      <c r="O291" s="64" t="s">
        <v>736</v>
      </c>
      <c r="P291" s="78" t="s">
        <v>721</v>
      </c>
      <c r="Q291" s="78" t="s">
        <v>721</v>
      </c>
      <c r="R291" s="79"/>
      <c r="S291" s="79"/>
      <c r="T291" s="79"/>
      <c r="U291" s="79"/>
      <c r="V291" s="79"/>
      <c r="W291" s="79"/>
      <c r="X291" s="79"/>
      <c r="Y291" s="79"/>
      <c r="Z291" s="79"/>
    </row>
    <row r="292" ht="15.75" customHeight="1">
      <c r="A292" s="60" t="s">
        <v>1158</v>
      </c>
      <c r="B292" s="60" t="s">
        <v>52</v>
      </c>
      <c r="C292" s="62" t="s">
        <v>1159</v>
      </c>
      <c r="D292" s="62" t="s">
        <v>185</v>
      </c>
      <c r="E292" s="62" t="s">
        <v>1102</v>
      </c>
      <c r="F292" s="62">
        <v>33.5</v>
      </c>
      <c r="G292" s="62" t="s">
        <v>723</v>
      </c>
      <c r="H292" s="62" t="s">
        <v>723</v>
      </c>
      <c r="I292" s="62" t="s">
        <v>723</v>
      </c>
      <c r="J292" s="65" t="s">
        <v>85</v>
      </c>
      <c r="K292" s="62" t="s">
        <v>687</v>
      </c>
      <c r="L292" s="62" t="s">
        <v>688</v>
      </c>
      <c r="M292" s="54">
        <v>44042.0</v>
      </c>
      <c r="N292" s="55" t="s">
        <v>735</v>
      </c>
      <c r="O292" s="64" t="s">
        <v>736</v>
      </c>
      <c r="P292" s="78" t="s">
        <v>721</v>
      </c>
      <c r="Q292" s="78" t="s">
        <v>721</v>
      </c>
      <c r="R292" s="79"/>
      <c r="S292" s="79"/>
      <c r="T292" s="79"/>
      <c r="U292" s="79"/>
      <c r="V292" s="79"/>
      <c r="W292" s="79"/>
      <c r="X292" s="79"/>
      <c r="Y292" s="79"/>
      <c r="Z292" s="79"/>
    </row>
    <row r="293" ht="15.75" customHeight="1">
      <c r="A293" s="60" t="s">
        <v>1160</v>
      </c>
      <c r="B293" s="60" t="s">
        <v>52</v>
      </c>
      <c r="C293" s="62" t="s">
        <v>1161</v>
      </c>
      <c r="D293" s="62" t="s">
        <v>185</v>
      </c>
      <c r="E293" s="62" t="s">
        <v>698</v>
      </c>
      <c r="F293" s="63">
        <v>43971.333333333336</v>
      </c>
      <c r="G293" s="62" t="s">
        <v>723</v>
      </c>
      <c r="H293" s="62" t="s">
        <v>723</v>
      </c>
      <c r="I293" s="62" t="s">
        <v>723</v>
      </c>
      <c r="J293" s="65" t="s">
        <v>85</v>
      </c>
      <c r="K293" s="62" t="s">
        <v>687</v>
      </c>
      <c r="L293" s="62" t="s">
        <v>688</v>
      </c>
      <c r="M293" s="54">
        <v>44042.0</v>
      </c>
      <c r="N293" s="55" t="s">
        <v>735</v>
      </c>
      <c r="O293" s="64" t="s">
        <v>736</v>
      </c>
      <c r="P293" s="78" t="s">
        <v>721</v>
      </c>
      <c r="Q293" s="78" t="s">
        <v>721</v>
      </c>
      <c r="R293" s="79"/>
      <c r="S293" s="79"/>
      <c r="T293" s="79"/>
      <c r="U293" s="79"/>
      <c r="V293" s="79"/>
      <c r="W293" s="79"/>
      <c r="X293" s="79"/>
      <c r="Y293" s="79"/>
      <c r="Z293" s="79"/>
    </row>
    <row r="294" ht="15.75" customHeight="1">
      <c r="A294" s="60" t="s">
        <v>1162</v>
      </c>
      <c r="B294" s="60" t="s">
        <v>52</v>
      </c>
      <c r="C294" s="62" t="s">
        <v>1163</v>
      </c>
      <c r="D294" s="62" t="s">
        <v>185</v>
      </c>
      <c r="E294" s="62" t="s">
        <v>1102</v>
      </c>
      <c r="F294" s="62">
        <v>33.5</v>
      </c>
      <c r="G294" s="62" t="s">
        <v>723</v>
      </c>
      <c r="H294" s="62" t="s">
        <v>723</v>
      </c>
      <c r="I294" s="62" t="s">
        <v>723</v>
      </c>
      <c r="J294" s="65" t="s">
        <v>85</v>
      </c>
      <c r="K294" s="62" t="s">
        <v>687</v>
      </c>
      <c r="L294" s="62" t="s">
        <v>688</v>
      </c>
      <c r="M294" s="54">
        <v>44042.0</v>
      </c>
      <c r="N294" s="55" t="s">
        <v>735</v>
      </c>
      <c r="O294" s="64" t="s">
        <v>736</v>
      </c>
      <c r="P294" s="78" t="s">
        <v>721</v>
      </c>
      <c r="Q294" s="78" t="s">
        <v>721</v>
      </c>
      <c r="R294" s="79"/>
      <c r="S294" s="79"/>
      <c r="T294" s="79"/>
      <c r="U294" s="79"/>
      <c r="V294" s="79"/>
      <c r="W294" s="79"/>
      <c r="X294" s="79"/>
      <c r="Y294" s="79"/>
      <c r="Z294" s="79"/>
    </row>
    <row r="295" ht="15.75" customHeight="1">
      <c r="A295" s="60" t="s">
        <v>1164</v>
      </c>
      <c r="B295" s="60" t="s">
        <v>52</v>
      </c>
      <c r="C295" s="62" t="s">
        <v>1165</v>
      </c>
      <c r="D295" s="62" t="s">
        <v>185</v>
      </c>
      <c r="E295" s="62" t="s">
        <v>1115</v>
      </c>
      <c r="F295" s="62">
        <v>12.0</v>
      </c>
      <c r="G295" s="62" t="s">
        <v>723</v>
      </c>
      <c r="H295" s="62" t="s">
        <v>723</v>
      </c>
      <c r="I295" s="62" t="s">
        <v>723</v>
      </c>
      <c r="J295" s="65" t="s">
        <v>85</v>
      </c>
      <c r="K295" s="62" t="s">
        <v>687</v>
      </c>
      <c r="L295" s="62" t="s">
        <v>688</v>
      </c>
      <c r="M295" s="54">
        <v>44042.0</v>
      </c>
      <c r="N295" s="55" t="s">
        <v>735</v>
      </c>
      <c r="O295" s="64" t="s">
        <v>736</v>
      </c>
      <c r="P295" s="78" t="s">
        <v>721</v>
      </c>
      <c r="Q295" s="78" t="s">
        <v>721</v>
      </c>
      <c r="R295" s="79"/>
      <c r="S295" s="79"/>
      <c r="T295" s="79"/>
      <c r="U295" s="79"/>
      <c r="V295" s="79"/>
      <c r="W295" s="79"/>
      <c r="X295" s="79"/>
      <c r="Y295" s="79"/>
      <c r="Z295" s="79"/>
    </row>
    <row r="296" ht="15.75" customHeight="1">
      <c r="A296" s="60" t="s">
        <v>1166</v>
      </c>
      <c r="B296" s="60" t="s">
        <v>52</v>
      </c>
      <c r="C296" s="62" t="s">
        <v>1167</v>
      </c>
      <c r="D296" s="62" t="s">
        <v>185</v>
      </c>
      <c r="E296" s="62" t="s">
        <v>1102</v>
      </c>
      <c r="F296" s="62">
        <v>33.5</v>
      </c>
      <c r="G296" s="62" t="s">
        <v>723</v>
      </c>
      <c r="H296" s="62" t="s">
        <v>723</v>
      </c>
      <c r="I296" s="62" t="s">
        <v>723</v>
      </c>
      <c r="J296" s="65" t="s">
        <v>85</v>
      </c>
      <c r="K296" s="62" t="s">
        <v>687</v>
      </c>
      <c r="L296" s="62" t="s">
        <v>688</v>
      </c>
      <c r="M296" s="54">
        <v>44042.0</v>
      </c>
      <c r="N296" s="55" t="s">
        <v>735</v>
      </c>
      <c r="O296" s="64" t="s">
        <v>736</v>
      </c>
      <c r="P296" s="78" t="s">
        <v>721</v>
      </c>
      <c r="Q296" s="78" t="s">
        <v>721</v>
      </c>
      <c r="R296" s="79"/>
      <c r="S296" s="79"/>
      <c r="T296" s="79"/>
      <c r="U296" s="79"/>
      <c r="V296" s="79"/>
      <c r="W296" s="79"/>
      <c r="X296" s="79"/>
      <c r="Y296" s="79"/>
      <c r="Z296" s="79"/>
    </row>
    <row r="297" ht="15.75" customHeight="1">
      <c r="A297" s="60" t="s">
        <v>1168</v>
      </c>
      <c r="B297" s="60" t="s">
        <v>52</v>
      </c>
      <c r="C297" s="62" t="s">
        <v>1169</v>
      </c>
      <c r="D297" s="62" t="s">
        <v>185</v>
      </c>
      <c r="E297" s="62" t="s">
        <v>1102</v>
      </c>
      <c r="F297" s="62">
        <v>33.5</v>
      </c>
      <c r="G297" s="62" t="s">
        <v>723</v>
      </c>
      <c r="H297" s="62" t="s">
        <v>723</v>
      </c>
      <c r="I297" s="62" t="s">
        <v>723</v>
      </c>
      <c r="J297" s="65" t="s">
        <v>85</v>
      </c>
      <c r="K297" s="62" t="s">
        <v>687</v>
      </c>
      <c r="L297" s="62" t="s">
        <v>688</v>
      </c>
      <c r="M297" s="54">
        <v>44042.0</v>
      </c>
      <c r="N297" s="55" t="s">
        <v>735</v>
      </c>
      <c r="O297" s="64" t="s">
        <v>736</v>
      </c>
      <c r="P297" s="78" t="s">
        <v>721</v>
      </c>
      <c r="Q297" s="78" t="s">
        <v>721</v>
      </c>
      <c r="R297" s="79"/>
      <c r="S297" s="79"/>
      <c r="T297" s="79"/>
      <c r="U297" s="79"/>
      <c r="V297" s="79"/>
      <c r="W297" s="79"/>
      <c r="X297" s="79"/>
      <c r="Y297" s="79"/>
      <c r="Z297" s="79"/>
    </row>
    <row r="298" ht="15.75" customHeight="1">
      <c r="A298" s="60" t="s">
        <v>1170</v>
      </c>
      <c r="B298" s="60" t="s">
        <v>52</v>
      </c>
      <c r="C298" s="62" t="s">
        <v>1171</v>
      </c>
      <c r="D298" s="62" t="s">
        <v>185</v>
      </c>
      <c r="E298" s="62" t="s">
        <v>698</v>
      </c>
      <c r="F298" s="63">
        <v>43971.333333333336</v>
      </c>
      <c r="G298" s="62" t="s">
        <v>723</v>
      </c>
      <c r="H298" s="62" t="s">
        <v>723</v>
      </c>
      <c r="I298" s="62" t="s">
        <v>723</v>
      </c>
      <c r="J298" s="65" t="s">
        <v>85</v>
      </c>
      <c r="K298" s="62" t="s">
        <v>687</v>
      </c>
      <c r="L298" s="62" t="s">
        <v>688</v>
      </c>
      <c r="M298" s="54">
        <v>44042.0</v>
      </c>
      <c r="N298" s="55" t="s">
        <v>735</v>
      </c>
      <c r="O298" s="64" t="s">
        <v>736</v>
      </c>
      <c r="P298" s="78" t="s">
        <v>721</v>
      </c>
      <c r="Q298" s="78" t="s">
        <v>721</v>
      </c>
      <c r="R298" s="79"/>
      <c r="S298" s="79"/>
      <c r="T298" s="79"/>
      <c r="U298" s="79"/>
      <c r="V298" s="79"/>
      <c r="W298" s="79"/>
      <c r="X298" s="79"/>
      <c r="Y298" s="79"/>
      <c r="Z298" s="79"/>
    </row>
    <row r="299" ht="15.75" customHeight="1">
      <c r="A299" s="60" t="s">
        <v>1172</v>
      </c>
      <c r="B299" s="60" t="s">
        <v>52</v>
      </c>
      <c r="C299" s="62" t="s">
        <v>1173</v>
      </c>
      <c r="D299" s="62" t="s">
        <v>185</v>
      </c>
      <c r="E299" s="62" t="s">
        <v>698</v>
      </c>
      <c r="F299" s="63">
        <v>43971.333333333336</v>
      </c>
      <c r="G299" s="62" t="s">
        <v>723</v>
      </c>
      <c r="H299" s="62" t="s">
        <v>723</v>
      </c>
      <c r="I299" s="62" t="s">
        <v>723</v>
      </c>
      <c r="J299" s="65" t="s">
        <v>85</v>
      </c>
      <c r="K299" s="62" t="s">
        <v>687</v>
      </c>
      <c r="L299" s="62" t="s">
        <v>688</v>
      </c>
      <c r="M299" s="54">
        <v>44042.0</v>
      </c>
      <c r="N299" s="55" t="s">
        <v>735</v>
      </c>
      <c r="O299" s="64" t="s">
        <v>736</v>
      </c>
      <c r="P299" s="78" t="s">
        <v>721</v>
      </c>
      <c r="Q299" s="78" t="s">
        <v>721</v>
      </c>
      <c r="R299" s="79"/>
      <c r="S299" s="79"/>
      <c r="T299" s="79"/>
      <c r="U299" s="79"/>
      <c r="V299" s="79"/>
      <c r="W299" s="79"/>
      <c r="X299" s="79"/>
      <c r="Y299" s="79"/>
      <c r="Z299" s="79"/>
    </row>
    <row r="300" ht="15.75" customHeight="1">
      <c r="A300" s="60" t="s">
        <v>1174</v>
      </c>
      <c r="B300" s="60" t="s">
        <v>52</v>
      </c>
      <c r="C300" s="62" t="s">
        <v>1175</v>
      </c>
      <c r="D300" s="62" t="s">
        <v>185</v>
      </c>
      <c r="E300" s="62" t="s">
        <v>1102</v>
      </c>
      <c r="F300" s="62">
        <v>33.5</v>
      </c>
      <c r="G300" s="62" t="s">
        <v>723</v>
      </c>
      <c r="H300" s="62" t="s">
        <v>723</v>
      </c>
      <c r="I300" s="62" t="s">
        <v>723</v>
      </c>
      <c r="J300" s="65" t="s">
        <v>85</v>
      </c>
      <c r="K300" s="62" t="s">
        <v>687</v>
      </c>
      <c r="L300" s="62" t="s">
        <v>688</v>
      </c>
      <c r="M300" s="54">
        <v>44042.0</v>
      </c>
      <c r="N300" s="55" t="s">
        <v>735</v>
      </c>
      <c r="O300" s="64" t="s">
        <v>736</v>
      </c>
      <c r="P300" s="78" t="s">
        <v>721</v>
      </c>
      <c r="Q300" s="78" t="s">
        <v>721</v>
      </c>
      <c r="R300" s="79"/>
      <c r="S300" s="79"/>
      <c r="T300" s="79"/>
      <c r="U300" s="79"/>
      <c r="V300" s="79"/>
      <c r="W300" s="79"/>
      <c r="X300" s="79"/>
      <c r="Y300" s="79"/>
      <c r="Z300" s="79"/>
    </row>
    <row r="301" ht="15.75" customHeight="1">
      <c r="A301" s="60" t="s">
        <v>1176</v>
      </c>
      <c r="B301" s="60" t="s">
        <v>52</v>
      </c>
      <c r="C301" s="62" t="s">
        <v>1177</v>
      </c>
      <c r="D301" s="62" t="s">
        <v>185</v>
      </c>
      <c r="E301" s="62" t="s">
        <v>698</v>
      </c>
      <c r="F301" s="63">
        <v>43971.333333333336</v>
      </c>
      <c r="G301" s="62" t="s">
        <v>723</v>
      </c>
      <c r="H301" s="62" t="s">
        <v>723</v>
      </c>
      <c r="I301" s="62" t="s">
        <v>723</v>
      </c>
      <c r="J301" s="65" t="s">
        <v>85</v>
      </c>
      <c r="K301" s="62" t="s">
        <v>687</v>
      </c>
      <c r="L301" s="62" t="s">
        <v>688</v>
      </c>
      <c r="M301" s="54">
        <v>44042.0</v>
      </c>
      <c r="N301" s="55" t="s">
        <v>735</v>
      </c>
      <c r="O301" s="64" t="s">
        <v>736</v>
      </c>
      <c r="P301" s="78" t="s">
        <v>721</v>
      </c>
      <c r="Q301" s="78" t="s">
        <v>721</v>
      </c>
      <c r="R301" s="79"/>
      <c r="S301" s="79"/>
      <c r="T301" s="79"/>
      <c r="U301" s="79"/>
      <c r="V301" s="79"/>
      <c r="W301" s="79"/>
      <c r="X301" s="79"/>
      <c r="Y301" s="79"/>
      <c r="Z301" s="79"/>
    </row>
    <row r="302" ht="15.75" customHeight="1">
      <c r="A302" s="60" t="s">
        <v>1178</v>
      </c>
      <c r="B302" s="60" t="s">
        <v>60</v>
      </c>
      <c r="C302" s="62" t="s">
        <v>1179</v>
      </c>
      <c r="D302" s="62" t="s">
        <v>185</v>
      </c>
      <c r="E302" s="62" t="s">
        <v>720</v>
      </c>
      <c r="F302" s="63" t="b">
        <v>1</v>
      </c>
      <c r="G302" s="62" t="s">
        <v>136</v>
      </c>
      <c r="H302" s="62" t="s">
        <v>1180</v>
      </c>
      <c r="I302" s="62" t="s">
        <v>1180</v>
      </c>
      <c r="J302" s="65" t="s">
        <v>85</v>
      </c>
      <c r="K302" s="62" t="s">
        <v>749</v>
      </c>
      <c r="L302" s="62"/>
      <c r="M302" s="54">
        <v>43983.0</v>
      </c>
      <c r="N302" s="60" t="s">
        <v>701</v>
      </c>
      <c r="O302" s="64"/>
      <c r="P302" s="78" t="s">
        <v>782</v>
      </c>
      <c r="Q302" s="78" t="s">
        <v>782</v>
      </c>
      <c r="R302" s="79"/>
      <c r="S302" s="79"/>
      <c r="T302" s="79"/>
      <c r="U302" s="79"/>
      <c r="V302" s="79"/>
      <c r="W302" s="79"/>
      <c r="X302" s="79"/>
      <c r="Y302" s="79"/>
      <c r="Z302" s="79"/>
    </row>
    <row r="303" ht="15.75" customHeight="1">
      <c r="A303" s="60" t="s">
        <v>1181</v>
      </c>
      <c r="B303" s="60" t="s">
        <v>60</v>
      </c>
      <c r="C303" s="62" t="s">
        <v>1182</v>
      </c>
      <c r="D303" s="62" t="s">
        <v>185</v>
      </c>
      <c r="E303" s="62" t="s">
        <v>1183</v>
      </c>
      <c r="F303" s="62">
        <v>0.435</v>
      </c>
      <c r="G303" s="62" t="s">
        <v>136</v>
      </c>
      <c r="H303" s="62" t="s">
        <v>1180</v>
      </c>
      <c r="I303" s="62" t="s">
        <v>1180</v>
      </c>
      <c r="J303" s="65" t="s">
        <v>85</v>
      </c>
      <c r="K303" s="62" t="s">
        <v>749</v>
      </c>
      <c r="L303" s="62"/>
      <c r="M303" s="54">
        <v>43983.0</v>
      </c>
      <c r="N303" s="60" t="s">
        <v>701</v>
      </c>
      <c r="O303" s="64"/>
      <c r="P303" s="78" t="s">
        <v>782</v>
      </c>
      <c r="Q303" s="78" t="s">
        <v>782</v>
      </c>
      <c r="R303" s="79"/>
      <c r="S303" s="79"/>
      <c r="T303" s="79"/>
      <c r="U303" s="79"/>
      <c r="V303" s="79"/>
      <c r="W303" s="79"/>
      <c r="X303" s="79"/>
      <c r="Y303" s="79"/>
      <c r="Z303" s="79"/>
    </row>
    <row r="304" ht="15.75" customHeight="1">
      <c r="A304" s="60" t="s">
        <v>193</v>
      </c>
      <c r="B304" s="60" t="s">
        <v>696</v>
      </c>
      <c r="C304" s="62" t="s">
        <v>1184</v>
      </c>
      <c r="D304" s="62" t="s">
        <v>185</v>
      </c>
      <c r="E304" s="62" t="s">
        <v>685</v>
      </c>
      <c r="F304" s="62" t="s">
        <v>195</v>
      </c>
      <c r="G304" s="62" t="s">
        <v>686</v>
      </c>
      <c r="H304" s="62" t="s">
        <v>91</v>
      </c>
      <c r="I304" s="62" t="s">
        <v>91</v>
      </c>
      <c r="J304" s="62" t="s">
        <v>85</v>
      </c>
      <c r="K304" s="62" t="s">
        <v>687</v>
      </c>
      <c r="L304" s="62"/>
      <c r="M304" s="54">
        <v>44040.0</v>
      </c>
      <c r="N304" s="55" t="s">
        <v>692</v>
      </c>
      <c r="O304" s="56" t="s">
        <v>690</v>
      </c>
      <c r="P304" s="78" t="s">
        <v>782</v>
      </c>
      <c r="Q304" s="78" t="s">
        <v>782</v>
      </c>
      <c r="R304" s="79"/>
      <c r="S304" s="79"/>
      <c r="T304" s="79"/>
      <c r="U304" s="79"/>
      <c r="V304" s="79"/>
      <c r="W304" s="79"/>
      <c r="X304" s="79"/>
      <c r="Y304" s="79"/>
      <c r="Z304" s="79"/>
    </row>
    <row r="305" ht="15.75" customHeight="1">
      <c r="A305" s="60" t="s">
        <v>1185</v>
      </c>
      <c r="B305" s="60" t="s">
        <v>52</v>
      </c>
      <c r="C305" s="62" t="s">
        <v>1186</v>
      </c>
      <c r="D305" s="62" t="s">
        <v>185</v>
      </c>
      <c r="E305" s="62" t="s">
        <v>1115</v>
      </c>
      <c r="F305" s="62">
        <v>35.0</v>
      </c>
      <c r="G305" s="62" t="s">
        <v>394</v>
      </c>
      <c r="H305" s="62" t="s">
        <v>394</v>
      </c>
      <c r="I305" s="62" t="s">
        <v>394</v>
      </c>
      <c r="J305" s="62" t="s">
        <v>85</v>
      </c>
      <c r="K305" s="62" t="s">
        <v>687</v>
      </c>
      <c r="L305" s="62" t="s">
        <v>688</v>
      </c>
      <c r="M305" s="54">
        <v>44042.0</v>
      </c>
      <c r="N305" s="60" t="s">
        <v>735</v>
      </c>
      <c r="O305" s="80"/>
      <c r="P305" s="78" t="s">
        <v>761</v>
      </c>
      <c r="Q305" s="78" t="s">
        <v>761</v>
      </c>
      <c r="R305" s="81"/>
      <c r="S305" s="81"/>
      <c r="T305" s="81"/>
      <c r="U305" s="81"/>
      <c r="V305" s="81"/>
      <c r="W305" s="81"/>
      <c r="X305" s="81"/>
      <c r="Y305" s="81"/>
      <c r="Z305" s="81"/>
    </row>
    <row r="306" ht="15.75" customHeight="1">
      <c r="A306" s="60" t="s">
        <v>1187</v>
      </c>
      <c r="B306" s="60" t="s">
        <v>52</v>
      </c>
      <c r="C306" s="62" t="s">
        <v>1188</v>
      </c>
      <c r="D306" s="62" t="s">
        <v>185</v>
      </c>
      <c r="E306" s="62" t="s">
        <v>1102</v>
      </c>
      <c r="F306" s="62">
        <v>23.56</v>
      </c>
      <c r="G306" s="62" t="s">
        <v>394</v>
      </c>
      <c r="H306" s="62" t="s">
        <v>394</v>
      </c>
      <c r="I306" s="62" t="s">
        <v>394</v>
      </c>
      <c r="J306" s="62" t="s">
        <v>85</v>
      </c>
      <c r="K306" s="62" t="s">
        <v>687</v>
      </c>
      <c r="L306" s="62" t="s">
        <v>688</v>
      </c>
      <c r="M306" s="54">
        <v>44042.0</v>
      </c>
      <c r="N306" s="60" t="s">
        <v>735</v>
      </c>
      <c r="O306" s="80"/>
      <c r="P306" s="78" t="s">
        <v>761</v>
      </c>
      <c r="Q306" s="78" t="s">
        <v>761</v>
      </c>
      <c r="R306" s="81"/>
      <c r="S306" s="81"/>
      <c r="T306" s="81"/>
      <c r="U306" s="81"/>
      <c r="V306" s="81"/>
      <c r="W306" s="81"/>
      <c r="X306" s="81"/>
      <c r="Y306" s="81"/>
      <c r="Z306" s="81"/>
    </row>
    <row r="307" ht="15.75" customHeight="1">
      <c r="A307" s="60" t="s">
        <v>1189</v>
      </c>
      <c r="B307" s="60" t="s">
        <v>52</v>
      </c>
      <c r="C307" s="62" t="s">
        <v>1190</v>
      </c>
      <c r="D307" s="62" t="s">
        <v>185</v>
      </c>
      <c r="E307" s="62" t="s">
        <v>1191</v>
      </c>
      <c r="F307" s="63">
        <v>43967.333333333336</v>
      </c>
      <c r="G307" s="62" t="s">
        <v>723</v>
      </c>
      <c r="H307" s="62" t="s">
        <v>723</v>
      </c>
      <c r="I307" s="62" t="s">
        <v>723</v>
      </c>
      <c r="J307" s="62" t="s">
        <v>85</v>
      </c>
      <c r="K307" s="62" t="s">
        <v>687</v>
      </c>
      <c r="L307" s="62" t="s">
        <v>760</v>
      </c>
      <c r="M307" s="54">
        <v>44042.0</v>
      </c>
      <c r="N307" s="60" t="s">
        <v>735</v>
      </c>
      <c r="O307" s="80"/>
      <c r="P307" s="78" t="s">
        <v>721</v>
      </c>
      <c r="Q307" s="78" t="s">
        <v>721</v>
      </c>
      <c r="R307" s="81"/>
      <c r="S307" s="81"/>
      <c r="T307" s="81"/>
      <c r="U307" s="81"/>
      <c r="V307" s="81"/>
      <c r="W307" s="81"/>
      <c r="X307" s="81"/>
      <c r="Y307" s="81"/>
      <c r="Z307" s="81"/>
    </row>
    <row r="308" ht="15.75" customHeight="1">
      <c r="A308" s="60" t="s">
        <v>1192</v>
      </c>
      <c r="B308" s="60" t="s">
        <v>197</v>
      </c>
      <c r="C308" s="62" t="s">
        <v>1193</v>
      </c>
      <c r="D308" s="62" t="s">
        <v>185</v>
      </c>
      <c r="E308" s="62" t="s">
        <v>685</v>
      </c>
      <c r="F308" s="62" t="s">
        <v>1194</v>
      </c>
      <c r="G308" s="62" t="s">
        <v>723</v>
      </c>
      <c r="H308" s="62" t="s">
        <v>723</v>
      </c>
      <c r="I308" s="62" t="s">
        <v>723</v>
      </c>
      <c r="J308" s="62" t="s">
        <v>85</v>
      </c>
      <c r="K308" s="62" t="s">
        <v>687</v>
      </c>
      <c r="L308" s="62" t="s">
        <v>688</v>
      </c>
      <c r="M308" s="54">
        <v>44042.0</v>
      </c>
      <c r="N308" s="60" t="s">
        <v>741</v>
      </c>
      <c r="O308" s="80"/>
      <c r="P308" s="78" t="s">
        <v>745</v>
      </c>
      <c r="Q308" s="78" t="s">
        <v>745</v>
      </c>
      <c r="R308" s="81"/>
      <c r="S308" s="81"/>
      <c r="T308" s="81"/>
      <c r="U308" s="81"/>
      <c r="V308" s="81"/>
      <c r="W308" s="81"/>
      <c r="X308" s="81"/>
      <c r="Y308" s="81"/>
      <c r="Z308" s="81"/>
    </row>
    <row r="309" ht="15.75" customHeight="1">
      <c r="A309" s="60" t="s">
        <v>1195</v>
      </c>
      <c r="B309" s="60" t="s">
        <v>197</v>
      </c>
      <c r="C309" s="62" t="s">
        <v>1196</v>
      </c>
      <c r="D309" s="62" t="s">
        <v>83</v>
      </c>
      <c r="E309" s="62" t="s">
        <v>1115</v>
      </c>
      <c r="F309" s="62">
        <v>35.0</v>
      </c>
      <c r="G309" s="62" t="s">
        <v>723</v>
      </c>
      <c r="H309" s="62" t="s">
        <v>723</v>
      </c>
      <c r="I309" s="62" t="s">
        <v>723</v>
      </c>
      <c r="J309" s="62" t="s">
        <v>85</v>
      </c>
      <c r="K309" s="62" t="s">
        <v>687</v>
      </c>
      <c r="L309" s="62" t="s">
        <v>688</v>
      </c>
      <c r="M309" s="54">
        <v>44042.0</v>
      </c>
      <c r="N309" s="60" t="s">
        <v>741</v>
      </c>
      <c r="O309" s="80"/>
      <c r="P309" s="78" t="s">
        <v>745</v>
      </c>
      <c r="Q309" s="78" t="s">
        <v>745</v>
      </c>
      <c r="R309" s="81"/>
      <c r="S309" s="81"/>
      <c r="T309" s="81"/>
      <c r="U309" s="81"/>
      <c r="V309" s="81"/>
      <c r="W309" s="81"/>
      <c r="X309" s="81"/>
      <c r="Y309" s="81"/>
      <c r="Z309" s="81"/>
    </row>
    <row r="310" ht="15.75" customHeight="1">
      <c r="A310" s="60" t="s">
        <v>1197</v>
      </c>
      <c r="B310" s="60" t="s">
        <v>52</v>
      </c>
      <c r="C310" s="62" t="s">
        <v>1198</v>
      </c>
      <c r="D310" s="62" t="s">
        <v>185</v>
      </c>
      <c r="E310" s="62" t="s">
        <v>1102</v>
      </c>
      <c r="F310" s="62">
        <v>23.56</v>
      </c>
      <c r="G310" s="62" t="s">
        <v>394</v>
      </c>
      <c r="H310" s="62" t="s">
        <v>394</v>
      </c>
      <c r="I310" s="62" t="s">
        <v>394</v>
      </c>
      <c r="J310" s="62" t="s">
        <v>85</v>
      </c>
      <c r="K310" s="62" t="s">
        <v>687</v>
      </c>
      <c r="L310" s="62" t="s">
        <v>688</v>
      </c>
      <c r="M310" s="54">
        <v>44042.0</v>
      </c>
      <c r="N310" s="60" t="s">
        <v>735</v>
      </c>
      <c r="O310" s="64" t="s">
        <v>736</v>
      </c>
      <c r="P310" s="78" t="s">
        <v>761</v>
      </c>
      <c r="Q310" s="78" t="s">
        <v>761</v>
      </c>
      <c r="R310" s="81"/>
      <c r="S310" s="81"/>
      <c r="T310" s="81"/>
      <c r="U310" s="81"/>
      <c r="V310" s="81"/>
      <c r="W310" s="81"/>
      <c r="X310" s="81"/>
      <c r="Y310" s="81"/>
      <c r="Z310" s="81"/>
    </row>
    <row r="311" ht="15.75" customHeight="1">
      <c r="A311" s="60" t="s">
        <v>1199</v>
      </c>
      <c r="B311" s="60" t="s">
        <v>52</v>
      </c>
      <c r="C311" s="62" t="s">
        <v>1200</v>
      </c>
      <c r="D311" s="62" t="s">
        <v>185</v>
      </c>
      <c r="E311" s="62" t="s">
        <v>1102</v>
      </c>
      <c r="F311" s="62">
        <v>23.56</v>
      </c>
      <c r="G311" s="62" t="s">
        <v>394</v>
      </c>
      <c r="H311" s="62" t="s">
        <v>394</v>
      </c>
      <c r="I311" s="62" t="s">
        <v>394</v>
      </c>
      <c r="J311" s="62" t="s">
        <v>85</v>
      </c>
      <c r="K311" s="62" t="s">
        <v>687</v>
      </c>
      <c r="L311" s="62" t="s">
        <v>688</v>
      </c>
      <c r="M311" s="54">
        <v>44042.0</v>
      </c>
      <c r="N311" s="60" t="s">
        <v>735</v>
      </c>
      <c r="O311" s="64" t="s">
        <v>736</v>
      </c>
      <c r="P311" s="78" t="s">
        <v>761</v>
      </c>
      <c r="Q311" s="78" t="s">
        <v>761</v>
      </c>
      <c r="R311" s="81"/>
      <c r="S311" s="81"/>
      <c r="T311" s="81"/>
      <c r="U311" s="81"/>
      <c r="V311" s="81"/>
      <c r="W311" s="81"/>
      <c r="X311" s="81"/>
      <c r="Y311" s="81"/>
      <c r="Z311" s="81"/>
    </row>
    <row r="312" ht="15.75" customHeight="1">
      <c r="A312" s="60" t="s">
        <v>1201</v>
      </c>
      <c r="B312" s="60" t="s">
        <v>52</v>
      </c>
      <c r="C312" s="62" t="s">
        <v>1202</v>
      </c>
      <c r="D312" s="62" t="s">
        <v>185</v>
      </c>
      <c r="E312" s="62" t="s">
        <v>1102</v>
      </c>
      <c r="F312" s="62">
        <v>23.56</v>
      </c>
      <c r="G312" s="62" t="s">
        <v>394</v>
      </c>
      <c r="H312" s="62" t="s">
        <v>394</v>
      </c>
      <c r="I312" s="62" t="s">
        <v>394</v>
      </c>
      <c r="J312" s="62" t="s">
        <v>85</v>
      </c>
      <c r="K312" s="62" t="s">
        <v>687</v>
      </c>
      <c r="L312" s="62" t="s">
        <v>688</v>
      </c>
      <c r="M312" s="54">
        <v>44042.0</v>
      </c>
      <c r="N312" s="60" t="s">
        <v>735</v>
      </c>
      <c r="O312" s="64" t="s">
        <v>736</v>
      </c>
      <c r="P312" s="78" t="s">
        <v>761</v>
      </c>
      <c r="Q312" s="78" t="s">
        <v>761</v>
      </c>
      <c r="R312" s="81"/>
      <c r="S312" s="81"/>
      <c r="T312" s="81"/>
      <c r="U312" s="81"/>
      <c r="V312" s="81"/>
      <c r="W312" s="81"/>
      <c r="X312" s="81"/>
      <c r="Y312" s="81"/>
      <c r="Z312" s="81"/>
    </row>
    <row r="313" ht="15.75" customHeight="1">
      <c r="A313" s="60" t="s">
        <v>1203</v>
      </c>
      <c r="B313" s="60" t="s">
        <v>52</v>
      </c>
      <c r="C313" s="62" t="s">
        <v>1204</v>
      </c>
      <c r="D313" s="62" t="s">
        <v>185</v>
      </c>
      <c r="E313" s="62" t="s">
        <v>720</v>
      </c>
      <c r="F313" s="62" t="b">
        <v>1</v>
      </c>
      <c r="G313" s="62" t="s">
        <v>394</v>
      </c>
      <c r="H313" s="62" t="s">
        <v>394</v>
      </c>
      <c r="I313" s="62" t="s">
        <v>394</v>
      </c>
      <c r="J313" s="62" t="s">
        <v>85</v>
      </c>
      <c r="K313" s="62" t="s">
        <v>687</v>
      </c>
      <c r="L313" s="62" t="s">
        <v>688</v>
      </c>
      <c r="M313" s="54">
        <v>44042.0</v>
      </c>
      <c r="N313" s="60" t="s">
        <v>735</v>
      </c>
      <c r="O313" s="80"/>
      <c r="P313" s="78" t="s">
        <v>761</v>
      </c>
      <c r="Q313" s="78" t="s">
        <v>761</v>
      </c>
      <c r="R313" s="81"/>
      <c r="S313" s="81"/>
      <c r="T313" s="81"/>
      <c r="U313" s="81"/>
      <c r="V313" s="81"/>
      <c r="W313" s="81"/>
      <c r="X313" s="81"/>
      <c r="Y313" s="81"/>
      <c r="Z313" s="81"/>
    </row>
    <row r="314" ht="15.75" customHeight="1">
      <c r="A314" s="60" t="s">
        <v>1205</v>
      </c>
      <c r="B314" s="60" t="s">
        <v>52</v>
      </c>
      <c r="C314" s="62" t="s">
        <v>1206</v>
      </c>
      <c r="D314" s="62" t="s">
        <v>185</v>
      </c>
      <c r="E314" s="62" t="s">
        <v>720</v>
      </c>
      <c r="F314" s="62" t="b">
        <v>1</v>
      </c>
      <c r="G314" s="62" t="s">
        <v>394</v>
      </c>
      <c r="H314" s="62" t="s">
        <v>394</v>
      </c>
      <c r="I314" s="62" t="s">
        <v>394</v>
      </c>
      <c r="J314" s="62" t="s">
        <v>85</v>
      </c>
      <c r="K314" s="62" t="s">
        <v>687</v>
      </c>
      <c r="L314" s="62" t="s">
        <v>688</v>
      </c>
      <c r="M314" s="54">
        <v>44042.0</v>
      </c>
      <c r="N314" s="60" t="s">
        <v>735</v>
      </c>
      <c r="O314" s="80"/>
      <c r="P314" s="78" t="s">
        <v>761</v>
      </c>
      <c r="Q314" s="78" t="s">
        <v>761</v>
      </c>
      <c r="R314" s="81"/>
      <c r="S314" s="81"/>
      <c r="T314" s="81"/>
      <c r="U314" s="81"/>
      <c r="V314" s="81"/>
      <c r="W314" s="81"/>
      <c r="X314" s="81"/>
      <c r="Y314" s="81"/>
      <c r="Z314" s="81"/>
    </row>
    <row r="315" ht="15.75" customHeight="1">
      <c r="A315" s="60" t="s">
        <v>1207</v>
      </c>
      <c r="B315" s="60" t="s">
        <v>52</v>
      </c>
      <c r="C315" s="62" t="s">
        <v>1208</v>
      </c>
      <c r="D315" s="62" t="s">
        <v>185</v>
      </c>
      <c r="E315" s="62" t="s">
        <v>720</v>
      </c>
      <c r="F315" s="62" t="b">
        <v>1</v>
      </c>
      <c r="G315" s="62" t="s">
        <v>394</v>
      </c>
      <c r="H315" s="62" t="s">
        <v>394</v>
      </c>
      <c r="I315" s="62" t="s">
        <v>394</v>
      </c>
      <c r="J315" s="62" t="s">
        <v>85</v>
      </c>
      <c r="K315" s="62" t="s">
        <v>687</v>
      </c>
      <c r="L315" s="62" t="s">
        <v>688</v>
      </c>
      <c r="M315" s="54">
        <v>44042.0</v>
      </c>
      <c r="N315" s="60" t="s">
        <v>735</v>
      </c>
      <c r="O315" s="80"/>
      <c r="P315" s="78" t="s">
        <v>761</v>
      </c>
      <c r="Q315" s="78" t="s">
        <v>761</v>
      </c>
      <c r="R315" s="81"/>
      <c r="S315" s="81"/>
      <c r="T315" s="81"/>
      <c r="U315" s="81"/>
      <c r="V315" s="81"/>
      <c r="W315" s="81"/>
      <c r="X315" s="81"/>
      <c r="Y315" s="81"/>
      <c r="Z315" s="81"/>
    </row>
    <row r="316" ht="15.75" customHeight="1">
      <c r="A316" s="60" t="s">
        <v>1209</v>
      </c>
      <c r="B316" s="60" t="s">
        <v>52</v>
      </c>
      <c r="C316" s="62" t="s">
        <v>1210</v>
      </c>
      <c r="D316" s="62" t="s">
        <v>185</v>
      </c>
      <c r="E316" s="62" t="s">
        <v>1102</v>
      </c>
      <c r="F316" s="62">
        <v>23.56</v>
      </c>
      <c r="G316" s="62" t="s">
        <v>394</v>
      </c>
      <c r="H316" s="62" t="s">
        <v>394</v>
      </c>
      <c r="I316" s="62" t="s">
        <v>394</v>
      </c>
      <c r="J316" s="62" t="s">
        <v>85</v>
      </c>
      <c r="K316" s="62" t="s">
        <v>687</v>
      </c>
      <c r="L316" s="62" t="s">
        <v>688</v>
      </c>
      <c r="M316" s="54">
        <v>44042.0</v>
      </c>
      <c r="N316" s="60" t="s">
        <v>735</v>
      </c>
      <c r="O316" s="64" t="s">
        <v>736</v>
      </c>
      <c r="P316" s="78" t="s">
        <v>761</v>
      </c>
      <c r="Q316" s="78" t="s">
        <v>761</v>
      </c>
      <c r="R316" s="81"/>
      <c r="S316" s="81"/>
      <c r="T316" s="81"/>
      <c r="U316" s="81"/>
      <c r="V316" s="81"/>
      <c r="W316" s="81"/>
      <c r="X316" s="81"/>
      <c r="Y316" s="81"/>
      <c r="Z316" s="81"/>
    </row>
    <row r="317" ht="15.75" customHeight="1">
      <c r="A317" s="60" t="s">
        <v>1211</v>
      </c>
      <c r="B317" s="60" t="s">
        <v>52</v>
      </c>
      <c r="C317" s="62" t="s">
        <v>1212</v>
      </c>
      <c r="D317" s="62" t="s">
        <v>185</v>
      </c>
      <c r="E317" s="62" t="s">
        <v>1102</v>
      </c>
      <c r="F317" s="62">
        <v>23.56</v>
      </c>
      <c r="G317" s="62" t="s">
        <v>394</v>
      </c>
      <c r="H317" s="62" t="s">
        <v>394</v>
      </c>
      <c r="I317" s="62" t="s">
        <v>394</v>
      </c>
      <c r="J317" s="62" t="s">
        <v>85</v>
      </c>
      <c r="K317" s="62" t="s">
        <v>687</v>
      </c>
      <c r="L317" s="62" t="s">
        <v>688</v>
      </c>
      <c r="M317" s="54">
        <v>44042.0</v>
      </c>
      <c r="N317" s="60" t="s">
        <v>735</v>
      </c>
      <c r="O317" s="64" t="s">
        <v>736</v>
      </c>
      <c r="P317" s="78" t="s">
        <v>761</v>
      </c>
      <c r="Q317" s="78" t="s">
        <v>761</v>
      </c>
      <c r="R317" s="81"/>
      <c r="S317" s="81"/>
      <c r="T317" s="81"/>
      <c r="U317" s="81"/>
      <c r="V317" s="81"/>
      <c r="W317" s="81"/>
      <c r="X317" s="81"/>
      <c r="Y317" s="81"/>
      <c r="Z317" s="81"/>
    </row>
    <row r="318" ht="15.75" customHeight="1">
      <c r="A318" s="60" t="s">
        <v>1213</v>
      </c>
      <c r="B318" s="60" t="s">
        <v>52</v>
      </c>
      <c r="C318" s="62" t="s">
        <v>1214</v>
      </c>
      <c r="D318" s="62" t="s">
        <v>185</v>
      </c>
      <c r="E318" s="62" t="s">
        <v>1102</v>
      </c>
      <c r="F318" s="62">
        <v>23.56</v>
      </c>
      <c r="G318" s="62" t="s">
        <v>394</v>
      </c>
      <c r="H318" s="62" t="s">
        <v>394</v>
      </c>
      <c r="I318" s="62" t="s">
        <v>394</v>
      </c>
      <c r="J318" s="62" t="s">
        <v>85</v>
      </c>
      <c r="K318" s="62" t="s">
        <v>687</v>
      </c>
      <c r="L318" s="62" t="s">
        <v>688</v>
      </c>
      <c r="M318" s="54">
        <v>44042.0</v>
      </c>
      <c r="N318" s="60" t="s">
        <v>735</v>
      </c>
      <c r="O318" s="64" t="s">
        <v>736</v>
      </c>
      <c r="P318" s="78" t="s">
        <v>761</v>
      </c>
      <c r="Q318" s="78" t="s">
        <v>761</v>
      </c>
      <c r="R318" s="81"/>
      <c r="S318" s="81"/>
      <c r="T318" s="81"/>
      <c r="U318" s="81"/>
      <c r="V318" s="81"/>
      <c r="W318" s="81"/>
      <c r="X318" s="81"/>
      <c r="Y318" s="81"/>
      <c r="Z318" s="81"/>
    </row>
    <row r="319" ht="15.75" customHeight="1">
      <c r="A319" s="60" t="s">
        <v>1215</v>
      </c>
      <c r="B319" s="60" t="s">
        <v>52</v>
      </c>
      <c r="C319" s="62" t="s">
        <v>1216</v>
      </c>
      <c r="D319" s="62" t="s">
        <v>185</v>
      </c>
      <c r="E319" s="62" t="s">
        <v>1115</v>
      </c>
      <c r="F319" s="62">
        <v>35.0</v>
      </c>
      <c r="G319" s="62" t="s">
        <v>394</v>
      </c>
      <c r="H319" s="62" t="s">
        <v>394</v>
      </c>
      <c r="I319" s="62" t="s">
        <v>394</v>
      </c>
      <c r="J319" s="62" t="s">
        <v>85</v>
      </c>
      <c r="K319" s="62" t="s">
        <v>687</v>
      </c>
      <c r="L319" s="62" t="s">
        <v>688</v>
      </c>
      <c r="M319" s="54">
        <v>44042.0</v>
      </c>
      <c r="N319" s="60" t="s">
        <v>735</v>
      </c>
      <c r="O319" s="64" t="s">
        <v>736</v>
      </c>
      <c r="P319" s="78" t="s">
        <v>761</v>
      </c>
      <c r="Q319" s="78" t="s">
        <v>761</v>
      </c>
      <c r="R319" s="81"/>
      <c r="S319" s="81"/>
      <c r="T319" s="81"/>
      <c r="U319" s="81"/>
      <c r="V319" s="81"/>
      <c r="W319" s="81"/>
      <c r="X319" s="81"/>
      <c r="Y319" s="81"/>
      <c r="Z319" s="81"/>
    </row>
    <row r="320" ht="15.75" customHeight="1">
      <c r="A320" s="60" t="s">
        <v>1217</v>
      </c>
      <c r="B320" s="60" t="s">
        <v>52</v>
      </c>
      <c r="C320" s="62" t="s">
        <v>1218</v>
      </c>
      <c r="D320" s="62" t="s">
        <v>185</v>
      </c>
      <c r="E320" s="62" t="s">
        <v>1115</v>
      </c>
      <c r="F320" s="62">
        <v>35.0</v>
      </c>
      <c r="G320" s="62" t="s">
        <v>394</v>
      </c>
      <c r="H320" s="62" t="s">
        <v>394</v>
      </c>
      <c r="I320" s="62" t="s">
        <v>394</v>
      </c>
      <c r="J320" s="62" t="s">
        <v>85</v>
      </c>
      <c r="K320" s="62" t="s">
        <v>687</v>
      </c>
      <c r="L320" s="62" t="s">
        <v>688</v>
      </c>
      <c r="M320" s="54">
        <v>44042.0</v>
      </c>
      <c r="N320" s="60" t="s">
        <v>735</v>
      </c>
      <c r="O320" s="64" t="s">
        <v>736</v>
      </c>
      <c r="P320" s="78" t="s">
        <v>761</v>
      </c>
      <c r="Q320" s="78" t="s">
        <v>761</v>
      </c>
      <c r="R320" s="81"/>
      <c r="S320" s="81"/>
      <c r="T320" s="81"/>
      <c r="U320" s="81"/>
      <c r="V320" s="81"/>
      <c r="W320" s="81"/>
      <c r="X320" s="81"/>
      <c r="Y320" s="81"/>
      <c r="Z320" s="81"/>
    </row>
    <row r="321" ht="15.75" customHeight="1">
      <c r="A321" s="60" t="s">
        <v>1219</v>
      </c>
      <c r="B321" s="60" t="s">
        <v>52</v>
      </c>
      <c r="C321" s="62" t="s">
        <v>1220</v>
      </c>
      <c r="D321" s="62" t="s">
        <v>185</v>
      </c>
      <c r="E321" s="62" t="s">
        <v>1115</v>
      </c>
      <c r="F321" s="62">
        <v>35.0</v>
      </c>
      <c r="G321" s="62" t="s">
        <v>394</v>
      </c>
      <c r="H321" s="62" t="s">
        <v>394</v>
      </c>
      <c r="I321" s="62" t="s">
        <v>394</v>
      </c>
      <c r="J321" s="62" t="s">
        <v>85</v>
      </c>
      <c r="K321" s="62" t="s">
        <v>687</v>
      </c>
      <c r="L321" s="62" t="s">
        <v>688</v>
      </c>
      <c r="M321" s="54">
        <v>44042.0</v>
      </c>
      <c r="N321" s="60" t="s">
        <v>735</v>
      </c>
      <c r="O321" s="64" t="s">
        <v>736</v>
      </c>
      <c r="P321" s="78" t="s">
        <v>761</v>
      </c>
      <c r="Q321" s="78" t="s">
        <v>761</v>
      </c>
      <c r="R321" s="81"/>
      <c r="S321" s="81"/>
      <c r="T321" s="81"/>
      <c r="U321" s="81"/>
      <c r="V321" s="81"/>
      <c r="W321" s="81"/>
      <c r="X321" s="81"/>
      <c r="Y321" s="81"/>
      <c r="Z321" s="81"/>
    </row>
    <row r="322" ht="15.75" customHeight="1">
      <c r="A322" s="60" t="s">
        <v>1221</v>
      </c>
      <c r="B322" s="60" t="s">
        <v>52</v>
      </c>
      <c r="C322" s="62" t="s">
        <v>1222</v>
      </c>
      <c r="D322" s="62" t="s">
        <v>185</v>
      </c>
      <c r="E322" s="62" t="s">
        <v>1102</v>
      </c>
      <c r="F322" s="62">
        <v>23.56</v>
      </c>
      <c r="G322" s="62" t="s">
        <v>394</v>
      </c>
      <c r="H322" s="62" t="s">
        <v>394</v>
      </c>
      <c r="I322" s="62" t="s">
        <v>394</v>
      </c>
      <c r="J322" s="62" t="s">
        <v>85</v>
      </c>
      <c r="K322" s="62" t="s">
        <v>687</v>
      </c>
      <c r="L322" s="62" t="s">
        <v>688</v>
      </c>
      <c r="M322" s="54">
        <v>44042.0</v>
      </c>
      <c r="N322" s="60" t="s">
        <v>735</v>
      </c>
      <c r="O322" s="80"/>
      <c r="P322" s="78" t="s">
        <v>761</v>
      </c>
      <c r="Q322" s="78" t="s">
        <v>761</v>
      </c>
      <c r="R322" s="81"/>
      <c r="S322" s="81"/>
      <c r="T322" s="81"/>
      <c r="U322" s="81"/>
      <c r="V322" s="81"/>
      <c r="W322" s="81"/>
      <c r="X322" s="81"/>
      <c r="Y322" s="81"/>
      <c r="Z322" s="81"/>
    </row>
    <row r="323" ht="15.75" customHeight="1">
      <c r="A323" s="60" t="s">
        <v>1223</v>
      </c>
      <c r="B323" s="60" t="s">
        <v>52</v>
      </c>
      <c r="C323" s="62" t="s">
        <v>1224</v>
      </c>
      <c r="D323" s="62" t="s">
        <v>185</v>
      </c>
      <c r="E323" s="62" t="s">
        <v>1102</v>
      </c>
      <c r="F323" s="62">
        <v>23.56</v>
      </c>
      <c r="G323" s="62" t="s">
        <v>394</v>
      </c>
      <c r="H323" s="62" t="s">
        <v>394</v>
      </c>
      <c r="I323" s="62" t="s">
        <v>394</v>
      </c>
      <c r="J323" s="62" t="s">
        <v>85</v>
      </c>
      <c r="K323" s="62" t="s">
        <v>687</v>
      </c>
      <c r="L323" s="62" t="s">
        <v>688</v>
      </c>
      <c r="M323" s="54">
        <v>44042.0</v>
      </c>
      <c r="N323" s="60" t="s">
        <v>735</v>
      </c>
      <c r="O323" s="80"/>
      <c r="P323" s="78" t="s">
        <v>761</v>
      </c>
      <c r="Q323" s="78" t="s">
        <v>761</v>
      </c>
      <c r="R323" s="81"/>
      <c r="S323" s="81"/>
      <c r="T323" s="81"/>
      <c r="U323" s="81"/>
      <c r="V323" s="81"/>
      <c r="W323" s="81"/>
      <c r="X323" s="81"/>
      <c r="Y323" s="81"/>
      <c r="Z323" s="81"/>
    </row>
    <row r="324" ht="15.75" customHeight="1">
      <c r="A324" s="60" t="s">
        <v>1225</v>
      </c>
      <c r="B324" s="60" t="s">
        <v>52</v>
      </c>
      <c r="C324" s="62" t="s">
        <v>1226</v>
      </c>
      <c r="D324" s="62" t="s">
        <v>185</v>
      </c>
      <c r="E324" s="62" t="s">
        <v>1115</v>
      </c>
      <c r="F324" s="62">
        <v>35.0</v>
      </c>
      <c r="G324" s="62" t="s">
        <v>394</v>
      </c>
      <c r="H324" s="62" t="s">
        <v>394</v>
      </c>
      <c r="I324" s="62" t="s">
        <v>394</v>
      </c>
      <c r="J324" s="62" t="s">
        <v>85</v>
      </c>
      <c r="K324" s="62" t="s">
        <v>687</v>
      </c>
      <c r="L324" s="62" t="s">
        <v>688</v>
      </c>
      <c r="M324" s="54">
        <v>44042.0</v>
      </c>
      <c r="N324" s="60" t="s">
        <v>735</v>
      </c>
      <c r="O324" s="80"/>
      <c r="P324" s="78" t="s">
        <v>721</v>
      </c>
      <c r="Q324" s="78" t="s">
        <v>721</v>
      </c>
      <c r="R324" s="81"/>
      <c r="S324" s="81"/>
      <c r="T324" s="81"/>
      <c r="U324" s="81"/>
      <c r="V324" s="81"/>
      <c r="W324" s="81"/>
      <c r="X324" s="81"/>
      <c r="Y324" s="81"/>
      <c r="Z324" s="81"/>
    </row>
    <row r="325" ht="15.75" customHeight="1">
      <c r="A325" s="60" t="s">
        <v>1227</v>
      </c>
      <c r="B325" s="60" t="s">
        <v>52</v>
      </c>
      <c r="C325" s="62" t="s">
        <v>1228</v>
      </c>
      <c r="D325" s="62" t="s">
        <v>185</v>
      </c>
      <c r="E325" s="62" t="s">
        <v>1115</v>
      </c>
      <c r="F325" s="62">
        <v>35.0</v>
      </c>
      <c r="G325" s="62" t="s">
        <v>394</v>
      </c>
      <c r="H325" s="62" t="s">
        <v>394</v>
      </c>
      <c r="I325" s="62" t="s">
        <v>394</v>
      </c>
      <c r="J325" s="62" t="s">
        <v>85</v>
      </c>
      <c r="K325" s="62" t="s">
        <v>687</v>
      </c>
      <c r="L325" s="62" t="s">
        <v>688</v>
      </c>
      <c r="M325" s="54">
        <v>44042.0</v>
      </c>
      <c r="N325" s="60" t="s">
        <v>735</v>
      </c>
      <c r="O325" s="80"/>
      <c r="P325" s="78" t="s">
        <v>721</v>
      </c>
      <c r="Q325" s="78" t="s">
        <v>721</v>
      </c>
      <c r="R325" s="81"/>
      <c r="S325" s="81"/>
      <c r="T325" s="81"/>
      <c r="U325" s="81"/>
      <c r="V325" s="81"/>
      <c r="W325" s="81"/>
      <c r="X325" s="81"/>
      <c r="Y325" s="81"/>
      <c r="Z325" s="81"/>
    </row>
    <row r="326" ht="15.75" customHeight="1">
      <c r="A326" s="60" t="s">
        <v>1229</v>
      </c>
      <c r="B326" s="60" t="s">
        <v>52</v>
      </c>
      <c r="C326" s="62" t="s">
        <v>1230</v>
      </c>
      <c r="D326" s="62" t="s">
        <v>185</v>
      </c>
      <c r="E326" s="62" t="s">
        <v>1115</v>
      </c>
      <c r="F326" s="62">
        <v>35.0</v>
      </c>
      <c r="G326" s="62" t="s">
        <v>394</v>
      </c>
      <c r="H326" s="62" t="s">
        <v>394</v>
      </c>
      <c r="I326" s="62" t="s">
        <v>394</v>
      </c>
      <c r="J326" s="62" t="s">
        <v>85</v>
      </c>
      <c r="K326" s="62" t="s">
        <v>687</v>
      </c>
      <c r="L326" s="62" t="s">
        <v>688</v>
      </c>
      <c r="M326" s="54">
        <v>44042.0</v>
      </c>
      <c r="N326" s="60" t="s">
        <v>735</v>
      </c>
      <c r="O326" s="80"/>
      <c r="P326" s="78" t="s">
        <v>721</v>
      </c>
      <c r="Q326" s="78" t="s">
        <v>721</v>
      </c>
      <c r="R326" s="81"/>
      <c r="S326" s="81"/>
      <c r="T326" s="81"/>
      <c r="U326" s="81"/>
      <c r="V326" s="81"/>
      <c r="W326" s="81"/>
      <c r="X326" s="81"/>
      <c r="Y326" s="81"/>
      <c r="Z326" s="81"/>
    </row>
    <row r="327" ht="15.75" customHeight="1">
      <c r="A327" s="60" t="s">
        <v>1231</v>
      </c>
      <c r="B327" s="60" t="s">
        <v>52</v>
      </c>
      <c r="C327" s="62" t="s">
        <v>1232</v>
      </c>
      <c r="D327" s="62" t="s">
        <v>185</v>
      </c>
      <c r="E327" s="62" t="s">
        <v>1102</v>
      </c>
      <c r="F327" s="62">
        <v>35.0</v>
      </c>
      <c r="G327" s="62" t="s">
        <v>394</v>
      </c>
      <c r="H327" s="62" t="s">
        <v>394</v>
      </c>
      <c r="I327" s="62" t="s">
        <v>394</v>
      </c>
      <c r="J327" s="62" t="s">
        <v>85</v>
      </c>
      <c r="K327" s="62" t="s">
        <v>687</v>
      </c>
      <c r="L327" s="62" t="s">
        <v>688</v>
      </c>
      <c r="M327" s="54">
        <v>44042.0</v>
      </c>
      <c r="N327" s="60" t="s">
        <v>735</v>
      </c>
      <c r="O327" s="80"/>
      <c r="P327" s="78" t="s">
        <v>721</v>
      </c>
      <c r="Q327" s="78" t="s">
        <v>721</v>
      </c>
      <c r="R327" s="81"/>
      <c r="S327" s="81"/>
      <c r="T327" s="81"/>
      <c r="U327" s="81"/>
      <c r="V327" s="81"/>
      <c r="W327" s="81"/>
      <c r="X327" s="81"/>
      <c r="Y327" s="81"/>
      <c r="Z327" s="81"/>
    </row>
    <row r="328" ht="15.75" customHeight="1">
      <c r="A328" s="60" t="s">
        <v>1233</v>
      </c>
      <c r="B328" s="60" t="s">
        <v>52</v>
      </c>
      <c r="C328" s="62" t="s">
        <v>1234</v>
      </c>
      <c r="D328" s="62" t="s">
        <v>185</v>
      </c>
      <c r="E328" s="62" t="s">
        <v>1102</v>
      </c>
      <c r="F328" s="62">
        <v>35.0</v>
      </c>
      <c r="G328" s="62" t="s">
        <v>394</v>
      </c>
      <c r="H328" s="62" t="s">
        <v>394</v>
      </c>
      <c r="I328" s="62" t="s">
        <v>394</v>
      </c>
      <c r="J328" s="62" t="s">
        <v>85</v>
      </c>
      <c r="K328" s="62" t="s">
        <v>687</v>
      </c>
      <c r="L328" s="62" t="s">
        <v>688</v>
      </c>
      <c r="M328" s="54">
        <v>44042.0</v>
      </c>
      <c r="N328" s="60" t="s">
        <v>735</v>
      </c>
      <c r="O328" s="80"/>
      <c r="P328" s="78" t="s">
        <v>721</v>
      </c>
      <c r="Q328" s="78" t="s">
        <v>721</v>
      </c>
      <c r="R328" s="81"/>
      <c r="S328" s="81"/>
      <c r="T328" s="81"/>
      <c r="U328" s="81"/>
      <c r="V328" s="81"/>
      <c r="W328" s="81"/>
      <c r="X328" s="81"/>
      <c r="Y328" s="81"/>
      <c r="Z328" s="81"/>
    </row>
    <row r="329" ht="15.75" customHeight="1">
      <c r="A329" s="60" t="s">
        <v>1235</v>
      </c>
      <c r="B329" s="60" t="s">
        <v>52</v>
      </c>
      <c r="C329" s="62" t="s">
        <v>1236</v>
      </c>
      <c r="D329" s="62" t="s">
        <v>185</v>
      </c>
      <c r="E329" s="62" t="s">
        <v>1102</v>
      </c>
      <c r="F329" s="62">
        <v>35.0</v>
      </c>
      <c r="G329" s="62" t="s">
        <v>394</v>
      </c>
      <c r="H329" s="62" t="s">
        <v>394</v>
      </c>
      <c r="I329" s="62" t="s">
        <v>394</v>
      </c>
      <c r="J329" s="62" t="s">
        <v>85</v>
      </c>
      <c r="K329" s="62" t="s">
        <v>687</v>
      </c>
      <c r="L329" s="62" t="s">
        <v>688</v>
      </c>
      <c r="M329" s="54">
        <v>44042.0</v>
      </c>
      <c r="N329" s="60" t="s">
        <v>735</v>
      </c>
      <c r="O329" s="80"/>
      <c r="P329" s="78" t="s">
        <v>721</v>
      </c>
      <c r="Q329" s="78" t="s">
        <v>721</v>
      </c>
      <c r="R329" s="81"/>
      <c r="S329" s="81"/>
      <c r="T329" s="81"/>
      <c r="U329" s="81"/>
      <c r="V329" s="81"/>
      <c r="W329" s="81"/>
      <c r="X329" s="81"/>
      <c r="Y329" s="81"/>
      <c r="Z329" s="81"/>
    </row>
    <row r="330" ht="15.75" customHeight="1">
      <c r="A330" s="60" t="s">
        <v>1237</v>
      </c>
      <c r="B330" s="60" t="s">
        <v>52</v>
      </c>
      <c r="C330" s="62" t="s">
        <v>1238</v>
      </c>
      <c r="D330" s="62" t="s">
        <v>185</v>
      </c>
      <c r="E330" s="62" t="s">
        <v>1102</v>
      </c>
      <c r="F330" s="62">
        <v>23.56</v>
      </c>
      <c r="G330" s="62" t="s">
        <v>394</v>
      </c>
      <c r="H330" s="62" t="s">
        <v>394</v>
      </c>
      <c r="I330" s="62" t="s">
        <v>394</v>
      </c>
      <c r="J330" s="62" t="s">
        <v>85</v>
      </c>
      <c r="K330" s="62" t="s">
        <v>687</v>
      </c>
      <c r="L330" s="62" t="s">
        <v>688</v>
      </c>
      <c r="M330" s="54">
        <v>44042.0</v>
      </c>
      <c r="N330" s="60" t="s">
        <v>735</v>
      </c>
      <c r="O330" s="80"/>
      <c r="P330" s="78" t="s">
        <v>721</v>
      </c>
      <c r="Q330" s="78" t="s">
        <v>721</v>
      </c>
      <c r="R330" s="81"/>
      <c r="S330" s="81"/>
      <c r="T330" s="81"/>
      <c r="U330" s="81"/>
      <c r="V330" s="81"/>
      <c r="W330" s="81"/>
      <c r="X330" s="81"/>
      <c r="Y330" s="81"/>
      <c r="Z330" s="81"/>
    </row>
    <row r="331" ht="15.75" customHeight="1">
      <c r="A331" s="60" t="s">
        <v>1239</v>
      </c>
      <c r="B331" s="60" t="s">
        <v>52</v>
      </c>
      <c r="C331" s="62" t="s">
        <v>1240</v>
      </c>
      <c r="D331" s="62" t="s">
        <v>185</v>
      </c>
      <c r="E331" s="62" t="s">
        <v>685</v>
      </c>
      <c r="F331" s="62" t="s">
        <v>1241</v>
      </c>
      <c r="G331" s="62" t="s">
        <v>394</v>
      </c>
      <c r="H331" s="62" t="s">
        <v>394</v>
      </c>
      <c r="I331" s="62" t="s">
        <v>394</v>
      </c>
      <c r="J331" s="62" t="s">
        <v>85</v>
      </c>
      <c r="K331" s="62" t="s">
        <v>687</v>
      </c>
      <c r="L331" s="62" t="s">
        <v>688</v>
      </c>
      <c r="M331" s="54">
        <v>44042.0</v>
      </c>
      <c r="N331" s="60" t="s">
        <v>735</v>
      </c>
      <c r="O331" s="80"/>
      <c r="P331" s="78" t="s">
        <v>721</v>
      </c>
      <c r="Q331" s="78" t="s">
        <v>721</v>
      </c>
      <c r="R331" s="81"/>
      <c r="S331" s="81"/>
      <c r="T331" s="81"/>
      <c r="U331" s="81"/>
      <c r="V331" s="81"/>
      <c r="W331" s="81"/>
      <c r="X331" s="81"/>
      <c r="Y331" s="81"/>
      <c r="Z331" s="81"/>
    </row>
    <row r="332" ht="15.75" customHeight="1">
      <c r="A332" s="60" t="s">
        <v>1242</v>
      </c>
      <c r="B332" s="60" t="s">
        <v>197</v>
      </c>
      <c r="C332" s="62" t="s">
        <v>1243</v>
      </c>
      <c r="D332" s="62" t="s">
        <v>185</v>
      </c>
      <c r="E332" s="62" t="s">
        <v>1115</v>
      </c>
      <c r="F332" s="62">
        <v>35.0</v>
      </c>
      <c r="G332" s="62" t="s">
        <v>723</v>
      </c>
      <c r="H332" s="62" t="s">
        <v>723</v>
      </c>
      <c r="I332" s="62" t="s">
        <v>723</v>
      </c>
      <c r="J332" s="62" t="s">
        <v>85</v>
      </c>
      <c r="K332" s="62" t="s">
        <v>687</v>
      </c>
      <c r="L332" s="62" t="s">
        <v>760</v>
      </c>
      <c r="M332" s="54">
        <v>44041.0</v>
      </c>
      <c r="N332" s="60" t="s">
        <v>735</v>
      </c>
      <c r="O332" s="64" t="s">
        <v>736</v>
      </c>
      <c r="P332" s="78" t="s">
        <v>761</v>
      </c>
      <c r="Q332" s="78" t="s">
        <v>761</v>
      </c>
      <c r="R332" s="81"/>
      <c r="S332" s="81"/>
      <c r="T332" s="81"/>
      <c r="U332" s="81"/>
      <c r="V332" s="81"/>
      <c r="W332" s="81"/>
      <c r="X332" s="81"/>
      <c r="Y332" s="81"/>
      <c r="Z332" s="81"/>
    </row>
    <row r="333" ht="15.75" customHeight="1">
      <c r="A333" s="60" t="s">
        <v>1244</v>
      </c>
      <c r="B333" s="60" t="s">
        <v>197</v>
      </c>
      <c r="C333" s="62" t="s">
        <v>1245</v>
      </c>
      <c r="D333" s="62" t="s">
        <v>185</v>
      </c>
      <c r="E333" s="62" t="s">
        <v>1102</v>
      </c>
      <c r="F333" s="62">
        <v>23.56</v>
      </c>
      <c r="G333" s="62" t="s">
        <v>723</v>
      </c>
      <c r="H333" s="62" t="s">
        <v>723</v>
      </c>
      <c r="I333" s="62" t="s">
        <v>723</v>
      </c>
      <c r="J333" s="62" t="s">
        <v>85</v>
      </c>
      <c r="K333" s="62" t="s">
        <v>687</v>
      </c>
      <c r="L333" s="62" t="s">
        <v>760</v>
      </c>
      <c r="M333" s="54">
        <v>44041.0</v>
      </c>
      <c r="N333" s="60" t="s">
        <v>735</v>
      </c>
      <c r="O333" s="64" t="s">
        <v>736</v>
      </c>
      <c r="P333" s="78" t="s">
        <v>761</v>
      </c>
      <c r="Q333" s="78" t="s">
        <v>761</v>
      </c>
      <c r="R333" s="81"/>
      <c r="S333" s="81"/>
      <c r="T333" s="81"/>
      <c r="U333" s="81"/>
      <c r="V333" s="81"/>
      <c r="W333" s="81"/>
      <c r="X333" s="81"/>
      <c r="Y333" s="81"/>
      <c r="Z333" s="81"/>
    </row>
    <row r="334" ht="15.75" customHeight="1">
      <c r="A334" s="60" t="s">
        <v>1246</v>
      </c>
      <c r="B334" s="60" t="s">
        <v>197</v>
      </c>
      <c r="C334" s="62" t="s">
        <v>1247</v>
      </c>
      <c r="D334" s="62" t="s">
        <v>185</v>
      </c>
      <c r="E334" s="62" t="s">
        <v>1102</v>
      </c>
      <c r="F334" s="62">
        <v>23.56</v>
      </c>
      <c r="G334" s="62" t="s">
        <v>723</v>
      </c>
      <c r="H334" s="62" t="s">
        <v>723</v>
      </c>
      <c r="I334" s="62" t="s">
        <v>723</v>
      </c>
      <c r="J334" s="62" t="s">
        <v>85</v>
      </c>
      <c r="K334" s="62" t="s">
        <v>687</v>
      </c>
      <c r="L334" s="62" t="s">
        <v>760</v>
      </c>
      <c r="M334" s="54">
        <v>44041.0</v>
      </c>
      <c r="N334" s="60" t="s">
        <v>735</v>
      </c>
      <c r="O334" s="64" t="s">
        <v>736</v>
      </c>
      <c r="P334" s="78" t="s">
        <v>761</v>
      </c>
      <c r="Q334" s="78" t="s">
        <v>761</v>
      </c>
      <c r="R334" s="81"/>
      <c r="S334" s="81"/>
      <c r="T334" s="81"/>
      <c r="U334" s="81"/>
      <c r="V334" s="81"/>
      <c r="W334" s="81"/>
      <c r="X334" s="81"/>
      <c r="Y334" s="81"/>
      <c r="Z334" s="81"/>
    </row>
    <row r="335" ht="15.75" customHeight="1">
      <c r="A335" s="60" t="s">
        <v>1248</v>
      </c>
      <c r="B335" s="60" t="s">
        <v>197</v>
      </c>
      <c r="C335" s="62" t="s">
        <v>1249</v>
      </c>
      <c r="D335" s="62" t="s">
        <v>185</v>
      </c>
      <c r="E335" s="62" t="s">
        <v>1102</v>
      </c>
      <c r="F335" s="62">
        <v>35.0</v>
      </c>
      <c r="G335" s="62" t="s">
        <v>394</v>
      </c>
      <c r="H335" s="62" t="s">
        <v>394</v>
      </c>
      <c r="I335" s="62" t="s">
        <v>394</v>
      </c>
      <c r="J335" s="62" t="s">
        <v>85</v>
      </c>
      <c r="K335" s="62" t="s">
        <v>687</v>
      </c>
      <c r="L335" s="62" t="s">
        <v>688</v>
      </c>
      <c r="M335" s="54">
        <v>44041.0</v>
      </c>
      <c r="N335" s="60" t="s">
        <v>735</v>
      </c>
      <c r="O335" s="64" t="s">
        <v>736</v>
      </c>
      <c r="P335" s="78" t="s">
        <v>761</v>
      </c>
      <c r="Q335" s="78" t="s">
        <v>761</v>
      </c>
      <c r="R335" s="81"/>
      <c r="S335" s="81"/>
      <c r="T335" s="81"/>
      <c r="U335" s="81"/>
      <c r="V335" s="81"/>
      <c r="W335" s="81"/>
      <c r="X335" s="81"/>
      <c r="Y335" s="81"/>
      <c r="Z335" s="81"/>
    </row>
    <row r="336" ht="15.75" customHeight="1">
      <c r="A336" s="60" t="s">
        <v>1250</v>
      </c>
      <c r="B336" s="60" t="s">
        <v>197</v>
      </c>
      <c r="C336" s="62" t="s">
        <v>1251</v>
      </c>
      <c r="D336" s="62" t="s">
        <v>185</v>
      </c>
      <c r="E336" s="62" t="s">
        <v>1102</v>
      </c>
      <c r="F336" s="62">
        <v>23.56</v>
      </c>
      <c r="G336" s="62" t="s">
        <v>394</v>
      </c>
      <c r="H336" s="62" t="s">
        <v>394</v>
      </c>
      <c r="I336" s="62" t="s">
        <v>394</v>
      </c>
      <c r="J336" s="62" t="s">
        <v>85</v>
      </c>
      <c r="K336" s="62" t="s">
        <v>687</v>
      </c>
      <c r="L336" s="62" t="s">
        <v>688</v>
      </c>
      <c r="M336" s="54">
        <v>44041.0</v>
      </c>
      <c r="N336" s="60" t="s">
        <v>735</v>
      </c>
      <c r="O336" s="64" t="s">
        <v>736</v>
      </c>
      <c r="P336" s="78" t="s">
        <v>761</v>
      </c>
      <c r="Q336" s="78" t="s">
        <v>761</v>
      </c>
      <c r="R336" s="81"/>
      <c r="S336" s="81"/>
      <c r="T336" s="81"/>
      <c r="U336" s="81"/>
      <c r="V336" s="81"/>
      <c r="W336" s="81"/>
      <c r="X336" s="81"/>
      <c r="Y336" s="81"/>
      <c r="Z336" s="81"/>
    </row>
    <row r="337" ht="15.75" customHeight="1">
      <c r="A337" s="60" t="s">
        <v>1252</v>
      </c>
      <c r="B337" s="60" t="s">
        <v>197</v>
      </c>
      <c r="C337" s="62" t="s">
        <v>1253</v>
      </c>
      <c r="D337" s="62" t="s">
        <v>185</v>
      </c>
      <c r="E337" s="62" t="s">
        <v>1102</v>
      </c>
      <c r="F337" s="82">
        <v>100.0</v>
      </c>
      <c r="G337" s="62" t="s">
        <v>394</v>
      </c>
      <c r="H337" s="62" t="s">
        <v>394</v>
      </c>
      <c r="I337" s="62" t="s">
        <v>394</v>
      </c>
      <c r="J337" s="62" t="s">
        <v>85</v>
      </c>
      <c r="K337" s="62" t="s">
        <v>687</v>
      </c>
      <c r="L337" s="62" t="s">
        <v>688</v>
      </c>
      <c r="M337" s="54">
        <v>44041.0</v>
      </c>
      <c r="N337" s="60" t="s">
        <v>735</v>
      </c>
      <c r="O337" s="64" t="s">
        <v>736</v>
      </c>
      <c r="P337" s="78" t="s">
        <v>761</v>
      </c>
      <c r="Q337" s="78" t="s">
        <v>761</v>
      </c>
      <c r="R337" s="81"/>
      <c r="S337" s="81"/>
      <c r="T337" s="81"/>
      <c r="U337" s="81"/>
      <c r="V337" s="81"/>
      <c r="W337" s="81"/>
      <c r="X337" s="81"/>
      <c r="Y337" s="81"/>
      <c r="Z337" s="81"/>
    </row>
    <row r="338" ht="15.75" customHeight="1">
      <c r="A338" s="60" t="s">
        <v>1254</v>
      </c>
      <c r="B338" s="60" t="s">
        <v>197</v>
      </c>
      <c r="C338" s="62" t="s">
        <v>1255</v>
      </c>
      <c r="D338" s="62" t="s">
        <v>185</v>
      </c>
      <c r="E338" s="62" t="s">
        <v>1115</v>
      </c>
      <c r="F338" s="62">
        <v>8.0</v>
      </c>
      <c r="G338" s="62" t="s">
        <v>394</v>
      </c>
      <c r="H338" s="62" t="s">
        <v>394</v>
      </c>
      <c r="I338" s="62" t="s">
        <v>394</v>
      </c>
      <c r="J338" s="62" t="s">
        <v>85</v>
      </c>
      <c r="K338" s="62" t="s">
        <v>687</v>
      </c>
      <c r="L338" s="62" t="s">
        <v>688</v>
      </c>
      <c r="M338" s="54">
        <v>44041.0</v>
      </c>
      <c r="N338" s="60" t="s">
        <v>735</v>
      </c>
      <c r="O338" s="64" t="s">
        <v>736</v>
      </c>
      <c r="P338" s="78" t="s">
        <v>761</v>
      </c>
      <c r="Q338" s="78" t="s">
        <v>761</v>
      </c>
      <c r="R338" s="81"/>
      <c r="S338" s="81"/>
      <c r="T338" s="81"/>
      <c r="U338" s="81"/>
      <c r="V338" s="81"/>
      <c r="W338" s="81"/>
      <c r="X338" s="81"/>
      <c r="Y338" s="81"/>
      <c r="Z338" s="81"/>
    </row>
    <row r="339" ht="15.75" customHeight="1">
      <c r="A339" s="60" t="s">
        <v>1256</v>
      </c>
      <c r="B339" s="60" t="s">
        <v>197</v>
      </c>
      <c r="C339" s="62" t="s">
        <v>1048</v>
      </c>
      <c r="D339" s="62" t="s">
        <v>185</v>
      </c>
      <c r="E339" s="62" t="s">
        <v>1115</v>
      </c>
      <c r="F339" s="62">
        <v>20.0</v>
      </c>
      <c r="G339" s="62" t="s">
        <v>723</v>
      </c>
      <c r="H339" s="62" t="s">
        <v>723</v>
      </c>
      <c r="I339" s="62" t="s">
        <v>723</v>
      </c>
      <c r="J339" s="62" t="s">
        <v>85</v>
      </c>
      <c r="K339" s="62" t="s">
        <v>687</v>
      </c>
      <c r="L339" s="62" t="s">
        <v>688</v>
      </c>
      <c r="M339" s="54">
        <v>44041.0</v>
      </c>
      <c r="N339" s="60" t="s">
        <v>735</v>
      </c>
      <c r="O339" s="64" t="s">
        <v>736</v>
      </c>
      <c r="P339" s="78" t="s">
        <v>761</v>
      </c>
      <c r="Q339" s="78" t="s">
        <v>761</v>
      </c>
      <c r="R339" s="81"/>
      <c r="S339" s="81"/>
      <c r="T339" s="81"/>
      <c r="U339" s="81"/>
      <c r="V339" s="81"/>
      <c r="W339" s="81"/>
      <c r="X339" s="81"/>
      <c r="Y339" s="81"/>
      <c r="Z339" s="81"/>
    </row>
    <row r="340" ht="15.75" customHeight="1">
      <c r="A340" s="60" t="s">
        <v>1257</v>
      </c>
      <c r="B340" s="60" t="s">
        <v>197</v>
      </c>
      <c r="C340" s="62" t="s">
        <v>1258</v>
      </c>
      <c r="D340" s="62" t="s">
        <v>185</v>
      </c>
      <c r="E340" s="62" t="s">
        <v>1115</v>
      </c>
      <c r="F340" s="62">
        <v>4.0</v>
      </c>
      <c r="G340" s="62" t="s">
        <v>394</v>
      </c>
      <c r="H340" s="62" t="s">
        <v>394</v>
      </c>
      <c r="I340" s="62" t="s">
        <v>394</v>
      </c>
      <c r="J340" s="62" t="s">
        <v>85</v>
      </c>
      <c r="K340" s="62" t="s">
        <v>687</v>
      </c>
      <c r="L340" s="62" t="s">
        <v>688</v>
      </c>
      <c r="M340" s="54">
        <v>44042.0</v>
      </c>
      <c r="N340" s="60" t="s">
        <v>735</v>
      </c>
      <c r="O340" s="64" t="s">
        <v>736</v>
      </c>
      <c r="P340" s="78" t="s">
        <v>761</v>
      </c>
      <c r="Q340" s="78" t="s">
        <v>761</v>
      </c>
      <c r="R340" s="81"/>
      <c r="S340" s="81"/>
      <c r="T340" s="81"/>
      <c r="U340" s="81"/>
      <c r="V340" s="81"/>
      <c r="W340" s="81"/>
      <c r="X340" s="81"/>
      <c r="Y340" s="81"/>
      <c r="Z340" s="81"/>
    </row>
    <row r="341" ht="15.75" customHeight="1">
      <c r="A341" s="60" t="s">
        <v>1259</v>
      </c>
      <c r="B341" s="60" t="s">
        <v>197</v>
      </c>
      <c r="C341" s="62" t="s">
        <v>1260</v>
      </c>
      <c r="D341" s="62" t="s">
        <v>185</v>
      </c>
      <c r="E341" s="62" t="s">
        <v>1115</v>
      </c>
      <c r="F341" s="62">
        <v>5.0</v>
      </c>
      <c r="G341" s="62" t="s">
        <v>394</v>
      </c>
      <c r="H341" s="62" t="s">
        <v>394</v>
      </c>
      <c r="I341" s="62" t="s">
        <v>394</v>
      </c>
      <c r="J341" s="62" t="s">
        <v>85</v>
      </c>
      <c r="K341" s="62" t="s">
        <v>687</v>
      </c>
      <c r="L341" s="62" t="s">
        <v>688</v>
      </c>
      <c r="M341" s="54">
        <v>44042.0</v>
      </c>
      <c r="N341" s="60" t="s">
        <v>735</v>
      </c>
      <c r="O341" s="64" t="s">
        <v>736</v>
      </c>
      <c r="P341" s="78" t="s">
        <v>761</v>
      </c>
      <c r="Q341" s="78" t="s">
        <v>761</v>
      </c>
      <c r="R341" s="81"/>
      <c r="S341" s="81"/>
      <c r="T341" s="81"/>
      <c r="U341" s="81"/>
      <c r="V341" s="81"/>
      <c r="W341" s="81"/>
      <c r="X341" s="81"/>
      <c r="Y341" s="81"/>
      <c r="Z341" s="81"/>
    </row>
    <row r="342" ht="15.75" customHeight="1">
      <c r="A342" s="60" t="s">
        <v>1261</v>
      </c>
      <c r="B342" s="60" t="s">
        <v>197</v>
      </c>
      <c r="C342" s="62" t="s">
        <v>1262</v>
      </c>
      <c r="D342" s="62" t="s">
        <v>185</v>
      </c>
      <c r="E342" s="62" t="s">
        <v>1115</v>
      </c>
      <c r="F342" s="62">
        <v>18.0</v>
      </c>
      <c r="G342" s="62" t="s">
        <v>394</v>
      </c>
      <c r="H342" s="62" t="s">
        <v>394</v>
      </c>
      <c r="I342" s="62" t="s">
        <v>394</v>
      </c>
      <c r="J342" s="62" t="s">
        <v>85</v>
      </c>
      <c r="K342" s="62" t="s">
        <v>687</v>
      </c>
      <c r="L342" s="62" t="s">
        <v>688</v>
      </c>
      <c r="M342" s="54">
        <v>44042.0</v>
      </c>
      <c r="N342" s="60" t="s">
        <v>735</v>
      </c>
      <c r="O342" s="64" t="s">
        <v>736</v>
      </c>
      <c r="P342" s="78" t="s">
        <v>761</v>
      </c>
      <c r="Q342" s="78" t="s">
        <v>761</v>
      </c>
      <c r="R342" s="81"/>
      <c r="S342" s="81"/>
      <c r="T342" s="81"/>
      <c r="U342" s="81"/>
      <c r="V342" s="81"/>
      <c r="W342" s="81"/>
      <c r="X342" s="81"/>
      <c r="Y342" s="81"/>
      <c r="Z342" s="81"/>
    </row>
    <row r="343" ht="15.75" customHeight="1">
      <c r="A343" s="60" t="s">
        <v>1263</v>
      </c>
      <c r="B343" s="60" t="s">
        <v>197</v>
      </c>
      <c r="C343" s="62" t="s">
        <v>1264</v>
      </c>
      <c r="D343" s="62" t="s">
        <v>185</v>
      </c>
      <c r="E343" s="62" t="s">
        <v>1102</v>
      </c>
      <c r="F343" s="62">
        <v>35.0</v>
      </c>
      <c r="G343" s="62" t="s">
        <v>394</v>
      </c>
      <c r="H343" s="62" t="s">
        <v>394</v>
      </c>
      <c r="I343" s="62" t="s">
        <v>394</v>
      </c>
      <c r="J343" s="62" t="s">
        <v>85</v>
      </c>
      <c r="K343" s="62" t="s">
        <v>687</v>
      </c>
      <c r="L343" s="62" t="s">
        <v>688</v>
      </c>
      <c r="M343" s="54">
        <v>44042.0</v>
      </c>
      <c r="N343" s="60" t="s">
        <v>735</v>
      </c>
      <c r="O343" s="64" t="s">
        <v>736</v>
      </c>
      <c r="P343" s="78" t="s">
        <v>761</v>
      </c>
      <c r="Q343" s="78" t="s">
        <v>761</v>
      </c>
      <c r="R343" s="81"/>
      <c r="S343" s="81"/>
      <c r="T343" s="81"/>
      <c r="U343" s="81"/>
      <c r="V343" s="81"/>
      <c r="W343" s="81"/>
      <c r="X343" s="81"/>
      <c r="Y343" s="81"/>
      <c r="Z343" s="81"/>
    </row>
    <row r="344" ht="15.75" customHeight="1">
      <c r="A344" s="60" t="s">
        <v>1265</v>
      </c>
      <c r="B344" s="60" t="s">
        <v>197</v>
      </c>
      <c r="C344" s="62" t="s">
        <v>1266</v>
      </c>
      <c r="D344" s="62" t="s">
        <v>185</v>
      </c>
      <c r="E344" s="62" t="s">
        <v>1102</v>
      </c>
      <c r="F344" s="62">
        <v>90.0</v>
      </c>
      <c r="G344" s="62" t="s">
        <v>394</v>
      </c>
      <c r="H344" s="62" t="s">
        <v>394</v>
      </c>
      <c r="I344" s="62" t="s">
        <v>394</v>
      </c>
      <c r="J344" s="62" t="s">
        <v>85</v>
      </c>
      <c r="K344" s="62" t="s">
        <v>687</v>
      </c>
      <c r="L344" s="62" t="s">
        <v>688</v>
      </c>
      <c r="M344" s="54">
        <v>44042.0</v>
      </c>
      <c r="N344" s="60" t="s">
        <v>735</v>
      </c>
      <c r="O344" s="64" t="s">
        <v>736</v>
      </c>
      <c r="P344" s="78" t="s">
        <v>761</v>
      </c>
      <c r="Q344" s="78" t="s">
        <v>761</v>
      </c>
      <c r="R344" s="81"/>
      <c r="S344" s="81"/>
      <c r="T344" s="81"/>
      <c r="U344" s="81"/>
      <c r="V344" s="81"/>
      <c r="W344" s="81"/>
      <c r="X344" s="81"/>
      <c r="Y344" s="81"/>
      <c r="Z344" s="81"/>
    </row>
    <row r="345" ht="15.75" customHeight="1">
      <c r="A345" s="60" t="s">
        <v>1267</v>
      </c>
      <c r="B345" s="60" t="s">
        <v>197</v>
      </c>
      <c r="C345" s="62" t="s">
        <v>1268</v>
      </c>
      <c r="D345" s="62" t="s">
        <v>185</v>
      </c>
      <c r="E345" s="62" t="s">
        <v>1102</v>
      </c>
      <c r="F345" s="62">
        <v>220.0</v>
      </c>
      <c r="G345" s="62" t="s">
        <v>394</v>
      </c>
      <c r="H345" s="62" t="s">
        <v>394</v>
      </c>
      <c r="I345" s="62" t="s">
        <v>394</v>
      </c>
      <c r="J345" s="62" t="s">
        <v>85</v>
      </c>
      <c r="K345" s="62" t="s">
        <v>687</v>
      </c>
      <c r="L345" s="62" t="s">
        <v>688</v>
      </c>
      <c r="M345" s="54">
        <v>44042.0</v>
      </c>
      <c r="N345" s="60" t="s">
        <v>735</v>
      </c>
      <c r="O345" s="64" t="s">
        <v>736</v>
      </c>
      <c r="P345" s="78" t="s">
        <v>761</v>
      </c>
      <c r="Q345" s="78" t="s">
        <v>761</v>
      </c>
      <c r="R345" s="81"/>
      <c r="S345" s="81"/>
      <c r="T345" s="81"/>
      <c r="U345" s="81"/>
      <c r="V345" s="81"/>
      <c r="W345" s="81"/>
      <c r="X345" s="81"/>
      <c r="Y345" s="81"/>
      <c r="Z345" s="81"/>
    </row>
    <row r="346" ht="15.75" customHeight="1">
      <c r="A346" s="60" t="s">
        <v>1269</v>
      </c>
      <c r="B346" s="60" t="s">
        <v>52</v>
      </c>
      <c r="C346" s="62" t="s">
        <v>1270</v>
      </c>
      <c r="D346" s="62" t="s">
        <v>185</v>
      </c>
      <c r="E346" s="62" t="s">
        <v>1115</v>
      </c>
      <c r="F346" s="62">
        <v>3.0</v>
      </c>
      <c r="G346" s="62" t="s">
        <v>394</v>
      </c>
      <c r="H346" s="62" t="s">
        <v>394</v>
      </c>
      <c r="I346" s="62" t="s">
        <v>394</v>
      </c>
      <c r="J346" s="62" t="s">
        <v>85</v>
      </c>
      <c r="K346" s="62" t="s">
        <v>687</v>
      </c>
      <c r="L346" s="62" t="s">
        <v>688</v>
      </c>
      <c r="M346" s="54">
        <v>44042.0</v>
      </c>
      <c r="N346" s="60" t="s">
        <v>735</v>
      </c>
      <c r="O346" s="64" t="s">
        <v>736</v>
      </c>
      <c r="P346" s="78" t="s">
        <v>761</v>
      </c>
      <c r="Q346" s="78" t="s">
        <v>761</v>
      </c>
      <c r="R346" s="81"/>
      <c r="S346" s="81"/>
      <c r="T346" s="81"/>
      <c r="U346" s="81"/>
      <c r="V346" s="81"/>
      <c r="W346" s="81"/>
      <c r="X346" s="81"/>
      <c r="Y346" s="81"/>
      <c r="Z346" s="81"/>
    </row>
    <row r="347" ht="15.75" customHeight="1">
      <c r="A347" s="60" t="s">
        <v>1271</v>
      </c>
      <c r="B347" s="60" t="s">
        <v>52</v>
      </c>
      <c r="C347" s="62" t="s">
        <v>1272</v>
      </c>
      <c r="D347" s="62" t="s">
        <v>185</v>
      </c>
      <c r="E347" s="62" t="s">
        <v>1115</v>
      </c>
      <c r="F347" s="62">
        <v>12.0</v>
      </c>
      <c r="G347" s="62" t="s">
        <v>394</v>
      </c>
      <c r="H347" s="62" t="s">
        <v>394</v>
      </c>
      <c r="I347" s="62" t="s">
        <v>394</v>
      </c>
      <c r="J347" s="62" t="s">
        <v>85</v>
      </c>
      <c r="K347" s="62" t="s">
        <v>687</v>
      </c>
      <c r="L347" s="62" t="s">
        <v>688</v>
      </c>
      <c r="M347" s="54">
        <v>44042.0</v>
      </c>
      <c r="N347" s="60" t="s">
        <v>735</v>
      </c>
      <c r="O347" s="64" t="s">
        <v>736</v>
      </c>
      <c r="P347" s="78" t="s">
        <v>761</v>
      </c>
      <c r="Q347" s="78" t="s">
        <v>761</v>
      </c>
      <c r="R347" s="81"/>
      <c r="S347" s="81"/>
      <c r="T347" s="81"/>
      <c r="U347" s="81"/>
      <c r="V347" s="81"/>
      <c r="W347" s="81"/>
      <c r="X347" s="81"/>
      <c r="Y347" s="81"/>
      <c r="Z347" s="81"/>
    </row>
    <row r="348" ht="15.75" customHeight="1">
      <c r="A348" s="60" t="s">
        <v>1273</v>
      </c>
      <c r="B348" s="60" t="s">
        <v>52</v>
      </c>
      <c r="C348" s="62" t="s">
        <v>1274</v>
      </c>
      <c r="D348" s="62" t="s">
        <v>185</v>
      </c>
      <c r="E348" s="62" t="s">
        <v>1115</v>
      </c>
      <c r="F348" s="62">
        <v>11.0</v>
      </c>
      <c r="G348" s="62" t="s">
        <v>394</v>
      </c>
      <c r="H348" s="62" t="s">
        <v>394</v>
      </c>
      <c r="I348" s="62" t="s">
        <v>394</v>
      </c>
      <c r="J348" s="62" t="s">
        <v>85</v>
      </c>
      <c r="K348" s="62" t="s">
        <v>687</v>
      </c>
      <c r="L348" s="62" t="s">
        <v>688</v>
      </c>
      <c r="M348" s="54">
        <v>44042.0</v>
      </c>
      <c r="N348" s="60" t="s">
        <v>735</v>
      </c>
      <c r="O348" s="64" t="s">
        <v>736</v>
      </c>
      <c r="P348" s="78" t="s">
        <v>761</v>
      </c>
      <c r="Q348" s="78" t="s">
        <v>761</v>
      </c>
      <c r="R348" s="81"/>
      <c r="S348" s="81"/>
      <c r="T348" s="81"/>
      <c r="U348" s="81"/>
      <c r="V348" s="81"/>
      <c r="W348" s="81"/>
      <c r="X348" s="81"/>
      <c r="Y348" s="81"/>
      <c r="Z348" s="81"/>
    </row>
    <row r="349" ht="15.75" customHeight="1">
      <c r="A349" s="60" t="s">
        <v>1275</v>
      </c>
      <c r="B349" s="60" t="s">
        <v>52</v>
      </c>
      <c r="C349" s="62" t="s">
        <v>1276</v>
      </c>
      <c r="D349" s="62" t="s">
        <v>185</v>
      </c>
      <c r="E349" s="62" t="s">
        <v>1102</v>
      </c>
      <c r="F349" s="62">
        <v>15.0</v>
      </c>
      <c r="G349" s="62" t="s">
        <v>394</v>
      </c>
      <c r="H349" s="62" t="s">
        <v>394</v>
      </c>
      <c r="I349" s="62" t="s">
        <v>394</v>
      </c>
      <c r="J349" s="62" t="s">
        <v>85</v>
      </c>
      <c r="K349" s="62" t="s">
        <v>687</v>
      </c>
      <c r="L349" s="62" t="s">
        <v>688</v>
      </c>
      <c r="M349" s="54">
        <v>44042.0</v>
      </c>
      <c r="N349" s="60" t="s">
        <v>735</v>
      </c>
      <c r="O349" s="64" t="s">
        <v>736</v>
      </c>
      <c r="P349" s="78" t="s">
        <v>761</v>
      </c>
      <c r="Q349" s="78" t="s">
        <v>761</v>
      </c>
      <c r="R349" s="81"/>
      <c r="S349" s="81"/>
      <c r="T349" s="81"/>
      <c r="U349" s="81"/>
      <c r="V349" s="81"/>
      <c r="W349" s="81"/>
      <c r="X349" s="81"/>
      <c r="Y349" s="81"/>
      <c r="Z349" s="81"/>
    </row>
    <row r="350" ht="15.75" customHeight="1">
      <c r="A350" s="60" t="s">
        <v>1277</v>
      </c>
      <c r="B350" s="60" t="s">
        <v>52</v>
      </c>
      <c r="C350" s="62" t="s">
        <v>1278</v>
      </c>
      <c r="D350" s="62" t="s">
        <v>185</v>
      </c>
      <c r="E350" s="62" t="s">
        <v>1102</v>
      </c>
      <c r="F350" s="62">
        <v>155.0</v>
      </c>
      <c r="G350" s="62" t="s">
        <v>394</v>
      </c>
      <c r="H350" s="62" t="s">
        <v>394</v>
      </c>
      <c r="I350" s="62" t="s">
        <v>394</v>
      </c>
      <c r="J350" s="62" t="s">
        <v>85</v>
      </c>
      <c r="K350" s="62" t="s">
        <v>687</v>
      </c>
      <c r="L350" s="62" t="s">
        <v>688</v>
      </c>
      <c r="M350" s="54">
        <v>44042.0</v>
      </c>
      <c r="N350" s="60" t="s">
        <v>735</v>
      </c>
      <c r="O350" s="64" t="s">
        <v>736</v>
      </c>
      <c r="P350" s="78" t="s">
        <v>761</v>
      </c>
      <c r="Q350" s="78" t="s">
        <v>761</v>
      </c>
      <c r="R350" s="81"/>
      <c r="S350" s="81"/>
      <c r="T350" s="81"/>
      <c r="U350" s="81"/>
      <c r="V350" s="81"/>
      <c r="W350" s="81"/>
      <c r="X350" s="81"/>
      <c r="Y350" s="81"/>
      <c r="Z350" s="81"/>
    </row>
    <row r="351" ht="15.75" customHeight="1">
      <c r="A351" s="60" t="s">
        <v>1279</v>
      </c>
      <c r="B351" s="60" t="s">
        <v>52</v>
      </c>
      <c r="C351" s="62" t="s">
        <v>1280</v>
      </c>
      <c r="D351" s="62" t="s">
        <v>185</v>
      </c>
      <c r="E351" s="62" t="s">
        <v>1102</v>
      </c>
      <c r="F351" s="62">
        <v>120.0</v>
      </c>
      <c r="G351" s="62" t="s">
        <v>394</v>
      </c>
      <c r="H351" s="62" t="s">
        <v>394</v>
      </c>
      <c r="I351" s="62" t="s">
        <v>394</v>
      </c>
      <c r="J351" s="62" t="s">
        <v>85</v>
      </c>
      <c r="K351" s="62" t="s">
        <v>687</v>
      </c>
      <c r="L351" s="62" t="s">
        <v>688</v>
      </c>
      <c r="M351" s="54">
        <v>44042.0</v>
      </c>
      <c r="N351" s="60" t="s">
        <v>735</v>
      </c>
      <c r="O351" s="64" t="s">
        <v>736</v>
      </c>
      <c r="P351" s="78" t="s">
        <v>761</v>
      </c>
      <c r="Q351" s="78" t="s">
        <v>761</v>
      </c>
      <c r="R351" s="81"/>
      <c r="S351" s="81"/>
      <c r="T351" s="81"/>
      <c r="U351" s="81"/>
      <c r="V351" s="81"/>
      <c r="W351" s="81"/>
      <c r="X351" s="81"/>
      <c r="Y351" s="81"/>
      <c r="Z351" s="81"/>
    </row>
    <row r="352" ht="15.75" customHeight="1">
      <c r="A352" s="60" t="s">
        <v>1281</v>
      </c>
      <c r="B352" s="60" t="s">
        <v>197</v>
      </c>
      <c r="C352" s="62" t="s">
        <v>1282</v>
      </c>
      <c r="D352" s="62" t="s">
        <v>185</v>
      </c>
      <c r="E352" s="62" t="s">
        <v>685</v>
      </c>
      <c r="F352" s="62" t="s">
        <v>1283</v>
      </c>
      <c r="G352" s="62" t="s">
        <v>394</v>
      </c>
      <c r="H352" s="62" t="s">
        <v>394</v>
      </c>
      <c r="I352" s="62" t="s">
        <v>394</v>
      </c>
      <c r="J352" s="62" t="s">
        <v>85</v>
      </c>
      <c r="K352" s="62" t="s">
        <v>687</v>
      </c>
      <c r="L352" s="62" t="s">
        <v>760</v>
      </c>
      <c r="M352" s="54">
        <v>44041.0</v>
      </c>
      <c r="N352" s="60" t="s">
        <v>735</v>
      </c>
      <c r="O352" s="64" t="s">
        <v>736</v>
      </c>
      <c r="P352" s="78" t="s">
        <v>761</v>
      </c>
      <c r="Q352" s="78" t="s">
        <v>761</v>
      </c>
      <c r="R352" s="81"/>
      <c r="S352" s="81"/>
      <c r="T352" s="81"/>
      <c r="U352" s="81"/>
      <c r="V352" s="81"/>
      <c r="W352" s="81"/>
      <c r="X352" s="81"/>
      <c r="Y352" s="81"/>
      <c r="Z352" s="81"/>
    </row>
    <row r="353" ht="15.75" customHeight="1">
      <c r="A353" s="60" t="s">
        <v>1284</v>
      </c>
      <c r="B353" s="60" t="s">
        <v>197</v>
      </c>
      <c r="C353" s="62" t="s">
        <v>1285</v>
      </c>
      <c r="D353" s="62" t="s">
        <v>185</v>
      </c>
      <c r="E353" s="62" t="s">
        <v>685</v>
      </c>
      <c r="F353" s="62" t="s">
        <v>1283</v>
      </c>
      <c r="G353" s="62" t="s">
        <v>394</v>
      </c>
      <c r="H353" s="62" t="s">
        <v>394</v>
      </c>
      <c r="I353" s="62" t="s">
        <v>394</v>
      </c>
      <c r="J353" s="62" t="s">
        <v>85</v>
      </c>
      <c r="K353" s="62" t="s">
        <v>687</v>
      </c>
      <c r="L353" s="62" t="s">
        <v>760</v>
      </c>
      <c r="M353" s="54">
        <v>44041.0</v>
      </c>
      <c r="N353" s="60" t="s">
        <v>735</v>
      </c>
      <c r="O353" s="64" t="s">
        <v>736</v>
      </c>
      <c r="P353" s="78" t="s">
        <v>761</v>
      </c>
      <c r="Q353" s="78" t="s">
        <v>761</v>
      </c>
      <c r="R353" s="81"/>
      <c r="S353" s="81"/>
      <c r="T353" s="81"/>
      <c r="U353" s="81"/>
      <c r="V353" s="81"/>
      <c r="W353" s="81"/>
      <c r="X353" s="81"/>
      <c r="Y353" s="81"/>
      <c r="Z353" s="81"/>
    </row>
    <row r="354" ht="15.75" customHeight="1">
      <c r="A354" s="60" t="s">
        <v>1286</v>
      </c>
      <c r="B354" s="60" t="s">
        <v>197</v>
      </c>
      <c r="C354" s="62" t="s">
        <v>1287</v>
      </c>
      <c r="D354" s="62" t="s">
        <v>185</v>
      </c>
      <c r="E354" s="62" t="s">
        <v>685</v>
      </c>
      <c r="F354" s="62" t="s">
        <v>1283</v>
      </c>
      <c r="G354" s="62" t="s">
        <v>394</v>
      </c>
      <c r="H354" s="62" t="s">
        <v>394</v>
      </c>
      <c r="I354" s="62" t="s">
        <v>394</v>
      </c>
      <c r="J354" s="62" t="s">
        <v>85</v>
      </c>
      <c r="K354" s="62" t="s">
        <v>687</v>
      </c>
      <c r="L354" s="62" t="s">
        <v>760</v>
      </c>
      <c r="M354" s="54">
        <v>44041.0</v>
      </c>
      <c r="N354" s="60" t="s">
        <v>735</v>
      </c>
      <c r="O354" s="64" t="s">
        <v>736</v>
      </c>
      <c r="P354" s="78" t="s">
        <v>761</v>
      </c>
      <c r="Q354" s="78" t="s">
        <v>761</v>
      </c>
      <c r="R354" s="81"/>
      <c r="S354" s="81"/>
      <c r="T354" s="81"/>
      <c r="U354" s="81"/>
      <c r="V354" s="81"/>
      <c r="W354" s="81"/>
      <c r="X354" s="81"/>
      <c r="Y354" s="81"/>
      <c r="Z354" s="81"/>
    </row>
    <row r="355" ht="15.75" customHeight="1">
      <c r="A355" s="60" t="s">
        <v>1288</v>
      </c>
      <c r="B355" s="60" t="s">
        <v>197</v>
      </c>
      <c r="C355" s="62" t="s">
        <v>1289</v>
      </c>
      <c r="D355" s="62" t="s">
        <v>185</v>
      </c>
      <c r="E355" s="62" t="s">
        <v>685</v>
      </c>
      <c r="F355" s="62" t="s">
        <v>1283</v>
      </c>
      <c r="G355" s="62" t="s">
        <v>394</v>
      </c>
      <c r="H355" s="62" t="s">
        <v>394</v>
      </c>
      <c r="I355" s="62" t="s">
        <v>394</v>
      </c>
      <c r="J355" s="62" t="s">
        <v>85</v>
      </c>
      <c r="K355" s="62" t="s">
        <v>687</v>
      </c>
      <c r="L355" s="62" t="s">
        <v>760</v>
      </c>
      <c r="M355" s="54">
        <v>44041.0</v>
      </c>
      <c r="N355" s="60" t="s">
        <v>735</v>
      </c>
      <c r="O355" s="64" t="s">
        <v>736</v>
      </c>
      <c r="P355" s="78" t="s">
        <v>761</v>
      </c>
      <c r="Q355" s="78" t="s">
        <v>761</v>
      </c>
      <c r="R355" s="81"/>
      <c r="S355" s="81"/>
      <c r="T355" s="81"/>
      <c r="U355" s="81"/>
      <c r="V355" s="81"/>
      <c r="W355" s="81"/>
      <c r="X355" s="81"/>
      <c r="Y355" s="81"/>
      <c r="Z355" s="81"/>
    </row>
    <row r="356" ht="15.75" customHeight="1">
      <c r="A356" s="60" t="s">
        <v>1290</v>
      </c>
      <c r="B356" s="60" t="s">
        <v>197</v>
      </c>
      <c r="C356" s="62" t="s">
        <v>1291</v>
      </c>
      <c r="D356" s="62" t="s">
        <v>185</v>
      </c>
      <c r="E356" s="62" t="s">
        <v>685</v>
      </c>
      <c r="F356" s="62" t="s">
        <v>1283</v>
      </c>
      <c r="G356" s="62" t="s">
        <v>394</v>
      </c>
      <c r="H356" s="62" t="s">
        <v>394</v>
      </c>
      <c r="I356" s="62" t="s">
        <v>394</v>
      </c>
      <c r="J356" s="62" t="s">
        <v>85</v>
      </c>
      <c r="K356" s="62" t="s">
        <v>687</v>
      </c>
      <c r="L356" s="62" t="s">
        <v>760</v>
      </c>
      <c r="M356" s="54">
        <v>44041.0</v>
      </c>
      <c r="N356" s="60" t="s">
        <v>735</v>
      </c>
      <c r="O356" s="64" t="s">
        <v>736</v>
      </c>
      <c r="P356" s="78" t="s">
        <v>761</v>
      </c>
      <c r="Q356" s="78" t="s">
        <v>761</v>
      </c>
      <c r="R356" s="81"/>
      <c r="S356" s="81"/>
      <c r="T356" s="81"/>
      <c r="U356" s="81"/>
      <c r="V356" s="81"/>
      <c r="W356" s="81"/>
      <c r="X356" s="81"/>
      <c r="Y356" s="81"/>
      <c r="Z356" s="81"/>
    </row>
    <row r="357" ht="15.75" customHeight="1">
      <c r="A357" s="60" t="s">
        <v>1292</v>
      </c>
      <c r="B357" s="60" t="s">
        <v>197</v>
      </c>
      <c r="C357" s="62" t="s">
        <v>1293</v>
      </c>
      <c r="D357" s="62" t="s">
        <v>185</v>
      </c>
      <c r="E357" s="62" t="s">
        <v>685</v>
      </c>
      <c r="F357" s="62" t="s">
        <v>1283</v>
      </c>
      <c r="G357" s="62" t="s">
        <v>394</v>
      </c>
      <c r="H357" s="62" t="s">
        <v>394</v>
      </c>
      <c r="I357" s="62" t="s">
        <v>394</v>
      </c>
      <c r="J357" s="62" t="s">
        <v>85</v>
      </c>
      <c r="K357" s="62" t="s">
        <v>687</v>
      </c>
      <c r="L357" s="62" t="s">
        <v>760</v>
      </c>
      <c r="M357" s="54">
        <v>44041.0</v>
      </c>
      <c r="N357" s="60" t="s">
        <v>735</v>
      </c>
      <c r="O357" s="64" t="s">
        <v>736</v>
      </c>
      <c r="P357" s="78" t="s">
        <v>761</v>
      </c>
      <c r="Q357" s="78" t="s">
        <v>761</v>
      </c>
      <c r="R357" s="81"/>
      <c r="S357" s="81"/>
      <c r="T357" s="81"/>
      <c r="U357" s="81"/>
      <c r="V357" s="81"/>
      <c r="W357" s="81"/>
      <c r="X357" s="81"/>
      <c r="Y357" s="81"/>
      <c r="Z357" s="81"/>
    </row>
    <row r="358" ht="15.75" customHeight="1">
      <c r="A358" s="60" t="s">
        <v>1294</v>
      </c>
      <c r="B358" s="60" t="s">
        <v>696</v>
      </c>
      <c r="C358" s="62" t="s">
        <v>1295</v>
      </c>
      <c r="D358" s="62" t="s">
        <v>185</v>
      </c>
      <c r="E358" s="62" t="s">
        <v>685</v>
      </c>
      <c r="F358" s="62" t="s">
        <v>1296</v>
      </c>
      <c r="G358" s="62" t="s">
        <v>394</v>
      </c>
      <c r="H358" s="62" t="s">
        <v>394</v>
      </c>
      <c r="I358" s="62" t="s">
        <v>394</v>
      </c>
      <c r="J358" s="62" t="s">
        <v>85</v>
      </c>
      <c r="K358" s="62" t="s">
        <v>687</v>
      </c>
      <c r="L358" s="62" t="s">
        <v>688</v>
      </c>
      <c r="M358" s="54">
        <v>44042.0</v>
      </c>
      <c r="N358" s="60" t="s">
        <v>701</v>
      </c>
      <c r="O358" s="64" t="s">
        <v>736</v>
      </c>
      <c r="P358" s="78" t="s">
        <v>744</v>
      </c>
      <c r="Q358" s="78" t="s">
        <v>744</v>
      </c>
      <c r="R358" s="81"/>
      <c r="S358" s="81"/>
      <c r="T358" s="81"/>
      <c r="U358" s="81"/>
      <c r="V358" s="81"/>
      <c r="W358" s="81"/>
      <c r="X358" s="81"/>
      <c r="Y358" s="81"/>
      <c r="Z358" s="81"/>
    </row>
    <row r="359" ht="15.75" customHeight="1">
      <c r="A359" s="83" t="s">
        <v>1297</v>
      </c>
      <c r="B359" s="84" t="s">
        <v>197</v>
      </c>
      <c r="C359" s="85" t="s">
        <v>1298</v>
      </c>
      <c r="D359" s="86" t="s">
        <v>185</v>
      </c>
      <c r="E359" s="86" t="s">
        <v>1299</v>
      </c>
      <c r="F359" s="87">
        <v>56.67</v>
      </c>
      <c r="G359" s="88" t="s">
        <v>394</v>
      </c>
      <c r="H359" s="88" t="s">
        <v>394</v>
      </c>
      <c r="I359" s="88" t="s">
        <v>394</v>
      </c>
      <c r="J359" s="86" t="s">
        <v>85</v>
      </c>
      <c r="K359" s="89" t="s">
        <v>687</v>
      </c>
      <c r="L359" s="86"/>
      <c r="M359" s="90"/>
      <c r="N359" s="86"/>
      <c r="O359" s="86"/>
      <c r="P359" s="91" t="s">
        <v>750</v>
      </c>
      <c r="Q359" s="91" t="s">
        <v>750</v>
      </c>
      <c r="R359" s="81"/>
      <c r="S359" s="81"/>
      <c r="T359" s="81"/>
      <c r="U359" s="81"/>
      <c r="V359" s="81"/>
      <c r="W359" s="81"/>
      <c r="X359" s="81"/>
      <c r="Y359" s="81"/>
      <c r="Z359" s="81"/>
    </row>
    <row r="360" ht="15.75" customHeight="1">
      <c r="A360" s="85" t="s">
        <v>1300</v>
      </c>
      <c r="B360" s="84" t="s">
        <v>197</v>
      </c>
      <c r="C360" s="85" t="s">
        <v>1301</v>
      </c>
      <c r="D360" s="86" t="s">
        <v>185</v>
      </c>
      <c r="E360" s="86" t="s">
        <v>1299</v>
      </c>
      <c r="F360" s="87">
        <v>86.5</v>
      </c>
      <c r="G360" s="88" t="s">
        <v>394</v>
      </c>
      <c r="H360" s="88" t="s">
        <v>394</v>
      </c>
      <c r="I360" s="88" t="s">
        <v>394</v>
      </c>
      <c r="J360" s="86" t="s">
        <v>85</v>
      </c>
      <c r="K360" s="89" t="s">
        <v>687</v>
      </c>
      <c r="L360" s="86"/>
      <c r="M360" s="90"/>
      <c r="N360" s="86"/>
      <c r="O360" s="86"/>
      <c r="P360" s="91" t="s">
        <v>750</v>
      </c>
      <c r="Q360" s="91" t="s">
        <v>750</v>
      </c>
      <c r="R360" s="81"/>
      <c r="S360" s="81"/>
      <c r="T360" s="81"/>
      <c r="U360" s="81"/>
      <c r="V360" s="81"/>
      <c r="W360" s="81"/>
      <c r="X360" s="81"/>
      <c r="Y360" s="81"/>
      <c r="Z360" s="81"/>
    </row>
    <row r="361" ht="15.75" customHeight="1">
      <c r="A361" s="85" t="s">
        <v>1302</v>
      </c>
      <c r="B361" s="84" t="s">
        <v>197</v>
      </c>
      <c r="C361" s="85" t="s">
        <v>1303</v>
      </c>
      <c r="D361" s="86" t="s">
        <v>185</v>
      </c>
      <c r="E361" s="86" t="s">
        <v>1299</v>
      </c>
      <c r="F361" s="87">
        <v>61.0</v>
      </c>
      <c r="G361" s="88" t="s">
        <v>394</v>
      </c>
      <c r="H361" s="88" t="s">
        <v>394</v>
      </c>
      <c r="I361" s="88" t="s">
        <v>394</v>
      </c>
      <c r="J361" s="86" t="s">
        <v>85</v>
      </c>
      <c r="K361" s="89" t="s">
        <v>687</v>
      </c>
      <c r="L361" s="86"/>
      <c r="M361" s="90"/>
      <c r="N361" s="86"/>
      <c r="O361" s="86"/>
      <c r="P361" s="91" t="s">
        <v>750</v>
      </c>
      <c r="Q361" s="91" t="s">
        <v>750</v>
      </c>
      <c r="R361" s="81"/>
      <c r="S361" s="81"/>
      <c r="T361" s="81"/>
      <c r="U361" s="81"/>
      <c r="V361" s="81"/>
      <c r="W361" s="81"/>
      <c r="X361" s="81"/>
      <c r="Y361" s="81"/>
      <c r="Z361" s="81"/>
    </row>
    <row r="362" ht="15.75" customHeight="1">
      <c r="A362" s="85" t="s">
        <v>1304</v>
      </c>
      <c r="B362" s="92" t="s">
        <v>696</v>
      </c>
      <c r="C362" s="85" t="s">
        <v>1305</v>
      </c>
      <c r="D362" s="86" t="s">
        <v>83</v>
      </c>
      <c r="E362" s="86" t="s">
        <v>1306</v>
      </c>
      <c r="F362" s="87" t="s">
        <v>1307</v>
      </c>
      <c r="G362" s="88" t="s">
        <v>394</v>
      </c>
      <c r="H362" s="88" t="s">
        <v>394</v>
      </c>
      <c r="I362" s="88" t="s">
        <v>394</v>
      </c>
      <c r="J362" s="86" t="s">
        <v>85</v>
      </c>
      <c r="K362" s="89" t="s">
        <v>687</v>
      </c>
      <c r="L362" s="86"/>
      <c r="M362" s="90"/>
      <c r="N362" s="86"/>
      <c r="O362" s="86"/>
      <c r="P362" s="91" t="s">
        <v>744</v>
      </c>
      <c r="Q362" s="93" t="s">
        <v>744</v>
      </c>
      <c r="R362" s="81"/>
      <c r="S362" s="81"/>
      <c r="T362" s="81"/>
      <c r="U362" s="81"/>
      <c r="V362" s="81"/>
      <c r="W362" s="81"/>
      <c r="X362" s="81"/>
      <c r="Y362" s="81"/>
      <c r="Z362" s="81"/>
    </row>
    <row r="363" ht="15.75" customHeight="1">
      <c r="A363" s="85" t="s">
        <v>1308</v>
      </c>
      <c r="B363" s="84" t="s">
        <v>197</v>
      </c>
      <c r="C363" s="85" t="s">
        <v>1309</v>
      </c>
      <c r="D363" s="86" t="s">
        <v>185</v>
      </c>
      <c r="E363" s="86" t="s">
        <v>1299</v>
      </c>
      <c r="F363" s="87">
        <v>25.0</v>
      </c>
      <c r="G363" s="88" t="s">
        <v>394</v>
      </c>
      <c r="H363" s="88" t="s">
        <v>1310</v>
      </c>
      <c r="I363" s="88" t="s">
        <v>394</v>
      </c>
      <c r="J363" s="86" t="s">
        <v>85</v>
      </c>
      <c r="K363" s="89" t="s">
        <v>687</v>
      </c>
      <c r="L363" s="86"/>
      <c r="M363" s="90"/>
      <c r="N363" s="86"/>
      <c r="O363" s="86"/>
      <c r="P363" s="91" t="s">
        <v>724</v>
      </c>
      <c r="Q363" s="91" t="s">
        <v>724</v>
      </c>
      <c r="R363" s="81"/>
      <c r="S363" s="81"/>
      <c r="T363" s="81"/>
      <c r="U363" s="81"/>
      <c r="V363" s="81"/>
      <c r="W363" s="81"/>
      <c r="X363" s="81"/>
      <c r="Y363" s="81"/>
      <c r="Z363" s="81"/>
    </row>
    <row r="364" ht="15.75" customHeight="1">
      <c r="A364" s="85" t="s">
        <v>1311</v>
      </c>
      <c r="B364" s="84" t="s">
        <v>197</v>
      </c>
      <c r="C364" s="85" t="s">
        <v>1312</v>
      </c>
      <c r="D364" s="86" t="s">
        <v>185</v>
      </c>
      <c r="E364" s="86" t="s">
        <v>1299</v>
      </c>
      <c r="F364" s="87">
        <v>5.0</v>
      </c>
      <c r="G364" s="88" t="s">
        <v>394</v>
      </c>
      <c r="H364" s="88" t="s">
        <v>1310</v>
      </c>
      <c r="I364" s="88" t="s">
        <v>394</v>
      </c>
      <c r="J364" s="86" t="s">
        <v>85</v>
      </c>
      <c r="K364" s="89" t="s">
        <v>687</v>
      </c>
      <c r="L364" s="86"/>
      <c r="M364" s="90"/>
      <c r="N364" s="86"/>
      <c r="O364" s="86"/>
      <c r="P364" s="91" t="s">
        <v>724</v>
      </c>
      <c r="Q364" s="91" t="s">
        <v>724</v>
      </c>
      <c r="R364" s="81"/>
      <c r="S364" s="81"/>
      <c r="T364" s="81"/>
      <c r="U364" s="81"/>
      <c r="V364" s="81"/>
      <c r="W364" s="81"/>
      <c r="X364" s="81"/>
      <c r="Y364" s="81"/>
      <c r="Z364" s="81"/>
    </row>
    <row r="365" ht="15.75" customHeight="1">
      <c r="A365" s="85" t="s">
        <v>210</v>
      </c>
      <c r="B365" s="84" t="s">
        <v>197</v>
      </c>
      <c r="C365" s="85" t="s">
        <v>211</v>
      </c>
      <c r="D365" s="86" t="s">
        <v>185</v>
      </c>
      <c r="E365" s="86" t="s">
        <v>720</v>
      </c>
      <c r="F365" s="87" t="b">
        <v>1</v>
      </c>
      <c r="G365" s="88" t="s">
        <v>394</v>
      </c>
      <c r="H365" s="88" t="s">
        <v>91</v>
      </c>
      <c r="I365" s="88" t="s">
        <v>394</v>
      </c>
      <c r="J365" s="86" t="s">
        <v>85</v>
      </c>
      <c r="K365" s="89" t="s">
        <v>749</v>
      </c>
      <c r="L365" s="86"/>
      <c r="M365" s="90"/>
      <c r="N365" s="86" t="s">
        <v>735</v>
      </c>
      <c r="O365" s="86" t="s">
        <v>732</v>
      </c>
      <c r="P365" s="91" t="s">
        <v>702</v>
      </c>
      <c r="Q365" s="91" t="s">
        <v>702</v>
      </c>
      <c r="R365" s="81"/>
      <c r="S365" s="81"/>
      <c r="T365" s="81"/>
      <c r="U365" s="81"/>
      <c r="V365" s="81"/>
      <c r="W365" s="81"/>
      <c r="X365" s="81"/>
      <c r="Y365" s="81"/>
      <c r="Z365" s="81"/>
    </row>
    <row r="366" ht="15.75" customHeight="1">
      <c r="A366" s="83"/>
      <c r="B366" s="94"/>
      <c r="C366" s="83"/>
      <c r="D366" s="95"/>
      <c r="E366" s="95"/>
      <c r="F366" s="96"/>
      <c r="G366" s="97"/>
      <c r="H366" s="97"/>
      <c r="I366" s="97"/>
      <c r="J366" s="95"/>
      <c r="K366" s="98"/>
      <c r="L366" s="95"/>
      <c r="M366" s="99"/>
      <c r="N366" s="95"/>
      <c r="O366" s="95"/>
      <c r="P366" s="100"/>
      <c r="Q366" s="100"/>
      <c r="R366" s="81"/>
      <c r="S366" s="81"/>
      <c r="T366" s="81"/>
      <c r="U366" s="81"/>
      <c r="V366" s="81"/>
      <c r="W366" s="81"/>
      <c r="X366" s="81"/>
      <c r="Y366" s="81"/>
      <c r="Z366" s="81"/>
    </row>
    <row r="367" ht="15.75" customHeight="1">
      <c r="A367" s="83"/>
      <c r="B367" s="94"/>
      <c r="C367" s="83"/>
      <c r="D367" s="95"/>
      <c r="E367" s="95"/>
      <c r="F367" s="96"/>
      <c r="G367" s="97"/>
      <c r="H367" s="97"/>
      <c r="I367" s="97"/>
      <c r="J367" s="95"/>
      <c r="K367" s="98"/>
      <c r="L367" s="95"/>
      <c r="M367" s="99"/>
      <c r="N367" s="95"/>
      <c r="O367" s="95"/>
      <c r="P367" s="100"/>
      <c r="Q367" s="100"/>
      <c r="R367" s="81"/>
      <c r="S367" s="81"/>
      <c r="T367" s="81"/>
      <c r="U367" s="81"/>
      <c r="V367" s="81"/>
      <c r="W367" s="81"/>
      <c r="X367" s="81"/>
      <c r="Y367" s="81"/>
      <c r="Z367" s="81"/>
    </row>
    <row r="368" ht="15.75" customHeight="1">
      <c r="A368" s="83"/>
      <c r="B368" s="94"/>
      <c r="C368" s="83"/>
      <c r="D368" s="95"/>
      <c r="E368" s="95"/>
      <c r="F368" s="96"/>
      <c r="G368" s="97"/>
      <c r="H368" s="97"/>
      <c r="I368" s="97"/>
      <c r="J368" s="95"/>
      <c r="K368" s="98"/>
      <c r="L368" s="95"/>
      <c r="M368" s="99"/>
      <c r="N368" s="95"/>
      <c r="O368" s="95"/>
      <c r="P368" s="100"/>
      <c r="Q368" s="100"/>
      <c r="R368" s="81"/>
      <c r="S368" s="81"/>
      <c r="T368" s="81"/>
      <c r="U368" s="81"/>
      <c r="V368" s="81"/>
      <c r="W368" s="81"/>
      <c r="X368" s="81"/>
      <c r="Y368" s="81"/>
      <c r="Z368" s="81"/>
    </row>
    <row r="369" ht="15.75" customHeight="1">
      <c r="A369" s="83"/>
      <c r="B369" s="94"/>
      <c r="C369" s="83"/>
      <c r="D369" s="95"/>
      <c r="E369" s="95"/>
      <c r="F369" s="96"/>
      <c r="G369" s="97"/>
      <c r="H369" s="97"/>
      <c r="I369" s="97"/>
      <c r="J369" s="95"/>
      <c r="K369" s="98"/>
      <c r="L369" s="95"/>
      <c r="M369" s="99"/>
      <c r="N369" s="95"/>
      <c r="O369" s="95"/>
      <c r="P369" s="100"/>
      <c r="Q369" s="100"/>
      <c r="R369" s="81"/>
      <c r="S369" s="81"/>
      <c r="T369" s="81"/>
      <c r="U369" s="81"/>
      <c r="V369" s="81"/>
      <c r="W369" s="81"/>
      <c r="X369" s="81"/>
      <c r="Y369" s="81"/>
      <c r="Z369" s="81"/>
    </row>
    <row r="370" ht="15.75" customHeight="1">
      <c r="A370" s="83"/>
      <c r="B370" s="94"/>
      <c r="C370" s="83"/>
      <c r="D370" s="95"/>
      <c r="E370" s="95"/>
      <c r="F370" s="96"/>
      <c r="G370" s="97"/>
      <c r="H370" s="97"/>
      <c r="I370" s="97"/>
      <c r="J370" s="95"/>
      <c r="K370" s="98"/>
      <c r="L370" s="95"/>
      <c r="M370" s="99"/>
      <c r="N370" s="95"/>
      <c r="O370" s="95"/>
      <c r="P370" s="100"/>
      <c r="Q370" s="100"/>
      <c r="R370" s="81"/>
      <c r="S370" s="81"/>
      <c r="T370" s="81"/>
      <c r="U370" s="81"/>
      <c r="V370" s="81"/>
      <c r="W370" s="81"/>
      <c r="X370" s="81"/>
      <c r="Y370" s="81"/>
      <c r="Z370" s="81"/>
    </row>
    <row r="371" ht="15.75" customHeight="1">
      <c r="A371" s="83"/>
      <c r="B371" s="94"/>
      <c r="C371" s="83"/>
      <c r="D371" s="95"/>
      <c r="E371" s="95"/>
      <c r="F371" s="96"/>
      <c r="G371" s="97"/>
      <c r="H371" s="97"/>
      <c r="I371" s="97"/>
      <c r="J371" s="95"/>
      <c r="K371" s="98"/>
      <c r="L371" s="95"/>
      <c r="M371" s="99"/>
      <c r="N371" s="95"/>
      <c r="O371" s="95"/>
      <c r="P371" s="100"/>
      <c r="Q371" s="100"/>
      <c r="R371" s="81"/>
      <c r="S371" s="81"/>
      <c r="T371" s="81"/>
      <c r="U371" s="81"/>
      <c r="V371" s="81"/>
      <c r="W371" s="81"/>
      <c r="X371" s="81"/>
      <c r="Y371" s="81"/>
      <c r="Z371" s="81"/>
    </row>
    <row r="372" ht="15.75" customHeight="1">
      <c r="A372" s="83"/>
      <c r="B372" s="94"/>
      <c r="C372" s="83"/>
      <c r="D372" s="95"/>
      <c r="E372" s="95"/>
      <c r="F372" s="96"/>
      <c r="G372" s="97"/>
      <c r="H372" s="97"/>
      <c r="I372" s="97"/>
      <c r="J372" s="95"/>
      <c r="K372" s="98"/>
      <c r="L372" s="95"/>
      <c r="M372" s="99"/>
      <c r="N372" s="95"/>
      <c r="O372" s="95"/>
      <c r="P372" s="100"/>
      <c r="Q372" s="100"/>
      <c r="R372" s="81"/>
      <c r="S372" s="81"/>
      <c r="T372" s="81"/>
      <c r="U372" s="81"/>
      <c r="V372" s="81"/>
      <c r="W372" s="81"/>
      <c r="X372" s="81"/>
      <c r="Y372" s="81"/>
      <c r="Z372" s="81"/>
    </row>
    <row r="373" ht="15.75" customHeight="1">
      <c r="A373" s="83"/>
      <c r="B373" s="94"/>
      <c r="C373" s="83"/>
      <c r="D373" s="95"/>
      <c r="E373" s="95"/>
      <c r="F373" s="96"/>
      <c r="G373" s="97"/>
      <c r="H373" s="97"/>
      <c r="I373" s="97"/>
      <c r="J373" s="95"/>
      <c r="K373" s="98"/>
      <c r="L373" s="95"/>
      <c r="M373" s="99"/>
      <c r="N373" s="95"/>
      <c r="O373" s="95"/>
      <c r="P373" s="100"/>
      <c r="Q373" s="100"/>
      <c r="R373" s="81"/>
      <c r="S373" s="81"/>
      <c r="T373" s="81"/>
      <c r="U373" s="81"/>
      <c r="V373" s="81"/>
      <c r="W373" s="81"/>
      <c r="X373" s="81"/>
      <c r="Y373" s="81"/>
      <c r="Z373" s="81"/>
    </row>
    <row r="374" ht="15.75" customHeight="1">
      <c r="A374" s="83"/>
      <c r="B374" s="94"/>
      <c r="C374" s="83"/>
      <c r="D374" s="95"/>
      <c r="E374" s="95"/>
      <c r="F374" s="96"/>
      <c r="G374" s="97"/>
      <c r="H374" s="97"/>
      <c r="I374" s="97"/>
      <c r="J374" s="95"/>
      <c r="K374" s="98"/>
      <c r="L374" s="95"/>
      <c r="M374" s="99"/>
      <c r="N374" s="95"/>
      <c r="O374" s="95"/>
      <c r="P374" s="100"/>
      <c r="Q374" s="100"/>
      <c r="R374" s="81"/>
      <c r="S374" s="81"/>
      <c r="T374" s="81"/>
      <c r="U374" s="81"/>
      <c r="V374" s="81"/>
      <c r="W374" s="81"/>
      <c r="X374" s="81"/>
      <c r="Y374" s="81"/>
      <c r="Z374" s="81"/>
    </row>
    <row r="375" ht="15.75" customHeight="1">
      <c r="A375" s="83"/>
      <c r="B375" s="94"/>
      <c r="C375" s="83"/>
      <c r="D375" s="95"/>
      <c r="E375" s="95"/>
      <c r="F375" s="96"/>
      <c r="G375" s="97"/>
      <c r="H375" s="97"/>
      <c r="I375" s="97"/>
      <c r="J375" s="95"/>
      <c r="K375" s="98"/>
      <c r="L375" s="95"/>
      <c r="M375" s="99"/>
      <c r="N375" s="95"/>
      <c r="O375" s="95"/>
      <c r="P375" s="100"/>
      <c r="Q375" s="100"/>
      <c r="R375" s="81"/>
      <c r="S375" s="81"/>
      <c r="T375" s="81"/>
      <c r="U375" s="81"/>
      <c r="V375" s="81"/>
      <c r="W375" s="81"/>
      <c r="X375" s="81"/>
      <c r="Y375" s="81"/>
      <c r="Z375" s="81"/>
    </row>
    <row r="376" ht="15.75" customHeight="1">
      <c r="A376" s="83"/>
      <c r="B376" s="94"/>
      <c r="C376" s="83"/>
      <c r="D376" s="95"/>
      <c r="E376" s="95"/>
      <c r="F376" s="96"/>
      <c r="G376" s="97"/>
      <c r="H376" s="97"/>
      <c r="I376" s="97"/>
      <c r="J376" s="95"/>
      <c r="K376" s="98"/>
      <c r="L376" s="95"/>
      <c r="M376" s="99"/>
      <c r="N376" s="95"/>
      <c r="O376" s="95"/>
      <c r="P376" s="100"/>
      <c r="Q376" s="100"/>
      <c r="R376" s="81"/>
      <c r="S376" s="81"/>
      <c r="T376" s="81"/>
      <c r="U376" s="81"/>
      <c r="V376" s="81"/>
      <c r="W376" s="81"/>
      <c r="X376" s="81"/>
      <c r="Y376" s="81"/>
      <c r="Z376" s="81"/>
    </row>
    <row r="377" ht="15.75" customHeight="1">
      <c r="A377" s="83"/>
      <c r="B377" s="94"/>
      <c r="C377" s="83"/>
      <c r="D377" s="95"/>
      <c r="E377" s="95"/>
      <c r="F377" s="96"/>
      <c r="G377" s="97"/>
      <c r="H377" s="97"/>
      <c r="I377" s="97"/>
      <c r="J377" s="95"/>
      <c r="K377" s="98"/>
      <c r="L377" s="95"/>
      <c r="M377" s="99"/>
      <c r="N377" s="95"/>
      <c r="O377" s="95"/>
      <c r="P377" s="100"/>
      <c r="Q377" s="100"/>
      <c r="R377" s="81"/>
      <c r="S377" s="81"/>
      <c r="T377" s="81"/>
      <c r="U377" s="81"/>
      <c r="V377" s="81"/>
      <c r="W377" s="81"/>
      <c r="X377" s="81"/>
      <c r="Y377" s="81"/>
      <c r="Z377" s="81"/>
    </row>
    <row r="378" ht="15.75" customHeight="1">
      <c r="A378" s="83"/>
      <c r="B378" s="94"/>
      <c r="C378" s="83"/>
      <c r="D378" s="95"/>
      <c r="E378" s="95"/>
      <c r="F378" s="96"/>
      <c r="G378" s="97"/>
      <c r="H378" s="97"/>
      <c r="I378" s="97"/>
      <c r="J378" s="95"/>
      <c r="K378" s="98"/>
      <c r="L378" s="95"/>
      <c r="M378" s="99"/>
      <c r="N378" s="95"/>
      <c r="O378" s="95"/>
      <c r="P378" s="100"/>
      <c r="Q378" s="100"/>
      <c r="R378" s="81"/>
      <c r="S378" s="81"/>
      <c r="T378" s="81"/>
      <c r="U378" s="81"/>
      <c r="V378" s="81"/>
      <c r="W378" s="81"/>
      <c r="X378" s="81"/>
      <c r="Y378" s="81"/>
      <c r="Z378" s="81"/>
    </row>
    <row r="379" ht="15.75" customHeight="1">
      <c r="A379" s="83"/>
      <c r="B379" s="94"/>
      <c r="C379" s="83"/>
      <c r="D379" s="95"/>
      <c r="E379" s="95"/>
      <c r="F379" s="96"/>
      <c r="G379" s="97"/>
      <c r="H379" s="97"/>
      <c r="I379" s="97"/>
      <c r="J379" s="95"/>
      <c r="K379" s="98"/>
      <c r="L379" s="95"/>
      <c r="M379" s="99"/>
      <c r="N379" s="95"/>
      <c r="O379" s="95"/>
      <c r="P379" s="100"/>
      <c r="Q379" s="100"/>
      <c r="R379" s="81"/>
      <c r="S379" s="81"/>
      <c r="T379" s="81"/>
      <c r="U379" s="81"/>
      <c r="V379" s="81"/>
      <c r="W379" s="81"/>
      <c r="X379" s="81"/>
      <c r="Y379" s="81"/>
      <c r="Z379" s="81"/>
    </row>
    <row r="380" ht="15.75" customHeight="1">
      <c r="A380" s="83"/>
      <c r="B380" s="94"/>
      <c r="C380" s="83"/>
      <c r="D380" s="95"/>
      <c r="E380" s="95"/>
      <c r="F380" s="96"/>
      <c r="G380" s="97"/>
      <c r="H380" s="97"/>
      <c r="I380" s="97"/>
      <c r="J380" s="95"/>
      <c r="K380" s="98"/>
      <c r="L380" s="95"/>
      <c r="M380" s="99"/>
      <c r="N380" s="95"/>
      <c r="O380" s="95"/>
      <c r="P380" s="100"/>
      <c r="Q380" s="100"/>
      <c r="R380" s="81"/>
      <c r="S380" s="81"/>
      <c r="T380" s="81"/>
      <c r="U380" s="81"/>
      <c r="V380" s="81"/>
      <c r="W380" s="81"/>
      <c r="X380" s="81"/>
      <c r="Y380" s="81"/>
      <c r="Z380" s="81"/>
    </row>
    <row r="381" ht="15.75" customHeight="1">
      <c r="A381" s="83"/>
      <c r="B381" s="94"/>
      <c r="C381" s="83"/>
      <c r="D381" s="95"/>
      <c r="E381" s="95"/>
      <c r="F381" s="96"/>
      <c r="G381" s="97"/>
      <c r="H381" s="97"/>
      <c r="I381" s="97"/>
      <c r="J381" s="95"/>
      <c r="K381" s="98"/>
      <c r="L381" s="95"/>
      <c r="M381" s="99"/>
      <c r="N381" s="95"/>
      <c r="O381" s="95"/>
      <c r="P381" s="100"/>
      <c r="Q381" s="100"/>
      <c r="R381" s="81"/>
      <c r="S381" s="81"/>
      <c r="T381" s="81"/>
      <c r="U381" s="81"/>
      <c r="V381" s="81"/>
      <c r="W381" s="81"/>
      <c r="X381" s="81"/>
      <c r="Y381" s="81"/>
      <c r="Z381" s="81"/>
    </row>
    <row r="382" ht="15.75" customHeight="1">
      <c r="A382" s="83"/>
      <c r="B382" s="94"/>
      <c r="C382" s="83"/>
      <c r="D382" s="95"/>
      <c r="E382" s="95"/>
      <c r="F382" s="96"/>
      <c r="G382" s="97"/>
      <c r="H382" s="97"/>
      <c r="I382" s="97"/>
      <c r="J382" s="95"/>
      <c r="K382" s="98"/>
      <c r="L382" s="95"/>
      <c r="M382" s="99"/>
      <c r="N382" s="95"/>
      <c r="O382" s="95"/>
      <c r="P382" s="100"/>
      <c r="Q382" s="100"/>
      <c r="R382" s="81"/>
      <c r="S382" s="81"/>
      <c r="T382" s="81"/>
      <c r="U382" s="81"/>
      <c r="V382" s="81"/>
      <c r="W382" s="81"/>
      <c r="X382" s="81"/>
      <c r="Y382" s="81"/>
      <c r="Z382" s="81"/>
    </row>
    <row r="383" ht="15.75" customHeight="1">
      <c r="A383" s="83"/>
      <c r="B383" s="94"/>
      <c r="C383" s="83"/>
      <c r="D383" s="95"/>
      <c r="E383" s="95"/>
      <c r="F383" s="96"/>
      <c r="G383" s="97"/>
      <c r="H383" s="97"/>
      <c r="I383" s="97"/>
      <c r="J383" s="95"/>
      <c r="K383" s="98"/>
      <c r="L383" s="95"/>
      <c r="M383" s="99"/>
      <c r="N383" s="95"/>
      <c r="O383" s="95"/>
      <c r="P383" s="100"/>
      <c r="Q383" s="100"/>
      <c r="R383" s="81"/>
      <c r="S383" s="81"/>
      <c r="T383" s="81"/>
      <c r="U383" s="81"/>
      <c r="V383" s="81"/>
      <c r="W383" s="81"/>
      <c r="X383" s="81"/>
      <c r="Y383" s="81"/>
      <c r="Z383" s="81"/>
    </row>
    <row r="384" ht="15.75" customHeight="1">
      <c r="A384" s="83"/>
      <c r="B384" s="94"/>
      <c r="C384" s="83"/>
      <c r="D384" s="95"/>
      <c r="E384" s="95"/>
      <c r="F384" s="96"/>
      <c r="G384" s="97"/>
      <c r="H384" s="97"/>
      <c r="I384" s="97"/>
      <c r="J384" s="95"/>
      <c r="K384" s="98"/>
      <c r="L384" s="95"/>
      <c r="M384" s="99"/>
      <c r="N384" s="95"/>
      <c r="O384" s="95"/>
      <c r="P384" s="100"/>
      <c r="Q384" s="100"/>
      <c r="R384" s="81"/>
      <c r="S384" s="81"/>
      <c r="T384" s="81"/>
      <c r="U384" s="81"/>
      <c r="V384" s="81"/>
      <c r="W384" s="81"/>
      <c r="X384" s="81"/>
      <c r="Y384" s="81"/>
      <c r="Z384" s="81"/>
    </row>
    <row r="385" ht="15.75" customHeight="1">
      <c r="A385" s="83"/>
      <c r="B385" s="94"/>
      <c r="C385" s="83"/>
      <c r="D385" s="95"/>
      <c r="E385" s="95"/>
      <c r="F385" s="96"/>
      <c r="G385" s="97"/>
      <c r="H385" s="97"/>
      <c r="I385" s="97"/>
      <c r="J385" s="95"/>
      <c r="K385" s="98"/>
      <c r="L385" s="95"/>
      <c r="M385" s="99"/>
      <c r="N385" s="95"/>
      <c r="O385" s="95"/>
      <c r="P385" s="100"/>
      <c r="Q385" s="100"/>
      <c r="R385" s="81"/>
      <c r="S385" s="81"/>
      <c r="T385" s="81"/>
      <c r="U385" s="81"/>
      <c r="V385" s="81"/>
      <c r="W385" s="81"/>
      <c r="X385" s="81"/>
      <c r="Y385" s="81"/>
      <c r="Z385" s="81"/>
    </row>
    <row r="386" ht="15.75" customHeight="1">
      <c r="A386" s="83"/>
      <c r="B386" s="94"/>
      <c r="C386" s="83"/>
      <c r="D386" s="95"/>
      <c r="E386" s="95"/>
      <c r="F386" s="96"/>
      <c r="G386" s="97"/>
      <c r="H386" s="97"/>
      <c r="I386" s="97"/>
      <c r="J386" s="95"/>
      <c r="K386" s="98"/>
      <c r="L386" s="95"/>
      <c r="M386" s="99"/>
      <c r="N386" s="95"/>
      <c r="O386" s="95"/>
      <c r="P386" s="100"/>
      <c r="Q386" s="100"/>
      <c r="R386" s="81"/>
      <c r="S386" s="81"/>
      <c r="T386" s="81"/>
      <c r="U386" s="81"/>
      <c r="V386" s="81"/>
      <c r="W386" s="81"/>
      <c r="X386" s="81"/>
      <c r="Y386" s="81"/>
      <c r="Z386" s="81"/>
    </row>
    <row r="387" ht="15.75" customHeight="1">
      <c r="A387" s="83"/>
      <c r="B387" s="94"/>
      <c r="C387" s="83"/>
      <c r="D387" s="95"/>
      <c r="E387" s="95"/>
      <c r="F387" s="96"/>
      <c r="G387" s="97"/>
      <c r="H387" s="97"/>
      <c r="I387" s="97"/>
      <c r="J387" s="95"/>
      <c r="K387" s="98"/>
      <c r="L387" s="95"/>
      <c r="M387" s="99"/>
      <c r="N387" s="95"/>
      <c r="O387" s="95"/>
      <c r="P387" s="100"/>
      <c r="Q387" s="100"/>
      <c r="R387" s="81"/>
      <c r="S387" s="81"/>
      <c r="T387" s="81"/>
      <c r="U387" s="81"/>
      <c r="V387" s="81"/>
      <c r="W387" s="81"/>
      <c r="X387" s="81"/>
      <c r="Y387" s="81"/>
      <c r="Z387" s="81"/>
    </row>
    <row r="388" ht="15.75" customHeight="1">
      <c r="A388" s="83"/>
      <c r="B388" s="94"/>
      <c r="C388" s="83"/>
      <c r="D388" s="95"/>
      <c r="E388" s="95"/>
      <c r="F388" s="96"/>
      <c r="G388" s="97"/>
      <c r="H388" s="97"/>
      <c r="I388" s="97"/>
      <c r="J388" s="95"/>
      <c r="K388" s="98"/>
      <c r="L388" s="95"/>
      <c r="M388" s="99"/>
      <c r="N388" s="95"/>
      <c r="O388" s="95"/>
      <c r="P388" s="100"/>
      <c r="Q388" s="100"/>
      <c r="R388" s="81"/>
      <c r="S388" s="81"/>
      <c r="T388" s="81"/>
      <c r="U388" s="81"/>
      <c r="V388" s="81"/>
      <c r="W388" s="81"/>
      <c r="X388" s="81"/>
      <c r="Y388" s="81"/>
      <c r="Z388" s="81"/>
    </row>
    <row r="389" ht="15.75" customHeight="1">
      <c r="A389" s="83"/>
      <c r="B389" s="94"/>
      <c r="C389" s="83"/>
      <c r="D389" s="95"/>
      <c r="E389" s="95"/>
      <c r="F389" s="96"/>
      <c r="G389" s="97"/>
      <c r="H389" s="97"/>
      <c r="I389" s="97"/>
      <c r="J389" s="95"/>
      <c r="K389" s="98"/>
      <c r="L389" s="95"/>
      <c r="M389" s="99"/>
      <c r="N389" s="95"/>
      <c r="O389" s="95"/>
      <c r="P389" s="100"/>
      <c r="Q389" s="100"/>
      <c r="R389" s="81"/>
      <c r="S389" s="81"/>
      <c r="T389" s="81"/>
      <c r="U389" s="81"/>
      <c r="V389" s="81"/>
      <c r="W389" s="81"/>
      <c r="X389" s="81"/>
      <c r="Y389" s="81"/>
      <c r="Z389" s="81"/>
    </row>
    <row r="390" ht="15.75" customHeight="1">
      <c r="A390" s="83"/>
      <c r="B390" s="94"/>
      <c r="C390" s="83"/>
      <c r="D390" s="95"/>
      <c r="E390" s="95"/>
      <c r="F390" s="96"/>
      <c r="G390" s="97"/>
      <c r="H390" s="97"/>
      <c r="I390" s="97"/>
      <c r="J390" s="95"/>
      <c r="K390" s="98"/>
      <c r="L390" s="95"/>
      <c r="M390" s="99"/>
      <c r="N390" s="95"/>
      <c r="O390" s="95"/>
      <c r="P390" s="100"/>
      <c r="Q390" s="100"/>
      <c r="R390" s="81"/>
      <c r="S390" s="81"/>
      <c r="T390" s="81"/>
      <c r="U390" s="81"/>
      <c r="V390" s="81"/>
      <c r="W390" s="81"/>
      <c r="X390" s="81"/>
      <c r="Y390" s="81"/>
      <c r="Z390" s="81"/>
    </row>
    <row r="391" ht="15.75" customHeight="1">
      <c r="A391" s="83"/>
      <c r="B391" s="94"/>
      <c r="C391" s="83"/>
      <c r="D391" s="95"/>
      <c r="E391" s="95"/>
      <c r="F391" s="96"/>
      <c r="G391" s="97"/>
      <c r="H391" s="97"/>
      <c r="I391" s="97"/>
      <c r="J391" s="95"/>
      <c r="K391" s="98"/>
      <c r="L391" s="95"/>
      <c r="M391" s="99"/>
      <c r="N391" s="95"/>
      <c r="O391" s="95"/>
      <c r="P391" s="100"/>
      <c r="Q391" s="100"/>
      <c r="R391" s="81"/>
      <c r="S391" s="81"/>
      <c r="T391" s="81"/>
      <c r="U391" s="81"/>
      <c r="V391" s="81"/>
      <c r="W391" s="81"/>
      <c r="X391" s="81"/>
      <c r="Y391" s="81"/>
      <c r="Z391" s="81"/>
    </row>
    <row r="392" ht="15.75" customHeight="1">
      <c r="A392" s="83"/>
      <c r="B392" s="94"/>
      <c r="C392" s="83"/>
      <c r="D392" s="95"/>
      <c r="E392" s="95"/>
      <c r="F392" s="96"/>
      <c r="G392" s="97"/>
      <c r="H392" s="97"/>
      <c r="I392" s="97"/>
      <c r="J392" s="95"/>
      <c r="K392" s="98"/>
      <c r="L392" s="95"/>
      <c r="M392" s="99"/>
      <c r="N392" s="95"/>
      <c r="O392" s="95"/>
      <c r="P392" s="100"/>
      <c r="Q392" s="100"/>
      <c r="R392" s="81"/>
      <c r="S392" s="81"/>
      <c r="T392" s="81"/>
      <c r="U392" s="81"/>
      <c r="V392" s="81"/>
      <c r="W392" s="81"/>
      <c r="X392" s="81"/>
      <c r="Y392" s="81"/>
      <c r="Z392" s="81"/>
    </row>
    <row r="393" ht="15.75" customHeight="1">
      <c r="A393" s="83"/>
      <c r="B393" s="94"/>
      <c r="C393" s="83"/>
      <c r="D393" s="95"/>
      <c r="E393" s="95"/>
      <c r="F393" s="96"/>
      <c r="G393" s="97"/>
      <c r="H393" s="97"/>
      <c r="I393" s="97"/>
      <c r="J393" s="95"/>
      <c r="K393" s="98"/>
      <c r="L393" s="95"/>
      <c r="M393" s="99"/>
      <c r="N393" s="95"/>
      <c r="O393" s="95"/>
      <c r="P393" s="100"/>
      <c r="Q393" s="100"/>
      <c r="R393" s="81"/>
      <c r="S393" s="81"/>
      <c r="T393" s="81"/>
      <c r="U393" s="81"/>
      <c r="V393" s="81"/>
      <c r="W393" s="81"/>
      <c r="X393" s="81"/>
      <c r="Y393" s="81"/>
      <c r="Z393" s="81"/>
    </row>
    <row r="394" ht="15.75" customHeight="1">
      <c r="A394" s="83"/>
      <c r="B394" s="94"/>
      <c r="C394" s="83"/>
      <c r="D394" s="95"/>
      <c r="E394" s="95"/>
      <c r="F394" s="96"/>
      <c r="G394" s="97"/>
      <c r="H394" s="97"/>
      <c r="I394" s="97"/>
      <c r="J394" s="95"/>
      <c r="K394" s="98"/>
      <c r="L394" s="95"/>
      <c r="M394" s="99"/>
      <c r="N394" s="95"/>
      <c r="O394" s="95"/>
      <c r="P394" s="100"/>
      <c r="Q394" s="100"/>
      <c r="R394" s="81"/>
      <c r="S394" s="81"/>
      <c r="T394" s="81"/>
      <c r="U394" s="81"/>
      <c r="V394" s="81"/>
      <c r="W394" s="81"/>
      <c r="X394" s="81"/>
      <c r="Y394" s="81"/>
      <c r="Z394" s="81"/>
    </row>
    <row r="395" ht="15.75" customHeight="1">
      <c r="A395" s="83"/>
      <c r="B395" s="94"/>
      <c r="C395" s="83"/>
      <c r="D395" s="95"/>
      <c r="E395" s="95"/>
      <c r="F395" s="96"/>
      <c r="G395" s="97"/>
      <c r="H395" s="97"/>
      <c r="I395" s="97"/>
      <c r="J395" s="95"/>
      <c r="K395" s="98"/>
      <c r="L395" s="95"/>
      <c r="M395" s="99"/>
      <c r="N395" s="95"/>
      <c r="O395" s="95"/>
      <c r="P395" s="100"/>
      <c r="Q395" s="100"/>
      <c r="R395" s="81"/>
      <c r="S395" s="81"/>
      <c r="T395" s="81"/>
      <c r="U395" s="81"/>
      <c r="V395" s="81"/>
      <c r="W395" s="81"/>
      <c r="X395" s="81"/>
      <c r="Y395" s="81"/>
      <c r="Z395" s="81"/>
    </row>
    <row r="396" ht="15.75" customHeight="1">
      <c r="A396" s="83"/>
      <c r="B396" s="94"/>
      <c r="C396" s="83"/>
      <c r="D396" s="95"/>
      <c r="E396" s="95"/>
      <c r="F396" s="96"/>
      <c r="G396" s="97"/>
      <c r="H396" s="97"/>
      <c r="I396" s="97"/>
      <c r="J396" s="95"/>
      <c r="K396" s="98"/>
      <c r="L396" s="95"/>
      <c r="M396" s="99"/>
      <c r="N396" s="95"/>
      <c r="O396" s="95"/>
      <c r="P396" s="100"/>
      <c r="Q396" s="100"/>
      <c r="R396" s="81"/>
      <c r="S396" s="81"/>
      <c r="T396" s="81"/>
      <c r="U396" s="81"/>
      <c r="V396" s="81"/>
      <c r="W396" s="81"/>
      <c r="X396" s="81"/>
      <c r="Y396" s="81"/>
      <c r="Z396" s="81"/>
    </row>
    <row r="397" ht="15.75" customHeight="1">
      <c r="A397" s="83"/>
      <c r="B397" s="94"/>
      <c r="C397" s="83"/>
      <c r="D397" s="95"/>
      <c r="E397" s="95"/>
      <c r="F397" s="96"/>
      <c r="G397" s="97"/>
      <c r="H397" s="97"/>
      <c r="I397" s="97"/>
      <c r="J397" s="95"/>
      <c r="K397" s="98"/>
      <c r="L397" s="95"/>
      <c r="M397" s="99"/>
      <c r="N397" s="95"/>
      <c r="O397" s="95"/>
      <c r="P397" s="100"/>
      <c r="Q397" s="100"/>
      <c r="R397" s="81"/>
      <c r="S397" s="81"/>
      <c r="T397" s="81"/>
      <c r="U397" s="81"/>
      <c r="V397" s="81"/>
      <c r="W397" s="81"/>
      <c r="X397" s="81"/>
      <c r="Y397" s="81"/>
      <c r="Z397" s="81"/>
    </row>
    <row r="398" ht="15.75" customHeight="1">
      <c r="A398" s="83"/>
      <c r="B398" s="94"/>
      <c r="C398" s="83"/>
      <c r="D398" s="95"/>
      <c r="E398" s="95"/>
      <c r="F398" s="96"/>
      <c r="G398" s="97"/>
      <c r="H398" s="97"/>
      <c r="I398" s="97"/>
      <c r="J398" s="95"/>
      <c r="K398" s="98"/>
      <c r="L398" s="95"/>
      <c r="M398" s="99"/>
      <c r="N398" s="95"/>
      <c r="O398" s="95"/>
      <c r="P398" s="100"/>
      <c r="Q398" s="100"/>
      <c r="R398" s="81"/>
      <c r="S398" s="81"/>
      <c r="T398" s="81"/>
      <c r="U398" s="81"/>
      <c r="V398" s="81"/>
      <c r="W398" s="81"/>
      <c r="X398" s="81"/>
      <c r="Y398" s="81"/>
      <c r="Z398" s="81"/>
    </row>
    <row r="399" ht="15.75" customHeight="1">
      <c r="A399" s="83"/>
      <c r="B399" s="94"/>
      <c r="C399" s="83"/>
      <c r="D399" s="95"/>
      <c r="E399" s="95"/>
      <c r="F399" s="96"/>
      <c r="G399" s="97"/>
      <c r="H399" s="97"/>
      <c r="I399" s="97"/>
      <c r="J399" s="95"/>
      <c r="K399" s="98"/>
      <c r="L399" s="95"/>
      <c r="M399" s="99"/>
      <c r="N399" s="95"/>
      <c r="O399" s="95"/>
      <c r="P399" s="100"/>
      <c r="Q399" s="100"/>
      <c r="R399" s="81"/>
      <c r="S399" s="81"/>
      <c r="T399" s="81"/>
      <c r="U399" s="81"/>
      <c r="V399" s="81"/>
      <c r="W399" s="81"/>
      <c r="X399" s="81"/>
      <c r="Y399" s="81"/>
      <c r="Z399" s="81"/>
    </row>
    <row r="400" ht="15.75" customHeight="1">
      <c r="A400" s="83"/>
      <c r="B400" s="94"/>
      <c r="C400" s="83"/>
      <c r="D400" s="95"/>
      <c r="E400" s="95"/>
      <c r="F400" s="96"/>
      <c r="G400" s="97"/>
      <c r="H400" s="97"/>
      <c r="I400" s="97"/>
      <c r="J400" s="95"/>
      <c r="K400" s="98"/>
      <c r="L400" s="95"/>
      <c r="M400" s="99"/>
      <c r="N400" s="95"/>
      <c r="O400" s="95"/>
      <c r="P400" s="100"/>
      <c r="Q400" s="100"/>
      <c r="R400" s="81"/>
      <c r="S400" s="81"/>
      <c r="T400" s="81"/>
      <c r="U400" s="81"/>
      <c r="V400" s="81"/>
      <c r="W400" s="81"/>
      <c r="X400" s="81"/>
      <c r="Y400" s="81"/>
      <c r="Z400" s="81"/>
    </row>
    <row r="401" ht="15.75" customHeight="1">
      <c r="A401" s="83"/>
      <c r="B401" s="94"/>
      <c r="C401" s="83"/>
      <c r="D401" s="95"/>
      <c r="E401" s="95"/>
      <c r="F401" s="96"/>
      <c r="G401" s="97"/>
      <c r="H401" s="97"/>
      <c r="I401" s="97"/>
      <c r="J401" s="95"/>
      <c r="K401" s="98"/>
      <c r="L401" s="95"/>
      <c r="M401" s="99"/>
      <c r="N401" s="95"/>
      <c r="O401" s="95"/>
      <c r="P401" s="100"/>
      <c r="Q401" s="100"/>
      <c r="R401" s="81"/>
      <c r="S401" s="81"/>
      <c r="T401" s="81"/>
      <c r="U401" s="81"/>
      <c r="V401" s="81"/>
      <c r="W401" s="81"/>
      <c r="X401" s="81"/>
      <c r="Y401" s="81"/>
      <c r="Z401" s="81"/>
    </row>
    <row r="402" ht="15.75" customHeight="1">
      <c r="A402" s="83"/>
      <c r="B402" s="94"/>
      <c r="C402" s="83"/>
      <c r="D402" s="95"/>
      <c r="E402" s="95"/>
      <c r="F402" s="96"/>
      <c r="G402" s="97"/>
      <c r="H402" s="97"/>
      <c r="I402" s="97"/>
      <c r="J402" s="95"/>
      <c r="K402" s="98"/>
      <c r="L402" s="95"/>
      <c r="M402" s="99"/>
      <c r="N402" s="95"/>
      <c r="O402" s="95"/>
      <c r="P402" s="100"/>
      <c r="Q402" s="100"/>
      <c r="R402" s="81"/>
      <c r="S402" s="81"/>
      <c r="T402" s="81"/>
      <c r="U402" s="81"/>
      <c r="V402" s="81"/>
      <c r="W402" s="81"/>
      <c r="X402" s="81"/>
      <c r="Y402" s="81"/>
      <c r="Z402" s="81"/>
    </row>
    <row r="403" ht="15.75" customHeight="1">
      <c r="A403" s="83"/>
      <c r="B403" s="94"/>
      <c r="C403" s="83"/>
      <c r="D403" s="95"/>
      <c r="E403" s="95"/>
      <c r="F403" s="96"/>
      <c r="G403" s="97"/>
      <c r="H403" s="97"/>
      <c r="I403" s="97"/>
      <c r="J403" s="95"/>
      <c r="K403" s="98"/>
      <c r="L403" s="95"/>
      <c r="M403" s="99"/>
      <c r="N403" s="95"/>
      <c r="O403" s="95"/>
      <c r="P403" s="100"/>
      <c r="Q403" s="100"/>
      <c r="R403" s="81"/>
      <c r="S403" s="81"/>
      <c r="T403" s="81"/>
      <c r="U403" s="81"/>
      <c r="V403" s="81"/>
      <c r="W403" s="81"/>
      <c r="X403" s="81"/>
      <c r="Y403" s="81"/>
      <c r="Z403" s="81"/>
    </row>
    <row r="404" ht="15.75" customHeight="1">
      <c r="A404" s="83"/>
      <c r="B404" s="94"/>
      <c r="C404" s="83"/>
      <c r="D404" s="95"/>
      <c r="E404" s="95"/>
      <c r="F404" s="96"/>
      <c r="G404" s="97"/>
      <c r="H404" s="97"/>
      <c r="I404" s="97"/>
      <c r="J404" s="95"/>
      <c r="K404" s="98"/>
      <c r="L404" s="95"/>
      <c r="M404" s="99"/>
      <c r="N404" s="95"/>
      <c r="O404" s="95"/>
      <c r="P404" s="100"/>
      <c r="Q404" s="100"/>
      <c r="R404" s="81"/>
      <c r="S404" s="81"/>
      <c r="T404" s="81"/>
      <c r="U404" s="81"/>
      <c r="V404" s="81"/>
      <c r="W404" s="81"/>
      <c r="X404" s="81"/>
      <c r="Y404" s="81"/>
      <c r="Z404" s="81"/>
    </row>
    <row r="405" ht="15.75" customHeight="1">
      <c r="A405" s="83"/>
      <c r="B405" s="94"/>
      <c r="C405" s="83"/>
      <c r="D405" s="95"/>
      <c r="E405" s="95"/>
      <c r="F405" s="96"/>
      <c r="G405" s="97"/>
      <c r="H405" s="97"/>
      <c r="I405" s="97"/>
      <c r="J405" s="95"/>
      <c r="K405" s="98"/>
      <c r="L405" s="95"/>
      <c r="M405" s="99"/>
      <c r="N405" s="95"/>
      <c r="O405" s="95"/>
      <c r="P405" s="100"/>
      <c r="Q405" s="100"/>
      <c r="R405" s="81"/>
      <c r="S405" s="81"/>
      <c r="T405" s="81"/>
      <c r="U405" s="81"/>
      <c r="V405" s="81"/>
      <c r="W405" s="81"/>
      <c r="X405" s="81"/>
      <c r="Y405" s="81"/>
      <c r="Z405" s="81"/>
    </row>
    <row r="406" ht="15.75" customHeight="1">
      <c r="A406" s="83"/>
      <c r="B406" s="94"/>
      <c r="C406" s="83"/>
      <c r="D406" s="95"/>
      <c r="E406" s="95"/>
      <c r="F406" s="96"/>
      <c r="G406" s="97"/>
      <c r="H406" s="97"/>
      <c r="I406" s="97"/>
      <c r="J406" s="95"/>
      <c r="K406" s="98"/>
      <c r="L406" s="95"/>
      <c r="M406" s="99"/>
      <c r="N406" s="95"/>
      <c r="O406" s="95"/>
      <c r="P406" s="100"/>
      <c r="Q406" s="100"/>
      <c r="R406" s="81"/>
      <c r="S406" s="81"/>
      <c r="T406" s="81"/>
      <c r="U406" s="81"/>
      <c r="V406" s="81"/>
      <c r="W406" s="81"/>
      <c r="X406" s="81"/>
      <c r="Y406" s="81"/>
      <c r="Z406" s="81"/>
    </row>
    <row r="407" ht="15.75" customHeight="1">
      <c r="A407" s="83"/>
      <c r="B407" s="94"/>
      <c r="C407" s="83"/>
      <c r="D407" s="95"/>
      <c r="E407" s="95"/>
      <c r="F407" s="96"/>
      <c r="G407" s="97"/>
      <c r="H407" s="97"/>
      <c r="I407" s="97"/>
      <c r="J407" s="95"/>
      <c r="K407" s="98"/>
      <c r="L407" s="95"/>
      <c r="M407" s="99"/>
      <c r="N407" s="95"/>
      <c r="O407" s="95"/>
      <c r="P407" s="100"/>
      <c r="Q407" s="100"/>
      <c r="R407" s="81"/>
      <c r="S407" s="81"/>
      <c r="T407" s="81"/>
      <c r="U407" s="81"/>
      <c r="V407" s="81"/>
      <c r="W407" s="81"/>
      <c r="X407" s="81"/>
      <c r="Y407" s="81"/>
      <c r="Z407" s="81"/>
    </row>
    <row r="408" ht="15.75" customHeight="1">
      <c r="A408" s="83"/>
      <c r="B408" s="94"/>
      <c r="C408" s="83"/>
      <c r="D408" s="95"/>
      <c r="E408" s="95"/>
      <c r="F408" s="96"/>
      <c r="G408" s="97"/>
      <c r="H408" s="97"/>
      <c r="I408" s="97"/>
      <c r="J408" s="95"/>
      <c r="K408" s="98"/>
      <c r="L408" s="95"/>
      <c r="M408" s="99"/>
      <c r="N408" s="95"/>
      <c r="O408" s="95"/>
      <c r="P408" s="100"/>
      <c r="Q408" s="100"/>
      <c r="R408" s="81"/>
      <c r="S408" s="81"/>
      <c r="T408" s="81"/>
      <c r="U408" s="81"/>
      <c r="V408" s="81"/>
      <c r="W408" s="81"/>
      <c r="X408" s="81"/>
      <c r="Y408" s="81"/>
      <c r="Z408" s="81"/>
    </row>
    <row r="409" ht="15.75" customHeight="1">
      <c r="A409" s="83"/>
      <c r="B409" s="94"/>
      <c r="C409" s="83"/>
      <c r="D409" s="95"/>
      <c r="E409" s="95"/>
      <c r="F409" s="96"/>
      <c r="G409" s="97"/>
      <c r="H409" s="97"/>
      <c r="I409" s="97"/>
      <c r="J409" s="95"/>
      <c r="K409" s="98"/>
      <c r="L409" s="95"/>
      <c r="M409" s="99"/>
      <c r="N409" s="95"/>
      <c r="O409" s="95"/>
      <c r="P409" s="100"/>
      <c r="Q409" s="100"/>
      <c r="R409" s="81"/>
      <c r="S409" s="81"/>
      <c r="T409" s="81"/>
      <c r="U409" s="81"/>
      <c r="V409" s="81"/>
      <c r="W409" s="81"/>
      <c r="X409" s="81"/>
      <c r="Y409" s="81"/>
      <c r="Z409" s="81"/>
    </row>
    <row r="410" ht="15.75" customHeight="1">
      <c r="A410" s="83"/>
      <c r="B410" s="94"/>
      <c r="C410" s="83"/>
      <c r="D410" s="95"/>
      <c r="E410" s="95"/>
      <c r="F410" s="96"/>
      <c r="G410" s="97"/>
      <c r="H410" s="97"/>
      <c r="I410" s="97"/>
      <c r="J410" s="95"/>
      <c r="K410" s="98"/>
      <c r="L410" s="95"/>
      <c r="M410" s="99"/>
      <c r="N410" s="95"/>
      <c r="O410" s="95"/>
      <c r="P410" s="100"/>
      <c r="Q410" s="100"/>
      <c r="R410" s="81"/>
      <c r="S410" s="81"/>
      <c r="T410" s="81"/>
      <c r="U410" s="81"/>
      <c r="V410" s="81"/>
      <c r="W410" s="81"/>
      <c r="X410" s="81"/>
      <c r="Y410" s="81"/>
      <c r="Z410" s="81"/>
    </row>
    <row r="411" ht="15.75" customHeight="1">
      <c r="A411" s="83"/>
      <c r="B411" s="94"/>
      <c r="C411" s="83"/>
      <c r="D411" s="95"/>
      <c r="E411" s="95"/>
      <c r="F411" s="96"/>
      <c r="G411" s="97"/>
      <c r="H411" s="97"/>
      <c r="I411" s="97"/>
      <c r="J411" s="95"/>
      <c r="K411" s="98"/>
      <c r="L411" s="95"/>
      <c r="M411" s="99"/>
      <c r="N411" s="95"/>
      <c r="O411" s="95"/>
      <c r="P411" s="100"/>
      <c r="Q411" s="100"/>
      <c r="R411" s="81"/>
      <c r="S411" s="81"/>
      <c r="T411" s="81"/>
      <c r="U411" s="81"/>
      <c r="V411" s="81"/>
      <c r="W411" s="81"/>
      <c r="X411" s="81"/>
      <c r="Y411" s="81"/>
      <c r="Z411" s="81"/>
    </row>
    <row r="412" ht="15.75" customHeight="1">
      <c r="A412" s="83"/>
      <c r="B412" s="94"/>
      <c r="C412" s="83"/>
      <c r="D412" s="95"/>
      <c r="E412" s="95"/>
      <c r="F412" s="96"/>
      <c r="G412" s="97"/>
      <c r="H412" s="97"/>
      <c r="I412" s="97"/>
      <c r="J412" s="95"/>
      <c r="K412" s="98"/>
      <c r="L412" s="95"/>
      <c r="M412" s="99"/>
      <c r="N412" s="95"/>
      <c r="O412" s="95"/>
      <c r="P412" s="100"/>
      <c r="Q412" s="100"/>
      <c r="R412" s="81"/>
      <c r="S412" s="81"/>
      <c r="T412" s="81"/>
      <c r="U412" s="81"/>
      <c r="V412" s="81"/>
      <c r="W412" s="81"/>
      <c r="X412" s="81"/>
      <c r="Y412" s="81"/>
      <c r="Z412" s="81"/>
    </row>
    <row r="413" ht="15.75" customHeight="1">
      <c r="A413" s="83"/>
      <c r="B413" s="94"/>
      <c r="C413" s="83"/>
      <c r="D413" s="95"/>
      <c r="E413" s="95"/>
      <c r="F413" s="96"/>
      <c r="G413" s="97"/>
      <c r="H413" s="97"/>
      <c r="I413" s="97"/>
      <c r="J413" s="95"/>
      <c r="K413" s="98"/>
      <c r="L413" s="95"/>
      <c r="M413" s="99"/>
      <c r="N413" s="95"/>
      <c r="O413" s="95"/>
      <c r="P413" s="100"/>
      <c r="Q413" s="100"/>
      <c r="R413" s="81"/>
      <c r="S413" s="81"/>
      <c r="T413" s="81"/>
      <c r="U413" s="81"/>
      <c r="V413" s="81"/>
      <c r="W413" s="81"/>
      <c r="X413" s="81"/>
      <c r="Y413" s="81"/>
      <c r="Z413" s="81"/>
    </row>
    <row r="414" ht="15.75" customHeight="1">
      <c r="A414" s="83"/>
      <c r="B414" s="94"/>
      <c r="C414" s="83"/>
      <c r="D414" s="95"/>
      <c r="E414" s="95"/>
      <c r="F414" s="96"/>
      <c r="G414" s="97"/>
      <c r="H414" s="97"/>
      <c r="I414" s="97"/>
      <c r="J414" s="95"/>
      <c r="K414" s="98"/>
      <c r="L414" s="95"/>
      <c r="M414" s="99"/>
      <c r="N414" s="95"/>
      <c r="O414" s="95"/>
      <c r="P414" s="100"/>
      <c r="Q414" s="100"/>
      <c r="R414" s="81"/>
      <c r="S414" s="81"/>
      <c r="T414" s="81"/>
      <c r="U414" s="81"/>
      <c r="V414" s="81"/>
      <c r="W414" s="81"/>
      <c r="X414" s="81"/>
      <c r="Y414" s="81"/>
      <c r="Z414" s="81"/>
    </row>
    <row r="415" ht="15.75" customHeight="1">
      <c r="A415" s="83"/>
      <c r="B415" s="94"/>
      <c r="C415" s="83"/>
      <c r="D415" s="95"/>
      <c r="E415" s="95"/>
      <c r="F415" s="96"/>
      <c r="G415" s="97"/>
      <c r="H415" s="97"/>
      <c r="I415" s="97"/>
      <c r="J415" s="95"/>
      <c r="K415" s="98"/>
      <c r="L415" s="95"/>
      <c r="M415" s="99"/>
      <c r="N415" s="95"/>
      <c r="O415" s="95"/>
      <c r="P415" s="100"/>
      <c r="Q415" s="100"/>
      <c r="R415" s="81"/>
      <c r="S415" s="81"/>
      <c r="T415" s="81"/>
      <c r="U415" s="81"/>
      <c r="V415" s="81"/>
      <c r="W415" s="81"/>
      <c r="X415" s="81"/>
      <c r="Y415" s="81"/>
      <c r="Z415" s="81"/>
    </row>
    <row r="416" ht="15.75" customHeight="1">
      <c r="A416" s="83"/>
      <c r="B416" s="94"/>
      <c r="C416" s="83"/>
      <c r="D416" s="95"/>
      <c r="E416" s="95"/>
      <c r="F416" s="96"/>
      <c r="G416" s="97"/>
      <c r="H416" s="97"/>
      <c r="I416" s="97"/>
      <c r="J416" s="95"/>
      <c r="K416" s="98"/>
      <c r="L416" s="95"/>
      <c r="M416" s="99"/>
      <c r="N416" s="95"/>
      <c r="O416" s="95"/>
      <c r="P416" s="100"/>
      <c r="Q416" s="100"/>
      <c r="R416" s="81"/>
      <c r="S416" s="81"/>
      <c r="T416" s="81"/>
      <c r="U416" s="81"/>
      <c r="V416" s="81"/>
      <c r="W416" s="81"/>
      <c r="X416" s="81"/>
      <c r="Y416" s="81"/>
      <c r="Z416" s="81"/>
    </row>
    <row r="417" ht="15.75" customHeight="1">
      <c r="A417" s="83"/>
      <c r="B417" s="94"/>
      <c r="C417" s="83"/>
      <c r="D417" s="95"/>
      <c r="E417" s="95"/>
      <c r="F417" s="96"/>
      <c r="G417" s="97"/>
      <c r="H417" s="97"/>
      <c r="I417" s="97"/>
      <c r="J417" s="95"/>
      <c r="K417" s="98"/>
      <c r="L417" s="95"/>
      <c r="M417" s="99"/>
      <c r="N417" s="95"/>
      <c r="O417" s="95"/>
      <c r="P417" s="100"/>
      <c r="Q417" s="100"/>
      <c r="R417" s="81"/>
      <c r="S417" s="81"/>
      <c r="T417" s="81"/>
      <c r="U417" s="81"/>
      <c r="V417" s="81"/>
      <c r="W417" s="81"/>
      <c r="X417" s="81"/>
      <c r="Y417" s="81"/>
      <c r="Z417" s="81"/>
    </row>
    <row r="418" ht="15.75" customHeight="1">
      <c r="A418" s="83"/>
      <c r="B418" s="94"/>
      <c r="C418" s="83"/>
      <c r="D418" s="95"/>
      <c r="E418" s="95"/>
      <c r="F418" s="96"/>
      <c r="G418" s="97"/>
      <c r="H418" s="97"/>
      <c r="I418" s="97"/>
      <c r="J418" s="95"/>
      <c r="K418" s="98"/>
      <c r="L418" s="95"/>
      <c r="M418" s="99"/>
      <c r="N418" s="95"/>
      <c r="O418" s="95"/>
      <c r="P418" s="100"/>
      <c r="Q418" s="100"/>
      <c r="R418" s="81"/>
      <c r="S418" s="81"/>
      <c r="T418" s="81"/>
      <c r="U418" s="81"/>
      <c r="V418" s="81"/>
      <c r="W418" s="81"/>
      <c r="X418" s="81"/>
      <c r="Y418" s="81"/>
      <c r="Z418" s="81"/>
    </row>
    <row r="419" ht="15.75" customHeight="1">
      <c r="A419" s="83"/>
      <c r="B419" s="94"/>
      <c r="C419" s="83"/>
      <c r="D419" s="95"/>
      <c r="E419" s="95"/>
      <c r="F419" s="96"/>
      <c r="G419" s="97"/>
      <c r="H419" s="97"/>
      <c r="I419" s="97"/>
      <c r="J419" s="95"/>
      <c r="K419" s="98"/>
      <c r="L419" s="95"/>
      <c r="M419" s="99"/>
      <c r="N419" s="95"/>
      <c r="O419" s="95"/>
      <c r="P419" s="100"/>
      <c r="Q419" s="100"/>
      <c r="R419" s="81"/>
      <c r="S419" s="81"/>
      <c r="T419" s="81"/>
      <c r="U419" s="81"/>
      <c r="V419" s="81"/>
      <c r="W419" s="81"/>
      <c r="X419" s="81"/>
      <c r="Y419" s="81"/>
      <c r="Z419" s="81"/>
    </row>
    <row r="420" ht="15.75" customHeight="1">
      <c r="A420" s="83"/>
      <c r="B420" s="94"/>
      <c r="C420" s="83"/>
      <c r="D420" s="95"/>
      <c r="E420" s="95"/>
      <c r="F420" s="96"/>
      <c r="G420" s="97"/>
      <c r="H420" s="97"/>
      <c r="I420" s="97"/>
      <c r="J420" s="95"/>
      <c r="K420" s="98"/>
      <c r="L420" s="95"/>
      <c r="M420" s="99"/>
      <c r="N420" s="95"/>
      <c r="O420" s="95"/>
      <c r="P420" s="100"/>
      <c r="Q420" s="100"/>
      <c r="R420" s="81"/>
      <c r="S420" s="81"/>
      <c r="T420" s="81"/>
      <c r="U420" s="81"/>
      <c r="V420" s="81"/>
      <c r="W420" s="81"/>
      <c r="X420" s="81"/>
      <c r="Y420" s="81"/>
      <c r="Z420" s="81"/>
    </row>
    <row r="421" ht="15.75" customHeight="1">
      <c r="A421" s="83"/>
      <c r="B421" s="94"/>
      <c r="C421" s="83"/>
      <c r="D421" s="95"/>
      <c r="E421" s="95"/>
      <c r="F421" s="96"/>
      <c r="G421" s="97"/>
      <c r="H421" s="97"/>
      <c r="I421" s="97"/>
      <c r="J421" s="95"/>
      <c r="K421" s="98"/>
      <c r="L421" s="95"/>
      <c r="M421" s="99"/>
      <c r="N421" s="95"/>
      <c r="O421" s="95"/>
      <c r="P421" s="100"/>
      <c r="Q421" s="100"/>
      <c r="R421" s="81"/>
      <c r="S421" s="81"/>
      <c r="T421" s="81"/>
      <c r="U421" s="81"/>
      <c r="V421" s="81"/>
      <c r="W421" s="81"/>
      <c r="X421" s="81"/>
      <c r="Y421" s="81"/>
      <c r="Z421" s="81"/>
    </row>
    <row r="422" ht="15.75" customHeight="1">
      <c r="A422" s="83"/>
      <c r="B422" s="94"/>
      <c r="C422" s="83"/>
      <c r="D422" s="95"/>
      <c r="E422" s="95"/>
      <c r="F422" s="96"/>
      <c r="G422" s="97"/>
      <c r="H422" s="97"/>
      <c r="I422" s="97"/>
      <c r="J422" s="95"/>
      <c r="K422" s="98"/>
      <c r="L422" s="95"/>
      <c r="M422" s="99"/>
      <c r="N422" s="95"/>
      <c r="O422" s="95"/>
      <c r="P422" s="100"/>
      <c r="Q422" s="100"/>
      <c r="R422" s="81"/>
      <c r="S422" s="81"/>
      <c r="T422" s="81"/>
      <c r="U422" s="81"/>
      <c r="V422" s="81"/>
      <c r="W422" s="81"/>
      <c r="X422" s="81"/>
      <c r="Y422" s="81"/>
      <c r="Z422" s="81"/>
    </row>
    <row r="423" ht="15.75" customHeight="1">
      <c r="A423" s="83"/>
      <c r="B423" s="94"/>
      <c r="C423" s="83"/>
      <c r="D423" s="95"/>
      <c r="E423" s="95"/>
      <c r="F423" s="96"/>
      <c r="G423" s="97"/>
      <c r="H423" s="97"/>
      <c r="I423" s="97"/>
      <c r="J423" s="95"/>
      <c r="K423" s="98"/>
      <c r="L423" s="95"/>
      <c r="M423" s="99"/>
      <c r="N423" s="95"/>
      <c r="O423" s="95"/>
      <c r="P423" s="100"/>
      <c r="Q423" s="100"/>
      <c r="R423" s="81"/>
      <c r="S423" s="81"/>
      <c r="T423" s="81"/>
      <c r="U423" s="81"/>
      <c r="V423" s="81"/>
      <c r="W423" s="81"/>
      <c r="X423" s="81"/>
      <c r="Y423" s="81"/>
      <c r="Z423" s="81"/>
    </row>
    <row r="424" ht="15.75" customHeight="1">
      <c r="A424" s="83"/>
      <c r="B424" s="94"/>
      <c r="C424" s="83"/>
      <c r="D424" s="95"/>
      <c r="E424" s="95"/>
      <c r="F424" s="96"/>
      <c r="G424" s="97"/>
      <c r="H424" s="97"/>
      <c r="I424" s="97"/>
      <c r="J424" s="95"/>
      <c r="K424" s="98"/>
      <c r="L424" s="95"/>
      <c r="M424" s="99"/>
      <c r="N424" s="95"/>
      <c r="O424" s="95"/>
      <c r="P424" s="100"/>
      <c r="Q424" s="100"/>
      <c r="R424" s="81"/>
      <c r="S424" s="81"/>
      <c r="T424" s="81"/>
      <c r="U424" s="81"/>
      <c r="V424" s="81"/>
      <c r="W424" s="81"/>
      <c r="X424" s="81"/>
      <c r="Y424" s="81"/>
      <c r="Z424" s="81"/>
    </row>
    <row r="425" ht="15.75" customHeight="1">
      <c r="A425" s="83"/>
      <c r="B425" s="94"/>
      <c r="C425" s="83"/>
      <c r="D425" s="95"/>
      <c r="E425" s="95"/>
      <c r="F425" s="96"/>
      <c r="G425" s="97"/>
      <c r="H425" s="97"/>
      <c r="I425" s="97"/>
      <c r="J425" s="95"/>
      <c r="K425" s="98"/>
      <c r="L425" s="95"/>
      <c r="M425" s="99"/>
      <c r="N425" s="95"/>
      <c r="O425" s="95"/>
      <c r="P425" s="100"/>
      <c r="Q425" s="100"/>
      <c r="R425" s="81"/>
      <c r="S425" s="81"/>
      <c r="T425" s="81"/>
      <c r="U425" s="81"/>
      <c r="V425" s="81"/>
      <c r="W425" s="81"/>
      <c r="X425" s="81"/>
      <c r="Y425" s="81"/>
      <c r="Z425" s="81"/>
    </row>
    <row r="426" ht="15.75" customHeight="1">
      <c r="A426" s="83"/>
      <c r="B426" s="94"/>
      <c r="C426" s="83"/>
      <c r="D426" s="95"/>
      <c r="E426" s="95"/>
      <c r="F426" s="96"/>
      <c r="G426" s="97"/>
      <c r="H426" s="97"/>
      <c r="I426" s="97"/>
      <c r="J426" s="95"/>
      <c r="K426" s="98"/>
      <c r="L426" s="95"/>
      <c r="M426" s="99"/>
      <c r="N426" s="95"/>
      <c r="O426" s="95"/>
      <c r="P426" s="100"/>
      <c r="Q426" s="100"/>
      <c r="R426" s="81"/>
      <c r="S426" s="81"/>
      <c r="T426" s="81"/>
      <c r="U426" s="81"/>
      <c r="V426" s="81"/>
      <c r="W426" s="81"/>
      <c r="X426" s="81"/>
      <c r="Y426" s="81"/>
      <c r="Z426" s="81"/>
    </row>
    <row r="427" ht="15.75" customHeight="1">
      <c r="A427" s="83"/>
      <c r="B427" s="94"/>
      <c r="C427" s="83"/>
      <c r="D427" s="95"/>
      <c r="E427" s="95"/>
      <c r="F427" s="96"/>
      <c r="G427" s="97"/>
      <c r="H427" s="97"/>
      <c r="I427" s="97"/>
      <c r="J427" s="95"/>
      <c r="K427" s="98"/>
      <c r="L427" s="95"/>
      <c r="M427" s="99"/>
      <c r="N427" s="95"/>
      <c r="O427" s="95"/>
      <c r="P427" s="100"/>
      <c r="Q427" s="100"/>
      <c r="R427" s="81"/>
      <c r="S427" s="81"/>
      <c r="T427" s="81"/>
      <c r="U427" s="81"/>
      <c r="V427" s="81"/>
      <c r="W427" s="81"/>
      <c r="X427" s="81"/>
      <c r="Y427" s="81"/>
      <c r="Z427" s="81"/>
    </row>
    <row r="428" ht="15.75" customHeight="1">
      <c r="A428" s="83"/>
      <c r="B428" s="94"/>
      <c r="C428" s="83"/>
      <c r="D428" s="95"/>
      <c r="E428" s="95"/>
      <c r="F428" s="96"/>
      <c r="G428" s="97"/>
      <c r="H428" s="97"/>
      <c r="I428" s="97"/>
      <c r="J428" s="95"/>
      <c r="K428" s="98"/>
      <c r="L428" s="95"/>
      <c r="M428" s="99"/>
      <c r="N428" s="95"/>
      <c r="O428" s="95"/>
      <c r="P428" s="100"/>
      <c r="Q428" s="100"/>
      <c r="R428" s="81"/>
      <c r="S428" s="81"/>
      <c r="T428" s="81"/>
      <c r="U428" s="81"/>
      <c r="V428" s="81"/>
      <c r="W428" s="81"/>
      <c r="X428" s="81"/>
      <c r="Y428" s="81"/>
      <c r="Z428" s="81"/>
    </row>
    <row r="429" ht="15.75" customHeight="1">
      <c r="A429" s="83"/>
      <c r="B429" s="94"/>
      <c r="C429" s="83"/>
      <c r="D429" s="95"/>
      <c r="E429" s="95"/>
      <c r="F429" s="96"/>
      <c r="G429" s="97"/>
      <c r="H429" s="97"/>
      <c r="I429" s="97"/>
      <c r="J429" s="95"/>
      <c r="K429" s="98"/>
      <c r="L429" s="95"/>
      <c r="M429" s="99"/>
      <c r="N429" s="95"/>
      <c r="O429" s="95"/>
      <c r="P429" s="100"/>
      <c r="Q429" s="100"/>
      <c r="R429" s="81"/>
      <c r="S429" s="81"/>
      <c r="T429" s="81"/>
      <c r="U429" s="81"/>
      <c r="V429" s="81"/>
      <c r="W429" s="81"/>
      <c r="X429" s="81"/>
      <c r="Y429" s="81"/>
      <c r="Z429" s="81"/>
    </row>
    <row r="430" ht="15.75" customHeight="1">
      <c r="A430" s="83"/>
      <c r="B430" s="94"/>
      <c r="C430" s="83"/>
      <c r="D430" s="95"/>
      <c r="E430" s="95"/>
      <c r="F430" s="96"/>
      <c r="G430" s="97"/>
      <c r="H430" s="97"/>
      <c r="I430" s="97"/>
      <c r="J430" s="95"/>
      <c r="K430" s="98"/>
      <c r="L430" s="95"/>
      <c r="M430" s="99"/>
      <c r="N430" s="95"/>
      <c r="O430" s="95"/>
      <c r="P430" s="100"/>
      <c r="Q430" s="100"/>
      <c r="R430" s="81"/>
      <c r="S430" s="81"/>
      <c r="T430" s="81"/>
      <c r="U430" s="81"/>
      <c r="V430" s="81"/>
      <c r="W430" s="81"/>
      <c r="X430" s="81"/>
      <c r="Y430" s="81"/>
      <c r="Z430" s="81"/>
    </row>
    <row r="431" ht="15.75" customHeight="1">
      <c r="A431" s="83"/>
      <c r="B431" s="94"/>
      <c r="C431" s="83"/>
      <c r="D431" s="95"/>
      <c r="E431" s="95"/>
      <c r="F431" s="96"/>
      <c r="G431" s="97"/>
      <c r="H431" s="97"/>
      <c r="I431" s="97"/>
      <c r="J431" s="95"/>
      <c r="K431" s="98"/>
      <c r="L431" s="95"/>
      <c r="M431" s="99"/>
      <c r="N431" s="95"/>
      <c r="O431" s="95"/>
      <c r="P431" s="100"/>
      <c r="Q431" s="100"/>
      <c r="R431" s="81"/>
      <c r="S431" s="81"/>
      <c r="T431" s="81"/>
      <c r="U431" s="81"/>
      <c r="V431" s="81"/>
      <c r="W431" s="81"/>
      <c r="X431" s="81"/>
      <c r="Y431" s="81"/>
      <c r="Z431" s="81"/>
    </row>
    <row r="432" ht="15.75" customHeight="1">
      <c r="A432" s="83"/>
      <c r="B432" s="94"/>
      <c r="C432" s="83"/>
      <c r="D432" s="95"/>
      <c r="E432" s="95"/>
      <c r="F432" s="96"/>
      <c r="G432" s="97"/>
      <c r="H432" s="97"/>
      <c r="I432" s="97"/>
      <c r="J432" s="95"/>
      <c r="K432" s="98"/>
      <c r="L432" s="95"/>
      <c r="M432" s="99"/>
      <c r="N432" s="95"/>
      <c r="O432" s="95"/>
      <c r="P432" s="100"/>
      <c r="Q432" s="100"/>
      <c r="R432" s="81"/>
      <c r="S432" s="81"/>
      <c r="T432" s="81"/>
      <c r="U432" s="81"/>
      <c r="V432" s="81"/>
      <c r="W432" s="81"/>
      <c r="X432" s="81"/>
      <c r="Y432" s="81"/>
      <c r="Z432" s="81"/>
    </row>
    <row r="433" ht="15.75" customHeight="1">
      <c r="A433" s="83"/>
      <c r="B433" s="94"/>
      <c r="C433" s="83"/>
      <c r="D433" s="95"/>
      <c r="E433" s="95"/>
      <c r="F433" s="96"/>
      <c r="G433" s="97"/>
      <c r="H433" s="97"/>
      <c r="I433" s="97"/>
      <c r="J433" s="95"/>
      <c r="K433" s="98"/>
      <c r="L433" s="95"/>
      <c r="M433" s="99"/>
      <c r="N433" s="95"/>
      <c r="O433" s="95"/>
      <c r="P433" s="100"/>
      <c r="Q433" s="100"/>
      <c r="R433" s="81"/>
      <c r="S433" s="81"/>
      <c r="T433" s="81"/>
      <c r="U433" s="81"/>
      <c r="V433" s="81"/>
      <c r="W433" s="81"/>
      <c r="X433" s="81"/>
      <c r="Y433" s="81"/>
      <c r="Z433" s="81"/>
    </row>
    <row r="434" ht="15.75" customHeight="1">
      <c r="A434" s="83"/>
      <c r="B434" s="94"/>
      <c r="C434" s="83"/>
      <c r="D434" s="95"/>
      <c r="E434" s="95"/>
      <c r="F434" s="96"/>
      <c r="G434" s="97"/>
      <c r="H434" s="97"/>
      <c r="I434" s="97"/>
      <c r="J434" s="95"/>
      <c r="K434" s="98"/>
      <c r="L434" s="95"/>
      <c r="M434" s="99"/>
      <c r="N434" s="95"/>
      <c r="O434" s="95"/>
      <c r="P434" s="100"/>
      <c r="Q434" s="100"/>
      <c r="R434" s="81"/>
      <c r="S434" s="81"/>
      <c r="T434" s="81"/>
      <c r="U434" s="81"/>
      <c r="V434" s="81"/>
      <c r="W434" s="81"/>
      <c r="X434" s="81"/>
      <c r="Y434" s="81"/>
      <c r="Z434" s="81"/>
    </row>
    <row r="435" ht="15.75" customHeight="1">
      <c r="A435" s="83"/>
      <c r="B435" s="94"/>
      <c r="C435" s="83"/>
      <c r="D435" s="95"/>
      <c r="E435" s="95"/>
      <c r="F435" s="96"/>
      <c r="G435" s="97"/>
      <c r="H435" s="97"/>
      <c r="I435" s="97"/>
      <c r="J435" s="95"/>
      <c r="K435" s="98"/>
      <c r="L435" s="95"/>
      <c r="M435" s="99"/>
      <c r="N435" s="95"/>
      <c r="O435" s="95"/>
      <c r="P435" s="100"/>
      <c r="Q435" s="100"/>
      <c r="R435" s="81"/>
      <c r="S435" s="81"/>
      <c r="T435" s="81"/>
      <c r="U435" s="81"/>
      <c r="V435" s="81"/>
      <c r="W435" s="81"/>
      <c r="X435" s="81"/>
      <c r="Y435" s="81"/>
      <c r="Z435" s="81"/>
    </row>
    <row r="436" ht="15.75" customHeight="1">
      <c r="A436" s="83"/>
      <c r="B436" s="94"/>
      <c r="C436" s="83"/>
      <c r="D436" s="95"/>
      <c r="E436" s="95"/>
      <c r="F436" s="96"/>
      <c r="G436" s="97"/>
      <c r="H436" s="97"/>
      <c r="I436" s="97"/>
      <c r="J436" s="95"/>
      <c r="K436" s="98"/>
      <c r="L436" s="95"/>
      <c r="M436" s="99"/>
      <c r="N436" s="95"/>
      <c r="O436" s="95"/>
      <c r="P436" s="100"/>
      <c r="Q436" s="100"/>
      <c r="R436" s="81"/>
      <c r="S436" s="81"/>
      <c r="T436" s="81"/>
      <c r="U436" s="81"/>
      <c r="V436" s="81"/>
      <c r="W436" s="81"/>
      <c r="X436" s="81"/>
      <c r="Y436" s="81"/>
      <c r="Z436" s="81"/>
    </row>
    <row r="437" ht="15.75" customHeight="1">
      <c r="A437" s="83"/>
      <c r="B437" s="94"/>
      <c r="C437" s="83"/>
      <c r="D437" s="95"/>
      <c r="E437" s="95"/>
      <c r="F437" s="96"/>
      <c r="G437" s="97"/>
      <c r="H437" s="97"/>
      <c r="I437" s="97"/>
      <c r="J437" s="95"/>
      <c r="K437" s="98"/>
      <c r="L437" s="95"/>
      <c r="M437" s="99"/>
      <c r="N437" s="95"/>
      <c r="O437" s="95"/>
      <c r="P437" s="100"/>
      <c r="Q437" s="100"/>
      <c r="R437" s="81"/>
      <c r="S437" s="81"/>
      <c r="T437" s="81"/>
      <c r="U437" s="81"/>
      <c r="V437" s="81"/>
      <c r="W437" s="81"/>
      <c r="X437" s="81"/>
      <c r="Y437" s="81"/>
      <c r="Z437" s="81"/>
    </row>
    <row r="438" ht="15.75" customHeight="1">
      <c r="A438" s="83"/>
      <c r="B438" s="94"/>
      <c r="C438" s="83"/>
      <c r="D438" s="95"/>
      <c r="E438" s="95"/>
      <c r="F438" s="96"/>
      <c r="G438" s="97"/>
      <c r="H438" s="97"/>
      <c r="I438" s="97"/>
      <c r="J438" s="95"/>
      <c r="K438" s="98"/>
      <c r="L438" s="95"/>
      <c r="M438" s="99"/>
      <c r="N438" s="95"/>
      <c r="O438" s="95"/>
      <c r="P438" s="100"/>
      <c r="Q438" s="100"/>
      <c r="R438" s="81"/>
      <c r="S438" s="81"/>
      <c r="T438" s="81"/>
      <c r="U438" s="81"/>
      <c r="V438" s="81"/>
      <c r="W438" s="81"/>
      <c r="X438" s="81"/>
      <c r="Y438" s="81"/>
      <c r="Z438" s="81"/>
    </row>
    <row r="439" ht="15.75" customHeight="1">
      <c r="A439" s="83"/>
      <c r="B439" s="94"/>
      <c r="C439" s="83"/>
      <c r="D439" s="95"/>
      <c r="E439" s="95"/>
      <c r="F439" s="96"/>
      <c r="G439" s="97"/>
      <c r="H439" s="97"/>
      <c r="I439" s="97"/>
      <c r="J439" s="95"/>
      <c r="K439" s="98"/>
      <c r="L439" s="95"/>
      <c r="M439" s="99"/>
      <c r="N439" s="95"/>
      <c r="O439" s="95"/>
      <c r="P439" s="100"/>
      <c r="Q439" s="100"/>
      <c r="R439" s="81"/>
      <c r="S439" s="81"/>
      <c r="T439" s="81"/>
      <c r="U439" s="81"/>
      <c r="V439" s="81"/>
      <c r="W439" s="81"/>
      <c r="X439" s="81"/>
      <c r="Y439" s="81"/>
      <c r="Z439" s="81"/>
    </row>
    <row r="440" ht="15.75" customHeight="1">
      <c r="A440" s="83"/>
      <c r="B440" s="94"/>
      <c r="C440" s="83"/>
      <c r="D440" s="95"/>
      <c r="E440" s="95"/>
      <c r="F440" s="96"/>
      <c r="G440" s="97"/>
      <c r="H440" s="97"/>
      <c r="I440" s="97"/>
      <c r="J440" s="95"/>
      <c r="K440" s="98"/>
      <c r="L440" s="95"/>
      <c r="M440" s="99"/>
      <c r="N440" s="95"/>
      <c r="O440" s="95"/>
      <c r="P440" s="100"/>
      <c r="Q440" s="100"/>
      <c r="R440" s="81"/>
      <c r="S440" s="81"/>
      <c r="T440" s="81"/>
      <c r="U440" s="81"/>
      <c r="V440" s="81"/>
      <c r="W440" s="81"/>
      <c r="X440" s="81"/>
      <c r="Y440" s="81"/>
      <c r="Z440" s="81"/>
    </row>
    <row r="441" ht="15.75" customHeight="1">
      <c r="A441" s="83"/>
      <c r="B441" s="94"/>
      <c r="C441" s="83"/>
      <c r="D441" s="95"/>
      <c r="E441" s="95"/>
      <c r="F441" s="96"/>
      <c r="G441" s="97"/>
      <c r="H441" s="97"/>
      <c r="I441" s="97"/>
      <c r="J441" s="95"/>
      <c r="K441" s="98"/>
      <c r="L441" s="95"/>
      <c r="M441" s="99"/>
      <c r="N441" s="95"/>
      <c r="O441" s="95"/>
      <c r="P441" s="100"/>
      <c r="Q441" s="100"/>
      <c r="R441" s="81"/>
      <c r="S441" s="81"/>
      <c r="T441" s="81"/>
      <c r="U441" s="81"/>
      <c r="V441" s="81"/>
      <c r="W441" s="81"/>
      <c r="X441" s="81"/>
      <c r="Y441" s="81"/>
      <c r="Z441" s="81"/>
    </row>
    <row r="442" ht="15.75" customHeight="1">
      <c r="A442" s="83"/>
      <c r="B442" s="94"/>
      <c r="C442" s="83"/>
      <c r="D442" s="95"/>
      <c r="E442" s="95"/>
      <c r="F442" s="96"/>
      <c r="G442" s="97"/>
      <c r="H442" s="97"/>
      <c r="I442" s="97"/>
      <c r="J442" s="95"/>
      <c r="K442" s="98"/>
      <c r="L442" s="95"/>
      <c r="M442" s="99"/>
      <c r="N442" s="95"/>
      <c r="O442" s="95"/>
      <c r="P442" s="100"/>
      <c r="Q442" s="100"/>
      <c r="R442" s="81"/>
      <c r="S442" s="81"/>
      <c r="T442" s="81"/>
      <c r="U442" s="81"/>
      <c r="V442" s="81"/>
      <c r="W442" s="81"/>
      <c r="X442" s="81"/>
      <c r="Y442" s="81"/>
      <c r="Z442" s="81"/>
    </row>
    <row r="443" ht="15.75" customHeight="1">
      <c r="A443" s="83"/>
      <c r="B443" s="94"/>
      <c r="C443" s="83"/>
      <c r="D443" s="95"/>
      <c r="E443" s="95"/>
      <c r="F443" s="96"/>
      <c r="G443" s="97"/>
      <c r="H443" s="97"/>
      <c r="I443" s="97"/>
      <c r="J443" s="95"/>
      <c r="K443" s="98"/>
      <c r="L443" s="95"/>
      <c r="M443" s="99"/>
      <c r="N443" s="95"/>
      <c r="O443" s="95"/>
      <c r="P443" s="100"/>
      <c r="Q443" s="100"/>
      <c r="R443" s="81"/>
      <c r="S443" s="81"/>
      <c r="T443" s="81"/>
      <c r="U443" s="81"/>
      <c r="V443" s="81"/>
      <c r="W443" s="81"/>
      <c r="X443" s="81"/>
      <c r="Y443" s="81"/>
      <c r="Z443" s="81"/>
    </row>
    <row r="444" ht="15.75" customHeight="1">
      <c r="A444" s="83"/>
      <c r="B444" s="94"/>
      <c r="C444" s="83"/>
      <c r="D444" s="95"/>
      <c r="E444" s="95"/>
      <c r="F444" s="96"/>
      <c r="G444" s="97"/>
      <c r="H444" s="97"/>
      <c r="I444" s="97"/>
      <c r="J444" s="95"/>
      <c r="K444" s="98"/>
      <c r="L444" s="95"/>
      <c r="M444" s="99"/>
      <c r="N444" s="95"/>
      <c r="O444" s="95"/>
      <c r="P444" s="100"/>
      <c r="Q444" s="100"/>
      <c r="R444" s="81"/>
      <c r="S444" s="81"/>
      <c r="T444" s="81"/>
      <c r="U444" s="81"/>
      <c r="V444" s="81"/>
      <c r="W444" s="81"/>
      <c r="X444" s="81"/>
      <c r="Y444" s="81"/>
      <c r="Z444" s="81"/>
    </row>
    <row r="445" ht="15.75" customHeight="1">
      <c r="A445" s="83"/>
      <c r="B445" s="94"/>
      <c r="C445" s="83"/>
      <c r="D445" s="95"/>
      <c r="E445" s="95"/>
      <c r="F445" s="96"/>
      <c r="G445" s="97"/>
      <c r="H445" s="97"/>
      <c r="I445" s="97"/>
      <c r="J445" s="95"/>
      <c r="K445" s="98"/>
      <c r="L445" s="95"/>
      <c r="M445" s="99"/>
      <c r="N445" s="95"/>
      <c r="O445" s="95"/>
      <c r="P445" s="100"/>
      <c r="Q445" s="100"/>
      <c r="R445" s="81"/>
      <c r="S445" s="81"/>
      <c r="T445" s="81"/>
      <c r="U445" s="81"/>
      <c r="V445" s="81"/>
      <c r="W445" s="81"/>
      <c r="X445" s="81"/>
      <c r="Y445" s="81"/>
      <c r="Z445" s="81"/>
    </row>
    <row r="446" ht="15.75" customHeight="1">
      <c r="A446" s="83"/>
      <c r="B446" s="94"/>
      <c r="C446" s="83"/>
      <c r="D446" s="95"/>
      <c r="E446" s="95"/>
      <c r="F446" s="96"/>
      <c r="G446" s="97"/>
      <c r="H446" s="97"/>
      <c r="I446" s="97"/>
      <c r="J446" s="95"/>
      <c r="K446" s="98"/>
      <c r="L446" s="95"/>
      <c r="M446" s="99"/>
      <c r="N446" s="95"/>
      <c r="O446" s="95"/>
      <c r="P446" s="100"/>
      <c r="Q446" s="100"/>
      <c r="R446" s="81"/>
      <c r="S446" s="81"/>
      <c r="T446" s="81"/>
      <c r="U446" s="81"/>
      <c r="V446" s="81"/>
      <c r="W446" s="81"/>
      <c r="X446" s="81"/>
      <c r="Y446" s="81"/>
      <c r="Z446" s="81"/>
    </row>
    <row r="447" ht="15.75" customHeight="1">
      <c r="A447" s="83"/>
      <c r="B447" s="94"/>
      <c r="C447" s="83"/>
      <c r="D447" s="95"/>
      <c r="E447" s="95"/>
      <c r="F447" s="96"/>
      <c r="G447" s="97"/>
      <c r="H447" s="97"/>
      <c r="I447" s="97"/>
      <c r="J447" s="95"/>
      <c r="K447" s="98"/>
      <c r="L447" s="95"/>
      <c r="M447" s="99"/>
      <c r="N447" s="95"/>
      <c r="O447" s="95"/>
      <c r="P447" s="100"/>
      <c r="Q447" s="100"/>
      <c r="R447" s="81"/>
      <c r="S447" s="81"/>
      <c r="T447" s="81"/>
      <c r="U447" s="81"/>
      <c r="V447" s="81"/>
      <c r="W447" s="81"/>
      <c r="X447" s="81"/>
      <c r="Y447" s="81"/>
      <c r="Z447" s="81"/>
    </row>
    <row r="448" ht="15.75" customHeight="1">
      <c r="A448" s="83"/>
      <c r="B448" s="94"/>
      <c r="C448" s="83"/>
      <c r="D448" s="95"/>
      <c r="E448" s="95"/>
      <c r="F448" s="96"/>
      <c r="G448" s="97"/>
      <c r="H448" s="97"/>
      <c r="I448" s="97"/>
      <c r="J448" s="95"/>
      <c r="K448" s="98"/>
      <c r="L448" s="95"/>
      <c r="M448" s="99"/>
      <c r="N448" s="95"/>
      <c r="O448" s="95"/>
      <c r="P448" s="100"/>
      <c r="Q448" s="100"/>
      <c r="R448" s="81"/>
      <c r="S448" s="81"/>
      <c r="T448" s="81"/>
      <c r="U448" s="81"/>
      <c r="V448" s="81"/>
      <c r="W448" s="81"/>
      <c r="X448" s="81"/>
      <c r="Y448" s="81"/>
      <c r="Z448" s="81"/>
    </row>
    <row r="449" ht="15.75" customHeight="1">
      <c r="A449" s="83"/>
      <c r="B449" s="94"/>
      <c r="C449" s="83"/>
      <c r="D449" s="95"/>
      <c r="E449" s="95"/>
      <c r="F449" s="96"/>
      <c r="G449" s="97"/>
      <c r="H449" s="97"/>
      <c r="I449" s="97"/>
      <c r="J449" s="95"/>
      <c r="K449" s="98"/>
      <c r="L449" s="95"/>
      <c r="M449" s="99"/>
      <c r="N449" s="95"/>
      <c r="O449" s="95"/>
      <c r="P449" s="100"/>
      <c r="Q449" s="100"/>
      <c r="R449" s="81"/>
      <c r="S449" s="81"/>
      <c r="T449" s="81"/>
      <c r="U449" s="81"/>
      <c r="V449" s="81"/>
      <c r="W449" s="81"/>
      <c r="X449" s="81"/>
      <c r="Y449" s="81"/>
      <c r="Z449" s="81"/>
    </row>
    <row r="450" ht="15.75" customHeight="1">
      <c r="A450" s="83"/>
      <c r="B450" s="94"/>
      <c r="C450" s="83"/>
      <c r="D450" s="95"/>
      <c r="E450" s="95"/>
      <c r="F450" s="96"/>
      <c r="G450" s="97"/>
      <c r="H450" s="97"/>
      <c r="I450" s="97"/>
      <c r="J450" s="95"/>
      <c r="K450" s="98"/>
      <c r="L450" s="95"/>
      <c r="M450" s="99"/>
      <c r="N450" s="95"/>
      <c r="O450" s="95"/>
      <c r="P450" s="100"/>
      <c r="Q450" s="100"/>
      <c r="R450" s="81"/>
      <c r="S450" s="81"/>
      <c r="T450" s="81"/>
      <c r="U450" s="81"/>
      <c r="V450" s="81"/>
      <c r="W450" s="81"/>
      <c r="X450" s="81"/>
      <c r="Y450" s="81"/>
      <c r="Z450" s="81"/>
    </row>
    <row r="451" ht="15.75" customHeight="1">
      <c r="A451" s="83"/>
      <c r="B451" s="94"/>
      <c r="C451" s="83"/>
      <c r="D451" s="95"/>
      <c r="E451" s="95"/>
      <c r="F451" s="96"/>
      <c r="G451" s="97"/>
      <c r="H451" s="97"/>
      <c r="I451" s="97"/>
      <c r="J451" s="95"/>
      <c r="K451" s="98"/>
      <c r="L451" s="95"/>
      <c r="M451" s="99"/>
      <c r="N451" s="95"/>
      <c r="O451" s="95"/>
      <c r="P451" s="100"/>
      <c r="Q451" s="100"/>
      <c r="R451" s="81"/>
      <c r="S451" s="81"/>
      <c r="T451" s="81"/>
      <c r="U451" s="81"/>
      <c r="V451" s="81"/>
      <c r="W451" s="81"/>
      <c r="X451" s="81"/>
      <c r="Y451" s="81"/>
      <c r="Z451" s="81"/>
    </row>
    <row r="452" ht="15.75" customHeight="1">
      <c r="A452" s="83"/>
      <c r="B452" s="94"/>
      <c r="C452" s="83"/>
      <c r="D452" s="95"/>
      <c r="E452" s="95"/>
      <c r="F452" s="96"/>
      <c r="G452" s="97"/>
      <c r="H452" s="97"/>
      <c r="I452" s="97"/>
      <c r="J452" s="95"/>
      <c r="K452" s="98"/>
      <c r="L452" s="95"/>
      <c r="M452" s="99"/>
      <c r="N452" s="95"/>
      <c r="O452" s="95"/>
      <c r="P452" s="100"/>
      <c r="Q452" s="100"/>
      <c r="R452" s="81"/>
      <c r="S452" s="81"/>
      <c r="T452" s="81"/>
      <c r="U452" s="81"/>
      <c r="V452" s="81"/>
      <c r="W452" s="81"/>
      <c r="X452" s="81"/>
      <c r="Y452" s="81"/>
      <c r="Z452" s="81"/>
    </row>
    <row r="453" ht="15.75" customHeight="1">
      <c r="A453" s="83"/>
      <c r="B453" s="94"/>
      <c r="C453" s="83"/>
      <c r="D453" s="95"/>
      <c r="E453" s="95"/>
      <c r="F453" s="96"/>
      <c r="G453" s="97"/>
      <c r="H453" s="97"/>
      <c r="I453" s="97"/>
      <c r="J453" s="95"/>
      <c r="K453" s="98"/>
      <c r="L453" s="95"/>
      <c r="M453" s="99"/>
      <c r="N453" s="95"/>
      <c r="O453" s="95"/>
      <c r="P453" s="100"/>
      <c r="Q453" s="100"/>
      <c r="R453" s="81"/>
      <c r="S453" s="81"/>
      <c r="T453" s="81"/>
      <c r="U453" s="81"/>
      <c r="V453" s="81"/>
      <c r="W453" s="81"/>
      <c r="X453" s="81"/>
      <c r="Y453" s="81"/>
      <c r="Z453" s="81"/>
    </row>
    <row r="454" ht="15.75" customHeight="1">
      <c r="A454" s="83"/>
      <c r="B454" s="94"/>
      <c r="C454" s="83"/>
      <c r="D454" s="95"/>
      <c r="E454" s="95"/>
      <c r="F454" s="96"/>
      <c r="G454" s="97"/>
      <c r="H454" s="97"/>
      <c r="I454" s="97"/>
      <c r="J454" s="95"/>
      <c r="K454" s="98"/>
      <c r="L454" s="95"/>
      <c r="M454" s="99"/>
      <c r="N454" s="95"/>
      <c r="O454" s="95"/>
      <c r="P454" s="100"/>
      <c r="Q454" s="100"/>
      <c r="R454" s="81"/>
      <c r="S454" s="81"/>
      <c r="T454" s="81"/>
      <c r="U454" s="81"/>
      <c r="V454" s="81"/>
      <c r="W454" s="81"/>
      <c r="X454" s="81"/>
      <c r="Y454" s="81"/>
      <c r="Z454" s="81"/>
    </row>
    <row r="455" ht="15.75" customHeight="1">
      <c r="A455" s="83"/>
      <c r="B455" s="94"/>
      <c r="C455" s="83"/>
      <c r="D455" s="95"/>
      <c r="E455" s="95"/>
      <c r="F455" s="96"/>
      <c r="G455" s="97"/>
      <c r="H455" s="97"/>
      <c r="I455" s="97"/>
      <c r="J455" s="95"/>
      <c r="K455" s="98"/>
      <c r="L455" s="95"/>
      <c r="M455" s="99"/>
      <c r="N455" s="95"/>
      <c r="O455" s="95"/>
      <c r="P455" s="100"/>
      <c r="Q455" s="100"/>
      <c r="R455" s="81"/>
      <c r="S455" s="81"/>
      <c r="T455" s="81"/>
      <c r="U455" s="81"/>
      <c r="V455" s="81"/>
      <c r="W455" s="81"/>
      <c r="X455" s="81"/>
      <c r="Y455" s="81"/>
      <c r="Z455" s="81"/>
    </row>
    <row r="456" ht="15.75" customHeight="1">
      <c r="A456" s="83"/>
      <c r="B456" s="94"/>
      <c r="C456" s="83"/>
      <c r="D456" s="95"/>
      <c r="E456" s="95"/>
      <c r="F456" s="96"/>
      <c r="G456" s="97"/>
      <c r="H456" s="97"/>
      <c r="I456" s="97"/>
      <c r="J456" s="95"/>
      <c r="K456" s="98"/>
      <c r="L456" s="95"/>
      <c r="M456" s="99"/>
      <c r="N456" s="95"/>
      <c r="O456" s="95"/>
      <c r="P456" s="100"/>
      <c r="Q456" s="100"/>
      <c r="R456" s="81"/>
      <c r="S456" s="81"/>
      <c r="T456" s="81"/>
      <c r="U456" s="81"/>
      <c r="V456" s="81"/>
      <c r="W456" s="81"/>
      <c r="X456" s="81"/>
      <c r="Y456" s="81"/>
      <c r="Z456" s="81"/>
    </row>
  </sheetData>
  <customSheetViews>
    <customSheetView guid="{59C0E738-1DB3-4C16-9509-25842C0188FC}" filter="1" showAutoFilter="1">
      <autoFilter ref="$A$1:$Q$365"/>
    </customSheetView>
    <customSheetView guid="{F263A3AC-1237-40A8-82F2-25CFE72B494B}" filter="1" showAutoFilter="1">
      <autoFilter ref="$A$1:$Q$365">
        <filterColumn colId="7">
          <filters>
            <filter val="EDO-ERI"/>
          </filters>
        </filterColumn>
      </autoFilter>
    </customSheetView>
    <customSheetView guid="{23DB66D6-4560-464F-9E10-928E38F337A9}" filter="1" showAutoFilter="1">
      <autoFilter ref="$A$1:$Q$365"/>
    </customSheetView>
    <customSheetView guid="{8B378AE7-0C74-42B2-BC27-27B7CA7C7A7C}" filter="1" showAutoFilter="1">
      <autoFilter ref="$A$1:$Q$365"/>
    </customSheetView>
    <customSheetView guid="{7114D13A-8790-4B2D-8534-441FDE4A663B}" filter="1" showAutoFilter="1">
      <autoFilter ref="$A$1:$Q$358"/>
    </customSheetView>
    <customSheetView guid="{112B2F37-635A-4F63-81FB-4A2B7385E434}" filter="1" showAutoFilter="1">
      <autoFilter ref="$A$1:$Q$365">
        <filterColumn colId="1">
          <filters>
            <filter val="Customer PII"/>
          </filters>
        </filterColumn>
      </autoFilter>
    </customSheetView>
  </customSheetViews>
  <conditionalFormatting sqref="A1:A456">
    <cfRule type="expression" dxfId="0" priority="1">
      <formula>if(countif(A:A,A1)&gt;1,1,0)</formula>
    </cfRule>
  </conditionalFormatting>
  <dataValidations>
    <dataValidation type="list" allowBlank="1" sqref="N2:N301 N304">
      <formula1>Reference!$B$1:$B$13</formula1>
    </dataValidation>
  </dataValidations>
  <printOptions/>
  <pageMargins bottom="0.75" footer="0.0" header="0.0" left="0.25" right="0.25" top="0.75"/>
  <pageSetup fitToHeight="0" paperSize="5"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4.0"/>
    <col customWidth="1" min="2" max="2" width="17.71"/>
    <col customWidth="1" min="3" max="3" width="66.29"/>
    <col customWidth="1" min="4" max="4" width="31.57"/>
    <col customWidth="1" min="5" max="6" width="23.86"/>
    <col customWidth="1" min="7" max="7" width="15.29"/>
    <col customWidth="1" min="8" max="8" width="16.43"/>
    <col customWidth="1" min="9" max="9" width="15.57"/>
    <col customWidth="1" min="10" max="10" width="20.57"/>
    <col customWidth="1" min="11" max="11" width="21.86"/>
    <col customWidth="1" min="12" max="12" width="13.57"/>
    <col customWidth="1" min="13" max="13" width="20.86"/>
    <col customWidth="1" min="14" max="14" width="20.71"/>
    <col customWidth="1" min="15" max="15" width="24.0"/>
    <col customWidth="1" min="16" max="16" width="23.29"/>
    <col customWidth="1" min="17" max="17" width="21.57"/>
  </cols>
  <sheetData>
    <row r="1">
      <c r="A1" s="101" t="s">
        <v>69</v>
      </c>
      <c r="B1" s="101" t="s">
        <v>63</v>
      </c>
      <c r="C1" s="102" t="s">
        <v>71</v>
      </c>
      <c r="D1" s="102" t="s">
        <v>679</v>
      </c>
      <c r="E1" s="101" t="s">
        <v>680</v>
      </c>
      <c r="F1" s="102" t="s">
        <v>73</v>
      </c>
      <c r="G1" s="102" t="s">
        <v>74</v>
      </c>
      <c r="H1" s="102" t="s">
        <v>76</v>
      </c>
      <c r="I1" s="102" t="s">
        <v>77</v>
      </c>
      <c r="J1" s="102" t="s">
        <v>75</v>
      </c>
      <c r="K1" s="101" t="s">
        <v>681</v>
      </c>
      <c r="L1" s="102" t="s">
        <v>682</v>
      </c>
      <c r="M1" s="102" t="s">
        <v>78</v>
      </c>
      <c r="N1" s="102" t="s">
        <v>683</v>
      </c>
      <c r="O1" s="103" t="s">
        <v>36</v>
      </c>
      <c r="P1" s="104" t="s">
        <v>38</v>
      </c>
      <c r="Q1" s="104" t="s">
        <v>40</v>
      </c>
      <c r="R1" s="51"/>
      <c r="S1" s="51"/>
      <c r="T1" s="51"/>
      <c r="U1" s="51"/>
      <c r="V1" s="51"/>
      <c r="W1" s="51"/>
      <c r="X1" s="51"/>
      <c r="Y1" s="51"/>
      <c r="Z1" s="51"/>
    </row>
    <row r="2">
      <c r="A2" s="105" t="s">
        <v>88</v>
      </c>
      <c r="B2" s="105" t="s">
        <v>44</v>
      </c>
      <c r="C2" s="106" t="s">
        <v>684</v>
      </c>
      <c r="D2" s="107" t="s">
        <v>83</v>
      </c>
      <c r="E2" s="106" t="s">
        <v>1313</v>
      </c>
      <c r="F2" s="107">
        <v>5123.0</v>
      </c>
      <c r="G2" s="105" t="s">
        <v>686</v>
      </c>
      <c r="H2" s="107" t="s">
        <v>91</v>
      </c>
      <c r="I2" s="107" t="s">
        <v>91</v>
      </c>
      <c r="J2" s="107" t="s">
        <v>85</v>
      </c>
      <c r="K2" s="106" t="s">
        <v>687</v>
      </c>
      <c r="L2" s="107" t="s">
        <v>688</v>
      </c>
      <c r="M2" s="108">
        <v>44100.0</v>
      </c>
      <c r="N2" s="106" t="s">
        <v>1314</v>
      </c>
      <c r="O2" s="109" t="s">
        <v>690</v>
      </c>
      <c r="P2" s="107" t="s">
        <v>691</v>
      </c>
      <c r="Q2" s="107" t="s">
        <v>691</v>
      </c>
      <c r="R2" s="110"/>
      <c r="S2" s="110"/>
      <c r="T2" s="110"/>
      <c r="U2" s="110"/>
      <c r="V2" s="110"/>
      <c r="W2" s="110"/>
      <c r="X2" s="110"/>
      <c r="Y2" s="110"/>
      <c r="Z2" s="110"/>
    </row>
    <row r="3">
      <c r="A3" s="105" t="s">
        <v>79</v>
      </c>
      <c r="B3" s="105" t="s">
        <v>44</v>
      </c>
      <c r="C3" s="106" t="s">
        <v>82</v>
      </c>
      <c r="D3" s="107" t="s">
        <v>185</v>
      </c>
      <c r="E3" s="106" t="s">
        <v>685</v>
      </c>
      <c r="F3" s="107">
        <v>9.17588242E9</v>
      </c>
      <c r="G3" s="107" t="s">
        <v>84</v>
      </c>
      <c r="H3" s="107" t="s">
        <v>91</v>
      </c>
      <c r="I3" s="107" t="s">
        <v>91</v>
      </c>
      <c r="J3" s="107" t="s">
        <v>85</v>
      </c>
      <c r="K3" s="106" t="s">
        <v>687</v>
      </c>
      <c r="L3" s="107" t="s">
        <v>688</v>
      </c>
      <c r="M3" s="108">
        <v>44100.0</v>
      </c>
      <c r="N3" s="106" t="s">
        <v>692</v>
      </c>
      <c r="O3" s="109" t="s">
        <v>690</v>
      </c>
      <c r="P3" s="107" t="s">
        <v>691</v>
      </c>
      <c r="Q3" s="107" t="s">
        <v>691</v>
      </c>
      <c r="R3" s="110"/>
      <c r="S3" s="110"/>
      <c r="T3" s="110"/>
      <c r="U3" s="110"/>
      <c r="V3" s="110"/>
      <c r="W3" s="110"/>
      <c r="X3" s="110"/>
      <c r="Y3" s="110"/>
      <c r="Z3" s="110"/>
    </row>
    <row r="4">
      <c r="A4" s="105" t="s">
        <v>693</v>
      </c>
      <c r="B4" s="105" t="s">
        <v>44</v>
      </c>
      <c r="C4" s="106" t="s">
        <v>444</v>
      </c>
      <c r="D4" s="107" t="s">
        <v>83</v>
      </c>
      <c r="E4" s="106" t="s">
        <v>694</v>
      </c>
      <c r="F4" s="111" t="s">
        <v>695</v>
      </c>
      <c r="G4" s="112" t="s">
        <v>445</v>
      </c>
      <c r="H4" s="107" t="s">
        <v>91</v>
      </c>
      <c r="I4" s="107" t="s">
        <v>91</v>
      </c>
      <c r="J4" s="107" t="s">
        <v>85</v>
      </c>
      <c r="K4" s="106" t="s">
        <v>687</v>
      </c>
      <c r="L4" s="107" t="s">
        <v>688</v>
      </c>
      <c r="M4" s="108">
        <v>44100.0</v>
      </c>
      <c r="N4" s="106" t="s">
        <v>692</v>
      </c>
      <c r="O4" s="109" t="s">
        <v>690</v>
      </c>
      <c r="P4" s="107" t="s">
        <v>691</v>
      </c>
      <c r="Q4" s="107" t="s">
        <v>691</v>
      </c>
      <c r="R4" s="110"/>
      <c r="S4" s="110"/>
      <c r="T4" s="110"/>
      <c r="U4" s="110"/>
      <c r="V4" s="110"/>
      <c r="W4" s="110"/>
      <c r="X4" s="110"/>
      <c r="Y4" s="110"/>
      <c r="Z4" s="110"/>
    </row>
    <row r="5">
      <c r="A5" s="105" t="s">
        <v>113</v>
      </c>
      <c r="B5" s="105" t="s">
        <v>696</v>
      </c>
      <c r="C5" s="106" t="s">
        <v>697</v>
      </c>
      <c r="D5" s="107" t="s">
        <v>83</v>
      </c>
      <c r="E5" s="106" t="s">
        <v>698</v>
      </c>
      <c r="F5" s="113">
        <v>43709.0</v>
      </c>
      <c r="G5" s="105" t="s">
        <v>686</v>
      </c>
      <c r="H5" s="107" t="s">
        <v>91</v>
      </c>
      <c r="I5" s="107" t="s">
        <v>91</v>
      </c>
      <c r="J5" s="107" t="s">
        <v>85</v>
      </c>
      <c r="K5" s="106" t="s">
        <v>687</v>
      </c>
      <c r="L5" s="107" t="s">
        <v>688</v>
      </c>
      <c r="M5" s="108">
        <v>44100.0</v>
      </c>
      <c r="N5" s="106" t="s">
        <v>1315</v>
      </c>
      <c r="O5" s="109" t="s">
        <v>1316</v>
      </c>
      <c r="P5" s="107" t="s">
        <v>691</v>
      </c>
      <c r="Q5" s="107" t="s">
        <v>691</v>
      </c>
      <c r="R5" s="110"/>
      <c r="S5" s="110"/>
      <c r="T5" s="110"/>
      <c r="U5" s="110"/>
      <c r="V5" s="110"/>
      <c r="W5" s="110"/>
      <c r="X5" s="110"/>
      <c r="Y5" s="110"/>
      <c r="Z5" s="110"/>
    </row>
    <row r="6">
      <c r="A6" s="105" t="s">
        <v>699</v>
      </c>
      <c r="B6" s="105" t="s">
        <v>44</v>
      </c>
      <c r="C6" s="106" t="s">
        <v>1317</v>
      </c>
      <c r="D6" s="107" t="s">
        <v>83</v>
      </c>
      <c r="E6" s="106" t="s">
        <v>1313</v>
      </c>
      <c r="F6" s="107">
        <v>1.2072423E7</v>
      </c>
      <c r="G6" s="105" t="s">
        <v>686</v>
      </c>
      <c r="H6" s="107" t="s">
        <v>91</v>
      </c>
      <c r="I6" s="107" t="s">
        <v>91</v>
      </c>
      <c r="J6" s="107" t="s">
        <v>85</v>
      </c>
      <c r="K6" s="106" t="s">
        <v>687</v>
      </c>
      <c r="L6" s="107" t="s">
        <v>688</v>
      </c>
      <c r="M6" s="108">
        <v>44100.0</v>
      </c>
      <c r="N6" s="106" t="s">
        <v>1318</v>
      </c>
      <c r="O6" s="109" t="s">
        <v>690</v>
      </c>
      <c r="P6" s="107" t="s">
        <v>702</v>
      </c>
      <c r="Q6" s="107" t="s">
        <v>702</v>
      </c>
      <c r="R6" s="110"/>
      <c r="S6" s="110"/>
      <c r="T6" s="110"/>
      <c r="U6" s="110"/>
      <c r="V6" s="110"/>
      <c r="W6" s="110"/>
      <c r="X6" s="110"/>
      <c r="Y6" s="110"/>
      <c r="Z6" s="110"/>
    </row>
    <row r="7">
      <c r="A7" s="105" t="s">
        <v>703</v>
      </c>
      <c r="B7" s="105" t="s">
        <v>696</v>
      </c>
      <c r="C7" s="106" t="s">
        <v>704</v>
      </c>
      <c r="D7" s="107" t="s">
        <v>83</v>
      </c>
      <c r="E7" s="106" t="s">
        <v>685</v>
      </c>
      <c r="F7" s="107" t="s">
        <v>466</v>
      </c>
      <c r="G7" s="105" t="s">
        <v>686</v>
      </c>
      <c r="H7" s="107" t="s">
        <v>91</v>
      </c>
      <c r="I7" s="107" t="s">
        <v>91</v>
      </c>
      <c r="J7" s="107" t="s">
        <v>85</v>
      </c>
      <c r="K7" s="106" t="s">
        <v>687</v>
      </c>
      <c r="L7" s="107" t="s">
        <v>688</v>
      </c>
      <c r="M7" s="108">
        <v>44100.0</v>
      </c>
      <c r="N7" s="106" t="s">
        <v>692</v>
      </c>
      <c r="O7" s="109" t="s">
        <v>690</v>
      </c>
      <c r="P7" s="107" t="s">
        <v>705</v>
      </c>
      <c r="Q7" s="107" t="s">
        <v>705</v>
      </c>
      <c r="R7" s="110"/>
      <c r="S7" s="110"/>
      <c r="T7" s="110"/>
      <c r="U7" s="110"/>
      <c r="V7" s="110"/>
      <c r="W7" s="110"/>
      <c r="X7" s="110"/>
      <c r="Y7" s="110"/>
      <c r="Z7" s="110"/>
    </row>
    <row r="8" ht="102.0" customHeight="1">
      <c r="A8" s="105" t="s">
        <v>706</v>
      </c>
      <c r="B8" s="105" t="s">
        <v>44</v>
      </c>
      <c r="C8" s="106" t="s">
        <v>707</v>
      </c>
      <c r="D8" s="107" t="s">
        <v>185</v>
      </c>
      <c r="E8" s="106" t="s">
        <v>685</v>
      </c>
      <c r="F8" s="107" t="s">
        <v>471</v>
      </c>
      <c r="G8" s="114" t="s">
        <v>686</v>
      </c>
      <c r="H8" s="107" t="s">
        <v>91</v>
      </c>
      <c r="I8" s="107" t="s">
        <v>91</v>
      </c>
      <c r="J8" s="107" t="s">
        <v>85</v>
      </c>
      <c r="K8" s="106" t="s">
        <v>687</v>
      </c>
      <c r="L8" s="107" t="s">
        <v>688</v>
      </c>
      <c r="M8" s="108">
        <v>44100.0</v>
      </c>
      <c r="N8" s="106" t="s">
        <v>689</v>
      </c>
      <c r="O8" s="109" t="s">
        <v>690</v>
      </c>
      <c r="P8" s="107" t="s">
        <v>691</v>
      </c>
      <c r="Q8" s="107" t="s">
        <v>691</v>
      </c>
      <c r="R8" s="110"/>
      <c r="S8" s="110"/>
      <c r="T8" s="110"/>
      <c r="U8" s="110"/>
      <c r="V8" s="110"/>
      <c r="W8" s="110"/>
      <c r="X8" s="110"/>
      <c r="Y8" s="110"/>
      <c r="Z8" s="110"/>
    </row>
    <row r="9">
      <c r="A9" s="105" t="s">
        <v>708</v>
      </c>
      <c r="B9" s="105" t="s">
        <v>44</v>
      </c>
      <c r="C9" s="106" t="s">
        <v>447</v>
      </c>
      <c r="D9" s="107" t="s">
        <v>83</v>
      </c>
      <c r="E9" s="106" t="s">
        <v>685</v>
      </c>
      <c r="F9" s="107" t="s">
        <v>448</v>
      </c>
      <c r="G9" s="105" t="s">
        <v>686</v>
      </c>
      <c r="H9" s="107" t="s">
        <v>91</v>
      </c>
      <c r="I9" s="107" t="s">
        <v>91</v>
      </c>
      <c r="J9" s="107" t="s">
        <v>85</v>
      </c>
      <c r="K9" s="106" t="s">
        <v>687</v>
      </c>
      <c r="L9" s="107" t="s">
        <v>688</v>
      </c>
      <c r="M9" s="108">
        <v>44100.0</v>
      </c>
      <c r="N9" s="106" t="s">
        <v>701</v>
      </c>
      <c r="O9" s="109" t="s">
        <v>690</v>
      </c>
      <c r="P9" s="107" t="s">
        <v>691</v>
      </c>
      <c r="Q9" s="107" t="s">
        <v>691</v>
      </c>
      <c r="R9" s="110"/>
      <c r="S9" s="110"/>
      <c r="T9" s="110"/>
      <c r="U9" s="110"/>
      <c r="V9" s="110"/>
      <c r="W9" s="110"/>
      <c r="X9" s="110"/>
      <c r="Y9" s="110"/>
      <c r="Z9" s="110"/>
    </row>
    <row r="10" ht="15.0" customHeight="1">
      <c r="A10" s="105" t="s">
        <v>709</v>
      </c>
      <c r="B10" s="105" t="s">
        <v>44</v>
      </c>
      <c r="C10" s="106" t="s">
        <v>450</v>
      </c>
      <c r="D10" s="107" t="s">
        <v>83</v>
      </c>
      <c r="E10" s="106" t="s">
        <v>685</v>
      </c>
      <c r="F10" s="107">
        <v>3.99253942E8</v>
      </c>
      <c r="G10" s="114" t="s">
        <v>686</v>
      </c>
      <c r="H10" s="107" t="s">
        <v>91</v>
      </c>
      <c r="I10" s="107" t="s">
        <v>91</v>
      </c>
      <c r="J10" s="107" t="s">
        <v>85</v>
      </c>
      <c r="K10" s="106" t="s">
        <v>687</v>
      </c>
      <c r="L10" s="107" t="s">
        <v>688</v>
      </c>
      <c r="M10" s="108">
        <v>44100.0</v>
      </c>
      <c r="N10" s="106" t="s">
        <v>701</v>
      </c>
      <c r="O10" s="109" t="s">
        <v>690</v>
      </c>
      <c r="P10" s="107" t="s">
        <v>691</v>
      </c>
      <c r="Q10" s="107" t="s">
        <v>691</v>
      </c>
      <c r="R10" s="110"/>
      <c r="S10" s="110"/>
      <c r="T10" s="110"/>
      <c r="U10" s="110"/>
      <c r="V10" s="110"/>
      <c r="W10" s="110"/>
      <c r="X10" s="110"/>
      <c r="Y10" s="110"/>
      <c r="Z10" s="110"/>
    </row>
    <row r="11">
      <c r="A11" s="105" t="s">
        <v>710</v>
      </c>
      <c r="B11" s="105" t="s">
        <v>44</v>
      </c>
      <c r="C11" s="106" t="s">
        <v>105</v>
      </c>
      <c r="D11" s="107" t="s">
        <v>83</v>
      </c>
      <c r="E11" s="106" t="s">
        <v>685</v>
      </c>
      <c r="F11" s="107" t="s">
        <v>106</v>
      </c>
      <c r="G11" s="105" t="s">
        <v>686</v>
      </c>
      <c r="H11" s="107" t="s">
        <v>91</v>
      </c>
      <c r="I11" s="107" t="s">
        <v>91</v>
      </c>
      <c r="J11" s="107" t="s">
        <v>85</v>
      </c>
      <c r="K11" s="106" t="s">
        <v>687</v>
      </c>
      <c r="L11" s="107" t="s">
        <v>688</v>
      </c>
      <c r="M11" s="108">
        <v>44100.0</v>
      </c>
      <c r="N11" s="106" t="s">
        <v>689</v>
      </c>
      <c r="O11" s="109" t="s">
        <v>690</v>
      </c>
      <c r="P11" s="107" t="s">
        <v>691</v>
      </c>
      <c r="Q11" s="107" t="s">
        <v>691</v>
      </c>
      <c r="R11" s="110"/>
      <c r="S11" s="110"/>
      <c r="T11" s="110"/>
      <c r="U11" s="110"/>
      <c r="V11" s="110"/>
      <c r="W11" s="110"/>
      <c r="X11" s="110"/>
      <c r="Y11" s="110"/>
      <c r="Z11" s="110"/>
    </row>
    <row r="12">
      <c r="A12" s="105" t="s">
        <v>94</v>
      </c>
      <c r="B12" s="105" t="s">
        <v>696</v>
      </c>
      <c r="C12" s="106" t="s">
        <v>711</v>
      </c>
      <c r="D12" s="107" t="s">
        <v>83</v>
      </c>
      <c r="E12" s="106" t="s">
        <v>685</v>
      </c>
      <c r="F12" s="107" t="s">
        <v>96</v>
      </c>
      <c r="G12" s="105" t="s">
        <v>686</v>
      </c>
      <c r="H12" s="107" t="s">
        <v>91</v>
      </c>
      <c r="I12" s="107" t="s">
        <v>91</v>
      </c>
      <c r="J12" s="107" t="s">
        <v>85</v>
      </c>
      <c r="K12" s="106" t="s">
        <v>687</v>
      </c>
      <c r="L12" s="107" t="s">
        <v>688</v>
      </c>
      <c r="M12" s="108">
        <v>44100.0</v>
      </c>
      <c r="N12" s="106" t="s">
        <v>689</v>
      </c>
      <c r="O12" s="109" t="s">
        <v>690</v>
      </c>
      <c r="P12" s="107" t="s">
        <v>691</v>
      </c>
      <c r="Q12" s="107" t="s">
        <v>691</v>
      </c>
      <c r="R12" s="110"/>
      <c r="S12" s="110"/>
      <c r="T12" s="110"/>
      <c r="U12" s="110"/>
      <c r="V12" s="110"/>
      <c r="W12" s="110"/>
      <c r="X12" s="110"/>
      <c r="Y12" s="110"/>
      <c r="Z12" s="110"/>
    </row>
    <row r="13">
      <c r="A13" s="105" t="s">
        <v>379</v>
      </c>
      <c r="B13" s="105" t="s">
        <v>696</v>
      </c>
      <c r="C13" s="106" t="s">
        <v>712</v>
      </c>
      <c r="D13" s="107" t="s">
        <v>83</v>
      </c>
      <c r="E13" s="106" t="s">
        <v>713</v>
      </c>
      <c r="F13" s="107">
        <v>1.0</v>
      </c>
      <c r="G13" s="112" t="s">
        <v>91</v>
      </c>
      <c r="H13" s="107" t="s">
        <v>91</v>
      </c>
      <c r="I13" s="107" t="s">
        <v>91</v>
      </c>
      <c r="J13" s="107" t="s">
        <v>85</v>
      </c>
      <c r="K13" s="106" t="s">
        <v>687</v>
      </c>
      <c r="L13" s="107" t="s">
        <v>714</v>
      </c>
      <c r="M13" s="108">
        <v>44100.0</v>
      </c>
      <c r="N13" s="106" t="s">
        <v>689</v>
      </c>
      <c r="O13" s="109" t="s">
        <v>690</v>
      </c>
      <c r="P13" s="107" t="s">
        <v>691</v>
      </c>
      <c r="Q13" s="107" t="s">
        <v>691</v>
      </c>
      <c r="R13" s="110"/>
      <c r="S13" s="110"/>
      <c r="T13" s="110"/>
      <c r="U13" s="110"/>
      <c r="V13" s="110"/>
      <c r="W13" s="110"/>
      <c r="X13" s="110"/>
      <c r="Y13" s="110"/>
      <c r="Z13" s="110"/>
    </row>
    <row r="14">
      <c r="A14" s="105" t="s">
        <v>715</v>
      </c>
      <c r="B14" s="105" t="s">
        <v>44</v>
      </c>
      <c r="C14" s="106" t="s">
        <v>716</v>
      </c>
      <c r="D14" s="107" t="s">
        <v>83</v>
      </c>
      <c r="E14" s="106" t="s">
        <v>685</v>
      </c>
      <c r="F14" s="107" t="s">
        <v>109</v>
      </c>
      <c r="G14" s="105" t="s">
        <v>686</v>
      </c>
      <c r="H14" s="107" t="s">
        <v>91</v>
      </c>
      <c r="I14" s="107" t="s">
        <v>91</v>
      </c>
      <c r="J14" s="107" t="s">
        <v>85</v>
      </c>
      <c r="K14" s="106" t="s">
        <v>687</v>
      </c>
      <c r="L14" s="107" t="s">
        <v>688</v>
      </c>
      <c r="M14" s="108">
        <v>44101.0</v>
      </c>
      <c r="N14" s="106" t="s">
        <v>692</v>
      </c>
      <c r="O14" s="109" t="s">
        <v>690</v>
      </c>
      <c r="P14" s="107" t="s">
        <v>702</v>
      </c>
      <c r="Q14" s="107" t="s">
        <v>702</v>
      </c>
      <c r="R14" s="110"/>
      <c r="S14" s="110"/>
      <c r="T14" s="110"/>
      <c r="U14" s="110"/>
      <c r="V14" s="110"/>
      <c r="W14" s="110"/>
      <c r="X14" s="110"/>
      <c r="Y14" s="110"/>
      <c r="Z14" s="110"/>
    </row>
    <row r="15">
      <c r="A15" s="105" t="s">
        <v>717</v>
      </c>
      <c r="B15" s="105" t="s">
        <v>44</v>
      </c>
      <c r="C15" s="106" t="s">
        <v>1319</v>
      </c>
      <c r="D15" s="107" t="s">
        <v>83</v>
      </c>
      <c r="E15" s="106" t="s">
        <v>1313</v>
      </c>
      <c r="F15" s="107" t="s">
        <v>112</v>
      </c>
      <c r="G15" s="105" t="s">
        <v>686</v>
      </c>
      <c r="H15" s="107" t="s">
        <v>91</v>
      </c>
      <c r="I15" s="107" t="s">
        <v>91</v>
      </c>
      <c r="J15" s="107" t="s">
        <v>85</v>
      </c>
      <c r="K15" s="106" t="s">
        <v>687</v>
      </c>
      <c r="L15" s="107" t="s">
        <v>688</v>
      </c>
      <c r="M15" s="108">
        <v>44100.0</v>
      </c>
      <c r="N15" s="106" t="s">
        <v>1314</v>
      </c>
      <c r="O15" s="109" t="s">
        <v>690</v>
      </c>
      <c r="P15" s="107" t="s">
        <v>691</v>
      </c>
      <c r="Q15" s="107" t="s">
        <v>691</v>
      </c>
      <c r="R15" s="110"/>
      <c r="S15" s="110"/>
      <c r="T15" s="110"/>
      <c r="U15" s="110"/>
      <c r="V15" s="110"/>
      <c r="W15" s="110"/>
      <c r="X15" s="110"/>
      <c r="Y15" s="110"/>
      <c r="Z15" s="110"/>
    </row>
    <row r="16">
      <c r="A16" s="105" t="s">
        <v>365</v>
      </c>
      <c r="B16" s="105" t="s">
        <v>197</v>
      </c>
      <c r="C16" s="106" t="s">
        <v>719</v>
      </c>
      <c r="D16" s="107" t="s">
        <v>185</v>
      </c>
      <c r="E16" s="106" t="s">
        <v>720</v>
      </c>
      <c r="F16" s="115" t="b">
        <v>1</v>
      </c>
      <c r="G16" s="112" t="s">
        <v>91</v>
      </c>
      <c r="H16" s="107" t="s">
        <v>91</v>
      </c>
      <c r="I16" s="107" t="s">
        <v>91</v>
      </c>
      <c r="J16" s="107" t="s">
        <v>85</v>
      </c>
      <c r="K16" s="106" t="s">
        <v>687</v>
      </c>
      <c r="L16" s="107" t="s">
        <v>688</v>
      </c>
      <c r="M16" s="108">
        <v>44100.0</v>
      </c>
      <c r="N16" s="106" t="s">
        <v>692</v>
      </c>
      <c r="O16" s="109" t="s">
        <v>690</v>
      </c>
      <c r="P16" s="107" t="s">
        <v>721</v>
      </c>
      <c r="Q16" s="107" t="s">
        <v>721</v>
      </c>
      <c r="R16" s="110"/>
      <c r="S16" s="110"/>
      <c r="T16" s="110"/>
      <c r="U16" s="110"/>
      <c r="V16" s="110"/>
      <c r="W16" s="110"/>
      <c r="X16" s="110"/>
      <c r="Y16" s="110"/>
      <c r="Z16" s="110"/>
    </row>
    <row r="17">
      <c r="A17" s="105" t="s">
        <v>513</v>
      </c>
      <c r="B17" s="105" t="s">
        <v>197</v>
      </c>
      <c r="C17" s="106" t="s">
        <v>722</v>
      </c>
      <c r="D17" s="107" t="s">
        <v>185</v>
      </c>
      <c r="E17" s="106" t="s">
        <v>720</v>
      </c>
      <c r="F17" s="115" t="b">
        <v>1</v>
      </c>
      <c r="G17" s="106" t="s">
        <v>723</v>
      </c>
      <c r="H17" s="107" t="s">
        <v>91</v>
      </c>
      <c r="I17" s="106" t="s">
        <v>723</v>
      </c>
      <c r="J17" s="107" t="s">
        <v>85</v>
      </c>
      <c r="K17" s="106" t="s">
        <v>687</v>
      </c>
      <c r="L17" s="107" t="s">
        <v>688</v>
      </c>
      <c r="M17" s="108">
        <v>44100.0</v>
      </c>
      <c r="N17" s="106" t="s">
        <v>692</v>
      </c>
      <c r="O17" s="109" t="s">
        <v>690</v>
      </c>
      <c r="P17" s="107" t="s">
        <v>724</v>
      </c>
      <c r="Q17" s="107" t="s">
        <v>724</v>
      </c>
      <c r="R17" s="110"/>
      <c r="S17" s="110"/>
      <c r="T17" s="110"/>
      <c r="U17" s="110"/>
      <c r="V17" s="110"/>
      <c r="W17" s="110"/>
      <c r="X17" s="110"/>
      <c r="Y17" s="110"/>
      <c r="Z17" s="110"/>
    </row>
    <row r="18">
      <c r="A18" s="105" t="s">
        <v>725</v>
      </c>
      <c r="B18" s="105" t="s">
        <v>52</v>
      </c>
      <c r="C18" s="106" t="s">
        <v>726</v>
      </c>
      <c r="D18" s="107" t="s">
        <v>185</v>
      </c>
      <c r="E18" s="106" t="s">
        <v>698</v>
      </c>
      <c r="F18" s="113">
        <v>43695.0</v>
      </c>
      <c r="G18" s="106" t="s">
        <v>723</v>
      </c>
      <c r="H18" s="107" t="s">
        <v>91</v>
      </c>
      <c r="I18" s="106" t="s">
        <v>723</v>
      </c>
      <c r="J18" s="107" t="s">
        <v>85</v>
      </c>
      <c r="K18" s="106" t="s">
        <v>687</v>
      </c>
      <c r="L18" s="107" t="s">
        <v>688</v>
      </c>
      <c r="M18" s="108">
        <v>44101.0</v>
      </c>
      <c r="N18" s="106" t="s">
        <v>727</v>
      </c>
      <c r="O18" s="109" t="s">
        <v>690</v>
      </c>
      <c r="P18" s="107" t="s">
        <v>721</v>
      </c>
      <c r="Q18" s="107" t="s">
        <v>721</v>
      </c>
      <c r="R18" s="110"/>
      <c r="S18" s="110"/>
      <c r="T18" s="110"/>
      <c r="U18" s="110"/>
      <c r="V18" s="110"/>
      <c r="W18" s="110"/>
      <c r="X18" s="110"/>
      <c r="Y18" s="110"/>
      <c r="Z18" s="110"/>
    </row>
    <row r="19">
      <c r="A19" s="105" t="s">
        <v>728</v>
      </c>
      <c r="B19" s="105" t="s">
        <v>52</v>
      </c>
      <c r="C19" s="106" t="s">
        <v>729</v>
      </c>
      <c r="D19" s="107" t="s">
        <v>185</v>
      </c>
      <c r="E19" s="106" t="s">
        <v>720</v>
      </c>
      <c r="F19" s="115" t="b">
        <v>1</v>
      </c>
      <c r="G19" s="106" t="s">
        <v>723</v>
      </c>
      <c r="H19" s="107" t="s">
        <v>91</v>
      </c>
      <c r="I19" s="106" t="s">
        <v>723</v>
      </c>
      <c r="J19" s="107" t="s">
        <v>85</v>
      </c>
      <c r="K19" s="106" t="s">
        <v>687</v>
      </c>
      <c r="L19" s="107" t="s">
        <v>688</v>
      </c>
      <c r="M19" s="108">
        <v>44100.0</v>
      </c>
      <c r="N19" s="106" t="s">
        <v>701</v>
      </c>
      <c r="O19" s="109" t="s">
        <v>690</v>
      </c>
      <c r="P19" s="107" t="s">
        <v>721</v>
      </c>
      <c r="Q19" s="107" t="s">
        <v>721</v>
      </c>
      <c r="R19" s="110"/>
      <c r="S19" s="110"/>
      <c r="T19" s="110"/>
      <c r="U19" s="110"/>
      <c r="V19" s="110"/>
      <c r="W19" s="110"/>
      <c r="X19" s="110"/>
      <c r="Y19" s="110"/>
      <c r="Z19" s="110"/>
    </row>
    <row r="20">
      <c r="A20" s="105" t="s">
        <v>730</v>
      </c>
      <c r="B20" s="105" t="s">
        <v>52</v>
      </c>
      <c r="C20" s="106" t="s">
        <v>731</v>
      </c>
      <c r="D20" s="107" t="s">
        <v>185</v>
      </c>
      <c r="E20" s="106" t="s">
        <v>698</v>
      </c>
      <c r="F20" s="113">
        <v>43763.0</v>
      </c>
      <c r="G20" s="106" t="s">
        <v>723</v>
      </c>
      <c r="H20" s="107" t="s">
        <v>91</v>
      </c>
      <c r="I20" s="106" t="s">
        <v>723</v>
      </c>
      <c r="J20" s="107" t="s">
        <v>85</v>
      </c>
      <c r="K20" s="106" t="s">
        <v>687</v>
      </c>
      <c r="L20" s="107" t="s">
        <v>688</v>
      </c>
      <c r="M20" s="108">
        <v>44100.0</v>
      </c>
      <c r="N20" s="106" t="s">
        <v>701</v>
      </c>
      <c r="O20" s="109" t="s">
        <v>732</v>
      </c>
      <c r="P20" s="107" t="s">
        <v>721</v>
      </c>
      <c r="Q20" s="107" t="s">
        <v>721</v>
      </c>
      <c r="R20" s="110"/>
      <c r="S20" s="110"/>
      <c r="T20" s="110"/>
      <c r="U20" s="110"/>
      <c r="V20" s="110"/>
      <c r="W20" s="110"/>
      <c r="X20" s="110"/>
      <c r="Y20" s="110"/>
      <c r="Z20" s="110"/>
    </row>
    <row r="21" ht="38.25" customHeight="1">
      <c r="A21" s="105" t="s">
        <v>733</v>
      </c>
      <c r="B21" s="105" t="s">
        <v>52</v>
      </c>
      <c r="C21" s="106" t="s">
        <v>734</v>
      </c>
      <c r="D21" s="107" t="s">
        <v>185</v>
      </c>
      <c r="E21" s="106" t="s">
        <v>720</v>
      </c>
      <c r="F21" s="115" t="b">
        <v>1</v>
      </c>
      <c r="G21" s="106" t="s">
        <v>723</v>
      </c>
      <c r="H21" s="107" t="s">
        <v>91</v>
      </c>
      <c r="I21" s="106" t="s">
        <v>723</v>
      </c>
      <c r="J21" s="107" t="s">
        <v>85</v>
      </c>
      <c r="K21" s="106" t="s">
        <v>687</v>
      </c>
      <c r="L21" s="107" t="s">
        <v>688</v>
      </c>
      <c r="M21" s="108">
        <v>44101.0</v>
      </c>
      <c r="N21" s="106" t="s">
        <v>735</v>
      </c>
      <c r="O21" s="116" t="s">
        <v>736</v>
      </c>
      <c r="P21" s="107" t="s">
        <v>721</v>
      </c>
      <c r="Q21" s="107" t="s">
        <v>721</v>
      </c>
      <c r="R21" s="110"/>
      <c r="S21" s="110"/>
      <c r="T21" s="110"/>
      <c r="U21" s="110"/>
      <c r="V21" s="110"/>
      <c r="W21" s="110"/>
      <c r="X21" s="110"/>
      <c r="Y21" s="110"/>
      <c r="Z21" s="110"/>
    </row>
    <row r="22">
      <c r="A22" s="105" t="s">
        <v>737</v>
      </c>
      <c r="B22" s="105" t="s">
        <v>52</v>
      </c>
      <c r="C22" s="106" t="s">
        <v>738</v>
      </c>
      <c r="D22" s="107" t="s">
        <v>185</v>
      </c>
      <c r="E22" s="106" t="s">
        <v>685</v>
      </c>
      <c r="F22" s="107" t="s">
        <v>318</v>
      </c>
      <c r="G22" s="106" t="s">
        <v>723</v>
      </c>
      <c r="H22" s="107" t="s">
        <v>91</v>
      </c>
      <c r="I22" s="106" t="s">
        <v>723</v>
      </c>
      <c r="J22" s="107" t="s">
        <v>85</v>
      </c>
      <c r="K22" s="106" t="s">
        <v>687</v>
      </c>
      <c r="L22" s="107" t="s">
        <v>688</v>
      </c>
      <c r="M22" s="108">
        <v>44101.0</v>
      </c>
      <c r="N22" s="106" t="s">
        <v>727</v>
      </c>
      <c r="O22" s="109" t="s">
        <v>690</v>
      </c>
      <c r="P22" s="107" t="s">
        <v>721</v>
      </c>
      <c r="Q22" s="107" t="s">
        <v>721</v>
      </c>
      <c r="R22" s="110"/>
      <c r="S22" s="110"/>
      <c r="T22" s="110"/>
      <c r="U22" s="110"/>
      <c r="V22" s="110"/>
      <c r="W22" s="110"/>
      <c r="X22" s="110"/>
      <c r="Y22" s="110"/>
      <c r="Z22" s="110"/>
    </row>
    <row r="23">
      <c r="A23" s="105" t="s">
        <v>739</v>
      </c>
      <c r="B23" s="105" t="s">
        <v>197</v>
      </c>
      <c r="C23" s="106" t="s">
        <v>740</v>
      </c>
      <c r="D23" s="107" t="s">
        <v>83</v>
      </c>
      <c r="E23" s="106" t="s">
        <v>720</v>
      </c>
      <c r="F23" s="115" t="b">
        <v>1</v>
      </c>
      <c r="G23" s="117" t="s">
        <v>86</v>
      </c>
      <c r="H23" s="107" t="s">
        <v>91</v>
      </c>
      <c r="I23" s="107" t="s">
        <v>91</v>
      </c>
      <c r="J23" s="117" t="s">
        <v>85</v>
      </c>
      <c r="K23" s="106" t="s">
        <v>687</v>
      </c>
      <c r="L23" s="107" t="s">
        <v>688</v>
      </c>
      <c r="M23" s="108">
        <v>44100.0</v>
      </c>
      <c r="N23" s="106" t="s">
        <v>741</v>
      </c>
      <c r="O23" s="109" t="s">
        <v>690</v>
      </c>
      <c r="P23" s="107" t="s">
        <v>702</v>
      </c>
      <c r="Q23" s="107" t="s">
        <v>702</v>
      </c>
      <c r="R23" s="110"/>
      <c r="S23" s="110"/>
      <c r="T23" s="110"/>
      <c r="U23" s="110"/>
      <c r="V23" s="110"/>
      <c r="W23" s="110"/>
      <c r="X23" s="110"/>
      <c r="Y23" s="110"/>
      <c r="Z23" s="110"/>
    </row>
    <row r="24">
      <c r="A24" s="105" t="s">
        <v>742</v>
      </c>
      <c r="B24" s="105" t="s">
        <v>696</v>
      </c>
      <c r="C24" s="106" t="s">
        <v>743</v>
      </c>
      <c r="D24" s="107" t="s">
        <v>83</v>
      </c>
      <c r="E24" s="106" t="s">
        <v>698</v>
      </c>
      <c r="F24" s="118">
        <v>44229.0</v>
      </c>
      <c r="G24" s="105" t="s">
        <v>686</v>
      </c>
      <c r="H24" s="107" t="s">
        <v>91</v>
      </c>
      <c r="I24" s="107" t="s">
        <v>91</v>
      </c>
      <c r="J24" s="107" t="s">
        <v>85</v>
      </c>
      <c r="K24" s="106" t="s">
        <v>687</v>
      </c>
      <c r="L24" s="107" t="s">
        <v>688</v>
      </c>
      <c r="M24" s="108">
        <v>44101.0</v>
      </c>
      <c r="N24" s="106" t="s">
        <v>701</v>
      </c>
      <c r="O24" s="109" t="s">
        <v>690</v>
      </c>
      <c r="P24" s="107" t="s">
        <v>744</v>
      </c>
      <c r="Q24" s="107" t="s">
        <v>744</v>
      </c>
      <c r="R24" s="110"/>
      <c r="S24" s="110"/>
      <c r="T24" s="110"/>
      <c r="U24" s="110"/>
      <c r="V24" s="110"/>
      <c r="W24" s="110"/>
      <c r="X24" s="110"/>
      <c r="Y24" s="110"/>
      <c r="Z24" s="110"/>
    </row>
    <row r="25">
      <c r="A25" s="105" t="s">
        <v>377</v>
      </c>
      <c r="B25" s="105" t="s">
        <v>197</v>
      </c>
      <c r="C25" s="106" t="s">
        <v>378</v>
      </c>
      <c r="D25" s="107" t="s">
        <v>185</v>
      </c>
      <c r="E25" s="106" t="s">
        <v>720</v>
      </c>
      <c r="F25" s="115" t="b">
        <v>1</v>
      </c>
      <c r="G25" s="112" t="s">
        <v>91</v>
      </c>
      <c r="H25" s="107" t="s">
        <v>91</v>
      </c>
      <c r="I25" s="107" t="s">
        <v>91</v>
      </c>
      <c r="J25" s="107" t="s">
        <v>85</v>
      </c>
      <c r="K25" s="106" t="s">
        <v>687</v>
      </c>
      <c r="L25" s="107" t="s">
        <v>688</v>
      </c>
      <c r="M25" s="108">
        <v>44101.0</v>
      </c>
      <c r="N25" s="106" t="s">
        <v>741</v>
      </c>
      <c r="O25" s="109" t="s">
        <v>690</v>
      </c>
      <c r="P25" s="107" t="s">
        <v>745</v>
      </c>
      <c r="Q25" s="107" t="s">
        <v>745</v>
      </c>
      <c r="R25" s="110"/>
      <c r="S25" s="110"/>
      <c r="T25" s="110"/>
      <c r="U25" s="110"/>
      <c r="V25" s="110"/>
      <c r="W25" s="110"/>
      <c r="X25" s="110"/>
      <c r="Y25" s="110"/>
      <c r="Z25" s="110"/>
    </row>
    <row r="26">
      <c r="A26" s="105" t="s">
        <v>746</v>
      </c>
      <c r="B26" s="105" t="s">
        <v>197</v>
      </c>
      <c r="C26" s="106" t="s">
        <v>747</v>
      </c>
      <c r="D26" s="107" t="s">
        <v>185</v>
      </c>
      <c r="E26" s="106" t="s">
        <v>698</v>
      </c>
      <c r="F26" s="113">
        <v>43704.0</v>
      </c>
      <c r="G26" s="106" t="s">
        <v>723</v>
      </c>
      <c r="H26" s="107" t="s">
        <v>91</v>
      </c>
      <c r="I26" s="106" t="s">
        <v>723</v>
      </c>
      <c r="J26" s="107" t="s">
        <v>85</v>
      </c>
      <c r="K26" s="106" t="s">
        <v>687</v>
      </c>
      <c r="L26" s="107" t="s">
        <v>688</v>
      </c>
      <c r="M26" s="108">
        <v>44100.0</v>
      </c>
      <c r="N26" s="106" t="s">
        <v>692</v>
      </c>
      <c r="O26" s="109" t="s">
        <v>690</v>
      </c>
      <c r="P26" s="107" t="s">
        <v>724</v>
      </c>
      <c r="Q26" s="107" t="s">
        <v>724</v>
      </c>
      <c r="R26" s="110"/>
      <c r="S26" s="110"/>
      <c r="T26" s="110"/>
      <c r="U26" s="110"/>
      <c r="V26" s="110"/>
      <c r="W26" s="110"/>
      <c r="X26" s="110"/>
      <c r="Y26" s="110"/>
      <c r="Z26" s="110"/>
    </row>
    <row r="27" ht="192.0" customHeight="1">
      <c r="A27" s="105" t="s">
        <v>395</v>
      </c>
      <c r="B27" s="105" t="s">
        <v>58</v>
      </c>
      <c r="C27" s="106" t="s">
        <v>748</v>
      </c>
      <c r="D27" s="107" t="s">
        <v>185</v>
      </c>
      <c r="E27" s="106" t="s">
        <v>685</v>
      </c>
      <c r="F27" s="107" t="s">
        <v>96</v>
      </c>
      <c r="G27" s="112" t="s">
        <v>86</v>
      </c>
      <c r="H27" s="107" t="s">
        <v>91</v>
      </c>
      <c r="I27" s="107" t="s">
        <v>91</v>
      </c>
      <c r="J27" s="107" t="s">
        <v>85</v>
      </c>
      <c r="K27" s="106" t="s">
        <v>749</v>
      </c>
      <c r="L27" s="107" t="s">
        <v>749</v>
      </c>
      <c r="M27" s="108">
        <v>44044.0</v>
      </c>
      <c r="N27" s="106" t="s">
        <v>692</v>
      </c>
      <c r="O27" s="109" t="s">
        <v>690</v>
      </c>
      <c r="P27" s="107" t="s">
        <v>750</v>
      </c>
      <c r="Q27" s="107" t="s">
        <v>750</v>
      </c>
      <c r="R27" s="110"/>
      <c r="S27" s="110"/>
      <c r="T27" s="110"/>
      <c r="U27" s="110"/>
      <c r="V27" s="110"/>
      <c r="W27" s="110"/>
      <c r="X27" s="110"/>
      <c r="Y27" s="110"/>
      <c r="Z27" s="110"/>
    </row>
    <row r="28" ht="15.75" customHeight="1">
      <c r="A28" s="105" t="s">
        <v>751</v>
      </c>
      <c r="B28" s="105" t="s">
        <v>197</v>
      </c>
      <c r="C28" s="106" t="s">
        <v>752</v>
      </c>
      <c r="D28" s="107" t="s">
        <v>185</v>
      </c>
      <c r="E28" s="106" t="s">
        <v>698</v>
      </c>
      <c r="F28" s="113">
        <v>43673.0</v>
      </c>
      <c r="G28" s="106" t="s">
        <v>723</v>
      </c>
      <c r="H28" s="107" t="s">
        <v>91</v>
      </c>
      <c r="I28" s="106" t="s">
        <v>723</v>
      </c>
      <c r="J28" s="107" t="s">
        <v>85</v>
      </c>
      <c r="K28" s="106" t="s">
        <v>687</v>
      </c>
      <c r="L28" s="107" t="s">
        <v>688</v>
      </c>
      <c r="M28" s="108">
        <v>44100.0</v>
      </c>
      <c r="N28" s="106" t="s">
        <v>692</v>
      </c>
      <c r="O28" s="109" t="s">
        <v>690</v>
      </c>
      <c r="P28" s="107" t="s">
        <v>724</v>
      </c>
      <c r="Q28" s="107" t="s">
        <v>724</v>
      </c>
      <c r="R28" s="110"/>
      <c r="S28" s="110"/>
      <c r="T28" s="110"/>
      <c r="U28" s="110"/>
      <c r="V28" s="110"/>
      <c r="W28" s="110"/>
      <c r="X28" s="110"/>
      <c r="Y28" s="110"/>
      <c r="Z28" s="110"/>
    </row>
    <row r="29" ht="15.75" customHeight="1">
      <c r="A29" s="105" t="s">
        <v>753</v>
      </c>
      <c r="B29" s="105" t="s">
        <v>52</v>
      </c>
      <c r="C29" s="106" t="s">
        <v>754</v>
      </c>
      <c r="D29" s="107" t="s">
        <v>185</v>
      </c>
      <c r="E29" s="106" t="s">
        <v>698</v>
      </c>
      <c r="F29" s="113">
        <v>43763.0</v>
      </c>
      <c r="G29" s="106" t="s">
        <v>723</v>
      </c>
      <c r="H29" s="112" t="s">
        <v>91</v>
      </c>
      <c r="I29" s="106" t="s">
        <v>723</v>
      </c>
      <c r="J29" s="107" t="s">
        <v>85</v>
      </c>
      <c r="K29" s="106" t="s">
        <v>687</v>
      </c>
      <c r="L29" s="107" t="s">
        <v>688</v>
      </c>
      <c r="M29" s="108">
        <v>44101.0</v>
      </c>
      <c r="N29" s="106" t="s">
        <v>735</v>
      </c>
      <c r="O29" s="116" t="s">
        <v>736</v>
      </c>
      <c r="P29" s="107" t="s">
        <v>721</v>
      </c>
      <c r="Q29" s="107" t="s">
        <v>721</v>
      </c>
      <c r="R29" s="110"/>
      <c r="S29" s="110"/>
      <c r="T29" s="110"/>
      <c r="U29" s="110"/>
      <c r="V29" s="110"/>
      <c r="W29" s="110"/>
      <c r="X29" s="110"/>
      <c r="Y29" s="110"/>
      <c r="Z29" s="110"/>
    </row>
    <row r="30" ht="15.75" customHeight="1">
      <c r="A30" s="105" t="s">
        <v>755</v>
      </c>
      <c r="B30" s="105" t="s">
        <v>52</v>
      </c>
      <c r="C30" s="106" t="s">
        <v>756</v>
      </c>
      <c r="D30" s="107" t="s">
        <v>185</v>
      </c>
      <c r="E30" s="106" t="s">
        <v>685</v>
      </c>
      <c r="F30" s="107" t="s">
        <v>757</v>
      </c>
      <c r="G30" s="106" t="s">
        <v>723</v>
      </c>
      <c r="H30" s="112" t="s">
        <v>91</v>
      </c>
      <c r="I30" s="106" t="s">
        <v>723</v>
      </c>
      <c r="J30" s="107" t="s">
        <v>85</v>
      </c>
      <c r="K30" s="106" t="s">
        <v>687</v>
      </c>
      <c r="L30" s="107" t="s">
        <v>688</v>
      </c>
      <c r="M30" s="108">
        <v>44101.0</v>
      </c>
      <c r="N30" s="106" t="s">
        <v>735</v>
      </c>
      <c r="O30" s="116" t="s">
        <v>736</v>
      </c>
      <c r="P30" s="107" t="s">
        <v>721</v>
      </c>
      <c r="Q30" s="107" t="s">
        <v>721</v>
      </c>
      <c r="R30" s="110"/>
      <c r="S30" s="110"/>
      <c r="T30" s="110"/>
      <c r="U30" s="110"/>
      <c r="V30" s="110"/>
      <c r="W30" s="110"/>
      <c r="X30" s="110"/>
      <c r="Y30" s="110"/>
      <c r="Z30" s="110"/>
    </row>
    <row r="31" ht="15.75" customHeight="1">
      <c r="A31" s="105" t="s">
        <v>758</v>
      </c>
      <c r="B31" s="105" t="s">
        <v>197</v>
      </c>
      <c r="C31" s="106" t="s">
        <v>759</v>
      </c>
      <c r="D31" s="107" t="s">
        <v>185</v>
      </c>
      <c r="E31" s="106" t="s">
        <v>713</v>
      </c>
      <c r="F31" s="107">
        <v>9.0</v>
      </c>
      <c r="G31" s="106" t="s">
        <v>723</v>
      </c>
      <c r="H31" s="112" t="s">
        <v>91</v>
      </c>
      <c r="I31" s="106" t="s">
        <v>723</v>
      </c>
      <c r="J31" s="107" t="s">
        <v>85</v>
      </c>
      <c r="K31" s="106" t="s">
        <v>687</v>
      </c>
      <c r="L31" s="107" t="s">
        <v>760</v>
      </c>
      <c r="M31" s="108">
        <v>44100.0</v>
      </c>
      <c r="N31" s="106" t="s">
        <v>735</v>
      </c>
      <c r="O31" s="116" t="s">
        <v>736</v>
      </c>
      <c r="P31" s="107" t="s">
        <v>761</v>
      </c>
      <c r="Q31" s="107" t="s">
        <v>761</v>
      </c>
      <c r="R31" s="110"/>
      <c r="S31" s="110"/>
      <c r="T31" s="110"/>
      <c r="U31" s="110"/>
      <c r="V31" s="110"/>
      <c r="W31" s="110"/>
      <c r="X31" s="110"/>
      <c r="Y31" s="110"/>
      <c r="Z31" s="110"/>
    </row>
    <row r="32">
      <c r="A32" s="105" t="s">
        <v>233</v>
      </c>
      <c r="B32" s="105" t="s">
        <v>197</v>
      </c>
      <c r="C32" s="106" t="s">
        <v>762</v>
      </c>
      <c r="D32" s="107" t="s">
        <v>135</v>
      </c>
      <c r="E32" s="106" t="s">
        <v>713</v>
      </c>
      <c r="F32" s="107">
        <v>1.0</v>
      </c>
      <c r="G32" s="107" t="s">
        <v>136</v>
      </c>
      <c r="H32" s="107" t="s">
        <v>91</v>
      </c>
      <c r="I32" s="107" t="s">
        <v>91</v>
      </c>
      <c r="J32" s="107" t="s">
        <v>85</v>
      </c>
      <c r="K32" s="105" t="s">
        <v>749</v>
      </c>
      <c r="L32" s="112" t="s">
        <v>763</v>
      </c>
      <c r="M32" s="108">
        <v>44044.0</v>
      </c>
      <c r="N32" s="106" t="s">
        <v>764</v>
      </c>
      <c r="O32" s="116" t="s">
        <v>736</v>
      </c>
      <c r="P32" s="107" t="s">
        <v>761</v>
      </c>
      <c r="Q32" s="107" t="s">
        <v>761</v>
      </c>
      <c r="R32" s="110"/>
      <c r="S32" s="110"/>
      <c r="T32" s="110"/>
      <c r="U32" s="110"/>
      <c r="V32" s="110"/>
      <c r="W32" s="110"/>
      <c r="X32" s="110"/>
      <c r="Y32" s="110"/>
      <c r="Z32" s="110"/>
    </row>
    <row r="33" ht="15.75" customHeight="1">
      <c r="A33" s="105" t="s">
        <v>461</v>
      </c>
      <c r="B33" s="105" t="s">
        <v>44</v>
      </c>
      <c r="C33" s="106" t="s">
        <v>462</v>
      </c>
      <c r="D33" s="107" t="s">
        <v>83</v>
      </c>
      <c r="E33" s="106" t="s">
        <v>685</v>
      </c>
      <c r="F33" s="107" t="s">
        <v>463</v>
      </c>
      <c r="G33" s="105" t="s">
        <v>686</v>
      </c>
      <c r="H33" s="107" t="s">
        <v>91</v>
      </c>
      <c r="I33" s="112" t="s">
        <v>87</v>
      </c>
      <c r="J33" s="107" t="s">
        <v>85</v>
      </c>
      <c r="K33" s="106" t="s">
        <v>687</v>
      </c>
      <c r="L33" s="107" t="s">
        <v>688</v>
      </c>
      <c r="M33" s="108">
        <v>44100.0</v>
      </c>
      <c r="N33" s="106" t="s">
        <v>692</v>
      </c>
      <c r="O33" s="109" t="s">
        <v>690</v>
      </c>
      <c r="P33" s="107" t="s">
        <v>705</v>
      </c>
      <c r="Q33" s="107" t="s">
        <v>705</v>
      </c>
      <c r="R33" s="110"/>
      <c r="S33" s="110"/>
      <c r="T33" s="110"/>
      <c r="U33" s="110"/>
      <c r="V33" s="110"/>
      <c r="W33" s="110"/>
      <c r="X33" s="110"/>
      <c r="Y33" s="110"/>
      <c r="Z33" s="110"/>
    </row>
    <row r="34" ht="15.75" customHeight="1">
      <c r="A34" s="105" t="s">
        <v>467</v>
      </c>
      <c r="B34" s="105" t="s">
        <v>696</v>
      </c>
      <c r="C34" s="106" t="s">
        <v>468</v>
      </c>
      <c r="D34" s="107" t="s">
        <v>83</v>
      </c>
      <c r="E34" s="106" t="s">
        <v>685</v>
      </c>
      <c r="F34" s="107">
        <v>9.40904151E8</v>
      </c>
      <c r="G34" s="114" t="s">
        <v>686</v>
      </c>
      <c r="H34" s="107" t="s">
        <v>91</v>
      </c>
      <c r="I34" s="114" t="s">
        <v>91</v>
      </c>
      <c r="J34" s="107" t="s">
        <v>85</v>
      </c>
      <c r="K34" s="106" t="s">
        <v>687</v>
      </c>
      <c r="L34" s="107" t="s">
        <v>688</v>
      </c>
      <c r="M34" s="108">
        <v>44100.0</v>
      </c>
      <c r="N34" s="106" t="s">
        <v>692</v>
      </c>
      <c r="O34" s="109" t="s">
        <v>690</v>
      </c>
      <c r="P34" s="107" t="s">
        <v>691</v>
      </c>
      <c r="Q34" s="107" t="s">
        <v>691</v>
      </c>
      <c r="R34" s="110"/>
      <c r="S34" s="110"/>
      <c r="T34" s="110"/>
      <c r="U34" s="110"/>
      <c r="V34" s="110"/>
      <c r="W34" s="110"/>
      <c r="X34" s="110"/>
      <c r="Y34" s="110"/>
      <c r="Z34" s="110"/>
    </row>
    <row r="35" ht="15.75" customHeight="1">
      <c r="A35" s="105" t="s">
        <v>469</v>
      </c>
      <c r="B35" s="105" t="s">
        <v>696</v>
      </c>
      <c r="C35" s="106" t="s">
        <v>765</v>
      </c>
      <c r="D35" s="107" t="s">
        <v>83</v>
      </c>
      <c r="E35" s="106" t="s">
        <v>685</v>
      </c>
      <c r="F35" s="107" t="s">
        <v>471</v>
      </c>
      <c r="G35" s="114" t="s">
        <v>686</v>
      </c>
      <c r="H35" s="107" t="s">
        <v>91</v>
      </c>
      <c r="I35" s="114" t="s">
        <v>91</v>
      </c>
      <c r="J35" s="107" t="s">
        <v>85</v>
      </c>
      <c r="K35" s="106" t="s">
        <v>687</v>
      </c>
      <c r="L35" s="107" t="s">
        <v>688</v>
      </c>
      <c r="M35" s="108">
        <v>44100.0</v>
      </c>
      <c r="N35" s="106" t="s">
        <v>692</v>
      </c>
      <c r="O35" s="109" t="s">
        <v>690</v>
      </c>
      <c r="P35" s="107" t="s">
        <v>691</v>
      </c>
      <c r="Q35" s="107" t="s">
        <v>691</v>
      </c>
      <c r="R35" s="110"/>
      <c r="S35" s="110"/>
      <c r="T35" s="110"/>
      <c r="U35" s="110"/>
      <c r="V35" s="110"/>
      <c r="W35" s="110"/>
      <c r="X35" s="110"/>
      <c r="Y35" s="110"/>
      <c r="Z35" s="110"/>
    </row>
    <row r="36" ht="15.75" customHeight="1">
      <c r="A36" s="105" t="s">
        <v>100</v>
      </c>
      <c r="B36" s="105" t="s">
        <v>696</v>
      </c>
      <c r="C36" s="106" t="s">
        <v>101</v>
      </c>
      <c r="D36" s="107" t="s">
        <v>83</v>
      </c>
      <c r="E36" s="106" t="s">
        <v>685</v>
      </c>
      <c r="F36" s="107" t="s">
        <v>103</v>
      </c>
      <c r="G36" s="112" t="s">
        <v>91</v>
      </c>
      <c r="H36" s="107" t="s">
        <v>91</v>
      </c>
      <c r="I36" s="107" t="s">
        <v>91</v>
      </c>
      <c r="J36" s="107" t="s">
        <v>85</v>
      </c>
      <c r="K36" s="106" t="s">
        <v>687</v>
      </c>
      <c r="L36" s="107" t="s">
        <v>688</v>
      </c>
      <c r="M36" s="108">
        <v>44100.0</v>
      </c>
      <c r="N36" s="106" t="s">
        <v>692</v>
      </c>
      <c r="O36" s="109" t="s">
        <v>690</v>
      </c>
      <c r="P36" s="107" t="s">
        <v>691</v>
      </c>
      <c r="Q36" s="107" t="s">
        <v>691</v>
      </c>
      <c r="R36" s="110"/>
      <c r="S36" s="110"/>
      <c r="T36" s="110"/>
      <c r="U36" s="110"/>
      <c r="V36" s="110"/>
      <c r="W36" s="110"/>
      <c r="X36" s="110"/>
      <c r="Y36" s="110"/>
      <c r="Z36" s="110"/>
    </row>
    <row r="37" ht="15.75" customHeight="1">
      <c r="A37" s="105" t="s">
        <v>766</v>
      </c>
      <c r="B37" s="105" t="s">
        <v>197</v>
      </c>
      <c r="C37" s="106" t="s">
        <v>767</v>
      </c>
      <c r="D37" s="107" t="s">
        <v>185</v>
      </c>
      <c r="E37" s="106" t="s">
        <v>768</v>
      </c>
      <c r="F37" s="107">
        <v>8.89</v>
      </c>
      <c r="G37" s="106" t="s">
        <v>723</v>
      </c>
      <c r="H37" s="107" t="s">
        <v>91</v>
      </c>
      <c r="I37" s="106" t="s">
        <v>723</v>
      </c>
      <c r="J37" s="107" t="s">
        <v>85</v>
      </c>
      <c r="K37" s="106" t="s">
        <v>687</v>
      </c>
      <c r="L37" s="107" t="s">
        <v>760</v>
      </c>
      <c r="M37" s="108">
        <v>44100.0</v>
      </c>
      <c r="N37" s="106" t="s">
        <v>735</v>
      </c>
      <c r="O37" s="116" t="s">
        <v>736</v>
      </c>
      <c r="P37" s="107" t="s">
        <v>761</v>
      </c>
      <c r="Q37" s="107" t="s">
        <v>761</v>
      </c>
      <c r="R37" s="110"/>
      <c r="S37" s="110"/>
      <c r="T37" s="110"/>
      <c r="U37" s="110"/>
      <c r="V37" s="110"/>
      <c r="W37" s="110"/>
      <c r="X37" s="110"/>
      <c r="Y37" s="110"/>
      <c r="Z37" s="110"/>
    </row>
    <row r="38" ht="15.75" customHeight="1">
      <c r="A38" s="105" t="s">
        <v>769</v>
      </c>
      <c r="B38" s="105" t="s">
        <v>44</v>
      </c>
      <c r="C38" s="106" t="s">
        <v>1320</v>
      </c>
      <c r="D38" s="107" t="s">
        <v>83</v>
      </c>
      <c r="E38" s="106" t="s">
        <v>698</v>
      </c>
      <c r="F38" s="119">
        <v>44023.666666666664</v>
      </c>
      <c r="G38" s="105" t="s">
        <v>1051</v>
      </c>
      <c r="H38" s="106" t="s">
        <v>1321</v>
      </c>
      <c r="I38" s="106" t="s">
        <v>1051</v>
      </c>
      <c r="J38" s="107" t="s">
        <v>85</v>
      </c>
      <c r="K38" s="106" t="s">
        <v>749</v>
      </c>
      <c r="L38" s="107" t="s">
        <v>688</v>
      </c>
      <c r="M38" s="108">
        <v>44089.0</v>
      </c>
      <c r="N38" s="106" t="s">
        <v>701</v>
      </c>
      <c r="O38" s="109" t="s">
        <v>690</v>
      </c>
      <c r="P38" s="107" t="s">
        <v>771</v>
      </c>
      <c r="Q38" s="107" t="s">
        <v>771</v>
      </c>
      <c r="R38" s="110"/>
      <c r="S38" s="110"/>
      <c r="T38" s="110"/>
      <c r="U38" s="110"/>
      <c r="V38" s="110"/>
      <c r="W38" s="110"/>
      <c r="X38" s="110"/>
      <c r="Y38" s="110"/>
      <c r="Z38" s="110"/>
    </row>
    <row r="39" ht="15.75" customHeight="1">
      <c r="A39" s="105" t="s">
        <v>435</v>
      </c>
      <c r="B39" s="105" t="s">
        <v>44</v>
      </c>
      <c r="C39" s="106" t="s">
        <v>772</v>
      </c>
      <c r="D39" s="107" t="s">
        <v>83</v>
      </c>
      <c r="E39" s="106" t="s">
        <v>1191</v>
      </c>
      <c r="F39" s="119">
        <v>44023.666666666664</v>
      </c>
      <c r="G39" s="105" t="s">
        <v>1051</v>
      </c>
      <c r="H39" s="106" t="s">
        <v>1321</v>
      </c>
      <c r="I39" s="106" t="s">
        <v>1051</v>
      </c>
      <c r="J39" s="107" t="s">
        <v>85</v>
      </c>
      <c r="K39" s="106" t="s">
        <v>749</v>
      </c>
      <c r="L39" s="107" t="s">
        <v>688</v>
      </c>
      <c r="M39" s="108">
        <v>44089.0</v>
      </c>
      <c r="N39" s="106" t="s">
        <v>701</v>
      </c>
      <c r="O39" s="109" t="s">
        <v>690</v>
      </c>
      <c r="P39" s="107" t="s">
        <v>771</v>
      </c>
      <c r="Q39" s="107" t="s">
        <v>771</v>
      </c>
      <c r="R39" s="110"/>
      <c r="S39" s="110"/>
      <c r="T39" s="110"/>
      <c r="U39" s="110"/>
      <c r="V39" s="110"/>
      <c r="W39" s="110"/>
      <c r="X39" s="110"/>
      <c r="Y39" s="110"/>
      <c r="Z39" s="110"/>
    </row>
    <row r="40" ht="15.75" customHeight="1">
      <c r="A40" s="105" t="s">
        <v>441</v>
      </c>
      <c r="B40" s="105" t="s">
        <v>44</v>
      </c>
      <c r="C40" s="106" t="s">
        <v>773</v>
      </c>
      <c r="D40" s="107" t="s">
        <v>83</v>
      </c>
      <c r="E40" s="106" t="s">
        <v>774</v>
      </c>
      <c r="F40" s="107">
        <v>50.0</v>
      </c>
      <c r="G40" s="112" t="s">
        <v>335</v>
      </c>
      <c r="H40" s="107" t="s">
        <v>91</v>
      </c>
      <c r="I40" s="107" t="s">
        <v>91</v>
      </c>
      <c r="J40" s="107" t="s">
        <v>85</v>
      </c>
      <c r="K40" s="106" t="s">
        <v>749</v>
      </c>
      <c r="L40" s="107" t="s">
        <v>688</v>
      </c>
      <c r="M40" s="108">
        <v>44089.0</v>
      </c>
      <c r="N40" s="106" t="s">
        <v>701</v>
      </c>
      <c r="O40" s="109" t="s">
        <v>690</v>
      </c>
      <c r="P40" s="107" t="s">
        <v>771</v>
      </c>
      <c r="Q40" s="107" t="s">
        <v>771</v>
      </c>
      <c r="R40" s="110"/>
      <c r="S40" s="110"/>
      <c r="T40" s="110"/>
      <c r="U40" s="110"/>
      <c r="V40" s="110"/>
      <c r="W40" s="110"/>
      <c r="X40" s="110"/>
      <c r="Y40" s="110"/>
      <c r="Z40" s="110"/>
    </row>
    <row r="41" ht="15.75" customHeight="1">
      <c r="A41" s="105" t="s">
        <v>372</v>
      </c>
      <c r="B41" s="105" t="s">
        <v>44</v>
      </c>
      <c r="C41" s="106" t="s">
        <v>374</v>
      </c>
      <c r="D41" s="107" t="s">
        <v>83</v>
      </c>
      <c r="E41" s="106" t="s">
        <v>774</v>
      </c>
      <c r="F41" s="107">
        <v>2265.61</v>
      </c>
      <c r="G41" s="105" t="s">
        <v>686</v>
      </c>
      <c r="H41" s="107" t="s">
        <v>91</v>
      </c>
      <c r="I41" s="107" t="s">
        <v>91</v>
      </c>
      <c r="J41" s="112" t="s">
        <v>85</v>
      </c>
      <c r="K41" s="106" t="s">
        <v>749</v>
      </c>
      <c r="L41" s="107" t="s">
        <v>688</v>
      </c>
      <c r="M41" s="108">
        <v>44089.0</v>
      </c>
      <c r="N41" s="106" t="s">
        <v>701</v>
      </c>
      <c r="O41" s="109" t="s">
        <v>690</v>
      </c>
      <c r="P41" s="107" t="s">
        <v>771</v>
      </c>
      <c r="Q41" s="107" t="s">
        <v>771</v>
      </c>
      <c r="R41" s="110"/>
      <c r="S41" s="110"/>
      <c r="T41" s="110"/>
      <c r="U41" s="110"/>
      <c r="V41" s="110"/>
      <c r="W41" s="110"/>
      <c r="X41" s="110"/>
      <c r="Y41" s="110"/>
      <c r="Z41" s="110"/>
    </row>
    <row r="42" ht="15.75" customHeight="1">
      <c r="A42" s="105" t="s">
        <v>431</v>
      </c>
      <c r="B42" s="105" t="s">
        <v>44</v>
      </c>
      <c r="C42" s="106" t="s">
        <v>432</v>
      </c>
      <c r="D42" s="107" t="s">
        <v>83</v>
      </c>
      <c r="E42" s="106" t="s">
        <v>774</v>
      </c>
      <c r="F42" s="107">
        <v>1499.0</v>
      </c>
      <c r="G42" s="112" t="s">
        <v>335</v>
      </c>
      <c r="H42" s="107" t="s">
        <v>91</v>
      </c>
      <c r="I42" s="107" t="s">
        <v>91</v>
      </c>
      <c r="J42" s="107" t="s">
        <v>85</v>
      </c>
      <c r="K42" s="106" t="s">
        <v>749</v>
      </c>
      <c r="L42" s="107" t="s">
        <v>688</v>
      </c>
      <c r="M42" s="108">
        <v>44089.0</v>
      </c>
      <c r="N42" s="106" t="s">
        <v>701</v>
      </c>
      <c r="O42" s="109" t="s">
        <v>690</v>
      </c>
      <c r="P42" s="107" t="s">
        <v>771</v>
      </c>
      <c r="Q42" s="107" t="s">
        <v>771</v>
      </c>
      <c r="R42" s="110"/>
      <c r="S42" s="110"/>
      <c r="T42" s="110"/>
      <c r="U42" s="110"/>
      <c r="V42" s="110"/>
      <c r="W42" s="110"/>
      <c r="X42" s="110"/>
      <c r="Y42" s="110"/>
      <c r="Z42" s="110"/>
    </row>
    <row r="43" ht="15.75" customHeight="1">
      <c r="A43" s="105" t="s">
        <v>437</v>
      </c>
      <c r="B43" s="105" t="s">
        <v>44</v>
      </c>
      <c r="C43" s="106" t="s">
        <v>438</v>
      </c>
      <c r="D43" s="107" t="s">
        <v>83</v>
      </c>
      <c r="E43" s="106" t="s">
        <v>774</v>
      </c>
      <c r="F43" s="107">
        <v>1498.61</v>
      </c>
      <c r="G43" s="112" t="s">
        <v>335</v>
      </c>
      <c r="H43" s="107" t="s">
        <v>91</v>
      </c>
      <c r="I43" s="107" t="s">
        <v>91</v>
      </c>
      <c r="J43" s="107" t="s">
        <v>85</v>
      </c>
      <c r="K43" s="106" t="s">
        <v>749</v>
      </c>
      <c r="L43" s="107" t="s">
        <v>688</v>
      </c>
      <c r="M43" s="108">
        <v>44089.0</v>
      </c>
      <c r="N43" s="106" t="s">
        <v>701</v>
      </c>
      <c r="O43" s="109" t="s">
        <v>690</v>
      </c>
      <c r="P43" s="107" t="s">
        <v>771</v>
      </c>
      <c r="Q43" s="107" t="s">
        <v>771</v>
      </c>
      <c r="R43" s="110"/>
      <c r="S43" s="110"/>
      <c r="T43" s="110"/>
      <c r="U43" s="110"/>
      <c r="V43" s="110"/>
      <c r="W43" s="110"/>
      <c r="X43" s="110"/>
      <c r="Y43" s="110"/>
      <c r="Z43" s="110"/>
    </row>
    <row r="44" ht="39.75" customHeight="1">
      <c r="A44" s="105" t="s">
        <v>405</v>
      </c>
      <c r="B44" s="105" t="s">
        <v>696</v>
      </c>
      <c r="C44" s="106" t="s">
        <v>406</v>
      </c>
      <c r="D44" s="107" t="s">
        <v>83</v>
      </c>
      <c r="E44" s="106" t="s">
        <v>685</v>
      </c>
      <c r="F44" s="107" t="s">
        <v>407</v>
      </c>
      <c r="G44" s="112" t="s">
        <v>335</v>
      </c>
      <c r="H44" s="107" t="s">
        <v>91</v>
      </c>
      <c r="I44" s="107" t="s">
        <v>91</v>
      </c>
      <c r="J44" s="107" t="s">
        <v>85</v>
      </c>
      <c r="K44" s="106" t="s">
        <v>687</v>
      </c>
      <c r="L44" s="107" t="s">
        <v>688</v>
      </c>
      <c r="M44" s="108">
        <v>44101.0</v>
      </c>
      <c r="N44" s="106" t="s">
        <v>701</v>
      </c>
      <c r="O44" s="109" t="s">
        <v>690</v>
      </c>
      <c r="P44" s="107" t="s">
        <v>702</v>
      </c>
      <c r="Q44" s="107" t="s">
        <v>702</v>
      </c>
      <c r="R44" s="110"/>
      <c r="S44" s="110"/>
      <c r="T44" s="110"/>
      <c r="U44" s="110"/>
      <c r="V44" s="110"/>
      <c r="W44" s="110"/>
      <c r="X44" s="110"/>
      <c r="Y44" s="110"/>
      <c r="Z44" s="110"/>
    </row>
    <row r="45" ht="15.75" customHeight="1">
      <c r="A45" s="105" t="s">
        <v>775</v>
      </c>
      <c r="B45" s="105" t="s">
        <v>44</v>
      </c>
      <c r="C45" s="106" t="s">
        <v>1322</v>
      </c>
      <c r="D45" s="107" t="s">
        <v>83</v>
      </c>
      <c r="E45" s="106" t="s">
        <v>1323</v>
      </c>
      <c r="F45" s="107">
        <v>133.1008</v>
      </c>
      <c r="G45" s="106" t="s">
        <v>723</v>
      </c>
      <c r="H45" s="107" t="s">
        <v>91</v>
      </c>
      <c r="I45" s="106" t="s">
        <v>723</v>
      </c>
      <c r="J45" s="107" t="s">
        <v>85</v>
      </c>
      <c r="K45" s="106" t="s">
        <v>687</v>
      </c>
      <c r="L45" s="107" t="s">
        <v>688</v>
      </c>
      <c r="M45" s="108">
        <v>44100.0</v>
      </c>
      <c r="N45" s="106" t="s">
        <v>1324</v>
      </c>
      <c r="O45" s="109" t="s">
        <v>690</v>
      </c>
      <c r="P45" s="107" t="s">
        <v>744</v>
      </c>
      <c r="Q45" s="107" t="s">
        <v>744</v>
      </c>
      <c r="R45" s="110"/>
      <c r="S45" s="110"/>
      <c r="T45" s="110"/>
      <c r="U45" s="110"/>
      <c r="V45" s="110"/>
      <c r="W45" s="110"/>
      <c r="X45" s="110"/>
      <c r="Y45" s="110"/>
      <c r="Z45" s="110"/>
    </row>
    <row r="46" ht="15.75" customHeight="1">
      <c r="A46" s="105" t="s">
        <v>778</v>
      </c>
      <c r="B46" s="105" t="s">
        <v>197</v>
      </c>
      <c r="C46" s="106" t="s">
        <v>779</v>
      </c>
      <c r="D46" s="107" t="s">
        <v>83</v>
      </c>
      <c r="E46" s="106" t="s">
        <v>774</v>
      </c>
      <c r="F46" s="107">
        <v>800.0</v>
      </c>
      <c r="G46" s="112" t="s">
        <v>335</v>
      </c>
      <c r="H46" s="107" t="s">
        <v>91</v>
      </c>
      <c r="I46" s="107" t="s">
        <v>91</v>
      </c>
      <c r="J46" s="107" t="s">
        <v>85</v>
      </c>
      <c r="K46" s="106" t="s">
        <v>687</v>
      </c>
      <c r="L46" s="107" t="s">
        <v>688</v>
      </c>
      <c r="M46" s="108">
        <v>44100.0</v>
      </c>
      <c r="N46" s="106" t="s">
        <v>701</v>
      </c>
      <c r="O46" s="109" t="s">
        <v>690</v>
      </c>
      <c r="P46" s="107" t="s">
        <v>691</v>
      </c>
      <c r="Q46" s="107" t="s">
        <v>691</v>
      </c>
      <c r="R46" s="110"/>
      <c r="S46" s="110"/>
      <c r="T46" s="110"/>
      <c r="U46" s="110"/>
      <c r="V46" s="110"/>
      <c r="W46" s="110"/>
      <c r="X46" s="110"/>
      <c r="Y46" s="110"/>
      <c r="Z46" s="110"/>
    </row>
    <row r="47" ht="15.75" customHeight="1">
      <c r="A47" s="105" t="s">
        <v>780</v>
      </c>
      <c r="B47" s="105" t="s">
        <v>197</v>
      </c>
      <c r="C47" s="106" t="s">
        <v>384</v>
      </c>
      <c r="D47" s="107" t="s">
        <v>185</v>
      </c>
      <c r="E47" s="106" t="s">
        <v>768</v>
      </c>
      <c r="F47" s="107">
        <v>460.0</v>
      </c>
      <c r="G47" s="106" t="s">
        <v>723</v>
      </c>
      <c r="H47" s="107" t="s">
        <v>91</v>
      </c>
      <c r="I47" s="106" t="s">
        <v>723</v>
      </c>
      <c r="J47" s="107" t="s">
        <v>85</v>
      </c>
      <c r="K47" s="106" t="s">
        <v>687</v>
      </c>
      <c r="L47" s="107" t="s">
        <v>760</v>
      </c>
      <c r="M47" s="108">
        <v>44100.0</v>
      </c>
      <c r="N47" s="106" t="s">
        <v>735</v>
      </c>
      <c r="O47" s="116" t="s">
        <v>736</v>
      </c>
      <c r="P47" s="107" t="s">
        <v>761</v>
      </c>
      <c r="Q47" s="107" t="s">
        <v>761</v>
      </c>
      <c r="R47" s="110"/>
      <c r="S47" s="110"/>
      <c r="T47" s="110"/>
      <c r="U47" s="110"/>
      <c r="V47" s="110"/>
      <c r="W47" s="110"/>
      <c r="X47" s="110"/>
      <c r="Y47" s="110"/>
      <c r="Z47" s="110"/>
    </row>
    <row r="48" ht="15.75" customHeight="1">
      <c r="A48" s="105" t="s">
        <v>304</v>
      </c>
      <c r="B48" s="105" t="s">
        <v>46</v>
      </c>
      <c r="C48" s="106" t="s">
        <v>305</v>
      </c>
      <c r="D48" s="107" t="s">
        <v>135</v>
      </c>
      <c r="E48" s="106" t="s">
        <v>685</v>
      </c>
      <c r="F48" s="107" t="s">
        <v>781</v>
      </c>
      <c r="G48" s="112" t="s">
        <v>136</v>
      </c>
      <c r="H48" s="107" t="s">
        <v>91</v>
      </c>
      <c r="I48" s="112" t="s">
        <v>91</v>
      </c>
      <c r="J48" s="112" t="s">
        <v>307</v>
      </c>
      <c r="K48" s="105" t="s">
        <v>749</v>
      </c>
      <c r="L48" s="112" t="s">
        <v>763</v>
      </c>
      <c r="M48" s="108">
        <v>44044.0</v>
      </c>
      <c r="N48" s="106" t="s">
        <v>741</v>
      </c>
      <c r="O48" s="109" t="s">
        <v>732</v>
      </c>
      <c r="P48" s="107" t="s">
        <v>782</v>
      </c>
      <c r="Q48" s="107" t="s">
        <v>782</v>
      </c>
      <c r="R48" s="110"/>
      <c r="S48" s="110"/>
      <c r="T48" s="110"/>
      <c r="U48" s="110"/>
      <c r="V48" s="110"/>
      <c r="W48" s="110"/>
      <c r="X48" s="110"/>
      <c r="Y48" s="110"/>
      <c r="Z48" s="110"/>
    </row>
    <row r="49" ht="15.75" customHeight="1">
      <c r="A49" s="105" t="s">
        <v>228</v>
      </c>
      <c r="B49" s="105" t="s">
        <v>58</v>
      </c>
      <c r="C49" s="106" t="s">
        <v>783</v>
      </c>
      <c r="D49" s="107" t="s">
        <v>135</v>
      </c>
      <c r="E49" s="106" t="s">
        <v>685</v>
      </c>
      <c r="F49" s="107" t="s">
        <v>230</v>
      </c>
      <c r="G49" s="112" t="s">
        <v>136</v>
      </c>
      <c r="H49" s="112" t="s">
        <v>91</v>
      </c>
      <c r="I49" s="112" t="s">
        <v>91</v>
      </c>
      <c r="J49" s="107" t="s">
        <v>90</v>
      </c>
      <c r="K49" s="105" t="s">
        <v>749</v>
      </c>
      <c r="L49" s="112" t="s">
        <v>763</v>
      </c>
      <c r="M49" s="108">
        <v>44044.0</v>
      </c>
      <c r="N49" s="106" t="s">
        <v>701</v>
      </c>
      <c r="O49" s="109" t="s">
        <v>732</v>
      </c>
      <c r="P49" s="107" t="s">
        <v>750</v>
      </c>
      <c r="Q49" s="107" t="s">
        <v>750</v>
      </c>
      <c r="R49" s="110"/>
      <c r="S49" s="110"/>
      <c r="T49" s="110"/>
      <c r="U49" s="110"/>
      <c r="V49" s="110"/>
      <c r="W49" s="110"/>
      <c r="X49" s="110"/>
      <c r="Y49" s="110"/>
      <c r="Z49" s="110"/>
    </row>
    <row r="50" ht="15.75" customHeight="1">
      <c r="A50" s="105" t="s">
        <v>319</v>
      </c>
      <c r="B50" s="105" t="s">
        <v>60</v>
      </c>
      <c r="C50" s="106" t="s">
        <v>320</v>
      </c>
      <c r="D50" s="107" t="s">
        <v>135</v>
      </c>
      <c r="E50" s="106" t="s">
        <v>713</v>
      </c>
      <c r="F50" s="107">
        <v>1.0</v>
      </c>
      <c r="G50" s="112" t="s">
        <v>136</v>
      </c>
      <c r="H50" s="107" t="s">
        <v>91</v>
      </c>
      <c r="I50" s="112" t="s">
        <v>91</v>
      </c>
      <c r="J50" s="107" t="s">
        <v>90</v>
      </c>
      <c r="K50" s="105" t="s">
        <v>749</v>
      </c>
      <c r="L50" s="112" t="s">
        <v>763</v>
      </c>
      <c r="M50" s="108">
        <v>44044.0</v>
      </c>
      <c r="N50" s="106" t="s">
        <v>735</v>
      </c>
      <c r="O50" s="109" t="s">
        <v>732</v>
      </c>
      <c r="P50" s="107" t="s">
        <v>750</v>
      </c>
      <c r="Q50" s="107" t="s">
        <v>750</v>
      </c>
      <c r="R50" s="110"/>
      <c r="S50" s="110"/>
      <c r="T50" s="110"/>
      <c r="U50" s="110"/>
      <c r="V50" s="110"/>
      <c r="W50" s="110"/>
      <c r="X50" s="110"/>
      <c r="Y50" s="110"/>
      <c r="Z50" s="110"/>
    </row>
    <row r="51" ht="15.75" customHeight="1">
      <c r="A51" s="105" t="s">
        <v>321</v>
      </c>
      <c r="B51" s="105" t="s">
        <v>60</v>
      </c>
      <c r="C51" s="106" t="s">
        <v>322</v>
      </c>
      <c r="D51" s="107" t="s">
        <v>135</v>
      </c>
      <c r="E51" s="106" t="s">
        <v>784</v>
      </c>
      <c r="F51" s="120">
        <v>0.6448</v>
      </c>
      <c r="G51" s="112" t="s">
        <v>136</v>
      </c>
      <c r="H51" s="107" t="s">
        <v>91</v>
      </c>
      <c r="I51" s="112" t="s">
        <v>91</v>
      </c>
      <c r="J51" s="107" t="s">
        <v>90</v>
      </c>
      <c r="K51" s="105" t="s">
        <v>749</v>
      </c>
      <c r="L51" s="112" t="s">
        <v>763</v>
      </c>
      <c r="M51" s="108">
        <v>44044.0</v>
      </c>
      <c r="N51" s="106" t="s">
        <v>735</v>
      </c>
      <c r="O51" s="109" t="s">
        <v>732</v>
      </c>
      <c r="P51" s="107" t="s">
        <v>750</v>
      </c>
      <c r="Q51" s="107" t="s">
        <v>750</v>
      </c>
      <c r="R51" s="110"/>
      <c r="S51" s="110"/>
      <c r="T51" s="110"/>
      <c r="U51" s="110"/>
      <c r="V51" s="110"/>
      <c r="W51" s="110"/>
      <c r="X51" s="110"/>
      <c r="Y51" s="110"/>
      <c r="Z51" s="110"/>
    </row>
    <row r="52" ht="15.75" customHeight="1">
      <c r="A52" s="105" t="s">
        <v>248</v>
      </c>
      <c r="B52" s="105" t="s">
        <v>60</v>
      </c>
      <c r="C52" s="106" t="s">
        <v>249</v>
      </c>
      <c r="D52" s="107" t="s">
        <v>135</v>
      </c>
      <c r="E52" s="106" t="s">
        <v>784</v>
      </c>
      <c r="F52" s="121" t="s">
        <v>1325</v>
      </c>
      <c r="G52" s="112" t="s">
        <v>136</v>
      </c>
      <c r="H52" s="107" t="s">
        <v>91</v>
      </c>
      <c r="I52" s="112" t="s">
        <v>91</v>
      </c>
      <c r="J52" s="107" t="s">
        <v>90</v>
      </c>
      <c r="K52" s="105" t="s">
        <v>749</v>
      </c>
      <c r="L52" s="112" t="s">
        <v>763</v>
      </c>
      <c r="M52" s="108">
        <v>44044.0</v>
      </c>
      <c r="N52" s="106" t="s">
        <v>701</v>
      </c>
      <c r="O52" s="109" t="s">
        <v>732</v>
      </c>
      <c r="P52" s="107" t="s">
        <v>750</v>
      </c>
      <c r="Q52" s="107" t="s">
        <v>750</v>
      </c>
      <c r="R52" s="110"/>
      <c r="S52" s="110"/>
      <c r="T52" s="110"/>
      <c r="U52" s="110"/>
      <c r="V52" s="110"/>
      <c r="W52" s="110"/>
      <c r="X52" s="110"/>
      <c r="Y52" s="110"/>
      <c r="Z52" s="110"/>
    </row>
    <row r="53" ht="15.75" customHeight="1">
      <c r="A53" s="105" t="s">
        <v>245</v>
      </c>
      <c r="B53" s="105" t="s">
        <v>60</v>
      </c>
      <c r="C53" s="106" t="s">
        <v>247</v>
      </c>
      <c r="D53" s="107" t="s">
        <v>135</v>
      </c>
      <c r="E53" s="106" t="s">
        <v>713</v>
      </c>
      <c r="F53" s="107">
        <v>1.0</v>
      </c>
      <c r="G53" s="112" t="s">
        <v>136</v>
      </c>
      <c r="H53" s="107" t="s">
        <v>91</v>
      </c>
      <c r="I53" s="112" t="s">
        <v>91</v>
      </c>
      <c r="J53" s="107" t="s">
        <v>90</v>
      </c>
      <c r="K53" s="105" t="s">
        <v>749</v>
      </c>
      <c r="L53" s="112" t="s">
        <v>763</v>
      </c>
      <c r="M53" s="108">
        <v>44044.0</v>
      </c>
      <c r="N53" s="106" t="s">
        <v>701</v>
      </c>
      <c r="O53" s="109" t="s">
        <v>732</v>
      </c>
      <c r="P53" s="107" t="s">
        <v>750</v>
      </c>
      <c r="Q53" s="107" t="s">
        <v>750</v>
      </c>
      <c r="R53" s="110"/>
      <c r="S53" s="110"/>
      <c r="T53" s="110"/>
      <c r="U53" s="110"/>
      <c r="V53" s="110"/>
      <c r="W53" s="110"/>
      <c r="X53" s="110"/>
      <c r="Y53" s="110"/>
      <c r="Z53" s="110"/>
    </row>
    <row r="54" ht="15.75" customHeight="1">
      <c r="A54" s="105" t="s">
        <v>342</v>
      </c>
      <c r="B54" s="105" t="s">
        <v>197</v>
      </c>
      <c r="C54" s="106" t="s">
        <v>343</v>
      </c>
      <c r="D54" s="107" t="s">
        <v>185</v>
      </c>
      <c r="E54" s="106" t="s">
        <v>720</v>
      </c>
      <c r="F54" s="115" t="b">
        <v>1</v>
      </c>
      <c r="G54" s="106" t="s">
        <v>686</v>
      </c>
      <c r="H54" s="107" t="s">
        <v>91</v>
      </c>
      <c r="I54" s="107" t="s">
        <v>91</v>
      </c>
      <c r="J54" s="107" t="s">
        <v>85</v>
      </c>
      <c r="K54" s="106" t="s">
        <v>687</v>
      </c>
      <c r="L54" s="107" t="s">
        <v>688</v>
      </c>
      <c r="M54" s="108">
        <v>44100.0</v>
      </c>
      <c r="N54" s="106" t="s">
        <v>692</v>
      </c>
      <c r="O54" s="109" t="s">
        <v>690</v>
      </c>
      <c r="P54" s="107" t="s">
        <v>702</v>
      </c>
      <c r="Q54" s="107" t="s">
        <v>702</v>
      </c>
      <c r="R54" s="110"/>
      <c r="S54" s="110"/>
      <c r="T54" s="110"/>
      <c r="U54" s="110"/>
      <c r="V54" s="110"/>
      <c r="W54" s="110"/>
      <c r="X54" s="110"/>
      <c r="Y54" s="110"/>
      <c r="Z54" s="110"/>
    </row>
    <row r="55" ht="15.75" customHeight="1">
      <c r="A55" s="105" t="s">
        <v>786</v>
      </c>
      <c r="B55" s="105" t="s">
        <v>696</v>
      </c>
      <c r="C55" s="106" t="s">
        <v>787</v>
      </c>
      <c r="D55" s="107" t="s">
        <v>185</v>
      </c>
      <c r="E55" s="106" t="s">
        <v>685</v>
      </c>
      <c r="F55" s="107" t="s">
        <v>299</v>
      </c>
      <c r="G55" s="105" t="s">
        <v>686</v>
      </c>
      <c r="H55" s="107" t="s">
        <v>91</v>
      </c>
      <c r="I55" s="112" t="s">
        <v>91</v>
      </c>
      <c r="J55" s="107" t="s">
        <v>90</v>
      </c>
      <c r="K55" s="106" t="s">
        <v>687</v>
      </c>
      <c r="L55" s="107" t="s">
        <v>688</v>
      </c>
      <c r="M55" s="108">
        <v>44101.0</v>
      </c>
      <c r="N55" s="106" t="s">
        <v>701</v>
      </c>
      <c r="O55" s="109" t="s">
        <v>690</v>
      </c>
      <c r="P55" s="107" t="s">
        <v>744</v>
      </c>
      <c r="Q55" s="107" t="s">
        <v>744</v>
      </c>
      <c r="R55" s="110"/>
      <c r="S55" s="110"/>
      <c r="T55" s="110"/>
      <c r="U55" s="110"/>
      <c r="V55" s="110"/>
      <c r="W55" s="110"/>
      <c r="X55" s="110"/>
      <c r="Y55" s="110"/>
      <c r="Z55" s="110"/>
    </row>
    <row r="56" ht="15.75" customHeight="1">
      <c r="A56" s="105" t="s">
        <v>418</v>
      </c>
      <c r="B56" s="105" t="s">
        <v>44</v>
      </c>
      <c r="C56" s="106" t="s">
        <v>419</v>
      </c>
      <c r="D56" s="107" t="s">
        <v>83</v>
      </c>
      <c r="E56" s="106" t="s">
        <v>774</v>
      </c>
      <c r="F56" s="107">
        <v>1796.0</v>
      </c>
      <c r="G56" s="112" t="s">
        <v>335</v>
      </c>
      <c r="H56" s="107" t="s">
        <v>91</v>
      </c>
      <c r="I56" s="107" t="s">
        <v>91</v>
      </c>
      <c r="J56" s="107" t="s">
        <v>85</v>
      </c>
      <c r="K56" s="106" t="s">
        <v>687</v>
      </c>
      <c r="L56" s="107" t="s">
        <v>688</v>
      </c>
      <c r="M56" s="108">
        <v>44101.0</v>
      </c>
      <c r="N56" s="106" t="s">
        <v>701</v>
      </c>
      <c r="O56" s="109" t="s">
        <v>690</v>
      </c>
      <c r="P56" s="107" t="s">
        <v>788</v>
      </c>
      <c r="Q56" s="107" t="s">
        <v>788</v>
      </c>
      <c r="R56" s="110"/>
      <c r="S56" s="110"/>
      <c r="T56" s="110"/>
      <c r="U56" s="110"/>
      <c r="V56" s="110"/>
      <c r="W56" s="110"/>
      <c r="X56" s="110"/>
      <c r="Y56" s="110"/>
      <c r="Z56" s="110"/>
    </row>
    <row r="57" ht="15.75" customHeight="1">
      <c r="A57" s="105" t="s">
        <v>416</v>
      </c>
      <c r="B57" s="105" t="s">
        <v>44</v>
      </c>
      <c r="C57" s="106" t="s">
        <v>415</v>
      </c>
      <c r="D57" s="107" t="s">
        <v>83</v>
      </c>
      <c r="E57" s="106" t="s">
        <v>1326</v>
      </c>
      <c r="F57" s="106">
        <v>343.33</v>
      </c>
      <c r="G57" s="112" t="s">
        <v>335</v>
      </c>
      <c r="H57" s="107" t="s">
        <v>91</v>
      </c>
      <c r="I57" s="107" t="s">
        <v>91</v>
      </c>
      <c r="J57" s="107" t="s">
        <v>85</v>
      </c>
      <c r="K57" s="106" t="s">
        <v>687</v>
      </c>
      <c r="L57" s="107" t="s">
        <v>688</v>
      </c>
      <c r="M57" s="108">
        <v>44100.0</v>
      </c>
      <c r="N57" s="106" t="s">
        <v>1318</v>
      </c>
      <c r="O57" s="109" t="s">
        <v>690</v>
      </c>
      <c r="P57" s="107" t="s">
        <v>691</v>
      </c>
      <c r="Q57" s="107" t="s">
        <v>691</v>
      </c>
      <c r="R57" s="110"/>
      <c r="S57" s="110"/>
      <c r="T57" s="110"/>
      <c r="U57" s="110"/>
      <c r="V57" s="110"/>
      <c r="W57" s="110"/>
      <c r="X57" s="110"/>
      <c r="Y57" s="110"/>
      <c r="Z57" s="110"/>
    </row>
    <row r="58" ht="15.75" customHeight="1">
      <c r="A58" s="105" t="s">
        <v>789</v>
      </c>
      <c r="B58" s="105" t="s">
        <v>44</v>
      </c>
      <c r="C58" s="106" t="s">
        <v>790</v>
      </c>
      <c r="D58" s="107" t="s">
        <v>185</v>
      </c>
      <c r="E58" s="106" t="s">
        <v>777</v>
      </c>
      <c r="F58" s="107">
        <v>3023.0</v>
      </c>
      <c r="G58" s="106" t="s">
        <v>723</v>
      </c>
      <c r="H58" s="107" t="s">
        <v>91</v>
      </c>
      <c r="I58" s="106" t="s">
        <v>723</v>
      </c>
      <c r="J58" s="107" t="s">
        <v>85</v>
      </c>
      <c r="K58" s="106" t="s">
        <v>749</v>
      </c>
      <c r="L58" s="107" t="s">
        <v>688</v>
      </c>
      <c r="M58" s="108">
        <v>44084.0</v>
      </c>
      <c r="N58" s="106" t="s">
        <v>701</v>
      </c>
      <c r="O58" s="109" t="s">
        <v>690</v>
      </c>
      <c r="P58" s="107" t="s">
        <v>771</v>
      </c>
      <c r="Q58" s="107" t="s">
        <v>771</v>
      </c>
      <c r="R58" s="110"/>
      <c r="S58" s="110"/>
      <c r="T58" s="110"/>
      <c r="U58" s="110"/>
      <c r="V58" s="110"/>
      <c r="W58" s="110"/>
      <c r="X58" s="110"/>
      <c r="Y58" s="110"/>
      <c r="Z58" s="110"/>
    </row>
    <row r="59" ht="15.75" customHeight="1">
      <c r="A59" s="105" t="s">
        <v>180</v>
      </c>
      <c r="B59" s="105" t="s">
        <v>197</v>
      </c>
      <c r="C59" s="106" t="s">
        <v>791</v>
      </c>
      <c r="D59" s="107" t="s">
        <v>185</v>
      </c>
      <c r="E59" s="106" t="s">
        <v>720</v>
      </c>
      <c r="F59" s="115" t="b">
        <v>1</v>
      </c>
      <c r="G59" s="112" t="s">
        <v>91</v>
      </c>
      <c r="H59" s="107" t="s">
        <v>91</v>
      </c>
      <c r="I59" s="107" t="s">
        <v>91</v>
      </c>
      <c r="J59" s="107" t="s">
        <v>85</v>
      </c>
      <c r="K59" s="106" t="s">
        <v>687</v>
      </c>
      <c r="L59" s="107" t="s">
        <v>687</v>
      </c>
      <c r="M59" s="108">
        <v>44098.0</v>
      </c>
      <c r="N59" s="106" t="s">
        <v>741</v>
      </c>
      <c r="O59" s="109" t="s">
        <v>690</v>
      </c>
      <c r="P59" s="107" t="s">
        <v>782</v>
      </c>
      <c r="Q59" s="107" t="s">
        <v>782</v>
      </c>
      <c r="R59" s="110"/>
      <c r="S59" s="110"/>
      <c r="T59" s="110"/>
      <c r="U59" s="110"/>
      <c r="V59" s="110"/>
      <c r="W59" s="110"/>
      <c r="X59" s="110"/>
      <c r="Y59" s="110"/>
      <c r="Z59" s="110"/>
    </row>
    <row r="60" ht="15.75" customHeight="1">
      <c r="A60" s="105" t="s">
        <v>139</v>
      </c>
      <c r="B60" s="105" t="s">
        <v>44</v>
      </c>
      <c r="C60" s="106" t="s">
        <v>140</v>
      </c>
      <c r="D60" s="107" t="s">
        <v>135</v>
      </c>
      <c r="E60" s="106" t="s">
        <v>685</v>
      </c>
      <c r="F60" s="112" t="s">
        <v>142</v>
      </c>
      <c r="G60" s="112" t="s">
        <v>136</v>
      </c>
      <c r="H60" s="112" t="s">
        <v>91</v>
      </c>
      <c r="I60" s="112" t="s">
        <v>91</v>
      </c>
      <c r="J60" s="122">
        <v>0.625</v>
      </c>
      <c r="K60" s="105" t="s">
        <v>749</v>
      </c>
      <c r="L60" s="112" t="s">
        <v>793</v>
      </c>
      <c r="M60" s="108">
        <v>44044.0</v>
      </c>
      <c r="N60" s="106" t="s">
        <v>741</v>
      </c>
      <c r="O60" s="109" t="s">
        <v>690</v>
      </c>
      <c r="P60" s="107" t="s">
        <v>691</v>
      </c>
      <c r="Q60" s="107" t="s">
        <v>691</v>
      </c>
      <c r="R60" s="110"/>
      <c r="S60" s="110"/>
      <c r="T60" s="110"/>
      <c r="U60" s="110"/>
      <c r="V60" s="110"/>
      <c r="W60" s="110"/>
      <c r="X60" s="110"/>
      <c r="Y60" s="110"/>
      <c r="Z60" s="110"/>
    </row>
    <row r="61" ht="15.75" customHeight="1">
      <c r="A61" s="105" t="s">
        <v>794</v>
      </c>
      <c r="B61" s="105" t="s">
        <v>44</v>
      </c>
      <c r="C61" s="106" t="s">
        <v>334</v>
      </c>
      <c r="D61" s="107" t="s">
        <v>83</v>
      </c>
      <c r="E61" s="106" t="s">
        <v>774</v>
      </c>
      <c r="F61" s="107">
        <v>20000.0</v>
      </c>
      <c r="G61" s="112" t="s">
        <v>335</v>
      </c>
      <c r="H61" s="107" t="s">
        <v>91</v>
      </c>
      <c r="I61" s="107" t="s">
        <v>91</v>
      </c>
      <c r="J61" s="107" t="s">
        <v>85</v>
      </c>
      <c r="K61" s="106" t="s">
        <v>687</v>
      </c>
      <c r="L61" s="107" t="s">
        <v>688</v>
      </c>
      <c r="M61" s="108">
        <v>44100.0</v>
      </c>
      <c r="N61" s="106" t="s">
        <v>701</v>
      </c>
      <c r="O61" s="109" t="s">
        <v>690</v>
      </c>
      <c r="P61" s="107" t="s">
        <v>691</v>
      </c>
      <c r="Q61" s="107" t="s">
        <v>691</v>
      </c>
      <c r="R61" s="110"/>
      <c r="S61" s="110"/>
      <c r="T61" s="110"/>
      <c r="U61" s="110"/>
      <c r="V61" s="110"/>
      <c r="W61" s="110"/>
      <c r="X61" s="110"/>
      <c r="Y61" s="110"/>
      <c r="Z61" s="110"/>
    </row>
    <row r="62" ht="15.75" customHeight="1">
      <c r="A62" s="105" t="s">
        <v>403</v>
      </c>
      <c r="B62" s="105" t="s">
        <v>197</v>
      </c>
      <c r="C62" s="106" t="s">
        <v>404</v>
      </c>
      <c r="D62" s="107" t="s">
        <v>83</v>
      </c>
      <c r="E62" s="106" t="s">
        <v>685</v>
      </c>
      <c r="F62" s="105">
        <v>5.25641638E8</v>
      </c>
      <c r="G62" s="105" t="s">
        <v>686</v>
      </c>
      <c r="H62" s="107" t="s">
        <v>91</v>
      </c>
      <c r="I62" s="107" t="s">
        <v>91</v>
      </c>
      <c r="J62" s="107" t="s">
        <v>85</v>
      </c>
      <c r="K62" s="106" t="s">
        <v>749</v>
      </c>
      <c r="L62" s="107" t="s">
        <v>688</v>
      </c>
      <c r="M62" s="108">
        <v>44089.0</v>
      </c>
      <c r="N62" s="106" t="s">
        <v>701</v>
      </c>
      <c r="O62" s="109" t="s">
        <v>690</v>
      </c>
      <c r="P62" s="107" t="s">
        <v>771</v>
      </c>
      <c r="Q62" s="107" t="s">
        <v>771</v>
      </c>
      <c r="R62" s="110"/>
      <c r="S62" s="110"/>
      <c r="T62" s="110"/>
      <c r="U62" s="110"/>
      <c r="V62" s="110"/>
      <c r="W62" s="110"/>
      <c r="X62" s="110"/>
      <c r="Y62" s="110"/>
      <c r="Z62" s="110"/>
    </row>
    <row r="63" ht="15.75" customHeight="1">
      <c r="A63" s="105" t="s">
        <v>420</v>
      </c>
      <c r="B63" s="105" t="s">
        <v>696</v>
      </c>
      <c r="C63" s="106" t="s">
        <v>795</v>
      </c>
      <c r="D63" s="107" t="s">
        <v>185</v>
      </c>
      <c r="E63" s="106" t="s">
        <v>685</v>
      </c>
      <c r="F63" s="107" t="s">
        <v>732</v>
      </c>
      <c r="G63" s="105" t="s">
        <v>686</v>
      </c>
      <c r="H63" s="107" t="s">
        <v>91</v>
      </c>
      <c r="I63" s="107" t="s">
        <v>91</v>
      </c>
      <c r="J63" s="107" t="s">
        <v>85</v>
      </c>
      <c r="K63" s="106" t="s">
        <v>687</v>
      </c>
      <c r="L63" s="107" t="s">
        <v>688</v>
      </c>
      <c r="M63" s="108">
        <v>44101.0</v>
      </c>
      <c r="N63" s="106" t="s">
        <v>692</v>
      </c>
      <c r="O63" s="109" t="s">
        <v>690</v>
      </c>
      <c r="P63" s="107" t="s">
        <v>691</v>
      </c>
      <c r="Q63" s="107" t="s">
        <v>691</v>
      </c>
      <c r="R63" s="110"/>
      <c r="S63" s="110"/>
      <c r="T63" s="110"/>
      <c r="U63" s="110"/>
      <c r="V63" s="110"/>
      <c r="W63" s="110"/>
      <c r="X63" s="110"/>
      <c r="Y63" s="110"/>
      <c r="Z63" s="110"/>
    </row>
    <row r="64">
      <c r="A64" s="105" t="s">
        <v>423</v>
      </c>
      <c r="B64" s="105" t="s">
        <v>696</v>
      </c>
      <c r="C64" s="106" t="s">
        <v>796</v>
      </c>
      <c r="D64" s="107" t="s">
        <v>83</v>
      </c>
      <c r="E64" s="106" t="s">
        <v>685</v>
      </c>
      <c r="F64" s="107" t="s">
        <v>797</v>
      </c>
      <c r="G64" s="105" t="s">
        <v>686</v>
      </c>
      <c r="H64" s="107" t="s">
        <v>91</v>
      </c>
      <c r="I64" s="107" t="s">
        <v>91</v>
      </c>
      <c r="J64" s="107" t="s">
        <v>85</v>
      </c>
      <c r="K64" s="106" t="s">
        <v>687</v>
      </c>
      <c r="L64" s="107" t="s">
        <v>688</v>
      </c>
      <c r="M64" s="108">
        <v>44101.0</v>
      </c>
      <c r="N64" s="106" t="s">
        <v>692</v>
      </c>
      <c r="O64" s="109" t="s">
        <v>690</v>
      </c>
      <c r="P64" s="107" t="s">
        <v>691</v>
      </c>
      <c r="Q64" s="107" t="s">
        <v>691</v>
      </c>
      <c r="R64" s="110"/>
      <c r="S64" s="110"/>
      <c r="T64" s="110"/>
      <c r="U64" s="110"/>
      <c r="V64" s="110"/>
      <c r="W64" s="110"/>
      <c r="X64" s="110"/>
      <c r="Y64" s="110"/>
      <c r="Z64" s="110"/>
    </row>
    <row r="65" ht="15.75" customHeight="1">
      <c r="A65" s="105" t="s">
        <v>439</v>
      </c>
      <c r="B65" s="105" t="s">
        <v>44</v>
      </c>
      <c r="C65" s="106" t="s">
        <v>798</v>
      </c>
      <c r="D65" s="107" t="s">
        <v>185</v>
      </c>
      <c r="E65" s="106" t="s">
        <v>698</v>
      </c>
      <c r="F65" s="113">
        <v>43425.0</v>
      </c>
      <c r="G65" s="105" t="s">
        <v>686</v>
      </c>
      <c r="H65" s="107" t="s">
        <v>91</v>
      </c>
      <c r="I65" s="107" t="s">
        <v>91</v>
      </c>
      <c r="J65" s="107" t="s">
        <v>85</v>
      </c>
      <c r="K65" s="106" t="s">
        <v>749</v>
      </c>
      <c r="L65" s="107" t="s">
        <v>688</v>
      </c>
      <c r="M65" s="108">
        <v>44101.0</v>
      </c>
      <c r="N65" s="106" t="s">
        <v>701</v>
      </c>
      <c r="O65" s="109" t="s">
        <v>690</v>
      </c>
      <c r="P65" s="107" t="s">
        <v>705</v>
      </c>
      <c r="Q65" s="107" t="s">
        <v>705</v>
      </c>
      <c r="R65" s="110"/>
      <c r="S65" s="110"/>
      <c r="T65" s="110"/>
      <c r="U65" s="110"/>
      <c r="V65" s="110"/>
      <c r="W65" s="110"/>
      <c r="X65" s="110"/>
      <c r="Y65" s="110"/>
      <c r="Z65" s="110"/>
    </row>
    <row r="66" ht="15.75" customHeight="1">
      <c r="A66" s="105" t="s">
        <v>433</v>
      </c>
      <c r="B66" s="105" t="s">
        <v>44</v>
      </c>
      <c r="C66" s="106" t="s">
        <v>799</v>
      </c>
      <c r="D66" s="107" t="s">
        <v>185</v>
      </c>
      <c r="E66" s="106" t="s">
        <v>698</v>
      </c>
      <c r="F66" s="113">
        <v>43424.0</v>
      </c>
      <c r="G66" s="112" t="s">
        <v>335</v>
      </c>
      <c r="H66" s="107" t="s">
        <v>91</v>
      </c>
      <c r="I66" s="107" t="s">
        <v>91</v>
      </c>
      <c r="J66" s="107" t="s">
        <v>85</v>
      </c>
      <c r="K66" s="106" t="s">
        <v>749</v>
      </c>
      <c r="L66" s="107" t="s">
        <v>688</v>
      </c>
      <c r="M66" s="108">
        <v>44101.0</v>
      </c>
      <c r="N66" s="106" t="s">
        <v>701</v>
      </c>
      <c r="O66" s="109" t="s">
        <v>690</v>
      </c>
      <c r="P66" s="107" t="s">
        <v>705</v>
      </c>
      <c r="Q66" s="107" t="s">
        <v>705</v>
      </c>
      <c r="R66" s="110"/>
      <c r="S66" s="110"/>
      <c r="T66" s="110"/>
      <c r="U66" s="110"/>
      <c r="V66" s="110"/>
      <c r="W66" s="110"/>
      <c r="X66" s="110"/>
      <c r="Y66" s="110"/>
      <c r="Z66" s="110"/>
    </row>
    <row r="67" ht="15.75" customHeight="1">
      <c r="A67" s="105" t="s">
        <v>146</v>
      </c>
      <c r="B67" s="105" t="s">
        <v>44</v>
      </c>
      <c r="C67" s="106" t="s">
        <v>800</v>
      </c>
      <c r="D67" s="107" t="s">
        <v>83</v>
      </c>
      <c r="E67" s="106" t="s">
        <v>685</v>
      </c>
      <c r="F67" s="107" t="s">
        <v>148</v>
      </c>
      <c r="G67" s="105" t="s">
        <v>686</v>
      </c>
      <c r="H67" s="107" t="s">
        <v>91</v>
      </c>
      <c r="I67" s="107" t="s">
        <v>91</v>
      </c>
      <c r="J67" s="117" t="s">
        <v>90</v>
      </c>
      <c r="K67" s="105" t="s">
        <v>687</v>
      </c>
      <c r="L67" s="112" t="s">
        <v>802</v>
      </c>
      <c r="M67" s="108">
        <v>44100.0</v>
      </c>
      <c r="N67" s="106" t="s">
        <v>701</v>
      </c>
      <c r="O67" s="109" t="s">
        <v>690</v>
      </c>
      <c r="P67" s="107" t="s">
        <v>691</v>
      </c>
      <c r="Q67" s="107" t="s">
        <v>691</v>
      </c>
      <c r="R67" s="110"/>
      <c r="S67" s="110"/>
      <c r="T67" s="110"/>
      <c r="U67" s="110"/>
      <c r="V67" s="110"/>
      <c r="W67" s="110"/>
      <c r="X67" s="110"/>
      <c r="Y67" s="110"/>
      <c r="Z67" s="110"/>
    </row>
    <row r="68" ht="15.75" customHeight="1">
      <c r="A68" s="105" t="s">
        <v>397</v>
      </c>
      <c r="B68" s="105" t="s">
        <v>44</v>
      </c>
      <c r="C68" s="106" t="s">
        <v>398</v>
      </c>
      <c r="D68" s="107" t="s">
        <v>83</v>
      </c>
      <c r="E68" s="106" t="s">
        <v>685</v>
      </c>
      <c r="F68" s="107" t="s">
        <v>399</v>
      </c>
      <c r="G68" s="112" t="s">
        <v>335</v>
      </c>
      <c r="H68" s="107" t="s">
        <v>91</v>
      </c>
      <c r="I68" s="107" t="s">
        <v>91</v>
      </c>
      <c r="J68" s="107" t="s">
        <v>85</v>
      </c>
      <c r="K68" s="106" t="s">
        <v>687</v>
      </c>
      <c r="L68" s="107" t="s">
        <v>688</v>
      </c>
      <c r="M68" s="108">
        <v>44101.0</v>
      </c>
      <c r="N68" s="106" t="s">
        <v>701</v>
      </c>
      <c r="O68" s="109" t="s">
        <v>690</v>
      </c>
      <c r="P68" s="107" t="s">
        <v>788</v>
      </c>
      <c r="Q68" s="107" t="s">
        <v>788</v>
      </c>
      <c r="R68" s="110"/>
      <c r="S68" s="110"/>
      <c r="T68" s="110"/>
      <c r="U68" s="110"/>
      <c r="V68" s="110"/>
      <c r="W68" s="110"/>
      <c r="X68" s="110"/>
      <c r="Y68" s="110"/>
      <c r="Z68" s="110"/>
    </row>
    <row r="69">
      <c r="A69" s="105" t="s">
        <v>803</v>
      </c>
      <c r="B69" s="105" t="s">
        <v>44</v>
      </c>
      <c r="C69" s="106" t="s">
        <v>804</v>
      </c>
      <c r="D69" s="107" t="s">
        <v>83</v>
      </c>
      <c r="E69" s="106" t="s">
        <v>685</v>
      </c>
      <c r="F69" s="107" t="s">
        <v>428</v>
      </c>
      <c r="G69" s="105" t="s">
        <v>686</v>
      </c>
      <c r="H69" s="107" t="s">
        <v>91</v>
      </c>
      <c r="I69" s="107" t="s">
        <v>91</v>
      </c>
      <c r="J69" s="107" t="s">
        <v>85</v>
      </c>
      <c r="K69" s="106" t="s">
        <v>687</v>
      </c>
      <c r="L69" s="107" t="s">
        <v>688</v>
      </c>
      <c r="M69" s="108">
        <v>44100.0</v>
      </c>
      <c r="N69" s="106" t="s">
        <v>692</v>
      </c>
      <c r="O69" s="109" t="s">
        <v>690</v>
      </c>
      <c r="P69" s="107" t="s">
        <v>691</v>
      </c>
      <c r="Q69" s="107" t="s">
        <v>691</v>
      </c>
      <c r="R69" s="110"/>
      <c r="S69" s="110"/>
      <c r="T69" s="110"/>
      <c r="U69" s="110"/>
      <c r="V69" s="110"/>
      <c r="W69" s="110"/>
      <c r="X69" s="110"/>
      <c r="Y69" s="110"/>
      <c r="Z69" s="110"/>
    </row>
    <row r="70" ht="15.75" customHeight="1">
      <c r="A70" s="105" t="s">
        <v>97</v>
      </c>
      <c r="B70" s="105" t="s">
        <v>696</v>
      </c>
      <c r="C70" s="106" t="s">
        <v>98</v>
      </c>
      <c r="D70" s="107" t="s">
        <v>83</v>
      </c>
      <c r="E70" s="106" t="s">
        <v>698</v>
      </c>
      <c r="F70" s="123">
        <v>42715.0</v>
      </c>
      <c r="G70" s="105" t="s">
        <v>686</v>
      </c>
      <c r="H70" s="107" t="s">
        <v>91</v>
      </c>
      <c r="I70" s="107" t="s">
        <v>91</v>
      </c>
      <c r="J70" s="107" t="s">
        <v>85</v>
      </c>
      <c r="K70" s="106" t="s">
        <v>687</v>
      </c>
      <c r="L70" s="107" t="s">
        <v>688</v>
      </c>
      <c r="M70" s="108">
        <v>44100.0</v>
      </c>
      <c r="N70" s="106" t="s">
        <v>692</v>
      </c>
      <c r="O70" s="109" t="s">
        <v>690</v>
      </c>
      <c r="P70" s="107" t="s">
        <v>691</v>
      </c>
      <c r="Q70" s="107" t="s">
        <v>691</v>
      </c>
      <c r="R70" s="110"/>
      <c r="S70" s="110"/>
      <c r="T70" s="110"/>
      <c r="U70" s="110"/>
      <c r="V70" s="110"/>
      <c r="W70" s="110"/>
      <c r="X70" s="110"/>
      <c r="Y70" s="110"/>
      <c r="Z70" s="110"/>
    </row>
    <row r="71" ht="15.75" customHeight="1">
      <c r="A71" s="105" t="s">
        <v>805</v>
      </c>
      <c r="B71" s="105" t="s">
        <v>197</v>
      </c>
      <c r="C71" s="106" t="s">
        <v>382</v>
      </c>
      <c r="D71" s="107" t="s">
        <v>185</v>
      </c>
      <c r="E71" s="106" t="s">
        <v>768</v>
      </c>
      <c r="F71" s="107">
        <v>9630.0</v>
      </c>
      <c r="G71" s="106" t="s">
        <v>723</v>
      </c>
      <c r="H71" s="107" t="s">
        <v>91</v>
      </c>
      <c r="I71" s="106" t="s">
        <v>723</v>
      </c>
      <c r="J71" s="107" t="s">
        <v>85</v>
      </c>
      <c r="K71" s="105" t="s">
        <v>687</v>
      </c>
      <c r="L71" s="112" t="s">
        <v>760</v>
      </c>
      <c r="M71" s="108">
        <v>44100.0</v>
      </c>
      <c r="N71" s="106" t="s">
        <v>735</v>
      </c>
      <c r="O71" s="116" t="s">
        <v>736</v>
      </c>
      <c r="P71" s="107" t="s">
        <v>761</v>
      </c>
      <c r="Q71" s="107" t="s">
        <v>761</v>
      </c>
      <c r="R71" s="110"/>
      <c r="S71" s="110"/>
      <c r="T71" s="110"/>
      <c r="U71" s="110"/>
      <c r="V71" s="110"/>
      <c r="W71" s="110"/>
      <c r="X71" s="110"/>
      <c r="Y71" s="110"/>
      <c r="Z71" s="110"/>
    </row>
    <row r="72" ht="15.75" customHeight="1">
      <c r="A72" s="105" t="s">
        <v>806</v>
      </c>
      <c r="B72" s="105" t="s">
        <v>197</v>
      </c>
      <c r="C72" s="106" t="s">
        <v>401</v>
      </c>
      <c r="D72" s="107" t="s">
        <v>83</v>
      </c>
      <c r="E72" s="106" t="s">
        <v>685</v>
      </c>
      <c r="F72" s="107" t="s">
        <v>402</v>
      </c>
      <c r="G72" s="112" t="s">
        <v>335</v>
      </c>
      <c r="H72" s="107" t="s">
        <v>91</v>
      </c>
      <c r="I72" s="107" t="s">
        <v>91</v>
      </c>
      <c r="J72" s="107" t="s">
        <v>85</v>
      </c>
      <c r="K72" s="106" t="s">
        <v>687</v>
      </c>
      <c r="L72" s="107" t="s">
        <v>688</v>
      </c>
      <c r="M72" s="108">
        <v>44101.0</v>
      </c>
      <c r="N72" s="106" t="s">
        <v>701</v>
      </c>
      <c r="O72" s="109" t="s">
        <v>690</v>
      </c>
      <c r="P72" s="107" t="s">
        <v>788</v>
      </c>
      <c r="Q72" s="107" t="s">
        <v>788</v>
      </c>
      <c r="R72" s="110"/>
      <c r="S72" s="110"/>
      <c r="T72" s="110"/>
      <c r="U72" s="110"/>
      <c r="V72" s="110"/>
      <c r="W72" s="110"/>
      <c r="X72" s="110"/>
      <c r="Y72" s="110"/>
      <c r="Z72" s="110"/>
    </row>
    <row r="73" ht="15.75" customHeight="1">
      <c r="A73" s="105" t="s">
        <v>807</v>
      </c>
      <c r="B73" s="105" t="s">
        <v>197</v>
      </c>
      <c r="C73" s="106" t="s">
        <v>808</v>
      </c>
      <c r="D73" s="107" t="s">
        <v>185</v>
      </c>
      <c r="E73" s="106" t="s">
        <v>698</v>
      </c>
      <c r="F73" s="113">
        <v>43733.0</v>
      </c>
      <c r="G73" s="106" t="s">
        <v>723</v>
      </c>
      <c r="H73" s="107" t="s">
        <v>91</v>
      </c>
      <c r="I73" s="106" t="s">
        <v>723</v>
      </c>
      <c r="J73" s="107" t="s">
        <v>85</v>
      </c>
      <c r="K73" s="105" t="s">
        <v>687</v>
      </c>
      <c r="L73" s="112" t="s">
        <v>760</v>
      </c>
      <c r="M73" s="108">
        <v>44100.0</v>
      </c>
      <c r="N73" s="106" t="s">
        <v>735</v>
      </c>
      <c r="O73" s="116" t="s">
        <v>736</v>
      </c>
      <c r="P73" s="107" t="s">
        <v>761</v>
      </c>
      <c r="Q73" s="107" t="s">
        <v>761</v>
      </c>
      <c r="R73" s="110"/>
      <c r="S73" s="110"/>
      <c r="T73" s="110"/>
      <c r="U73" s="110"/>
      <c r="V73" s="110"/>
      <c r="W73" s="110"/>
      <c r="X73" s="110"/>
      <c r="Y73" s="110"/>
      <c r="Z73" s="110"/>
    </row>
    <row r="74">
      <c r="A74" s="105" t="s">
        <v>410</v>
      </c>
      <c r="B74" s="105" t="s">
        <v>696</v>
      </c>
      <c r="C74" s="106" t="s">
        <v>411</v>
      </c>
      <c r="D74" s="107" t="s">
        <v>83</v>
      </c>
      <c r="E74" s="106" t="s">
        <v>698</v>
      </c>
      <c r="F74" s="113">
        <v>40598.0</v>
      </c>
      <c r="G74" s="114" t="s">
        <v>686</v>
      </c>
      <c r="H74" s="107" t="s">
        <v>91</v>
      </c>
      <c r="I74" s="107" t="s">
        <v>91</v>
      </c>
      <c r="J74" s="107" t="s">
        <v>85</v>
      </c>
      <c r="K74" s="106" t="s">
        <v>687</v>
      </c>
      <c r="L74" s="107" t="s">
        <v>688</v>
      </c>
      <c r="M74" s="108">
        <v>44100.0</v>
      </c>
      <c r="N74" s="106" t="s">
        <v>1327</v>
      </c>
      <c r="O74" s="109" t="s">
        <v>690</v>
      </c>
      <c r="P74" s="107" t="s">
        <v>744</v>
      </c>
      <c r="Q74" s="107" t="s">
        <v>744</v>
      </c>
      <c r="R74" s="110"/>
      <c r="S74" s="110"/>
      <c r="T74" s="110"/>
      <c r="U74" s="110"/>
      <c r="V74" s="110"/>
      <c r="W74" s="110"/>
      <c r="X74" s="110"/>
      <c r="Y74" s="110"/>
      <c r="Z74" s="110"/>
    </row>
    <row r="75" ht="15.75" customHeight="1">
      <c r="A75" s="105" t="s">
        <v>811</v>
      </c>
      <c r="B75" s="105" t="s">
        <v>197</v>
      </c>
      <c r="C75" s="106" t="s">
        <v>812</v>
      </c>
      <c r="D75" s="107" t="s">
        <v>185</v>
      </c>
      <c r="E75" s="106" t="s">
        <v>768</v>
      </c>
      <c r="F75" s="112">
        <v>100.0</v>
      </c>
      <c r="G75" s="106" t="s">
        <v>723</v>
      </c>
      <c r="H75" s="112" t="s">
        <v>91</v>
      </c>
      <c r="I75" s="106" t="s">
        <v>723</v>
      </c>
      <c r="J75" s="112" t="s">
        <v>85</v>
      </c>
      <c r="K75" s="105" t="s">
        <v>687</v>
      </c>
      <c r="L75" s="112" t="s">
        <v>760</v>
      </c>
      <c r="M75" s="108">
        <v>44100.0</v>
      </c>
      <c r="N75" s="106" t="s">
        <v>735</v>
      </c>
      <c r="O75" s="116" t="s">
        <v>736</v>
      </c>
      <c r="P75" s="107" t="s">
        <v>761</v>
      </c>
      <c r="Q75" s="107" t="s">
        <v>761</v>
      </c>
      <c r="R75" s="110"/>
      <c r="S75" s="110"/>
      <c r="T75" s="110"/>
      <c r="U75" s="110"/>
      <c r="V75" s="110"/>
      <c r="W75" s="110"/>
      <c r="X75" s="110"/>
      <c r="Y75" s="110"/>
      <c r="Z75" s="110"/>
    </row>
    <row r="76" ht="15.75" customHeight="1">
      <c r="A76" s="105" t="s">
        <v>813</v>
      </c>
      <c r="B76" s="105" t="s">
        <v>197</v>
      </c>
      <c r="C76" s="106" t="s">
        <v>814</v>
      </c>
      <c r="D76" s="107" t="s">
        <v>185</v>
      </c>
      <c r="E76" s="106" t="s">
        <v>768</v>
      </c>
      <c r="F76" s="107">
        <v>100.0</v>
      </c>
      <c r="G76" s="106" t="s">
        <v>723</v>
      </c>
      <c r="H76" s="107" t="s">
        <v>91</v>
      </c>
      <c r="I76" s="106" t="s">
        <v>723</v>
      </c>
      <c r="J76" s="107" t="s">
        <v>85</v>
      </c>
      <c r="K76" s="105" t="s">
        <v>687</v>
      </c>
      <c r="L76" s="112" t="s">
        <v>760</v>
      </c>
      <c r="M76" s="108">
        <v>44100.0</v>
      </c>
      <c r="N76" s="106" t="s">
        <v>735</v>
      </c>
      <c r="O76" s="116" t="s">
        <v>736</v>
      </c>
      <c r="P76" s="107" t="s">
        <v>761</v>
      </c>
      <c r="Q76" s="107" t="s">
        <v>761</v>
      </c>
      <c r="R76" s="110"/>
      <c r="S76" s="110"/>
      <c r="T76" s="110"/>
      <c r="U76" s="110"/>
      <c r="V76" s="110"/>
      <c r="W76" s="110"/>
      <c r="X76" s="110"/>
      <c r="Y76" s="110"/>
      <c r="Z76" s="110"/>
    </row>
    <row r="77" ht="15.75" customHeight="1">
      <c r="A77" s="105" t="s">
        <v>815</v>
      </c>
      <c r="B77" s="105" t="s">
        <v>197</v>
      </c>
      <c r="C77" s="106" t="s">
        <v>816</v>
      </c>
      <c r="D77" s="107" t="s">
        <v>185</v>
      </c>
      <c r="E77" s="106" t="s">
        <v>768</v>
      </c>
      <c r="F77" s="107">
        <v>15.0</v>
      </c>
      <c r="G77" s="106" t="s">
        <v>723</v>
      </c>
      <c r="H77" s="112" t="s">
        <v>91</v>
      </c>
      <c r="I77" s="106" t="s">
        <v>723</v>
      </c>
      <c r="J77" s="107" t="s">
        <v>85</v>
      </c>
      <c r="K77" s="105" t="s">
        <v>687</v>
      </c>
      <c r="L77" s="112" t="s">
        <v>760</v>
      </c>
      <c r="M77" s="108">
        <v>44100.0</v>
      </c>
      <c r="N77" s="106" t="s">
        <v>735</v>
      </c>
      <c r="O77" s="116" t="s">
        <v>736</v>
      </c>
      <c r="P77" s="107" t="s">
        <v>761</v>
      </c>
      <c r="Q77" s="107" t="s">
        <v>761</v>
      </c>
      <c r="R77" s="110"/>
      <c r="S77" s="110"/>
      <c r="T77" s="110"/>
      <c r="U77" s="110"/>
      <c r="V77" s="110"/>
      <c r="W77" s="110"/>
      <c r="X77" s="110"/>
      <c r="Y77" s="110"/>
      <c r="Z77" s="110"/>
    </row>
    <row r="78" ht="15.75" customHeight="1">
      <c r="A78" s="105" t="s">
        <v>817</v>
      </c>
      <c r="B78" s="105" t="s">
        <v>197</v>
      </c>
      <c r="C78" s="106" t="s">
        <v>818</v>
      </c>
      <c r="D78" s="107" t="s">
        <v>185</v>
      </c>
      <c r="E78" s="106" t="s">
        <v>768</v>
      </c>
      <c r="F78" s="107">
        <v>25.0</v>
      </c>
      <c r="G78" s="106" t="s">
        <v>723</v>
      </c>
      <c r="H78" s="107" t="s">
        <v>91</v>
      </c>
      <c r="I78" s="106" t="s">
        <v>723</v>
      </c>
      <c r="J78" s="107" t="s">
        <v>85</v>
      </c>
      <c r="K78" s="105" t="s">
        <v>687</v>
      </c>
      <c r="L78" s="112" t="s">
        <v>760</v>
      </c>
      <c r="M78" s="108">
        <v>44100.0</v>
      </c>
      <c r="N78" s="106" t="s">
        <v>735</v>
      </c>
      <c r="O78" s="116" t="s">
        <v>736</v>
      </c>
      <c r="P78" s="107" t="s">
        <v>761</v>
      </c>
      <c r="Q78" s="107" t="s">
        <v>761</v>
      </c>
      <c r="R78" s="110"/>
      <c r="S78" s="110"/>
      <c r="T78" s="110"/>
      <c r="U78" s="110"/>
      <c r="V78" s="110"/>
      <c r="W78" s="110"/>
      <c r="X78" s="110"/>
      <c r="Y78" s="110"/>
      <c r="Z78" s="110"/>
    </row>
    <row r="79" ht="15.75" customHeight="1">
      <c r="A79" s="105" t="s">
        <v>819</v>
      </c>
      <c r="B79" s="105" t="s">
        <v>197</v>
      </c>
      <c r="C79" s="106" t="s">
        <v>820</v>
      </c>
      <c r="D79" s="107" t="s">
        <v>185</v>
      </c>
      <c r="E79" s="106" t="s">
        <v>768</v>
      </c>
      <c r="F79" s="107">
        <v>289425.0</v>
      </c>
      <c r="G79" s="106" t="s">
        <v>723</v>
      </c>
      <c r="H79" s="107" t="s">
        <v>91</v>
      </c>
      <c r="I79" s="106" t="s">
        <v>723</v>
      </c>
      <c r="J79" s="107" t="s">
        <v>85</v>
      </c>
      <c r="K79" s="105" t="s">
        <v>687</v>
      </c>
      <c r="L79" s="112" t="s">
        <v>760</v>
      </c>
      <c r="M79" s="108">
        <v>44100.0</v>
      </c>
      <c r="N79" s="106" t="s">
        <v>735</v>
      </c>
      <c r="O79" s="116" t="s">
        <v>736</v>
      </c>
      <c r="P79" s="107" t="s">
        <v>761</v>
      </c>
      <c r="Q79" s="107" t="s">
        <v>761</v>
      </c>
      <c r="R79" s="110"/>
      <c r="S79" s="110"/>
      <c r="T79" s="110"/>
      <c r="U79" s="110"/>
      <c r="V79" s="110"/>
      <c r="W79" s="110"/>
      <c r="X79" s="110"/>
      <c r="Y79" s="110"/>
      <c r="Z79" s="110"/>
    </row>
    <row r="80" ht="15.75" customHeight="1">
      <c r="A80" s="105" t="s">
        <v>821</v>
      </c>
      <c r="B80" s="105" t="s">
        <v>197</v>
      </c>
      <c r="C80" s="106" t="s">
        <v>371</v>
      </c>
      <c r="D80" s="107" t="s">
        <v>185</v>
      </c>
      <c r="E80" s="106" t="s">
        <v>768</v>
      </c>
      <c r="F80" s="107">
        <v>370.0</v>
      </c>
      <c r="G80" s="106" t="s">
        <v>723</v>
      </c>
      <c r="H80" s="107" t="s">
        <v>91</v>
      </c>
      <c r="I80" s="106" t="s">
        <v>723</v>
      </c>
      <c r="J80" s="107" t="s">
        <v>85</v>
      </c>
      <c r="K80" s="105" t="s">
        <v>687</v>
      </c>
      <c r="L80" s="112" t="s">
        <v>760</v>
      </c>
      <c r="M80" s="108">
        <v>44100.0</v>
      </c>
      <c r="N80" s="106" t="s">
        <v>735</v>
      </c>
      <c r="O80" s="116" t="s">
        <v>736</v>
      </c>
      <c r="P80" s="107" t="s">
        <v>761</v>
      </c>
      <c r="Q80" s="107" t="s">
        <v>761</v>
      </c>
      <c r="R80" s="110"/>
      <c r="S80" s="110"/>
      <c r="T80" s="110"/>
      <c r="U80" s="110"/>
      <c r="V80" s="110"/>
      <c r="W80" s="110"/>
      <c r="X80" s="110"/>
      <c r="Y80" s="110"/>
      <c r="Z80" s="110"/>
    </row>
    <row r="81" ht="15.75" customHeight="1">
      <c r="A81" s="105" t="s">
        <v>151</v>
      </c>
      <c r="B81" s="105" t="s">
        <v>44</v>
      </c>
      <c r="C81" s="106" t="s">
        <v>822</v>
      </c>
      <c r="D81" s="107" t="s">
        <v>135</v>
      </c>
      <c r="E81" s="106" t="s">
        <v>685</v>
      </c>
      <c r="F81" s="107" t="s">
        <v>154</v>
      </c>
      <c r="G81" s="112" t="s">
        <v>136</v>
      </c>
      <c r="H81" s="107" t="s">
        <v>91</v>
      </c>
      <c r="I81" s="107" t="s">
        <v>91</v>
      </c>
      <c r="J81" s="122">
        <v>1.0</v>
      </c>
      <c r="K81" s="105" t="s">
        <v>749</v>
      </c>
      <c r="L81" s="112" t="s">
        <v>763</v>
      </c>
      <c r="M81" s="108">
        <v>44044.0</v>
      </c>
      <c r="N81" s="106" t="s">
        <v>692</v>
      </c>
      <c r="O81" s="109" t="s">
        <v>690</v>
      </c>
      <c r="P81" s="107" t="s">
        <v>782</v>
      </c>
      <c r="Q81" s="107" t="s">
        <v>782</v>
      </c>
      <c r="R81" s="110"/>
      <c r="S81" s="110"/>
      <c r="T81" s="110"/>
      <c r="U81" s="110"/>
      <c r="V81" s="110"/>
      <c r="W81" s="110"/>
      <c r="X81" s="110"/>
      <c r="Y81" s="110"/>
      <c r="Z81" s="110"/>
    </row>
    <row r="82" ht="15.75" customHeight="1">
      <c r="A82" s="105" t="s">
        <v>155</v>
      </c>
      <c r="B82" s="105" t="s">
        <v>44</v>
      </c>
      <c r="C82" s="106" t="s">
        <v>823</v>
      </c>
      <c r="D82" s="107" t="s">
        <v>135</v>
      </c>
      <c r="E82" s="106" t="s">
        <v>685</v>
      </c>
      <c r="F82" s="107" t="s">
        <v>157</v>
      </c>
      <c r="G82" s="112" t="s">
        <v>136</v>
      </c>
      <c r="H82" s="107" t="s">
        <v>91</v>
      </c>
      <c r="I82" s="107" t="s">
        <v>91</v>
      </c>
      <c r="J82" s="122">
        <v>1.0</v>
      </c>
      <c r="K82" s="105" t="s">
        <v>749</v>
      </c>
      <c r="L82" s="112" t="s">
        <v>763</v>
      </c>
      <c r="M82" s="108">
        <v>44044.0</v>
      </c>
      <c r="N82" s="106" t="s">
        <v>692</v>
      </c>
      <c r="O82" s="109" t="s">
        <v>690</v>
      </c>
      <c r="P82" s="107" t="s">
        <v>782</v>
      </c>
      <c r="Q82" s="107" t="s">
        <v>782</v>
      </c>
      <c r="R82" s="110"/>
      <c r="S82" s="110"/>
      <c r="T82" s="110"/>
      <c r="U82" s="110"/>
      <c r="V82" s="110"/>
      <c r="W82" s="110"/>
      <c r="X82" s="110"/>
      <c r="Y82" s="110"/>
      <c r="Z82" s="110"/>
    </row>
    <row r="83" ht="15.75" customHeight="1">
      <c r="A83" s="105" t="s">
        <v>158</v>
      </c>
      <c r="B83" s="105" t="s">
        <v>44</v>
      </c>
      <c r="C83" s="106" t="s">
        <v>824</v>
      </c>
      <c r="D83" s="107" t="s">
        <v>135</v>
      </c>
      <c r="E83" s="106" t="s">
        <v>685</v>
      </c>
      <c r="F83" s="107" t="s">
        <v>160</v>
      </c>
      <c r="G83" s="112" t="s">
        <v>136</v>
      </c>
      <c r="H83" s="107" t="s">
        <v>91</v>
      </c>
      <c r="I83" s="107" t="s">
        <v>91</v>
      </c>
      <c r="J83" s="122">
        <v>1.0</v>
      </c>
      <c r="K83" s="105" t="s">
        <v>749</v>
      </c>
      <c r="L83" s="112" t="s">
        <v>763</v>
      </c>
      <c r="M83" s="108">
        <v>44044.0</v>
      </c>
      <c r="N83" s="106" t="s">
        <v>692</v>
      </c>
      <c r="O83" s="109" t="s">
        <v>690</v>
      </c>
      <c r="P83" s="107" t="s">
        <v>782</v>
      </c>
      <c r="Q83" s="107" t="s">
        <v>782</v>
      </c>
      <c r="R83" s="110"/>
      <c r="S83" s="110"/>
      <c r="T83" s="110"/>
      <c r="U83" s="110"/>
      <c r="V83" s="110"/>
      <c r="W83" s="110"/>
      <c r="X83" s="110"/>
      <c r="Y83" s="110"/>
      <c r="Z83" s="110"/>
    </row>
    <row r="84" ht="15.75" customHeight="1">
      <c r="A84" s="105" t="s">
        <v>161</v>
      </c>
      <c r="B84" s="105" t="s">
        <v>44</v>
      </c>
      <c r="C84" s="106" t="s">
        <v>825</v>
      </c>
      <c r="D84" s="107" t="s">
        <v>135</v>
      </c>
      <c r="E84" s="106" t="s">
        <v>685</v>
      </c>
      <c r="F84" s="107" t="s">
        <v>163</v>
      </c>
      <c r="G84" s="112" t="s">
        <v>136</v>
      </c>
      <c r="H84" s="107" t="s">
        <v>91</v>
      </c>
      <c r="I84" s="107" t="s">
        <v>91</v>
      </c>
      <c r="J84" s="122">
        <v>1.0</v>
      </c>
      <c r="K84" s="105" t="s">
        <v>749</v>
      </c>
      <c r="L84" s="112" t="s">
        <v>763</v>
      </c>
      <c r="M84" s="108">
        <v>44044.0</v>
      </c>
      <c r="N84" s="106" t="s">
        <v>692</v>
      </c>
      <c r="O84" s="109" t="s">
        <v>690</v>
      </c>
      <c r="P84" s="107" t="s">
        <v>782</v>
      </c>
      <c r="Q84" s="107" t="s">
        <v>782</v>
      </c>
      <c r="R84" s="110"/>
      <c r="S84" s="110"/>
      <c r="T84" s="110"/>
      <c r="U84" s="110"/>
      <c r="V84" s="110"/>
      <c r="W84" s="110"/>
      <c r="X84" s="110"/>
      <c r="Y84" s="110"/>
      <c r="Z84" s="110"/>
    </row>
    <row r="85" ht="15.75" customHeight="1">
      <c r="A85" s="105" t="s">
        <v>164</v>
      </c>
      <c r="B85" s="105" t="s">
        <v>44</v>
      </c>
      <c r="C85" s="106" t="s">
        <v>826</v>
      </c>
      <c r="D85" s="107" t="s">
        <v>135</v>
      </c>
      <c r="E85" s="106" t="s">
        <v>685</v>
      </c>
      <c r="F85" s="107" t="s">
        <v>154</v>
      </c>
      <c r="G85" s="112" t="s">
        <v>136</v>
      </c>
      <c r="H85" s="107" t="s">
        <v>91</v>
      </c>
      <c r="I85" s="107" t="s">
        <v>91</v>
      </c>
      <c r="J85" s="122">
        <v>0.6765</v>
      </c>
      <c r="K85" s="105" t="s">
        <v>749</v>
      </c>
      <c r="L85" s="112" t="s">
        <v>763</v>
      </c>
      <c r="M85" s="108">
        <v>44044.0</v>
      </c>
      <c r="N85" s="106" t="s">
        <v>692</v>
      </c>
      <c r="O85" s="109" t="s">
        <v>690</v>
      </c>
      <c r="P85" s="107" t="s">
        <v>782</v>
      </c>
      <c r="Q85" s="107" t="s">
        <v>782</v>
      </c>
      <c r="R85" s="110"/>
      <c r="S85" s="110"/>
      <c r="T85" s="110"/>
      <c r="U85" s="110"/>
      <c r="V85" s="110"/>
      <c r="W85" s="110"/>
      <c r="X85" s="110"/>
      <c r="Y85" s="110"/>
      <c r="Z85" s="110"/>
    </row>
    <row r="86" ht="15.75" customHeight="1">
      <c r="A86" s="105" t="s">
        <v>166</v>
      </c>
      <c r="B86" s="105" t="s">
        <v>44</v>
      </c>
      <c r="C86" s="106" t="s">
        <v>827</v>
      </c>
      <c r="D86" s="107" t="s">
        <v>135</v>
      </c>
      <c r="E86" s="106" t="s">
        <v>685</v>
      </c>
      <c r="F86" s="107" t="s">
        <v>157</v>
      </c>
      <c r="G86" s="112" t="s">
        <v>136</v>
      </c>
      <c r="H86" s="107" t="s">
        <v>91</v>
      </c>
      <c r="I86" s="107" t="s">
        <v>91</v>
      </c>
      <c r="J86" s="122">
        <v>0.6765</v>
      </c>
      <c r="K86" s="105" t="s">
        <v>749</v>
      </c>
      <c r="L86" s="112" t="s">
        <v>763</v>
      </c>
      <c r="M86" s="108">
        <v>44044.0</v>
      </c>
      <c r="N86" s="106" t="s">
        <v>692</v>
      </c>
      <c r="O86" s="109" t="s">
        <v>690</v>
      </c>
      <c r="P86" s="107" t="s">
        <v>782</v>
      </c>
      <c r="Q86" s="107" t="s">
        <v>782</v>
      </c>
      <c r="R86" s="110"/>
      <c r="S86" s="110"/>
      <c r="T86" s="110"/>
      <c r="U86" s="110"/>
      <c r="V86" s="110"/>
      <c r="W86" s="110"/>
      <c r="X86" s="110"/>
      <c r="Y86" s="110"/>
      <c r="Z86" s="110"/>
    </row>
    <row r="87" ht="15.75" customHeight="1">
      <c r="A87" s="105" t="s">
        <v>168</v>
      </c>
      <c r="B87" s="105" t="s">
        <v>44</v>
      </c>
      <c r="C87" s="106" t="s">
        <v>828</v>
      </c>
      <c r="D87" s="107" t="s">
        <v>135</v>
      </c>
      <c r="E87" s="106" t="s">
        <v>685</v>
      </c>
      <c r="F87" s="107" t="s">
        <v>160</v>
      </c>
      <c r="G87" s="112" t="s">
        <v>136</v>
      </c>
      <c r="H87" s="107" t="s">
        <v>91</v>
      </c>
      <c r="I87" s="107" t="s">
        <v>91</v>
      </c>
      <c r="J87" s="122">
        <v>0.6765</v>
      </c>
      <c r="K87" s="105" t="s">
        <v>749</v>
      </c>
      <c r="L87" s="112" t="s">
        <v>763</v>
      </c>
      <c r="M87" s="108">
        <v>44044.0</v>
      </c>
      <c r="N87" s="106" t="s">
        <v>692</v>
      </c>
      <c r="O87" s="109" t="s">
        <v>690</v>
      </c>
      <c r="P87" s="107" t="s">
        <v>782</v>
      </c>
      <c r="Q87" s="107" t="s">
        <v>782</v>
      </c>
      <c r="R87" s="110"/>
      <c r="S87" s="110"/>
      <c r="T87" s="110"/>
      <c r="U87" s="110"/>
      <c r="V87" s="110"/>
      <c r="W87" s="110"/>
      <c r="X87" s="110"/>
      <c r="Y87" s="110"/>
      <c r="Z87" s="110"/>
    </row>
    <row r="88" ht="15.75" customHeight="1">
      <c r="A88" s="105" t="s">
        <v>170</v>
      </c>
      <c r="B88" s="105" t="s">
        <v>44</v>
      </c>
      <c r="C88" s="106" t="s">
        <v>829</v>
      </c>
      <c r="D88" s="107" t="s">
        <v>135</v>
      </c>
      <c r="E88" s="106" t="s">
        <v>685</v>
      </c>
      <c r="F88" s="107" t="s">
        <v>163</v>
      </c>
      <c r="G88" s="112" t="s">
        <v>136</v>
      </c>
      <c r="H88" s="107" t="s">
        <v>91</v>
      </c>
      <c r="I88" s="107" t="s">
        <v>91</v>
      </c>
      <c r="J88" s="122">
        <v>0.6765</v>
      </c>
      <c r="K88" s="105" t="s">
        <v>749</v>
      </c>
      <c r="L88" s="112" t="s">
        <v>763</v>
      </c>
      <c r="M88" s="108">
        <v>44044.0</v>
      </c>
      <c r="N88" s="106" t="s">
        <v>692</v>
      </c>
      <c r="O88" s="109" t="s">
        <v>690</v>
      </c>
      <c r="P88" s="107" t="s">
        <v>782</v>
      </c>
      <c r="Q88" s="107" t="s">
        <v>782</v>
      </c>
      <c r="R88" s="110"/>
      <c r="S88" s="110"/>
      <c r="T88" s="110"/>
      <c r="U88" s="110"/>
      <c r="V88" s="110"/>
      <c r="W88" s="110"/>
      <c r="X88" s="110"/>
      <c r="Y88" s="110"/>
      <c r="Z88" s="110"/>
    </row>
    <row r="89" ht="15.75" customHeight="1">
      <c r="A89" s="105" t="s">
        <v>116</v>
      </c>
      <c r="B89" s="105" t="s">
        <v>696</v>
      </c>
      <c r="C89" s="106" t="s">
        <v>830</v>
      </c>
      <c r="D89" s="107" t="s">
        <v>185</v>
      </c>
      <c r="E89" s="106" t="s">
        <v>694</v>
      </c>
      <c r="F89" s="107">
        <v>12.0</v>
      </c>
      <c r="G89" s="112" t="s">
        <v>86</v>
      </c>
      <c r="H89" s="107" t="s">
        <v>91</v>
      </c>
      <c r="I89" s="107" t="s">
        <v>91</v>
      </c>
      <c r="J89" s="107" t="s">
        <v>85</v>
      </c>
      <c r="K89" s="106" t="s">
        <v>687</v>
      </c>
      <c r="L89" s="107" t="s">
        <v>688</v>
      </c>
      <c r="M89" s="108">
        <v>44100.0</v>
      </c>
      <c r="N89" s="106" t="s">
        <v>692</v>
      </c>
      <c r="O89" s="109" t="s">
        <v>690</v>
      </c>
      <c r="P89" s="107" t="s">
        <v>691</v>
      </c>
      <c r="Q89" s="107" t="s">
        <v>691</v>
      </c>
      <c r="R89" s="110"/>
      <c r="S89" s="110"/>
      <c r="T89" s="110"/>
      <c r="U89" s="110"/>
      <c r="V89" s="110"/>
      <c r="W89" s="110"/>
      <c r="X89" s="110"/>
      <c r="Y89" s="110"/>
      <c r="Z89" s="110"/>
    </row>
    <row r="90" ht="15.75" customHeight="1">
      <c r="A90" s="105" t="s">
        <v>261</v>
      </c>
      <c r="B90" s="105" t="s">
        <v>197</v>
      </c>
      <c r="C90" s="106" t="s">
        <v>831</v>
      </c>
      <c r="D90" s="107" t="s">
        <v>185</v>
      </c>
      <c r="E90" s="106" t="s">
        <v>720</v>
      </c>
      <c r="F90" s="115" t="b">
        <v>1</v>
      </c>
      <c r="G90" s="105" t="s">
        <v>686</v>
      </c>
      <c r="H90" s="107" t="s">
        <v>91</v>
      </c>
      <c r="I90" s="107" t="s">
        <v>91</v>
      </c>
      <c r="J90" s="107" t="s">
        <v>85</v>
      </c>
      <c r="K90" s="106" t="s">
        <v>687</v>
      </c>
      <c r="L90" s="107" t="s">
        <v>688</v>
      </c>
      <c r="M90" s="108">
        <v>44101.0</v>
      </c>
      <c r="N90" s="106" t="s">
        <v>701</v>
      </c>
      <c r="O90" s="116"/>
      <c r="P90" s="107" t="s">
        <v>705</v>
      </c>
      <c r="Q90" s="107" t="s">
        <v>705</v>
      </c>
      <c r="R90" s="110"/>
      <c r="S90" s="110"/>
      <c r="T90" s="110"/>
      <c r="U90" s="110"/>
      <c r="V90" s="110"/>
      <c r="W90" s="110"/>
      <c r="X90" s="110"/>
      <c r="Y90" s="110"/>
      <c r="Z90" s="110"/>
    </row>
    <row r="91" ht="15.75" customHeight="1">
      <c r="A91" s="105" t="s">
        <v>363</v>
      </c>
      <c r="B91" s="105" t="s">
        <v>197</v>
      </c>
      <c r="C91" s="106" t="s">
        <v>832</v>
      </c>
      <c r="D91" s="107" t="s">
        <v>185</v>
      </c>
      <c r="E91" s="106" t="s">
        <v>720</v>
      </c>
      <c r="F91" s="115" t="b">
        <v>1</v>
      </c>
      <c r="G91" s="105" t="s">
        <v>686</v>
      </c>
      <c r="H91" s="117" t="s">
        <v>91</v>
      </c>
      <c r="I91" s="117" t="s">
        <v>91</v>
      </c>
      <c r="J91" s="117" t="s">
        <v>85</v>
      </c>
      <c r="K91" s="106" t="s">
        <v>687</v>
      </c>
      <c r="L91" s="107" t="s">
        <v>688</v>
      </c>
      <c r="M91" s="108">
        <v>44101.0</v>
      </c>
      <c r="N91" s="106" t="s">
        <v>741</v>
      </c>
      <c r="O91" s="116"/>
      <c r="P91" s="107" t="s">
        <v>702</v>
      </c>
      <c r="Q91" s="107" t="s">
        <v>702</v>
      </c>
      <c r="R91" s="110"/>
      <c r="S91" s="110"/>
      <c r="T91" s="110"/>
      <c r="U91" s="110"/>
      <c r="V91" s="110"/>
      <c r="W91" s="110"/>
      <c r="X91" s="110"/>
      <c r="Y91" s="110"/>
      <c r="Z91" s="110"/>
    </row>
    <row r="92" ht="15.75" customHeight="1">
      <c r="A92" s="105" t="s">
        <v>833</v>
      </c>
      <c r="B92" s="105" t="s">
        <v>44</v>
      </c>
      <c r="C92" s="106" t="s">
        <v>834</v>
      </c>
      <c r="D92" s="107" t="s">
        <v>83</v>
      </c>
      <c r="E92" s="106" t="s">
        <v>685</v>
      </c>
      <c r="F92" s="120" t="s">
        <v>346</v>
      </c>
      <c r="G92" s="114" t="s">
        <v>686</v>
      </c>
      <c r="H92" s="107" t="s">
        <v>91</v>
      </c>
      <c r="I92" s="107" t="s">
        <v>91</v>
      </c>
      <c r="J92" s="107" t="s">
        <v>85</v>
      </c>
      <c r="K92" s="106" t="s">
        <v>687</v>
      </c>
      <c r="L92" s="107" t="s">
        <v>688</v>
      </c>
      <c r="M92" s="108">
        <v>44100.0</v>
      </c>
      <c r="N92" s="106" t="s">
        <v>701</v>
      </c>
      <c r="O92" s="116" t="s">
        <v>732</v>
      </c>
      <c r="P92" s="107" t="s">
        <v>691</v>
      </c>
      <c r="Q92" s="107" t="s">
        <v>691</v>
      </c>
      <c r="R92" s="110"/>
      <c r="S92" s="110"/>
      <c r="T92" s="110"/>
      <c r="U92" s="110"/>
      <c r="V92" s="110"/>
      <c r="W92" s="110"/>
      <c r="X92" s="110"/>
      <c r="Y92" s="110"/>
      <c r="Z92" s="110"/>
    </row>
    <row r="93" ht="15.75" customHeight="1">
      <c r="A93" s="105" t="s">
        <v>347</v>
      </c>
      <c r="B93" s="105" t="s">
        <v>44</v>
      </c>
      <c r="C93" s="106" t="s">
        <v>348</v>
      </c>
      <c r="D93" s="107" t="s">
        <v>83</v>
      </c>
      <c r="E93" s="106" t="s">
        <v>685</v>
      </c>
      <c r="F93" s="107" t="s">
        <v>349</v>
      </c>
      <c r="G93" s="114" t="s">
        <v>835</v>
      </c>
      <c r="H93" s="107" t="s">
        <v>91</v>
      </c>
      <c r="I93" s="107" t="s">
        <v>91</v>
      </c>
      <c r="J93" s="107" t="s">
        <v>85</v>
      </c>
      <c r="K93" s="106" t="s">
        <v>687</v>
      </c>
      <c r="L93" s="107" t="s">
        <v>688</v>
      </c>
      <c r="M93" s="108">
        <v>44100.0</v>
      </c>
      <c r="N93" s="106" t="s">
        <v>701</v>
      </c>
      <c r="O93" s="109" t="s">
        <v>690</v>
      </c>
      <c r="P93" s="107" t="s">
        <v>691</v>
      </c>
      <c r="Q93" s="107" t="s">
        <v>691</v>
      </c>
      <c r="R93" s="110"/>
      <c r="S93" s="110"/>
      <c r="T93" s="110"/>
      <c r="U93" s="110"/>
      <c r="V93" s="110"/>
      <c r="W93" s="110"/>
      <c r="X93" s="110"/>
      <c r="Y93" s="110"/>
      <c r="Z93" s="110"/>
    </row>
    <row r="94" ht="15.75" customHeight="1">
      <c r="A94" s="105" t="s">
        <v>149</v>
      </c>
      <c r="B94" s="105" t="s">
        <v>44</v>
      </c>
      <c r="C94" s="106" t="s">
        <v>150</v>
      </c>
      <c r="D94" s="107" t="s">
        <v>83</v>
      </c>
      <c r="E94" s="106" t="s">
        <v>698</v>
      </c>
      <c r="F94" s="123">
        <v>29250.0</v>
      </c>
      <c r="G94" s="114" t="s">
        <v>835</v>
      </c>
      <c r="H94" s="107" t="s">
        <v>91</v>
      </c>
      <c r="I94" s="107" t="s">
        <v>91</v>
      </c>
      <c r="J94" s="107" t="s">
        <v>85</v>
      </c>
      <c r="K94" s="106" t="s">
        <v>687</v>
      </c>
      <c r="L94" s="107" t="s">
        <v>688</v>
      </c>
      <c r="M94" s="108">
        <v>44100.0</v>
      </c>
      <c r="N94" s="106" t="s">
        <v>1318</v>
      </c>
      <c r="O94" s="109" t="s">
        <v>690</v>
      </c>
      <c r="P94" s="107" t="s">
        <v>691</v>
      </c>
      <c r="Q94" s="107" t="s">
        <v>691</v>
      </c>
      <c r="R94" s="110"/>
      <c r="S94" s="110"/>
      <c r="T94" s="110"/>
      <c r="U94" s="110"/>
      <c r="V94" s="110"/>
      <c r="W94" s="110"/>
      <c r="X94" s="110"/>
      <c r="Y94" s="110"/>
      <c r="Z94" s="110"/>
    </row>
    <row r="95" ht="15.75" customHeight="1">
      <c r="A95" s="105" t="s">
        <v>92</v>
      </c>
      <c r="B95" s="105" t="s">
        <v>44</v>
      </c>
      <c r="C95" s="106" t="s">
        <v>1328</v>
      </c>
      <c r="D95" s="107" t="s">
        <v>83</v>
      </c>
      <c r="E95" s="106" t="s">
        <v>1313</v>
      </c>
      <c r="F95" s="107">
        <v>1024.0</v>
      </c>
      <c r="G95" s="105" t="s">
        <v>686</v>
      </c>
      <c r="H95" s="107" t="s">
        <v>91</v>
      </c>
      <c r="I95" s="107" t="s">
        <v>91</v>
      </c>
      <c r="J95" s="107" t="s">
        <v>85</v>
      </c>
      <c r="K95" s="106" t="s">
        <v>687</v>
      </c>
      <c r="L95" s="107" t="s">
        <v>688</v>
      </c>
      <c r="M95" s="108">
        <v>44100.0</v>
      </c>
      <c r="N95" s="106" t="s">
        <v>1314</v>
      </c>
      <c r="O95" s="109" t="s">
        <v>690</v>
      </c>
      <c r="P95" s="107" t="s">
        <v>691</v>
      </c>
      <c r="Q95" s="107" t="s">
        <v>691</v>
      </c>
      <c r="R95" s="110"/>
      <c r="S95" s="110"/>
      <c r="T95" s="110"/>
      <c r="U95" s="110"/>
      <c r="V95" s="110"/>
      <c r="W95" s="110"/>
      <c r="X95" s="110"/>
      <c r="Y95" s="110"/>
      <c r="Z95" s="110"/>
    </row>
    <row r="96" ht="15.75" customHeight="1">
      <c r="A96" s="105" t="s">
        <v>125</v>
      </c>
      <c r="B96" s="105" t="s">
        <v>44</v>
      </c>
      <c r="C96" s="106" t="s">
        <v>128</v>
      </c>
      <c r="D96" s="107" t="s">
        <v>83</v>
      </c>
      <c r="E96" s="106" t="s">
        <v>1313</v>
      </c>
      <c r="F96" s="107" t="s">
        <v>129</v>
      </c>
      <c r="G96" s="114" t="s">
        <v>835</v>
      </c>
      <c r="H96" s="107" t="s">
        <v>91</v>
      </c>
      <c r="I96" s="107" t="s">
        <v>91</v>
      </c>
      <c r="J96" s="107" t="s">
        <v>85</v>
      </c>
      <c r="K96" s="106" t="s">
        <v>687</v>
      </c>
      <c r="L96" s="107" t="s">
        <v>688</v>
      </c>
      <c r="M96" s="108">
        <v>44100.0</v>
      </c>
      <c r="N96" s="106" t="s">
        <v>1314</v>
      </c>
      <c r="O96" s="109" t="s">
        <v>690</v>
      </c>
      <c r="P96" s="107" t="s">
        <v>691</v>
      </c>
      <c r="Q96" s="107" t="s">
        <v>691</v>
      </c>
      <c r="R96" s="110"/>
      <c r="S96" s="110"/>
      <c r="T96" s="110"/>
      <c r="U96" s="110"/>
      <c r="V96" s="110"/>
      <c r="W96" s="110"/>
      <c r="X96" s="110"/>
      <c r="Y96" s="110"/>
      <c r="Z96" s="110"/>
    </row>
    <row r="97" ht="15.75" customHeight="1">
      <c r="A97" s="105" t="s">
        <v>130</v>
      </c>
      <c r="B97" s="105" t="s">
        <v>44</v>
      </c>
      <c r="C97" s="106" t="s">
        <v>131</v>
      </c>
      <c r="D97" s="107" t="s">
        <v>83</v>
      </c>
      <c r="E97" s="106" t="s">
        <v>1313</v>
      </c>
      <c r="F97" s="107" t="s">
        <v>132</v>
      </c>
      <c r="G97" s="114" t="s">
        <v>835</v>
      </c>
      <c r="H97" s="107" t="s">
        <v>91</v>
      </c>
      <c r="I97" s="107" t="s">
        <v>91</v>
      </c>
      <c r="J97" s="107" t="s">
        <v>85</v>
      </c>
      <c r="K97" s="106" t="s">
        <v>687</v>
      </c>
      <c r="L97" s="107" t="s">
        <v>688</v>
      </c>
      <c r="M97" s="108">
        <v>44100.0</v>
      </c>
      <c r="N97" s="106" t="s">
        <v>1318</v>
      </c>
      <c r="O97" s="109" t="s">
        <v>690</v>
      </c>
      <c r="P97" s="107" t="s">
        <v>691</v>
      </c>
      <c r="Q97" s="107" t="s">
        <v>691</v>
      </c>
      <c r="R97" s="110"/>
      <c r="S97" s="110"/>
      <c r="T97" s="110"/>
      <c r="U97" s="110"/>
      <c r="V97" s="110"/>
      <c r="W97" s="110"/>
      <c r="X97" s="110"/>
      <c r="Y97" s="110"/>
      <c r="Z97" s="110"/>
    </row>
    <row r="98" ht="15.75" customHeight="1">
      <c r="A98" s="105" t="s">
        <v>143</v>
      </c>
      <c r="B98" s="105" t="s">
        <v>44</v>
      </c>
      <c r="C98" s="106" t="s">
        <v>144</v>
      </c>
      <c r="D98" s="107" t="s">
        <v>83</v>
      </c>
      <c r="E98" s="106" t="s">
        <v>685</v>
      </c>
      <c r="F98" s="107" t="s">
        <v>145</v>
      </c>
      <c r="G98" s="114" t="s">
        <v>835</v>
      </c>
      <c r="H98" s="107" t="s">
        <v>91</v>
      </c>
      <c r="I98" s="107" t="s">
        <v>91</v>
      </c>
      <c r="J98" s="107" t="s">
        <v>85</v>
      </c>
      <c r="K98" s="106" t="s">
        <v>687</v>
      </c>
      <c r="L98" s="107" t="s">
        <v>688</v>
      </c>
      <c r="M98" s="108">
        <v>44100.0</v>
      </c>
      <c r="N98" s="106" t="s">
        <v>701</v>
      </c>
      <c r="O98" s="109" t="s">
        <v>690</v>
      </c>
      <c r="P98" s="107" t="s">
        <v>691</v>
      </c>
      <c r="Q98" s="107" t="s">
        <v>691</v>
      </c>
      <c r="R98" s="110"/>
      <c r="S98" s="110"/>
      <c r="T98" s="110"/>
      <c r="U98" s="110"/>
      <c r="V98" s="110"/>
      <c r="W98" s="110"/>
      <c r="X98" s="110"/>
      <c r="Y98" s="110"/>
      <c r="Z98" s="110"/>
    </row>
    <row r="99" ht="15.75" customHeight="1">
      <c r="A99" s="105" t="s">
        <v>458</v>
      </c>
      <c r="B99" s="105" t="s">
        <v>197</v>
      </c>
      <c r="C99" s="106" t="s">
        <v>837</v>
      </c>
      <c r="D99" s="107" t="s">
        <v>83</v>
      </c>
      <c r="E99" s="106" t="s">
        <v>685</v>
      </c>
      <c r="F99" s="107" t="s">
        <v>460</v>
      </c>
      <c r="G99" s="114" t="s">
        <v>686</v>
      </c>
      <c r="H99" s="107" t="s">
        <v>91</v>
      </c>
      <c r="I99" s="107" t="s">
        <v>91</v>
      </c>
      <c r="J99" s="112" t="s">
        <v>85</v>
      </c>
      <c r="K99" s="106" t="s">
        <v>687</v>
      </c>
      <c r="L99" s="107" t="s">
        <v>688</v>
      </c>
      <c r="M99" s="108">
        <v>44100.0</v>
      </c>
      <c r="N99" s="106" t="s">
        <v>735</v>
      </c>
      <c r="O99" s="116" t="s">
        <v>736</v>
      </c>
      <c r="P99" s="107" t="s">
        <v>761</v>
      </c>
      <c r="Q99" s="107" t="s">
        <v>761</v>
      </c>
      <c r="R99" s="110"/>
      <c r="S99" s="110"/>
      <c r="T99" s="110"/>
      <c r="U99" s="110"/>
      <c r="V99" s="110"/>
      <c r="W99" s="110"/>
      <c r="X99" s="110"/>
      <c r="Y99" s="110"/>
      <c r="Z99" s="110"/>
    </row>
    <row r="100" ht="15.75" customHeight="1">
      <c r="A100" s="105" t="s">
        <v>258</v>
      </c>
      <c r="B100" s="105" t="s">
        <v>197</v>
      </c>
      <c r="C100" s="106" t="s">
        <v>838</v>
      </c>
      <c r="D100" s="107" t="s">
        <v>185</v>
      </c>
      <c r="E100" s="106" t="s">
        <v>685</v>
      </c>
      <c r="F100" s="107" t="s">
        <v>839</v>
      </c>
      <c r="G100" s="105" t="s">
        <v>686</v>
      </c>
      <c r="H100" s="107" t="s">
        <v>91</v>
      </c>
      <c r="I100" s="107" t="s">
        <v>91</v>
      </c>
      <c r="J100" s="107" t="s">
        <v>85</v>
      </c>
      <c r="K100" s="106" t="s">
        <v>687</v>
      </c>
      <c r="L100" s="107" t="s">
        <v>688</v>
      </c>
      <c r="M100" s="108">
        <v>44100.0</v>
      </c>
      <c r="N100" s="106" t="s">
        <v>701</v>
      </c>
      <c r="O100" s="109" t="s">
        <v>690</v>
      </c>
      <c r="P100" s="107" t="s">
        <v>691</v>
      </c>
      <c r="Q100" s="107" t="s">
        <v>691</v>
      </c>
      <c r="R100" s="110"/>
      <c r="S100" s="110"/>
      <c r="T100" s="110"/>
      <c r="U100" s="110"/>
      <c r="V100" s="110"/>
      <c r="W100" s="110"/>
      <c r="X100" s="110"/>
      <c r="Y100" s="110"/>
      <c r="Z100" s="110"/>
    </row>
    <row r="101" ht="15.75" customHeight="1">
      <c r="A101" s="105" t="s">
        <v>840</v>
      </c>
      <c r="B101" s="105" t="s">
        <v>197</v>
      </c>
      <c r="C101" s="106" t="s">
        <v>331</v>
      </c>
      <c r="D101" s="107" t="s">
        <v>185</v>
      </c>
      <c r="E101" s="106" t="s">
        <v>685</v>
      </c>
      <c r="F101" s="107" t="s">
        <v>332</v>
      </c>
      <c r="G101" s="106" t="s">
        <v>723</v>
      </c>
      <c r="H101" s="107" t="s">
        <v>91</v>
      </c>
      <c r="I101" s="106" t="s">
        <v>723</v>
      </c>
      <c r="J101" s="112" t="s">
        <v>85</v>
      </c>
      <c r="K101" s="106" t="s">
        <v>687</v>
      </c>
      <c r="L101" s="107" t="s">
        <v>688</v>
      </c>
      <c r="M101" s="108">
        <v>44101.0</v>
      </c>
      <c r="N101" s="106" t="s">
        <v>741</v>
      </c>
      <c r="O101" s="109" t="s">
        <v>690</v>
      </c>
      <c r="P101" s="107" t="s">
        <v>745</v>
      </c>
      <c r="Q101" s="107" t="s">
        <v>745</v>
      </c>
      <c r="R101" s="110"/>
      <c r="S101" s="110"/>
      <c r="T101" s="110"/>
      <c r="U101" s="110"/>
      <c r="V101" s="110"/>
      <c r="W101" s="110"/>
      <c r="X101" s="110"/>
      <c r="Y101" s="110"/>
      <c r="Z101" s="110"/>
    </row>
    <row r="102" ht="15.75" customHeight="1">
      <c r="A102" s="105" t="s">
        <v>841</v>
      </c>
      <c r="B102" s="105" t="s">
        <v>842</v>
      </c>
      <c r="C102" s="106" t="s">
        <v>199</v>
      </c>
      <c r="D102" s="107" t="s">
        <v>83</v>
      </c>
      <c r="E102" s="106" t="s">
        <v>685</v>
      </c>
      <c r="F102" s="107" t="s">
        <v>200</v>
      </c>
      <c r="G102" s="106" t="s">
        <v>394</v>
      </c>
      <c r="H102" s="106" t="s">
        <v>394</v>
      </c>
      <c r="I102" s="106" t="s">
        <v>394</v>
      </c>
      <c r="J102" s="107" t="s">
        <v>85</v>
      </c>
      <c r="K102" s="106" t="s">
        <v>749</v>
      </c>
      <c r="L102" s="107" t="s">
        <v>749</v>
      </c>
      <c r="M102" s="108">
        <v>44013.0</v>
      </c>
      <c r="N102" s="106" t="s">
        <v>741</v>
      </c>
      <c r="O102" s="109" t="s">
        <v>732</v>
      </c>
      <c r="P102" s="107" t="s">
        <v>691</v>
      </c>
      <c r="Q102" s="107" t="s">
        <v>691</v>
      </c>
      <c r="R102" s="110"/>
      <c r="S102" s="110"/>
      <c r="T102" s="110"/>
      <c r="U102" s="110"/>
      <c r="V102" s="110"/>
      <c r="W102" s="110"/>
      <c r="X102" s="110"/>
      <c r="Y102" s="110"/>
      <c r="Z102" s="110"/>
    </row>
    <row r="103" ht="15.75" customHeight="1">
      <c r="A103" s="105" t="s">
        <v>205</v>
      </c>
      <c r="B103" s="105" t="s">
        <v>46</v>
      </c>
      <c r="C103" s="106" t="s">
        <v>843</v>
      </c>
      <c r="D103" s="107" t="s">
        <v>83</v>
      </c>
      <c r="E103" s="106" t="s">
        <v>685</v>
      </c>
      <c r="F103" s="107" t="s">
        <v>209</v>
      </c>
      <c r="G103" s="106" t="s">
        <v>394</v>
      </c>
      <c r="H103" s="106" t="s">
        <v>394</v>
      </c>
      <c r="I103" s="106" t="s">
        <v>394</v>
      </c>
      <c r="J103" s="107" t="s">
        <v>85</v>
      </c>
      <c r="K103" s="106" t="s">
        <v>749</v>
      </c>
      <c r="L103" s="107" t="s">
        <v>749</v>
      </c>
      <c r="M103" s="108">
        <v>44013.0</v>
      </c>
      <c r="N103" s="106" t="s">
        <v>741</v>
      </c>
      <c r="O103" s="109" t="s">
        <v>732</v>
      </c>
      <c r="P103" s="107" t="s">
        <v>691</v>
      </c>
      <c r="Q103" s="107" t="s">
        <v>691</v>
      </c>
      <c r="R103" s="110"/>
      <c r="S103" s="110"/>
      <c r="T103" s="110"/>
      <c r="U103" s="110"/>
      <c r="V103" s="110"/>
      <c r="W103" s="110"/>
      <c r="X103" s="110"/>
      <c r="Y103" s="110"/>
      <c r="Z103" s="110"/>
    </row>
    <row r="104" ht="15.75" customHeight="1">
      <c r="A104" s="105" t="s">
        <v>202</v>
      </c>
      <c r="B104" s="105" t="s">
        <v>197</v>
      </c>
      <c r="C104" s="106" t="s">
        <v>844</v>
      </c>
      <c r="D104" s="107" t="s">
        <v>83</v>
      </c>
      <c r="E104" s="106" t="s">
        <v>685</v>
      </c>
      <c r="F104" s="107" t="s">
        <v>845</v>
      </c>
      <c r="G104" s="106" t="s">
        <v>394</v>
      </c>
      <c r="H104" s="106" t="s">
        <v>394</v>
      </c>
      <c r="I104" s="106" t="s">
        <v>394</v>
      </c>
      <c r="J104" s="107" t="s">
        <v>85</v>
      </c>
      <c r="K104" s="106" t="s">
        <v>749</v>
      </c>
      <c r="L104" s="107" t="s">
        <v>749</v>
      </c>
      <c r="M104" s="108">
        <v>44013.0</v>
      </c>
      <c r="N104" s="106" t="s">
        <v>741</v>
      </c>
      <c r="O104" s="109" t="s">
        <v>732</v>
      </c>
      <c r="P104" s="107" t="s">
        <v>724</v>
      </c>
      <c r="Q104" s="107" t="s">
        <v>724</v>
      </c>
      <c r="R104" s="110"/>
      <c r="S104" s="110"/>
      <c r="T104" s="110"/>
      <c r="U104" s="110"/>
      <c r="V104" s="110"/>
      <c r="W104" s="110"/>
      <c r="X104" s="110"/>
      <c r="Y104" s="110"/>
      <c r="Z104" s="110"/>
    </row>
    <row r="105" ht="15.75" customHeight="1">
      <c r="A105" s="105" t="s">
        <v>175</v>
      </c>
      <c r="B105" s="105" t="s">
        <v>842</v>
      </c>
      <c r="C105" s="106" t="s">
        <v>177</v>
      </c>
      <c r="D105" s="107" t="s">
        <v>83</v>
      </c>
      <c r="E105" s="106" t="s">
        <v>685</v>
      </c>
      <c r="F105" s="107" t="s">
        <v>178</v>
      </c>
      <c r="G105" s="105" t="s">
        <v>686</v>
      </c>
      <c r="H105" s="107" t="s">
        <v>91</v>
      </c>
      <c r="I105" s="107" t="s">
        <v>91</v>
      </c>
      <c r="J105" s="107" t="s">
        <v>85</v>
      </c>
      <c r="K105" s="105" t="s">
        <v>687</v>
      </c>
      <c r="L105" s="105" t="s">
        <v>688</v>
      </c>
      <c r="M105" s="108">
        <v>44100.0</v>
      </c>
      <c r="N105" s="106" t="s">
        <v>701</v>
      </c>
      <c r="O105" s="109" t="s">
        <v>690</v>
      </c>
      <c r="P105" s="107" t="s">
        <v>691</v>
      </c>
      <c r="Q105" s="107" t="s">
        <v>691</v>
      </c>
      <c r="R105" s="110"/>
      <c r="S105" s="110"/>
      <c r="T105" s="110"/>
      <c r="U105" s="110"/>
      <c r="V105" s="110"/>
      <c r="W105" s="110"/>
      <c r="X105" s="110"/>
      <c r="Y105" s="110"/>
      <c r="Z105" s="110"/>
    </row>
    <row r="106" ht="15.75" customHeight="1">
      <c r="A106" s="105" t="s">
        <v>847</v>
      </c>
      <c r="B106" s="105" t="s">
        <v>44</v>
      </c>
      <c r="C106" s="106" t="s">
        <v>848</v>
      </c>
      <c r="D106" s="107" t="s">
        <v>83</v>
      </c>
      <c r="E106" s="106" t="s">
        <v>685</v>
      </c>
      <c r="F106" s="107" t="s">
        <v>352</v>
      </c>
      <c r="G106" s="105" t="s">
        <v>686</v>
      </c>
      <c r="H106" s="107" t="s">
        <v>91</v>
      </c>
      <c r="I106" s="107" t="s">
        <v>91</v>
      </c>
      <c r="J106" s="107" t="s">
        <v>85</v>
      </c>
      <c r="K106" s="106" t="s">
        <v>687</v>
      </c>
      <c r="L106" s="107" t="s">
        <v>688</v>
      </c>
      <c r="M106" s="108">
        <v>44101.0</v>
      </c>
      <c r="N106" s="106" t="s">
        <v>701</v>
      </c>
      <c r="O106" s="109" t="s">
        <v>690</v>
      </c>
      <c r="P106" s="107" t="s">
        <v>691</v>
      </c>
      <c r="Q106" s="107" t="s">
        <v>691</v>
      </c>
      <c r="R106" s="110"/>
      <c r="S106" s="110"/>
      <c r="T106" s="110"/>
      <c r="U106" s="110"/>
      <c r="V106" s="110"/>
      <c r="W106" s="110"/>
      <c r="X106" s="110"/>
      <c r="Y106" s="110"/>
      <c r="Z106" s="110"/>
    </row>
    <row r="107" ht="15.75" customHeight="1">
      <c r="A107" s="105" t="s">
        <v>389</v>
      </c>
      <c r="B107" s="105" t="s">
        <v>44</v>
      </c>
      <c r="C107" s="106" t="s">
        <v>390</v>
      </c>
      <c r="D107" s="107" t="s">
        <v>185</v>
      </c>
      <c r="E107" s="106" t="s">
        <v>1326</v>
      </c>
      <c r="F107" s="106">
        <v>20.25</v>
      </c>
      <c r="G107" s="105" t="s">
        <v>913</v>
      </c>
      <c r="H107" s="106" t="s">
        <v>1321</v>
      </c>
      <c r="I107" s="106" t="s">
        <v>913</v>
      </c>
      <c r="J107" s="107" t="s">
        <v>85</v>
      </c>
      <c r="K107" s="106" t="s">
        <v>749</v>
      </c>
      <c r="L107" s="107" t="s">
        <v>688</v>
      </c>
      <c r="M107" s="108">
        <v>44089.0</v>
      </c>
      <c r="N107" s="106" t="s">
        <v>701</v>
      </c>
      <c r="O107" s="109" t="s">
        <v>690</v>
      </c>
      <c r="P107" s="107" t="s">
        <v>771</v>
      </c>
      <c r="Q107" s="107" t="s">
        <v>771</v>
      </c>
      <c r="R107" s="110"/>
      <c r="S107" s="110"/>
      <c r="T107" s="110"/>
      <c r="U107" s="110"/>
      <c r="V107" s="110"/>
      <c r="W107" s="110"/>
      <c r="X107" s="110"/>
      <c r="Y107" s="110"/>
      <c r="Z107" s="110"/>
    </row>
    <row r="108" ht="15.75" customHeight="1">
      <c r="A108" s="105" t="s">
        <v>120</v>
      </c>
      <c r="B108" s="105" t="s">
        <v>197</v>
      </c>
      <c r="C108" s="106" t="s">
        <v>849</v>
      </c>
      <c r="D108" s="107" t="s">
        <v>185</v>
      </c>
      <c r="E108" s="106" t="s">
        <v>720</v>
      </c>
      <c r="F108" s="115" t="b">
        <v>1</v>
      </c>
      <c r="G108" s="105" t="s">
        <v>686</v>
      </c>
      <c r="H108" s="107" t="s">
        <v>91</v>
      </c>
      <c r="I108" s="107" t="s">
        <v>91</v>
      </c>
      <c r="J108" s="107" t="s">
        <v>85</v>
      </c>
      <c r="K108" s="106" t="s">
        <v>687</v>
      </c>
      <c r="L108" s="107" t="s">
        <v>688</v>
      </c>
      <c r="M108" s="108">
        <v>44100.0</v>
      </c>
      <c r="N108" s="106" t="s">
        <v>692</v>
      </c>
      <c r="O108" s="109" t="s">
        <v>690</v>
      </c>
      <c r="P108" s="107" t="s">
        <v>724</v>
      </c>
      <c r="Q108" s="107" t="s">
        <v>724</v>
      </c>
      <c r="R108" s="110"/>
      <c r="S108" s="110"/>
      <c r="T108" s="110"/>
      <c r="U108" s="110"/>
      <c r="V108" s="110"/>
      <c r="W108" s="110"/>
      <c r="X108" s="110"/>
      <c r="Y108" s="110"/>
      <c r="Z108" s="110"/>
    </row>
    <row r="109" ht="15.75" customHeight="1">
      <c r="A109" s="105" t="s">
        <v>850</v>
      </c>
      <c r="B109" s="105" t="s">
        <v>197</v>
      </c>
      <c r="C109" s="106" t="s">
        <v>851</v>
      </c>
      <c r="D109" s="107" t="s">
        <v>185</v>
      </c>
      <c r="E109" s="106" t="s">
        <v>694</v>
      </c>
      <c r="F109" s="107">
        <v>1844641.0</v>
      </c>
      <c r="G109" s="106" t="s">
        <v>723</v>
      </c>
      <c r="H109" s="107" t="s">
        <v>91</v>
      </c>
      <c r="I109" s="106" t="s">
        <v>723</v>
      </c>
      <c r="J109" s="107" t="s">
        <v>85</v>
      </c>
      <c r="K109" s="105" t="s">
        <v>687</v>
      </c>
      <c r="L109" s="112" t="s">
        <v>688</v>
      </c>
      <c r="M109" s="108">
        <v>44100.0</v>
      </c>
      <c r="N109" s="106" t="s">
        <v>692</v>
      </c>
      <c r="O109" s="109" t="s">
        <v>690</v>
      </c>
      <c r="P109" s="107" t="s">
        <v>724</v>
      </c>
      <c r="Q109" s="107" t="s">
        <v>724</v>
      </c>
      <c r="R109" s="110"/>
      <c r="S109" s="110"/>
      <c r="T109" s="110"/>
      <c r="U109" s="110"/>
      <c r="V109" s="110"/>
      <c r="W109" s="110"/>
      <c r="X109" s="110"/>
      <c r="Y109" s="110"/>
      <c r="Z109" s="110"/>
    </row>
    <row r="110" ht="15.75" customHeight="1">
      <c r="A110" s="105" t="s">
        <v>190</v>
      </c>
      <c r="B110" s="105" t="s">
        <v>696</v>
      </c>
      <c r="C110" s="106" t="s">
        <v>191</v>
      </c>
      <c r="D110" s="107" t="s">
        <v>185</v>
      </c>
      <c r="E110" s="106" t="s">
        <v>685</v>
      </c>
      <c r="F110" s="107" t="s">
        <v>192</v>
      </c>
      <c r="G110" s="105" t="s">
        <v>686</v>
      </c>
      <c r="H110" s="107" t="s">
        <v>91</v>
      </c>
      <c r="I110" s="107" t="s">
        <v>91</v>
      </c>
      <c r="J110" s="107" t="s">
        <v>85</v>
      </c>
      <c r="K110" s="106" t="s">
        <v>687</v>
      </c>
      <c r="L110" s="107" t="s">
        <v>687</v>
      </c>
      <c r="M110" s="108">
        <v>44098.0</v>
      </c>
      <c r="N110" s="106" t="s">
        <v>741</v>
      </c>
      <c r="O110" s="109" t="s">
        <v>690</v>
      </c>
      <c r="P110" s="107" t="s">
        <v>782</v>
      </c>
      <c r="Q110" s="107" t="s">
        <v>782</v>
      </c>
      <c r="R110" s="110"/>
      <c r="S110" s="110"/>
      <c r="T110" s="110"/>
      <c r="U110" s="110"/>
      <c r="V110" s="110"/>
      <c r="W110" s="110"/>
      <c r="X110" s="110"/>
      <c r="Y110" s="110"/>
      <c r="Z110" s="110"/>
    </row>
    <row r="111" ht="15.75" customHeight="1">
      <c r="A111" s="105" t="s">
        <v>183</v>
      </c>
      <c r="B111" s="105" t="s">
        <v>696</v>
      </c>
      <c r="C111" s="106" t="s">
        <v>184</v>
      </c>
      <c r="D111" s="107" t="s">
        <v>185</v>
      </c>
      <c r="E111" s="106" t="s">
        <v>685</v>
      </c>
      <c r="F111" s="107" t="s">
        <v>186</v>
      </c>
      <c r="G111" s="105" t="s">
        <v>686</v>
      </c>
      <c r="H111" s="107" t="s">
        <v>91</v>
      </c>
      <c r="I111" s="107" t="s">
        <v>91</v>
      </c>
      <c r="J111" s="107" t="s">
        <v>85</v>
      </c>
      <c r="K111" s="106" t="s">
        <v>687</v>
      </c>
      <c r="L111" s="107" t="s">
        <v>687</v>
      </c>
      <c r="M111" s="108">
        <v>44098.0</v>
      </c>
      <c r="N111" s="106" t="s">
        <v>741</v>
      </c>
      <c r="O111" s="109" t="s">
        <v>690</v>
      </c>
      <c r="P111" s="107" t="s">
        <v>782</v>
      </c>
      <c r="Q111" s="107" t="s">
        <v>782</v>
      </c>
      <c r="R111" s="110"/>
      <c r="S111" s="110"/>
      <c r="T111" s="110"/>
      <c r="U111" s="110"/>
      <c r="V111" s="110"/>
      <c r="W111" s="110"/>
      <c r="X111" s="110"/>
      <c r="Y111" s="110"/>
      <c r="Z111" s="110"/>
    </row>
    <row r="112" ht="15.75" customHeight="1">
      <c r="A112" s="105" t="s">
        <v>187</v>
      </c>
      <c r="B112" s="105" t="s">
        <v>696</v>
      </c>
      <c r="C112" s="106" t="s">
        <v>188</v>
      </c>
      <c r="D112" s="107" t="s">
        <v>185</v>
      </c>
      <c r="E112" s="106" t="s">
        <v>685</v>
      </c>
      <c r="F112" s="107" t="s">
        <v>189</v>
      </c>
      <c r="G112" s="105" t="s">
        <v>686</v>
      </c>
      <c r="H112" s="107" t="s">
        <v>91</v>
      </c>
      <c r="I112" s="107" t="s">
        <v>91</v>
      </c>
      <c r="J112" s="107" t="s">
        <v>85</v>
      </c>
      <c r="K112" s="106" t="s">
        <v>687</v>
      </c>
      <c r="L112" s="107" t="s">
        <v>687</v>
      </c>
      <c r="M112" s="108">
        <v>44098.0</v>
      </c>
      <c r="N112" s="106" t="s">
        <v>741</v>
      </c>
      <c r="O112" s="109" t="s">
        <v>690</v>
      </c>
      <c r="P112" s="107" t="s">
        <v>782</v>
      </c>
      <c r="Q112" s="107" t="s">
        <v>782</v>
      </c>
      <c r="R112" s="110"/>
      <c r="S112" s="110"/>
      <c r="T112" s="110"/>
      <c r="U112" s="110"/>
      <c r="V112" s="110"/>
      <c r="W112" s="110"/>
      <c r="X112" s="110"/>
      <c r="Y112" s="110"/>
      <c r="Z112" s="110"/>
    </row>
    <row r="113" ht="15.75" customHeight="1">
      <c r="A113" s="105" t="s">
        <v>336</v>
      </c>
      <c r="B113" s="105" t="s">
        <v>197</v>
      </c>
      <c r="C113" s="106" t="s">
        <v>852</v>
      </c>
      <c r="D113" s="107" t="s">
        <v>135</v>
      </c>
      <c r="E113" s="106" t="s">
        <v>685</v>
      </c>
      <c r="F113" s="107">
        <v>1.0</v>
      </c>
      <c r="G113" s="112" t="s">
        <v>136</v>
      </c>
      <c r="H113" s="107" t="s">
        <v>91</v>
      </c>
      <c r="I113" s="124" t="s">
        <v>91</v>
      </c>
      <c r="J113" s="112" t="s">
        <v>853</v>
      </c>
      <c r="K113" s="105" t="s">
        <v>749</v>
      </c>
      <c r="L113" s="112" t="s">
        <v>763</v>
      </c>
      <c r="M113" s="108">
        <v>44044.0</v>
      </c>
      <c r="N113" s="106" t="s">
        <v>741</v>
      </c>
      <c r="O113" s="116"/>
      <c r="P113" s="107" t="s">
        <v>724</v>
      </c>
      <c r="Q113" s="107" t="s">
        <v>724</v>
      </c>
      <c r="R113" s="110"/>
      <c r="S113" s="110"/>
      <c r="T113" s="110"/>
      <c r="U113" s="110"/>
      <c r="V113" s="110"/>
      <c r="W113" s="110"/>
      <c r="X113" s="110"/>
      <c r="Y113" s="110"/>
      <c r="Z113" s="110"/>
    </row>
    <row r="114" ht="15.75" customHeight="1">
      <c r="A114" s="105" t="s">
        <v>263</v>
      </c>
      <c r="B114" s="105" t="s">
        <v>197</v>
      </c>
      <c r="C114" s="106" t="s">
        <v>854</v>
      </c>
      <c r="D114" s="107" t="s">
        <v>185</v>
      </c>
      <c r="E114" s="106" t="s">
        <v>720</v>
      </c>
      <c r="F114" s="115" t="b">
        <v>1</v>
      </c>
      <c r="G114" s="105" t="s">
        <v>686</v>
      </c>
      <c r="H114" s="107" t="s">
        <v>91</v>
      </c>
      <c r="I114" s="107" t="s">
        <v>91</v>
      </c>
      <c r="J114" s="107" t="s">
        <v>85</v>
      </c>
      <c r="K114" s="106" t="s">
        <v>687</v>
      </c>
      <c r="L114" s="107" t="s">
        <v>688</v>
      </c>
      <c r="M114" s="108">
        <v>44100.0</v>
      </c>
      <c r="N114" s="106" t="s">
        <v>701</v>
      </c>
      <c r="O114" s="109" t="s">
        <v>690</v>
      </c>
      <c r="P114" s="107" t="s">
        <v>691</v>
      </c>
      <c r="Q114" s="107" t="s">
        <v>691</v>
      </c>
      <c r="R114" s="110"/>
      <c r="S114" s="110"/>
      <c r="T114" s="110"/>
      <c r="U114" s="110"/>
      <c r="V114" s="110"/>
      <c r="W114" s="110"/>
      <c r="X114" s="110"/>
      <c r="Y114" s="110"/>
      <c r="Z114" s="110"/>
    </row>
    <row r="115" ht="15.75" customHeight="1">
      <c r="A115" s="105" t="s">
        <v>455</v>
      </c>
      <c r="B115" s="105" t="s">
        <v>44</v>
      </c>
      <c r="C115" s="106" t="s">
        <v>456</v>
      </c>
      <c r="D115" s="107" t="s">
        <v>83</v>
      </c>
      <c r="E115" s="106" t="s">
        <v>685</v>
      </c>
      <c r="F115" s="112" t="s">
        <v>457</v>
      </c>
      <c r="G115" s="112" t="s">
        <v>335</v>
      </c>
      <c r="H115" s="107" t="s">
        <v>91</v>
      </c>
      <c r="I115" s="107" t="s">
        <v>91</v>
      </c>
      <c r="J115" s="107" t="s">
        <v>85</v>
      </c>
      <c r="K115" s="106" t="s">
        <v>687</v>
      </c>
      <c r="L115" s="107" t="s">
        <v>688</v>
      </c>
      <c r="M115" s="108">
        <v>44101.0</v>
      </c>
      <c r="N115" s="106" t="s">
        <v>692</v>
      </c>
      <c r="O115" s="109" t="s">
        <v>690</v>
      </c>
      <c r="P115" s="107" t="s">
        <v>705</v>
      </c>
      <c r="Q115" s="107" t="s">
        <v>705</v>
      </c>
      <c r="R115" s="110"/>
      <c r="S115" s="110"/>
      <c r="T115" s="110"/>
      <c r="U115" s="110"/>
      <c r="V115" s="110"/>
      <c r="W115" s="110"/>
      <c r="X115" s="110"/>
      <c r="Y115" s="110"/>
      <c r="Z115" s="110"/>
    </row>
    <row r="116" ht="15.75" customHeight="1">
      <c r="A116" s="105" t="s">
        <v>339</v>
      </c>
      <c r="B116" s="105" t="s">
        <v>197</v>
      </c>
      <c r="C116" s="106" t="s">
        <v>340</v>
      </c>
      <c r="D116" s="107" t="s">
        <v>135</v>
      </c>
      <c r="E116" s="106" t="s">
        <v>685</v>
      </c>
      <c r="F116" s="107">
        <v>0.123</v>
      </c>
      <c r="G116" s="112" t="s">
        <v>136</v>
      </c>
      <c r="H116" s="107" t="s">
        <v>91</v>
      </c>
      <c r="I116" s="124" t="s">
        <v>91</v>
      </c>
      <c r="J116" s="112" t="s">
        <v>855</v>
      </c>
      <c r="K116" s="105" t="s">
        <v>749</v>
      </c>
      <c r="L116" s="112" t="s">
        <v>763</v>
      </c>
      <c r="M116" s="108">
        <v>44044.0</v>
      </c>
      <c r="N116" s="106" t="s">
        <v>692</v>
      </c>
      <c r="O116" s="109" t="s">
        <v>690</v>
      </c>
      <c r="P116" s="107" t="s">
        <v>724</v>
      </c>
      <c r="Q116" s="107" t="s">
        <v>724</v>
      </c>
      <c r="R116" s="110"/>
      <c r="S116" s="110"/>
      <c r="T116" s="110"/>
      <c r="U116" s="110"/>
      <c r="V116" s="110"/>
      <c r="W116" s="110"/>
      <c r="X116" s="110"/>
      <c r="Y116" s="110"/>
      <c r="Z116" s="110"/>
    </row>
    <row r="117" ht="15.75" customHeight="1">
      <c r="A117" s="105" t="s">
        <v>856</v>
      </c>
      <c r="B117" s="105" t="s">
        <v>44</v>
      </c>
      <c r="C117" s="106" t="s">
        <v>857</v>
      </c>
      <c r="D117" s="107" t="s">
        <v>185</v>
      </c>
      <c r="E117" s="106" t="s">
        <v>777</v>
      </c>
      <c r="F117" s="107">
        <v>1024.0</v>
      </c>
      <c r="G117" s="106" t="s">
        <v>723</v>
      </c>
      <c r="H117" s="112" t="s">
        <v>91</v>
      </c>
      <c r="I117" s="106" t="s">
        <v>723</v>
      </c>
      <c r="J117" s="107" t="e">
        <v>#N/A</v>
      </c>
      <c r="K117" s="106" t="s">
        <v>687</v>
      </c>
      <c r="L117" s="107" t="s">
        <v>688</v>
      </c>
      <c r="M117" s="108">
        <v>44100.0</v>
      </c>
      <c r="N117" s="106" t="s">
        <v>692</v>
      </c>
      <c r="O117" s="109" t="s">
        <v>690</v>
      </c>
      <c r="P117" s="107" t="s">
        <v>724</v>
      </c>
      <c r="Q117" s="107" t="s">
        <v>724</v>
      </c>
      <c r="R117" s="110"/>
      <c r="S117" s="110"/>
      <c r="T117" s="110"/>
      <c r="U117" s="110"/>
      <c r="V117" s="110"/>
      <c r="W117" s="110"/>
      <c r="X117" s="110"/>
      <c r="Y117" s="110"/>
      <c r="Z117" s="110"/>
    </row>
    <row r="118" ht="15.75" customHeight="1">
      <c r="A118" s="105" t="s">
        <v>858</v>
      </c>
      <c r="B118" s="105" t="s">
        <v>197</v>
      </c>
      <c r="C118" s="106" t="s">
        <v>859</v>
      </c>
      <c r="D118" s="107" t="s">
        <v>135</v>
      </c>
      <c r="E118" s="106" t="s">
        <v>698</v>
      </c>
      <c r="F118" s="125">
        <v>43709.0</v>
      </c>
      <c r="G118" s="107" t="s">
        <v>136</v>
      </c>
      <c r="H118" s="112" t="s">
        <v>359</v>
      </c>
      <c r="I118" s="112" t="s">
        <v>359</v>
      </c>
      <c r="J118" s="117" t="s">
        <v>90</v>
      </c>
      <c r="K118" s="106" t="s">
        <v>749</v>
      </c>
      <c r="L118" s="107" t="s">
        <v>749</v>
      </c>
      <c r="M118" s="108">
        <v>44044.0</v>
      </c>
      <c r="N118" s="106" t="s">
        <v>764</v>
      </c>
      <c r="O118" s="116" t="s">
        <v>732</v>
      </c>
      <c r="P118" s="107" t="s">
        <v>761</v>
      </c>
      <c r="Q118" s="107" t="s">
        <v>761</v>
      </c>
      <c r="R118" s="110"/>
      <c r="S118" s="110"/>
      <c r="T118" s="110"/>
      <c r="U118" s="110"/>
      <c r="V118" s="110"/>
      <c r="W118" s="110"/>
      <c r="X118" s="110"/>
      <c r="Y118" s="110"/>
      <c r="Z118" s="110"/>
    </row>
    <row r="119" ht="15.75" customHeight="1">
      <c r="A119" s="105" t="s">
        <v>860</v>
      </c>
      <c r="B119" s="105" t="s">
        <v>44</v>
      </c>
      <c r="C119" s="106" t="s">
        <v>861</v>
      </c>
      <c r="D119" s="107" t="s">
        <v>135</v>
      </c>
      <c r="E119" s="106" t="s">
        <v>713</v>
      </c>
      <c r="F119" s="107">
        <v>50.0</v>
      </c>
      <c r="G119" s="107" t="s">
        <v>136</v>
      </c>
      <c r="H119" s="112" t="s">
        <v>359</v>
      </c>
      <c r="I119" s="112" t="s">
        <v>359</v>
      </c>
      <c r="J119" s="117" t="s">
        <v>90</v>
      </c>
      <c r="K119" s="106" t="s">
        <v>749</v>
      </c>
      <c r="L119" s="107" t="s">
        <v>749</v>
      </c>
      <c r="M119" s="108">
        <v>44044.0</v>
      </c>
      <c r="N119" s="106" t="s">
        <v>764</v>
      </c>
      <c r="O119" s="116" t="s">
        <v>732</v>
      </c>
      <c r="P119" s="107" t="s">
        <v>761</v>
      </c>
      <c r="Q119" s="107" t="s">
        <v>761</v>
      </c>
      <c r="R119" s="110"/>
      <c r="S119" s="110"/>
      <c r="T119" s="110"/>
      <c r="U119" s="110"/>
      <c r="V119" s="110"/>
      <c r="W119" s="110"/>
      <c r="X119" s="110"/>
      <c r="Y119" s="110"/>
      <c r="Z119" s="110"/>
    </row>
    <row r="120" ht="15.75" customHeight="1">
      <c r="A120" s="105" t="s">
        <v>862</v>
      </c>
      <c r="B120" s="105" t="s">
        <v>197</v>
      </c>
      <c r="C120" s="106" t="s">
        <v>863</v>
      </c>
      <c r="D120" s="107" t="s">
        <v>135</v>
      </c>
      <c r="E120" s="106" t="s">
        <v>864</v>
      </c>
      <c r="F120" s="107">
        <v>0.18</v>
      </c>
      <c r="G120" s="107" t="s">
        <v>136</v>
      </c>
      <c r="H120" s="117" t="s">
        <v>311</v>
      </c>
      <c r="I120" s="117" t="s">
        <v>311</v>
      </c>
      <c r="J120" s="117" t="s">
        <v>90</v>
      </c>
      <c r="K120" s="106" t="s">
        <v>749</v>
      </c>
      <c r="L120" s="107" t="s">
        <v>749</v>
      </c>
      <c r="M120" s="108">
        <v>44044.0</v>
      </c>
      <c r="N120" s="106" t="s">
        <v>764</v>
      </c>
      <c r="O120" s="116" t="s">
        <v>732</v>
      </c>
      <c r="P120" s="107" t="s">
        <v>761</v>
      </c>
      <c r="Q120" s="107" t="s">
        <v>761</v>
      </c>
      <c r="R120" s="110"/>
      <c r="S120" s="110"/>
      <c r="T120" s="110"/>
      <c r="U120" s="110"/>
      <c r="V120" s="110"/>
      <c r="W120" s="110"/>
      <c r="X120" s="110"/>
      <c r="Y120" s="110"/>
      <c r="Z120" s="110"/>
    </row>
    <row r="121" ht="15.75" customHeight="1">
      <c r="A121" s="105" t="s">
        <v>865</v>
      </c>
      <c r="B121" s="105" t="s">
        <v>197</v>
      </c>
      <c r="C121" s="106" t="s">
        <v>866</v>
      </c>
      <c r="D121" s="107" t="s">
        <v>135</v>
      </c>
      <c r="E121" s="106" t="s">
        <v>685</v>
      </c>
      <c r="F121" s="107" t="s">
        <v>867</v>
      </c>
      <c r="G121" s="107" t="s">
        <v>136</v>
      </c>
      <c r="H121" s="117" t="s">
        <v>311</v>
      </c>
      <c r="I121" s="117" t="s">
        <v>311</v>
      </c>
      <c r="J121" s="117" t="s">
        <v>90</v>
      </c>
      <c r="K121" s="106" t="s">
        <v>749</v>
      </c>
      <c r="L121" s="107" t="s">
        <v>749</v>
      </c>
      <c r="M121" s="108">
        <v>44044.0</v>
      </c>
      <c r="N121" s="106" t="s">
        <v>764</v>
      </c>
      <c r="O121" s="116" t="s">
        <v>732</v>
      </c>
      <c r="P121" s="107" t="s">
        <v>761</v>
      </c>
      <c r="Q121" s="107" t="s">
        <v>761</v>
      </c>
      <c r="R121" s="110"/>
      <c r="S121" s="110"/>
      <c r="T121" s="110"/>
      <c r="U121" s="110"/>
      <c r="V121" s="110"/>
      <c r="W121" s="110"/>
      <c r="X121" s="110"/>
      <c r="Y121" s="110"/>
      <c r="Z121" s="110"/>
    </row>
    <row r="122" ht="15.75" customHeight="1">
      <c r="A122" s="105" t="s">
        <v>868</v>
      </c>
      <c r="B122" s="105" t="s">
        <v>197</v>
      </c>
      <c r="C122" s="106" t="s">
        <v>869</v>
      </c>
      <c r="D122" s="107" t="s">
        <v>135</v>
      </c>
      <c r="E122" s="106" t="s">
        <v>685</v>
      </c>
      <c r="F122" s="106" t="s">
        <v>870</v>
      </c>
      <c r="G122" s="106" t="s">
        <v>723</v>
      </c>
      <c r="H122" s="107" t="s">
        <v>91</v>
      </c>
      <c r="I122" s="106" t="s">
        <v>723</v>
      </c>
      <c r="J122" s="107" t="s">
        <v>90</v>
      </c>
      <c r="K122" s="105" t="s">
        <v>749</v>
      </c>
      <c r="L122" s="112" t="s">
        <v>763</v>
      </c>
      <c r="M122" s="108">
        <v>44044.0</v>
      </c>
      <c r="N122" s="106" t="s">
        <v>741</v>
      </c>
      <c r="O122" s="116" t="s">
        <v>736</v>
      </c>
      <c r="P122" s="107" t="s">
        <v>745</v>
      </c>
      <c r="Q122" s="107" t="s">
        <v>745</v>
      </c>
      <c r="R122" s="110"/>
      <c r="S122" s="110"/>
      <c r="T122" s="110"/>
      <c r="U122" s="110"/>
      <c r="V122" s="110"/>
      <c r="W122" s="110"/>
      <c r="X122" s="110"/>
      <c r="Y122" s="110"/>
      <c r="Z122" s="110"/>
    </row>
    <row r="123" ht="15.75" customHeight="1">
      <c r="A123" s="105" t="s">
        <v>871</v>
      </c>
      <c r="B123" s="105" t="s">
        <v>197</v>
      </c>
      <c r="C123" s="106" t="s">
        <v>872</v>
      </c>
      <c r="D123" s="107" t="s">
        <v>185</v>
      </c>
      <c r="E123" s="106" t="s">
        <v>768</v>
      </c>
      <c r="F123" s="107">
        <v>50.0</v>
      </c>
      <c r="G123" s="126" t="s">
        <v>723</v>
      </c>
      <c r="H123" s="105" t="s">
        <v>723</v>
      </c>
      <c r="I123" s="106" t="s">
        <v>723</v>
      </c>
      <c r="J123" s="107" t="s">
        <v>85</v>
      </c>
      <c r="K123" s="106" t="s">
        <v>687</v>
      </c>
      <c r="L123" s="107" t="s">
        <v>760</v>
      </c>
      <c r="M123" s="108">
        <v>44100.0</v>
      </c>
      <c r="N123" s="106" t="s">
        <v>735</v>
      </c>
      <c r="O123" s="116" t="s">
        <v>736</v>
      </c>
      <c r="P123" s="107" t="s">
        <v>761</v>
      </c>
      <c r="Q123" s="107" t="s">
        <v>761</v>
      </c>
      <c r="R123" s="110"/>
      <c r="S123" s="110"/>
      <c r="T123" s="110"/>
      <c r="U123" s="110"/>
      <c r="V123" s="110"/>
      <c r="W123" s="110"/>
      <c r="X123" s="110"/>
      <c r="Y123" s="110"/>
      <c r="Z123" s="110"/>
    </row>
    <row r="124" ht="15.75" customHeight="1">
      <c r="A124" s="105" t="s">
        <v>873</v>
      </c>
      <c r="B124" s="105" t="s">
        <v>197</v>
      </c>
      <c r="C124" s="106" t="s">
        <v>874</v>
      </c>
      <c r="D124" s="107" t="s">
        <v>185</v>
      </c>
      <c r="E124" s="106" t="s">
        <v>713</v>
      </c>
      <c r="F124" s="107">
        <v>23.0</v>
      </c>
      <c r="G124" s="126" t="s">
        <v>723</v>
      </c>
      <c r="H124" s="105" t="s">
        <v>723</v>
      </c>
      <c r="I124" s="106" t="s">
        <v>723</v>
      </c>
      <c r="J124" s="107" t="s">
        <v>85</v>
      </c>
      <c r="K124" s="106" t="s">
        <v>687</v>
      </c>
      <c r="L124" s="107" t="s">
        <v>760</v>
      </c>
      <c r="M124" s="108">
        <v>44100.0</v>
      </c>
      <c r="N124" s="106" t="s">
        <v>735</v>
      </c>
      <c r="O124" s="116" t="s">
        <v>736</v>
      </c>
      <c r="P124" s="107" t="s">
        <v>761</v>
      </c>
      <c r="Q124" s="107" t="s">
        <v>761</v>
      </c>
      <c r="R124" s="110"/>
      <c r="S124" s="110"/>
      <c r="T124" s="110"/>
      <c r="U124" s="110"/>
      <c r="V124" s="110"/>
      <c r="W124" s="110"/>
      <c r="X124" s="110"/>
      <c r="Y124" s="110"/>
      <c r="Z124" s="110"/>
    </row>
    <row r="125" ht="15.75" customHeight="1">
      <c r="A125" s="105" t="s">
        <v>875</v>
      </c>
      <c r="B125" s="105" t="s">
        <v>197</v>
      </c>
      <c r="C125" s="106" t="s">
        <v>876</v>
      </c>
      <c r="D125" s="107" t="s">
        <v>185</v>
      </c>
      <c r="E125" s="106" t="s">
        <v>768</v>
      </c>
      <c r="F125" s="111" t="s">
        <v>877</v>
      </c>
      <c r="G125" s="126" t="s">
        <v>723</v>
      </c>
      <c r="H125" s="105" t="s">
        <v>723</v>
      </c>
      <c r="I125" s="106" t="s">
        <v>723</v>
      </c>
      <c r="J125" s="107" t="s">
        <v>85</v>
      </c>
      <c r="K125" s="106" t="s">
        <v>687</v>
      </c>
      <c r="L125" s="107" t="s">
        <v>760</v>
      </c>
      <c r="M125" s="108">
        <v>44100.0</v>
      </c>
      <c r="N125" s="106" t="s">
        <v>735</v>
      </c>
      <c r="O125" s="116" t="s">
        <v>736</v>
      </c>
      <c r="P125" s="107" t="s">
        <v>761</v>
      </c>
      <c r="Q125" s="107" t="s">
        <v>761</v>
      </c>
      <c r="R125" s="110"/>
      <c r="S125" s="110"/>
      <c r="T125" s="110"/>
      <c r="U125" s="110"/>
      <c r="V125" s="110"/>
      <c r="W125" s="110"/>
      <c r="X125" s="110"/>
      <c r="Y125" s="110"/>
      <c r="Z125" s="110"/>
    </row>
    <row r="126" ht="15.75" customHeight="1">
      <c r="A126" s="105" t="s">
        <v>878</v>
      </c>
      <c r="B126" s="105" t="s">
        <v>197</v>
      </c>
      <c r="C126" s="106" t="s">
        <v>879</v>
      </c>
      <c r="D126" s="107" t="s">
        <v>185</v>
      </c>
      <c r="E126" s="106" t="s">
        <v>768</v>
      </c>
      <c r="F126" s="111" t="s">
        <v>877</v>
      </c>
      <c r="G126" s="126" t="s">
        <v>723</v>
      </c>
      <c r="H126" s="105" t="s">
        <v>723</v>
      </c>
      <c r="I126" s="106" t="s">
        <v>723</v>
      </c>
      <c r="J126" s="107" t="s">
        <v>85</v>
      </c>
      <c r="K126" s="106" t="s">
        <v>687</v>
      </c>
      <c r="L126" s="107" t="s">
        <v>760</v>
      </c>
      <c r="M126" s="108">
        <v>44100.0</v>
      </c>
      <c r="N126" s="106" t="s">
        <v>735</v>
      </c>
      <c r="O126" s="116" t="s">
        <v>736</v>
      </c>
      <c r="P126" s="107" t="s">
        <v>761</v>
      </c>
      <c r="Q126" s="107" t="s">
        <v>761</v>
      </c>
      <c r="R126" s="110"/>
      <c r="S126" s="110"/>
      <c r="T126" s="110"/>
      <c r="U126" s="110"/>
      <c r="V126" s="110"/>
      <c r="W126" s="110"/>
      <c r="X126" s="110"/>
      <c r="Y126" s="110"/>
      <c r="Z126" s="110"/>
    </row>
    <row r="127" ht="15.75" customHeight="1">
      <c r="A127" s="105" t="s">
        <v>880</v>
      </c>
      <c r="B127" s="105" t="s">
        <v>197</v>
      </c>
      <c r="C127" s="106" t="s">
        <v>881</v>
      </c>
      <c r="D127" s="107" t="s">
        <v>185</v>
      </c>
      <c r="E127" s="106" t="s">
        <v>713</v>
      </c>
      <c r="F127" s="111" t="s">
        <v>877</v>
      </c>
      <c r="G127" s="126" t="s">
        <v>723</v>
      </c>
      <c r="H127" s="105" t="s">
        <v>723</v>
      </c>
      <c r="I127" s="106" t="s">
        <v>723</v>
      </c>
      <c r="J127" s="107" t="s">
        <v>85</v>
      </c>
      <c r="K127" s="106" t="s">
        <v>687</v>
      </c>
      <c r="L127" s="107" t="s">
        <v>760</v>
      </c>
      <c r="M127" s="108">
        <v>44100.0</v>
      </c>
      <c r="N127" s="106" t="s">
        <v>735</v>
      </c>
      <c r="O127" s="116" t="s">
        <v>736</v>
      </c>
      <c r="P127" s="107" t="s">
        <v>761</v>
      </c>
      <c r="Q127" s="107" t="s">
        <v>761</v>
      </c>
      <c r="R127" s="110"/>
      <c r="S127" s="110"/>
      <c r="T127" s="110"/>
      <c r="U127" s="110"/>
      <c r="V127" s="110"/>
      <c r="W127" s="110"/>
      <c r="X127" s="110"/>
      <c r="Y127" s="110"/>
      <c r="Z127" s="110"/>
    </row>
    <row r="128" ht="15.75" customHeight="1">
      <c r="A128" s="105" t="s">
        <v>882</v>
      </c>
      <c r="B128" s="105" t="s">
        <v>197</v>
      </c>
      <c r="C128" s="106" t="s">
        <v>883</v>
      </c>
      <c r="D128" s="107" t="s">
        <v>185</v>
      </c>
      <c r="E128" s="106" t="s">
        <v>768</v>
      </c>
      <c r="F128" s="111" t="s">
        <v>877</v>
      </c>
      <c r="G128" s="126" t="s">
        <v>723</v>
      </c>
      <c r="H128" s="105" t="s">
        <v>723</v>
      </c>
      <c r="I128" s="106" t="s">
        <v>723</v>
      </c>
      <c r="J128" s="107" t="s">
        <v>85</v>
      </c>
      <c r="K128" s="106" t="s">
        <v>687</v>
      </c>
      <c r="L128" s="107" t="s">
        <v>760</v>
      </c>
      <c r="M128" s="108">
        <v>44100.0</v>
      </c>
      <c r="N128" s="106" t="s">
        <v>735</v>
      </c>
      <c r="O128" s="116" t="s">
        <v>736</v>
      </c>
      <c r="P128" s="107" t="s">
        <v>761</v>
      </c>
      <c r="Q128" s="107" t="s">
        <v>761</v>
      </c>
      <c r="R128" s="110"/>
      <c r="S128" s="110"/>
      <c r="T128" s="110"/>
      <c r="U128" s="110"/>
      <c r="V128" s="110"/>
      <c r="W128" s="110"/>
      <c r="X128" s="110"/>
      <c r="Y128" s="110"/>
      <c r="Z128" s="110"/>
    </row>
    <row r="129" ht="15.75" customHeight="1">
      <c r="A129" s="105" t="s">
        <v>884</v>
      </c>
      <c r="B129" s="105" t="s">
        <v>197</v>
      </c>
      <c r="C129" s="106" t="s">
        <v>885</v>
      </c>
      <c r="D129" s="107" t="s">
        <v>185</v>
      </c>
      <c r="E129" s="106" t="s">
        <v>713</v>
      </c>
      <c r="F129" s="107">
        <v>8.0</v>
      </c>
      <c r="G129" s="126" t="s">
        <v>723</v>
      </c>
      <c r="H129" s="105" t="s">
        <v>723</v>
      </c>
      <c r="I129" s="106" t="s">
        <v>723</v>
      </c>
      <c r="J129" s="107" t="s">
        <v>85</v>
      </c>
      <c r="K129" s="106" t="s">
        <v>687</v>
      </c>
      <c r="L129" s="107" t="s">
        <v>760</v>
      </c>
      <c r="M129" s="108">
        <v>44101.0</v>
      </c>
      <c r="N129" s="106" t="s">
        <v>692</v>
      </c>
      <c r="O129" s="109" t="s">
        <v>690</v>
      </c>
      <c r="P129" s="107" t="s">
        <v>745</v>
      </c>
      <c r="Q129" s="107" t="s">
        <v>745</v>
      </c>
      <c r="R129" s="110"/>
      <c r="S129" s="110"/>
      <c r="T129" s="110"/>
      <c r="U129" s="110"/>
      <c r="V129" s="110"/>
      <c r="W129" s="110"/>
      <c r="X129" s="110"/>
      <c r="Y129" s="110"/>
      <c r="Z129" s="110"/>
    </row>
    <row r="130" ht="15.75" customHeight="1">
      <c r="A130" s="105" t="s">
        <v>886</v>
      </c>
      <c r="B130" s="105" t="s">
        <v>197</v>
      </c>
      <c r="C130" s="106" t="s">
        <v>887</v>
      </c>
      <c r="D130" s="107" t="s">
        <v>185</v>
      </c>
      <c r="E130" s="106" t="s">
        <v>698</v>
      </c>
      <c r="F130" s="113">
        <v>43733.0</v>
      </c>
      <c r="G130" s="126" t="s">
        <v>723</v>
      </c>
      <c r="H130" s="105" t="s">
        <v>723</v>
      </c>
      <c r="I130" s="106" t="s">
        <v>723</v>
      </c>
      <c r="J130" s="107" t="s">
        <v>85</v>
      </c>
      <c r="K130" s="106" t="s">
        <v>687</v>
      </c>
      <c r="L130" s="107" t="s">
        <v>760</v>
      </c>
      <c r="M130" s="108">
        <v>44101.0</v>
      </c>
      <c r="N130" s="106" t="s">
        <v>692</v>
      </c>
      <c r="O130" s="109" t="s">
        <v>690</v>
      </c>
      <c r="P130" s="107" t="s">
        <v>745</v>
      </c>
      <c r="Q130" s="107" t="s">
        <v>745</v>
      </c>
      <c r="R130" s="110"/>
      <c r="S130" s="110"/>
      <c r="T130" s="110"/>
      <c r="U130" s="110"/>
      <c r="V130" s="110"/>
      <c r="W130" s="110"/>
      <c r="X130" s="110"/>
      <c r="Y130" s="110"/>
      <c r="Z130" s="110"/>
    </row>
    <row r="131" ht="15.75" customHeight="1">
      <c r="A131" s="105" t="s">
        <v>888</v>
      </c>
      <c r="B131" s="105" t="s">
        <v>44</v>
      </c>
      <c r="C131" s="106" t="s">
        <v>889</v>
      </c>
      <c r="D131" s="107" t="s">
        <v>185</v>
      </c>
      <c r="E131" s="106" t="s">
        <v>777</v>
      </c>
      <c r="F131" s="107">
        <v>100.0</v>
      </c>
      <c r="G131" s="106" t="s">
        <v>723</v>
      </c>
      <c r="H131" s="112" t="s">
        <v>91</v>
      </c>
      <c r="I131" s="106" t="s">
        <v>723</v>
      </c>
      <c r="J131" s="107" t="s">
        <v>85</v>
      </c>
      <c r="K131" s="106" t="s">
        <v>687</v>
      </c>
      <c r="L131" s="107" t="s">
        <v>688</v>
      </c>
      <c r="M131" s="108">
        <v>44100.0</v>
      </c>
      <c r="N131" s="106" t="s">
        <v>692</v>
      </c>
      <c r="O131" s="109" t="s">
        <v>690</v>
      </c>
      <c r="P131" s="107" t="s">
        <v>724</v>
      </c>
      <c r="Q131" s="107" t="s">
        <v>724</v>
      </c>
      <c r="R131" s="110"/>
      <c r="S131" s="110"/>
      <c r="T131" s="110"/>
      <c r="U131" s="110"/>
      <c r="V131" s="110"/>
      <c r="W131" s="110"/>
      <c r="X131" s="110"/>
      <c r="Y131" s="110"/>
      <c r="Z131" s="110"/>
    </row>
    <row r="132" ht="15.75" customHeight="1">
      <c r="A132" s="105" t="s">
        <v>890</v>
      </c>
      <c r="B132" s="105" t="s">
        <v>197</v>
      </c>
      <c r="C132" s="106" t="s">
        <v>891</v>
      </c>
      <c r="D132" s="107" t="s">
        <v>185</v>
      </c>
      <c r="E132" s="106" t="s">
        <v>713</v>
      </c>
      <c r="F132" s="107">
        <v>62220.0</v>
      </c>
      <c r="G132" s="106" t="s">
        <v>723</v>
      </c>
      <c r="H132" s="107" t="s">
        <v>91</v>
      </c>
      <c r="I132" s="106" t="s">
        <v>723</v>
      </c>
      <c r="J132" s="107" t="s">
        <v>85</v>
      </c>
      <c r="K132" s="106" t="s">
        <v>687</v>
      </c>
      <c r="L132" s="107" t="s">
        <v>688</v>
      </c>
      <c r="M132" s="108">
        <v>44100.0</v>
      </c>
      <c r="N132" s="106" t="s">
        <v>692</v>
      </c>
      <c r="O132" s="109" t="s">
        <v>690</v>
      </c>
      <c r="P132" s="107" t="s">
        <v>724</v>
      </c>
      <c r="Q132" s="107" t="s">
        <v>724</v>
      </c>
      <c r="R132" s="110"/>
      <c r="S132" s="110"/>
      <c r="T132" s="110"/>
      <c r="U132" s="110"/>
      <c r="V132" s="110"/>
      <c r="W132" s="110"/>
      <c r="X132" s="110"/>
      <c r="Y132" s="110"/>
      <c r="Z132" s="110"/>
    </row>
    <row r="133" ht="15.75" customHeight="1">
      <c r="A133" s="105" t="s">
        <v>892</v>
      </c>
      <c r="B133" s="105" t="s">
        <v>52</v>
      </c>
      <c r="C133" s="106" t="s">
        <v>893</v>
      </c>
      <c r="D133" s="107" t="s">
        <v>185</v>
      </c>
      <c r="E133" s="106" t="s">
        <v>768</v>
      </c>
      <c r="F133" s="111" t="s">
        <v>894</v>
      </c>
      <c r="G133" s="126" t="s">
        <v>723</v>
      </c>
      <c r="H133" s="105" t="s">
        <v>723</v>
      </c>
      <c r="I133" s="106" t="s">
        <v>723</v>
      </c>
      <c r="J133" s="107" t="s">
        <v>85</v>
      </c>
      <c r="K133" s="106" t="s">
        <v>687</v>
      </c>
      <c r="L133" s="107" t="s">
        <v>688</v>
      </c>
      <c r="M133" s="108">
        <v>44101.0</v>
      </c>
      <c r="N133" s="106" t="s">
        <v>735</v>
      </c>
      <c r="O133" s="116" t="s">
        <v>736</v>
      </c>
      <c r="P133" s="107" t="s">
        <v>721</v>
      </c>
      <c r="Q133" s="107" t="s">
        <v>721</v>
      </c>
      <c r="R133" s="110"/>
      <c r="S133" s="110"/>
      <c r="T133" s="110"/>
      <c r="U133" s="110"/>
      <c r="V133" s="110"/>
      <c r="W133" s="110"/>
      <c r="X133" s="110"/>
      <c r="Y133" s="110"/>
      <c r="Z133" s="110"/>
    </row>
    <row r="134" ht="15.75" customHeight="1">
      <c r="A134" s="105" t="s">
        <v>895</v>
      </c>
      <c r="B134" s="105" t="s">
        <v>52</v>
      </c>
      <c r="C134" s="106" t="s">
        <v>896</v>
      </c>
      <c r="D134" s="107" t="s">
        <v>185</v>
      </c>
      <c r="E134" s="106" t="s">
        <v>768</v>
      </c>
      <c r="F134" s="111" t="s">
        <v>894</v>
      </c>
      <c r="G134" s="126" t="s">
        <v>723</v>
      </c>
      <c r="H134" s="105" t="s">
        <v>723</v>
      </c>
      <c r="I134" s="106" t="s">
        <v>723</v>
      </c>
      <c r="J134" s="107" t="s">
        <v>85</v>
      </c>
      <c r="K134" s="106" t="s">
        <v>687</v>
      </c>
      <c r="L134" s="107" t="s">
        <v>688</v>
      </c>
      <c r="M134" s="108">
        <v>44101.0</v>
      </c>
      <c r="N134" s="106" t="s">
        <v>735</v>
      </c>
      <c r="O134" s="116" t="s">
        <v>736</v>
      </c>
      <c r="P134" s="107" t="s">
        <v>721</v>
      </c>
      <c r="Q134" s="107" t="s">
        <v>721</v>
      </c>
      <c r="R134" s="110"/>
      <c r="S134" s="110"/>
      <c r="T134" s="110"/>
      <c r="U134" s="110"/>
      <c r="V134" s="110"/>
      <c r="W134" s="110"/>
      <c r="X134" s="110"/>
      <c r="Y134" s="110"/>
      <c r="Z134" s="110"/>
    </row>
    <row r="135" ht="15.75" customHeight="1">
      <c r="A135" s="105" t="s">
        <v>897</v>
      </c>
      <c r="B135" s="105" t="s">
        <v>52</v>
      </c>
      <c r="C135" s="106" t="s">
        <v>898</v>
      </c>
      <c r="D135" s="107" t="s">
        <v>185</v>
      </c>
      <c r="E135" s="106" t="s">
        <v>713</v>
      </c>
      <c r="F135" s="107">
        <v>12.0</v>
      </c>
      <c r="G135" s="126" t="s">
        <v>723</v>
      </c>
      <c r="H135" s="105" t="s">
        <v>723</v>
      </c>
      <c r="I135" s="106" t="s">
        <v>723</v>
      </c>
      <c r="J135" s="107" t="s">
        <v>85</v>
      </c>
      <c r="K135" s="106" t="s">
        <v>687</v>
      </c>
      <c r="L135" s="107" t="s">
        <v>688</v>
      </c>
      <c r="M135" s="108">
        <v>44101.0</v>
      </c>
      <c r="N135" s="106" t="s">
        <v>735</v>
      </c>
      <c r="O135" s="116" t="s">
        <v>736</v>
      </c>
      <c r="P135" s="107" t="s">
        <v>721</v>
      </c>
      <c r="Q135" s="107" t="s">
        <v>721</v>
      </c>
      <c r="R135" s="110"/>
      <c r="S135" s="110"/>
      <c r="T135" s="110"/>
      <c r="U135" s="110"/>
      <c r="V135" s="110"/>
      <c r="W135" s="110"/>
      <c r="X135" s="110"/>
      <c r="Y135" s="110"/>
      <c r="Z135" s="110"/>
    </row>
    <row r="136" ht="15.75" customHeight="1">
      <c r="A136" s="105" t="s">
        <v>899</v>
      </c>
      <c r="B136" s="105" t="s">
        <v>52</v>
      </c>
      <c r="C136" s="106" t="s">
        <v>900</v>
      </c>
      <c r="D136" s="107" t="s">
        <v>185</v>
      </c>
      <c r="E136" s="106" t="s">
        <v>713</v>
      </c>
      <c r="F136" s="107">
        <v>49.0</v>
      </c>
      <c r="G136" s="126" t="s">
        <v>723</v>
      </c>
      <c r="H136" s="105" t="s">
        <v>723</v>
      </c>
      <c r="I136" s="106" t="s">
        <v>723</v>
      </c>
      <c r="J136" s="107" t="s">
        <v>85</v>
      </c>
      <c r="K136" s="106" t="s">
        <v>687</v>
      </c>
      <c r="L136" s="107" t="s">
        <v>688</v>
      </c>
      <c r="M136" s="108">
        <v>44101.0</v>
      </c>
      <c r="N136" s="106" t="s">
        <v>735</v>
      </c>
      <c r="O136" s="116" t="s">
        <v>736</v>
      </c>
      <c r="P136" s="107" t="s">
        <v>721</v>
      </c>
      <c r="Q136" s="107" t="s">
        <v>721</v>
      </c>
      <c r="R136" s="110"/>
      <c r="S136" s="110"/>
      <c r="T136" s="110"/>
      <c r="U136" s="110"/>
      <c r="V136" s="110"/>
      <c r="W136" s="110"/>
      <c r="X136" s="110"/>
      <c r="Y136" s="110"/>
      <c r="Z136" s="110"/>
    </row>
    <row r="137" ht="15.75" customHeight="1">
      <c r="A137" s="105" t="s">
        <v>901</v>
      </c>
      <c r="B137" s="105" t="s">
        <v>52</v>
      </c>
      <c r="C137" s="106" t="s">
        <v>902</v>
      </c>
      <c r="D137" s="107" t="s">
        <v>185</v>
      </c>
      <c r="E137" s="106" t="s">
        <v>768</v>
      </c>
      <c r="F137" s="111" t="s">
        <v>894</v>
      </c>
      <c r="G137" s="126" t="s">
        <v>723</v>
      </c>
      <c r="H137" s="105" t="s">
        <v>723</v>
      </c>
      <c r="I137" s="106" t="s">
        <v>723</v>
      </c>
      <c r="J137" s="107" t="s">
        <v>85</v>
      </c>
      <c r="K137" s="106" t="s">
        <v>687</v>
      </c>
      <c r="L137" s="107" t="s">
        <v>688</v>
      </c>
      <c r="M137" s="108">
        <v>44101.0</v>
      </c>
      <c r="N137" s="106" t="s">
        <v>735</v>
      </c>
      <c r="O137" s="116" t="s">
        <v>736</v>
      </c>
      <c r="P137" s="107" t="s">
        <v>721</v>
      </c>
      <c r="Q137" s="107" t="s">
        <v>721</v>
      </c>
      <c r="R137" s="110"/>
      <c r="S137" s="110"/>
      <c r="T137" s="110"/>
      <c r="U137" s="110"/>
      <c r="V137" s="110"/>
      <c r="W137" s="110"/>
      <c r="X137" s="110"/>
      <c r="Y137" s="110"/>
      <c r="Z137" s="110"/>
    </row>
    <row r="138" ht="15.75" customHeight="1">
      <c r="A138" s="105" t="s">
        <v>903</v>
      </c>
      <c r="B138" s="105" t="s">
        <v>52</v>
      </c>
      <c r="C138" s="106" t="s">
        <v>904</v>
      </c>
      <c r="D138" s="107" t="s">
        <v>185</v>
      </c>
      <c r="E138" s="106" t="s">
        <v>768</v>
      </c>
      <c r="F138" s="127" t="s">
        <v>894</v>
      </c>
      <c r="G138" s="126" t="s">
        <v>723</v>
      </c>
      <c r="H138" s="105" t="s">
        <v>723</v>
      </c>
      <c r="I138" s="106" t="s">
        <v>723</v>
      </c>
      <c r="J138" s="112" t="s">
        <v>85</v>
      </c>
      <c r="K138" s="106" t="s">
        <v>687</v>
      </c>
      <c r="L138" s="107" t="s">
        <v>688</v>
      </c>
      <c r="M138" s="108">
        <v>44101.0</v>
      </c>
      <c r="N138" s="106" t="s">
        <v>735</v>
      </c>
      <c r="O138" s="116" t="s">
        <v>736</v>
      </c>
      <c r="P138" s="107" t="s">
        <v>721</v>
      </c>
      <c r="Q138" s="107" t="s">
        <v>721</v>
      </c>
      <c r="R138" s="110"/>
      <c r="S138" s="110"/>
      <c r="T138" s="110"/>
      <c r="U138" s="110"/>
      <c r="V138" s="110"/>
      <c r="W138" s="110"/>
      <c r="X138" s="110"/>
      <c r="Y138" s="110"/>
      <c r="Z138" s="110"/>
    </row>
    <row r="139" ht="15.75" customHeight="1">
      <c r="A139" s="105" t="s">
        <v>905</v>
      </c>
      <c r="B139" s="105" t="s">
        <v>197</v>
      </c>
      <c r="C139" s="106" t="s">
        <v>906</v>
      </c>
      <c r="D139" s="107" t="s">
        <v>185</v>
      </c>
      <c r="E139" s="106" t="s">
        <v>713</v>
      </c>
      <c r="F139" s="112">
        <v>9.0</v>
      </c>
      <c r="G139" s="126" t="s">
        <v>723</v>
      </c>
      <c r="H139" s="105" t="s">
        <v>723</v>
      </c>
      <c r="I139" s="106" t="s">
        <v>723</v>
      </c>
      <c r="J139" s="112" t="s">
        <v>85</v>
      </c>
      <c r="K139" s="106" t="s">
        <v>687</v>
      </c>
      <c r="L139" s="107" t="s">
        <v>760</v>
      </c>
      <c r="M139" s="108">
        <v>44100.0</v>
      </c>
      <c r="N139" s="106" t="s">
        <v>692</v>
      </c>
      <c r="O139" s="109" t="s">
        <v>690</v>
      </c>
      <c r="P139" s="107" t="s">
        <v>724</v>
      </c>
      <c r="Q139" s="107" t="s">
        <v>724</v>
      </c>
      <c r="R139" s="110"/>
      <c r="S139" s="110"/>
      <c r="T139" s="110"/>
      <c r="U139" s="110"/>
      <c r="V139" s="110"/>
      <c r="W139" s="110"/>
      <c r="X139" s="110"/>
      <c r="Y139" s="110"/>
      <c r="Z139" s="110"/>
    </row>
    <row r="140" ht="15.75" customHeight="1">
      <c r="A140" s="105" t="s">
        <v>907</v>
      </c>
      <c r="B140" s="105" t="s">
        <v>197</v>
      </c>
      <c r="C140" s="106" t="s">
        <v>908</v>
      </c>
      <c r="D140" s="107" t="s">
        <v>185</v>
      </c>
      <c r="E140" s="106" t="s">
        <v>713</v>
      </c>
      <c r="F140" s="112">
        <v>10.0</v>
      </c>
      <c r="G140" s="126" t="s">
        <v>723</v>
      </c>
      <c r="H140" s="105" t="s">
        <v>723</v>
      </c>
      <c r="I140" s="106" t="s">
        <v>723</v>
      </c>
      <c r="J140" s="112" t="s">
        <v>85</v>
      </c>
      <c r="K140" s="106" t="s">
        <v>687</v>
      </c>
      <c r="L140" s="107" t="s">
        <v>760</v>
      </c>
      <c r="M140" s="108">
        <v>44100.0</v>
      </c>
      <c r="N140" s="106" t="s">
        <v>692</v>
      </c>
      <c r="O140" s="109" t="s">
        <v>690</v>
      </c>
      <c r="P140" s="107" t="s">
        <v>724</v>
      </c>
      <c r="Q140" s="107" t="s">
        <v>724</v>
      </c>
      <c r="R140" s="110"/>
      <c r="S140" s="110"/>
      <c r="T140" s="110"/>
      <c r="U140" s="110"/>
      <c r="V140" s="110"/>
      <c r="W140" s="110"/>
      <c r="X140" s="110"/>
      <c r="Y140" s="110"/>
      <c r="Z140" s="110"/>
    </row>
    <row r="141" ht="15.75" customHeight="1">
      <c r="A141" s="105" t="s">
        <v>909</v>
      </c>
      <c r="B141" s="105" t="s">
        <v>44</v>
      </c>
      <c r="C141" s="106" t="s">
        <v>910</v>
      </c>
      <c r="D141" s="107" t="s">
        <v>185</v>
      </c>
      <c r="E141" s="106" t="s">
        <v>694</v>
      </c>
      <c r="F141" s="112">
        <v>41.0</v>
      </c>
      <c r="G141" s="126" t="s">
        <v>723</v>
      </c>
      <c r="H141" s="105" t="s">
        <v>723</v>
      </c>
      <c r="I141" s="106" t="s">
        <v>723</v>
      </c>
      <c r="J141" s="112" t="s">
        <v>85</v>
      </c>
      <c r="K141" s="106" t="s">
        <v>687</v>
      </c>
      <c r="L141" s="107" t="s">
        <v>760</v>
      </c>
      <c r="M141" s="108">
        <v>44100.0</v>
      </c>
      <c r="N141" s="106" t="s">
        <v>692</v>
      </c>
      <c r="O141" s="109" t="s">
        <v>690</v>
      </c>
      <c r="P141" s="107" t="s">
        <v>724</v>
      </c>
      <c r="Q141" s="107" t="s">
        <v>724</v>
      </c>
      <c r="R141" s="110"/>
      <c r="S141" s="110"/>
      <c r="T141" s="110"/>
      <c r="U141" s="110"/>
      <c r="V141" s="110"/>
      <c r="W141" s="110"/>
      <c r="X141" s="110"/>
      <c r="Y141" s="110"/>
      <c r="Z141" s="110"/>
    </row>
    <row r="142" ht="15.75" customHeight="1">
      <c r="A142" s="105" t="s">
        <v>911</v>
      </c>
      <c r="B142" s="105" t="s">
        <v>197</v>
      </c>
      <c r="C142" s="106" t="s">
        <v>912</v>
      </c>
      <c r="D142" s="107" t="s">
        <v>185</v>
      </c>
      <c r="E142" s="106" t="s">
        <v>698</v>
      </c>
      <c r="F142" s="113">
        <v>43709.65902777778</v>
      </c>
      <c r="G142" s="106" t="s">
        <v>686</v>
      </c>
      <c r="H142" s="107" t="s">
        <v>91</v>
      </c>
      <c r="I142" s="107" t="s">
        <v>91</v>
      </c>
      <c r="J142" s="107" t="s">
        <v>85</v>
      </c>
      <c r="K142" s="106" t="s">
        <v>687</v>
      </c>
      <c r="L142" s="107" t="s">
        <v>810</v>
      </c>
      <c r="M142" s="108">
        <v>44100.0</v>
      </c>
      <c r="N142" s="106" t="s">
        <v>913</v>
      </c>
      <c r="O142" s="109" t="s">
        <v>914</v>
      </c>
      <c r="P142" s="107" t="s">
        <v>782</v>
      </c>
      <c r="Q142" s="107" t="s">
        <v>782</v>
      </c>
      <c r="R142" s="110"/>
      <c r="S142" s="110"/>
      <c r="T142" s="110"/>
      <c r="U142" s="110"/>
      <c r="V142" s="110"/>
      <c r="W142" s="110"/>
      <c r="X142" s="110"/>
      <c r="Y142" s="110"/>
      <c r="Z142" s="110"/>
    </row>
    <row r="143" ht="15.75" customHeight="1">
      <c r="A143" s="105" t="s">
        <v>915</v>
      </c>
      <c r="B143" s="105" t="s">
        <v>152</v>
      </c>
      <c r="C143" s="106" t="s">
        <v>916</v>
      </c>
      <c r="D143" s="107" t="s">
        <v>185</v>
      </c>
      <c r="E143" s="106" t="s">
        <v>685</v>
      </c>
      <c r="F143" s="107" t="s">
        <v>917</v>
      </c>
      <c r="G143" s="106" t="s">
        <v>686</v>
      </c>
      <c r="H143" s="107" t="s">
        <v>91</v>
      </c>
      <c r="I143" s="107" t="s">
        <v>91</v>
      </c>
      <c r="J143" s="107" t="s">
        <v>85</v>
      </c>
      <c r="K143" s="106" t="s">
        <v>687</v>
      </c>
      <c r="L143" s="107" t="s">
        <v>810</v>
      </c>
      <c r="M143" s="108">
        <v>44100.0</v>
      </c>
      <c r="N143" s="106" t="s">
        <v>913</v>
      </c>
      <c r="O143" s="109" t="s">
        <v>914</v>
      </c>
      <c r="P143" s="107" t="s">
        <v>782</v>
      </c>
      <c r="Q143" s="107" t="s">
        <v>782</v>
      </c>
      <c r="R143" s="110"/>
      <c r="S143" s="110"/>
      <c r="T143" s="110"/>
      <c r="U143" s="110"/>
      <c r="V143" s="110"/>
      <c r="W143" s="110"/>
      <c r="X143" s="110"/>
      <c r="Y143" s="110"/>
      <c r="Z143" s="110"/>
    </row>
    <row r="144" ht="15.75" customHeight="1">
      <c r="A144" s="105" t="s">
        <v>481</v>
      </c>
      <c r="B144" s="105" t="s">
        <v>197</v>
      </c>
      <c r="C144" s="106" t="s">
        <v>918</v>
      </c>
      <c r="D144" s="107" t="s">
        <v>185</v>
      </c>
      <c r="E144" s="106" t="s">
        <v>768</v>
      </c>
      <c r="F144" s="112">
        <v>36.0</v>
      </c>
      <c r="G144" s="126" t="s">
        <v>723</v>
      </c>
      <c r="H144" s="105" t="s">
        <v>723</v>
      </c>
      <c r="I144" s="106" t="s">
        <v>723</v>
      </c>
      <c r="J144" s="112" t="s">
        <v>85</v>
      </c>
      <c r="K144" s="106" t="s">
        <v>687</v>
      </c>
      <c r="L144" s="107" t="s">
        <v>760</v>
      </c>
      <c r="M144" s="108">
        <v>44100.0</v>
      </c>
      <c r="N144" s="106" t="s">
        <v>692</v>
      </c>
      <c r="O144" s="109" t="s">
        <v>690</v>
      </c>
      <c r="P144" s="107" t="s">
        <v>724</v>
      </c>
      <c r="Q144" s="107" t="s">
        <v>724</v>
      </c>
      <c r="R144" s="110"/>
      <c r="S144" s="110"/>
      <c r="T144" s="110"/>
      <c r="U144" s="110"/>
      <c r="V144" s="110"/>
      <c r="W144" s="110"/>
      <c r="X144" s="110"/>
      <c r="Y144" s="110"/>
      <c r="Z144" s="110"/>
    </row>
    <row r="145" ht="15.75" customHeight="1">
      <c r="A145" s="105" t="s">
        <v>483</v>
      </c>
      <c r="B145" s="105" t="s">
        <v>197</v>
      </c>
      <c r="C145" s="106" t="s">
        <v>919</v>
      </c>
      <c r="D145" s="107" t="s">
        <v>185</v>
      </c>
      <c r="E145" s="106" t="s">
        <v>768</v>
      </c>
      <c r="F145" s="112">
        <v>24.0</v>
      </c>
      <c r="G145" s="126" t="s">
        <v>723</v>
      </c>
      <c r="H145" s="105" t="s">
        <v>723</v>
      </c>
      <c r="I145" s="106" t="s">
        <v>723</v>
      </c>
      <c r="J145" s="112" t="s">
        <v>85</v>
      </c>
      <c r="K145" s="106" t="s">
        <v>687</v>
      </c>
      <c r="L145" s="107" t="s">
        <v>760</v>
      </c>
      <c r="M145" s="108">
        <v>44100.0</v>
      </c>
      <c r="N145" s="106" t="s">
        <v>692</v>
      </c>
      <c r="O145" s="109" t="s">
        <v>690</v>
      </c>
      <c r="P145" s="107" t="s">
        <v>724</v>
      </c>
      <c r="Q145" s="107" t="s">
        <v>724</v>
      </c>
      <c r="R145" s="110"/>
      <c r="S145" s="110"/>
      <c r="T145" s="110"/>
      <c r="U145" s="110"/>
      <c r="V145" s="110"/>
      <c r="W145" s="110"/>
      <c r="X145" s="110"/>
      <c r="Y145" s="110"/>
      <c r="Z145" s="110"/>
    </row>
    <row r="146" ht="15.75" customHeight="1">
      <c r="A146" s="105" t="s">
        <v>485</v>
      </c>
      <c r="B146" s="105" t="s">
        <v>44</v>
      </c>
      <c r="C146" s="106" t="s">
        <v>920</v>
      </c>
      <c r="D146" s="107" t="s">
        <v>185</v>
      </c>
      <c r="E146" s="106" t="s">
        <v>713</v>
      </c>
      <c r="F146" s="112">
        <v>19.0</v>
      </c>
      <c r="G146" s="126" t="s">
        <v>723</v>
      </c>
      <c r="H146" s="105" t="s">
        <v>723</v>
      </c>
      <c r="I146" s="106" t="s">
        <v>723</v>
      </c>
      <c r="J146" s="112" t="s">
        <v>85</v>
      </c>
      <c r="K146" s="106" t="s">
        <v>687</v>
      </c>
      <c r="L146" s="107" t="s">
        <v>760</v>
      </c>
      <c r="M146" s="108">
        <v>44100.0</v>
      </c>
      <c r="N146" s="105" t="s">
        <v>692</v>
      </c>
      <c r="O146" s="116" t="s">
        <v>736</v>
      </c>
      <c r="P146" s="107" t="s">
        <v>724</v>
      </c>
      <c r="Q146" s="107" t="s">
        <v>724</v>
      </c>
      <c r="R146" s="110"/>
      <c r="S146" s="110"/>
      <c r="T146" s="110"/>
      <c r="U146" s="110"/>
      <c r="V146" s="110"/>
      <c r="W146" s="110"/>
      <c r="X146" s="110"/>
      <c r="Y146" s="110"/>
      <c r="Z146" s="110"/>
    </row>
    <row r="147" ht="15.75" customHeight="1">
      <c r="A147" s="105" t="s">
        <v>487</v>
      </c>
      <c r="B147" s="105" t="s">
        <v>197</v>
      </c>
      <c r="C147" s="106" t="s">
        <v>488</v>
      </c>
      <c r="D147" s="107" t="s">
        <v>185</v>
      </c>
      <c r="E147" s="106" t="s">
        <v>768</v>
      </c>
      <c r="F147" s="112">
        <v>23.0</v>
      </c>
      <c r="G147" s="126" t="s">
        <v>723</v>
      </c>
      <c r="H147" s="105" t="s">
        <v>723</v>
      </c>
      <c r="I147" s="106" t="s">
        <v>723</v>
      </c>
      <c r="J147" s="112" t="s">
        <v>85</v>
      </c>
      <c r="K147" s="106" t="s">
        <v>687</v>
      </c>
      <c r="L147" s="107" t="s">
        <v>760</v>
      </c>
      <c r="M147" s="108">
        <v>44100.0</v>
      </c>
      <c r="N147" s="106" t="s">
        <v>692</v>
      </c>
      <c r="O147" s="109" t="s">
        <v>690</v>
      </c>
      <c r="P147" s="107" t="s">
        <v>724</v>
      </c>
      <c r="Q147" s="107" t="s">
        <v>724</v>
      </c>
      <c r="R147" s="110"/>
      <c r="S147" s="110"/>
      <c r="T147" s="110"/>
      <c r="U147" s="110"/>
      <c r="V147" s="110"/>
      <c r="W147" s="110"/>
      <c r="X147" s="110"/>
      <c r="Y147" s="110"/>
      <c r="Z147" s="110"/>
    </row>
    <row r="148" ht="15.75" customHeight="1">
      <c r="A148" s="105" t="s">
        <v>489</v>
      </c>
      <c r="B148" s="105" t="s">
        <v>152</v>
      </c>
      <c r="C148" s="106" t="s">
        <v>490</v>
      </c>
      <c r="D148" s="107" t="s">
        <v>185</v>
      </c>
      <c r="E148" s="106" t="s">
        <v>685</v>
      </c>
      <c r="F148" s="107" t="s">
        <v>921</v>
      </c>
      <c r="G148" s="107" t="s">
        <v>476</v>
      </c>
      <c r="H148" s="107" t="s">
        <v>476</v>
      </c>
      <c r="I148" s="107" t="s">
        <v>476</v>
      </c>
      <c r="J148" s="107" t="s">
        <v>85</v>
      </c>
      <c r="K148" s="106" t="s">
        <v>749</v>
      </c>
      <c r="L148" s="107" t="s">
        <v>749</v>
      </c>
      <c r="M148" s="108">
        <v>44044.0</v>
      </c>
      <c r="N148" s="106" t="s">
        <v>692</v>
      </c>
      <c r="O148" s="109" t="s">
        <v>690</v>
      </c>
      <c r="P148" s="107" t="s">
        <v>782</v>
      </c>
      <c r="Q148" s="107" t="s">
        <v>782</v>
      </c>
      <c r="R148" s="110"/>
      <c r="S148" s="110"/>
      <c r="T148" s="110"/>
      <c r="U148" s="110"/>
      <c r="V148" s="110"/>
      <c r="W148" s="110"/>
      <c r="X148" s="110"/>
      <c r="Y148" s="110"/>
      <c r="Z148" s="110"/>
    </row>
    <row r="149" ht="15.75" customHeight="1">
      <c r="A149" s="105" t="s">
        <v>491</v>
      </c>
      <c r="B149" s="105" t="s">
        <v>152</v>
      </c>
      <c r="C149" s="106" t="s">
        <v>492</v>
      </c>
      <c r="D149" s="107" t="s">
        <v>185</v>
      </c>
      <c r="E149" s="106" t="s">
        <v>685</v>
      </c>
      <c r="F149" s="107" t="s">
        <v>922</v>
      </c>
      <c r="G149" s="107" t="s">
        <v>476</v>
      </c>
      <c r="H149" s="107" t="s">
        <v>476</v>
      </c>
      <c r="I149" s="107" t="s">
        <v>476</v>
      </c>
      <c r="J149" s="107" t="s">
        <v>85</v>
      </c>
      <c r="K149" s="106" t="s">
        <v>749</v>
      </c>
      <c r="L149" s="107" t="s">
        <v>749</v>
      </c>
      <c r="M149" s="108">
        <v>44044.0</v>
      </c>
      <c r="N149" s="106" t="s">
        <v>692</v>
      </c>
      <c r="O149" s="109" t="s">
        <v>690</v>
      </c>
      <c r="P149" s="107" t="s">
        <v>782</v>
      </c>
      <c r="Q149" s="107" t="s">
        <v>782</v>
      </c>
      <c r="R149" s="110"/>
      <c r="S149" s="110"/>
      <c r="T149" s="110"/>
      <c r="U149" s="110"/>
      <c r="V149" s="110"/>
      <c r="W149" s="110"/>
      <c r="X149" s="110"/>
      <c r="Y149" s="110"/>
      <c r="Z149" s="110"/>
    </row>
    <row r="150" ht="15.75" customHeight="1">
      <c r="A150" s="105" t="s">
        <v>493</v>
      </c>
      <c r="B150" s="105" t="s">
        <v>152</v>
      </c>
      <c r="C150" s="106" t="s">
        <v>494</v>
      </c>
      <c r="D150" s="107" t="s">
        <v>185</v>
      </c>
      <c r="E150" s="106" t="s">
        <v>685</v>
      </c>
      <c r="F150" s="107" t="s">
        <v>923</v>
      </c>
      <c r="G150" s="107" t="s">
        <v>476</v>
      </c>
      <c r="H150" s="107" t="s">
        <v>476</v>
      </c>
      <c r="I150" s="107" t="s">
        <v>476</v>
      </c>
      <c r="J150" s="107" t="s">
        <v>85</v>
      </c>
      <c r="K150" s="106" t="s">
        <v>749</v>
      </c>
      <c r="L150" s="107" t="s">
        <v>749</v>
      </c>
      <c r="M150" s="108">
        <v>44044.0</v>
      </c>
      <c r="N150" s="106" t="s">
        <v>692</v>
      </c>
      <c r="O150" s="109" t="s">
        <v>690</v>
      </c>
      <c r="P150" s="107" t="s">
        <v>782</v>
      </c>
      <c r="Q150" s="107" t="s">
        <v>782</v>
      </c>
      <c r="R150" s="110"/>
      <c r="S150" s="110"/>
      <c r="T150" s="110"/>
      <c r="U150" s="110"/>
      <c r="V150" s="110"/>
      <c r="W150" s="110"/>
      <c r="X150" s="110"/>
      <c r="Y150" s="110"/>
      <c r="Z150" s="110"/>
    </row>
    <row r="151" ht="15.75" customHeight="1">
      <c r="A151" s="105" t="s">
        <v>495</v>
      </c>
      <c r="B151" s="105" t="s">
        <v>44</v>
      </c>
      <c r="C151" s="106" t="s">
        <v>496</v>
      </c>
      <c r="D151" s="107" t="s">
        <v>185</v>
      </c>
      <c r="E151" s="106" t="s">
        <v>685</v>
      </c>
      <c r="F151" s="107" t="s">
        <v>924</v>
      </c>
      <c r="G151" s="107" t="s">
        <v>476</v>
      </c>
      <c r="H151" s="107" t="s">
        <v>476</v>
      </c>
      <c r="I151" s="107" t="s">
        <v>476</v>
      </c>
      <c r="J151" s="107" t="s">
        <v>85</v>
      </c>
      <c r="K151" s="106" t="s">
        <v>749</v>
      </c>
      <c r="L151" s="107" t="s">
        <v>749</v>
      </c>
      <c r="M151" s="108">
        <v>44044.0</v>
      </c>
      <c r="N151" s="106" t="s">
        <v>692</v>
      </c>
      <c r="O151" s="109" t="s">
        <v>690</v>
      </c>
      <c r="P151" s="107" t="s">
        <v>782</v>
      </c>
      <c r="Q151" s="107" t="s">
        <v>782</v>
      </c>
      <c r="R151" s="110"/>
      <c r="S151" s="110"/>
      <c r="T151" s="110"/>
      <c r="U151" s="110"/>
      <c r="V151" s="110"/>
      <c r="W151" s="110"/>
      <c r="X151" s="110"/>
      <c r="Y151" s="110"/>
      <c r="Z151" s="110"/>
    </row>
    <row r="152" ht="15.75" customHeight="1">
      <c r="A152" s="105" t="s">
        <v>497</v>
      </c>
      <c r="B152" s="105" t="s">
        <v>152</v>
      </c>
      <c r="C152" s="106" t="s">
        <v>498</v>
      </c>
      <c r="D152" s="107" t="s">
        <v>185</v>
      </c>
      <c r="E152" s="106" t="s">
        <v>685</v>
      </c>
      <c r="F152" s="107" t="s">
        <v>925</v>
      </c>
      <c r="G152" s="107" t="s">
        <v>476</v>
      </c>
      <c r="H152" s="107" t="s">
        <v>476</v>
      </c>
      <c r="I152" s="107" t="s">
        <v>476</v>
      </c>
      <c r="J152" s="107" t="s">
        <v>85</v>
      </c>
      <c r="K152" s="106" t="s">
        <v>749</v>
      </c>
      <c r="L152" s="107" t="s">
        <v>749</v>
      </c>
      <c r="M152" s="108">
        <v>44044.0</v>
      </c>
      <c r="N152" s="106" t="s">
        <v>692</v>
      </c>
      <c r="O152" s="109" t="s">
        <v>690</v>
      </c>
      <c r="P152" s="107" t="s">
        <v>782</v>
      </c>
      <c r="Q152" s="107" t="s">
        <v>782</v>
      </c>
      <c r="R152" s="110"/>
      <c r="S152" s="110"/>
      <c r="T152" s="110"/>
      <c r="U152" s="110"/>
      <c r="V152" s="110"/>
      <c r="W152" s="110"/>
      <c r="X152" s="110"/>
      <c r="Y152" s="110"/>
      <c r="Z152" s="110"/>
    </row>
    <row r="153" ht="15.75" customHeight="1">
      <c r="A153" s="105" t="s">
        <v>499</v>
      </c>
      <c r="B153" s="105" t="s">
        <v>152</v>
      </c>
      <c r="C153" s="106" t="s">
        <v>500</v>
      </c>
      <c r="D153" s="107" t="s">
        <v>185</v>
      </c>
      <c r="E153" s="106" t="s">
        <v>685</v>
      </c>
      <c r="F153" s="107" t="s">
        <v>926</v>
      </c>
      <c r="G153" s="107" t="s">
        <v>476</v>
      </c>
      <c r="H153" s="107" t="s">
        <v>476</v>
      </c>
      <c r="I153" s="107" t="s">
        <v>476</v>
      </c>
      <c r="J153" s="107" t="s">
        <v>85</v>
      </c>
      <c r="K153" s="106" t="s">
        <v>749</v>
      </c>
      <c r="L153" s="107" t="s">
        <v>749</v>
      </c>
      <c r="M153" s="108">
        <v>44044.0</v>
      </c>
      <c r="N153" s="106" t="s">
        <v>692</v>
      </c>
      <c r="O153" s="109" t="s">
        <v>690</v>
      </c>
      <c r="P153" s="107" t="s">
        <v>782</v>
      </c>
      <c r="Q153" s="107" t="s">
        <v>782</v>
      </c>
      <c r="R153" s="110"/>
      <c r="S153" s="110"/>
      <c r="T153" s="110"/>
      <c r="U153" s="110"/>
      <c r="V153" s="110"/>
      <c r="W153" s="110"/>
      <c r="X153" s="110"/>
      <c r="Y153" s="110"/>
      <c r="Z153" s="110"/>
    </row>
    <row r="154" ht="15.75" customHeight="1">
      <c r="A154" s="105" t="s">
        <v>501</v>
      </c>
      <c r="B154" s="105" t="s">
        <v>152</v>
      </c>
      <c r="C154" s="106" t="s">
        <v>502</v>
      </c>
      <c r="D154" s="107" t="s">
        <v>185</v>
      </c>
      <c r="E154" s="106" t="s">
        <v>685</v>
      </c>
      <c r="F154" s="107" t="s">
        <v>927</v>
      </c>
      <c r="G154" s="107" t="s">
        <v>476</v>
      </c>
      <c r="H154" s="107" t="s">
        <v>476</v>
      </c>
      <c r="I154" s="107" t="s">
        <v>476</v>
      </c>
      <c r="J154" s="107" t="s">
        <v>85</v>
      </c>
      <c r="K154" s="106" t="s">
        <v>749</v>
      </c>
      <c r="L154" s="107" t="s">
        <v>749</v>
      </c>
      <c r="M154" s="108">
        <v>44044.0</v>
      </c>
      <c r="N154" s="106" t="s">
        <v>692</v>
      </c>
      <c r="O154" s="109" t="s">
        <v>690</v>
      </c>
      <c r="P154" s="107" t="s">
        <v>782</v>
      </c>
      <c r="Q154" s="107" t="s">
        <v>782</v>
      </c>
      <c r="R154" s="110"/>
      <c r="S154" s="110"/>
      <c r="T154" s="110"/>
      <c r="U154" s="110"/>
      <c r="V154" s="110"/>
      <c r="W154" s="110"/>
      <c r="X154" s="110"/>
      <c r="Y154" s="110"/>
      <c r="Z154" s="110"/>
    </row>
    <row r="155" ht="15.75" customHeight="1">
      <c r="A155" s="105" t="s">
        <v>503</v>
      </c>
      <c r="B155" s="105" t="s">
        <v>44</v>
      </c>
      <c r="C155" s="106" t="s">
        <v>504</v>
      </c>
      <c r="D155" s="107" t="s">
        <v>185</v>
      </c>
      <c r="E155" s="106" t="s">
        <v>685</v>
      </c>
      <c r="F155" s="107" t="s">
        <v>928</v>
      </c>
      <c r="G155" s="107" t="s">
        <v>476</v>
      </c>
      <c r="H155" s="107" t="s">
        <v>476</v>
      </c>
      <c r="I155" s="107" t="s">
        <v>476</v>
      </c>
      <c r="J155" s="107" t="s">
        <v>85</v>
      </c>
      <c r="K155" s="106" t="s">
        <v>749</v>
      </c>
      <c r="L155" s="107" t="s">
        <v>749</v>
      </c>
      <c r="M155" s="108">
        <v>44044.0</v>
      </c>
      <c r="N155" s="106" t="s">
        <v>692</v>
      </c>
      <c r="O155" s="109" t="s">
        <v>690</v>
      </c>
      <c r="P155" s="107" t="s">
        <v>782</v>
      </c>
      <c r="Q155" s="107" t="s">
        <v>782</v>
      </c>
      <c r="R155" s="110"/>
      <c r="S155" s="110"/>
      <c r="T155" s="110"/>
      <c r="U155" s="110"/>
      <c r="V155" s="110"/>
      <c r="W155" s="110"/>
      <c r="X155" s="110"/>
      <c r="Y155" s="110"/>
      <c r="Z155" s="110"/>
    </row>
    <row r="156" ht="15.75" customHeight="1">
      <c r="A156" s="105" t="s">
        <v>505</v>
      </c>
      <c r="B156" s="105" t="s">
        <v>152</v>
      </c>
      <c r="C156" s="106" t="s">
        <v>506</v>
      </c>
      <c r="D156" s="107" t="s">
        <v>185</v>
      </c>
      <c r="E156" s="106" t="s">
        <v>685</v>
      </c>
      <c r="F156" s="107" t="s">
        <v>921</v>
      </c>
      <c r="G156" s="107" t="s">
        <v>476</v>
      </c>
      <c r="H156" s="107" t="s">
        <v>476</v>
      </c>
      <c r="I156" s="107" t="s">
        <v>476</v>
      </c>
      <c r="J156" s="107" t="s">
        <v>85</v>
      </c>
      <c r="K156" s="106" t="s">
        <v>749</v>
      </c>
      <c r="L156" s="107" t="s">
        <v>749</v>
      </c>
      <c r="M156" s="108">
        <v>44044.0</v>
      </c>
      <c r="N156" s="106" t="s">
        <v>692</v>
      </c>
      <c r="O156" s="109" t="s">
        <v>690</v>
      </c>
      <c r="P156" s="107" t="s">
        <v>782</v>
      </c>
      <c r="Q156" s="107" t="s">
        <v>782</v>
      </c>
      <c r="R156" s="110"/>
      <c r="S156" s="110"/>
      <c r="T156" s="110"/>
      <c r="U156" s="110"/>
      <c r="V156" s="110"/>
      <c r="W156" s="110"/>
      <c r="X156" s="110"/>
      <c r="Y156" s="110"/>
      <c r="Z156" s="110"/>
    </row>
    <row r="157" ht="15.75" customHeight="1">
      <c r="A157" s="105" t="s">
        <v>507</v>
      </c>
      <c r="B157" s="105" t="s">
        <v>152</v>
      </c>
      <c r="C157" s="106" t="s">
        <v>508</v>
      </c>
      <c r="D157" s="107" t="s">
        <v>185</v>
      </c>
      <c r="E157" s="106" t="s">
        <v>685</v>
      </c>
      <c r="F157" s="107" t="s">
        <v>929</v>
      </c>
      <c r="G157" s="107" t="s">
        <v>476</v>
      </c>
      <c r="H157" s="107" t="s">
        <v>476</v>
      </c>
      <c r="I157" s="107" t="s">
        <v>476</v>
      </c>
      <c r="J157" s="107" t="s">
        <v>85</v>
      </c>
      <c r="K157" s="106" t="s">
        <v>749</v>
      </c>
      <c r="L157" s="107" t="s">
        <v>749</v>
      </c>
      <c r="M157" s="108">
        <v>44044.0</v>
      </c>
      <c r="N157" s="106" t="s">
        <v>692</v>
      </c>
      <c r="O157" s="109" t="s">
        <v>690</v>
      </c>
      <c r="P157" s="107" t="s">
        <v>782</v>
      </c>
      <c r="Q157" s="107" t="s">
        <v>782</v>
      </c>
      <c r="R157" s="110"/>
      <c r="S157" s="110"/>
      <c r="T157" s="110"/>
      <c r="U157" s="110"/>
      <c r="V157" s="110"/>
      <c r="W157" s="110"/>
      <c r="X157" s="110"/>
      <c r="Y157" s="110"/>
      <c r="Z157" s="110"/>
    </row>
    <row r="158" ht="15.75" customHeight="1">
      <c r="A158" s="105" t="s">
        <v>509</v>
      </c>
      <c r="B158" s="105" t="s">
        <v>152</v>
      </c>
      <c r="C158" s="106" t="s">
        <v>510</v>
      </c>
      <c r="D158" s="107" t="s">
        <v>185</v>
      </c>
      <c r="E158" s="106" t="s">
        <v>685</v>
      </c>
      <c r="F158" s="107" t="s">
        <v>930</v>
      </c>
      <c r="G158" s="107" t="s">
        <v>476</v>
      </c>
      <c r="H158" s="107" t="s">
        <v>476</v>
      </c>
      <c r="I158" s="107" t="s">
        <v>476</v>
      </c>
      <c r="J158" s="107" t="s">
        <v>85</v>
      </c>
      <c r="K158" s="106" t="s">
        <v>749</v>
      </c>
      <c r="L158" s="107" t="s">
        <v>749</v>
      </c>
      <c r="M158" s="108">
        <v>44044.0</v>
      </c>
      <c r="N158" s="106" t="s">
        <v>692</v>
      </c>
      <c r="O158" s="109" t="s">
        <v>690</v>
      </c>
      <c r="P158" s="107" t="s">
        <v>782</v>
      </c>
      <c r="Q158" s="107" t="s">
        <v>782</v>
      </c>
      <c r="R158" s="110"/>
      <c r="S158" s="110"/>
      <c r="T158" s="110"/>
      <c r="U158" s="110"/>
      <c r="V158" s="110"/>
      <c r="W158" s="110"/>
      <c r="X158" s="110"/>
      <c r="Y158" s="110"/>
      <c r="Z158" s="110"/>
    </row>
    <row r="159" ht="15.75" customHeight="1">
      <c r="A159" s="105" t="s">
        <v>511</v>
      </c>
      <c r="B159" s="105" t="s">
        <v>44</v>
      </c>
      <c r="C159" s="106" t="s">
        <v>512</v>
      </c>
      <c r="D159" s="107" t="s">
        <v>185</v>
      </c>
      <c r="E159" s="106" t="s">
        <v>685</v>
      </c>
      <c r="F159" s="107" t="s">
        <v>931</v>
      </c>
      <c r="G159" s="107" t="s">
        <v>476</v>
      </c>
      <c r="H159" s="107" t="s">
        <v>476</v>
      </c>
      <c r="I159" s="107" t="s">
        <v>476</v>
      </c>
      <c r="J159" s="107" t="s">
        <v>85</v>
      </c>
      <c r="K159" s="106" t="s">
        <v>749</v>
      </c>
      <c r="L159" s="107" t="s">
        <v>749</v>
      </c>
      <c r="M159" s="108">
        <v>44044.0</v>
      </c>
      <c r="N159" s="106" t="s">
        <v>692</v>
      </c>
      <c r="O159" s="109" t="s">
        <v>690</v>
      </c>
      <c r="P159" s="107" t="s">
        <v>782</v>
      </c>
      <c r="Q159" s="107" t="s">
        <v>782</v>
      </c>
      <c r="R159" s="110"/>
      <c r="S159" s="110"/>
      <c r="T159" s="110"/>
      <c r="U159" s="110"/>
      <c r="V159" s="110"/>
      <c r="W159" s="110"/>
      <c r="X159" s="110"/>
      <c r="Y159" s="110"/>
      <c r="Z159" s="110"/>
    </row>
    <row r="160" ht="15.75" customHeight="1">
      <c r="A160" s="105" t="s">
        <v>932</v>
      </c>
      <c r="B160" s="105" t="s">
        <v>197</v>
      </c>
      <c r="C160" s="106" t="s">
        <v>933</v>
      </c>
      <c r="D160" s="107" t="s">
        <v>185</v>
      </c>
      <c r="E160" s="106" t="s">
        <v>694</v>
      </c>
      <c r="F160" s="112">
        <v>140769.0</v>
      </c>
      <c r="G160" s="106" t="s">
        <v>723</v>
      </c>
      <c r="H160" s="112" t="s">
        <v>91</v>
      </c>
      <c r="I160" s="106" t="s">
        <v>723</v>
      </c>
      <c r="J160" s="112" t="s">
        <v>85</v>
      </c>
      <c r="K160" s="106" t="s">
        <v>687</v>
      </c>
      <c r="L160" s="107" t="s">
        <v>688</v>
      </c>
      <c r="M160" s="108">
        <v>44100.0</v>
      </c>
      <c r="N160" s="105" t="s">
        <v>701</v>
      </c>
      <c r="O160" s="109" t="s">
        <v>690</v>
      </c>
      <c r="P160" s="107" t="s">
        <v>724</v>
      </c>
      <c r="Q160" s="107" t="s">
        <v>724</v>
      </c>
      <c r="R160" s="110"/>
      <c r="S160" s="110"/>
      <c r="T160" s="110"/>
      <c r="U160" s="110"/>
      <c r="V160" s="110"/>
      <c r="W160" s="110"/>
      <c r="X160" s="110"/>
      <c r="Y160" s="110"/>
      <c r="Z160" s="110"/>
    </row>
    <row r="161" ht="15.75" customHeight="1">
      <c r="A161" s="105" t="s">
        <v>1329</v>
      </c>
      <c r="B161" s="105" t="s">
        <v>46</v>
      </c>
      <c r="C161" s="106" t="s">
        <v>934</v>
      </c>
      <c r="D161" s="107" t="s">
        <v>135</v>
      </c>
      <c r="E161" s="106" t="s">
        <v>720</v>
      </c>
      <c r="F161" s="126" t="b">
        <v>1</v>
      </c>
      <c r="G161" s="117" t="s">
        <v>517</v>
      </c>
      <c r="H161" s="117" t="s">
        <v>517</v>
      </c>
      <c r="I161" s="117" t="s">
        <v>90</v>
      </c>
      <c r="J161" s="107" t="s">
        <v>85</v>
      </c>
      <c r="K161" s="106" t="s">
        <v>749</v>
      </c>
      <c r="L161" s="107" t="s">
        <v>714</v>
      </c>
      <c r="M161" s="108">
        <v>44044.0</v>
      </c>
      <c r="N161" s="106" t="s">
        <v>692</v>
      </c>
      <c r="O161" s="109" t="s">
        <v>690</v>
      </c>
      <c r="P161" s="107" t="s">
        <v>782</v>
      </c>
      <c r="Q161" s="107" t="s">
        <v>782</v>
      </c>
      <c r="R161" s="110"/>
      <c r="S161" s="110"/>
      <c r="T161" s="110"/>
      <c r="U161" s="110"/>
      <c r="V161" s="110"/>
      <c r="W161" s="110"/>
      <c r="X161" s="110"/>
      <c r="Y161" s="110"/>
      <c r="Z161" s="110"/>
    </row>
    <row r="162" ht="15.75" customHeight="1">
      <c r="A162" s="105" t="s">
        <v>1330</v>
      </c>
      <c r="B162" s="105" t="s">
        <v>46</v>
      </c>
      <c r="C162" s="106" t="s">
        <v>935</v>
      </c>
      <c r="D162" s="107" t="s">
        <v>135</v>
      </c>
      <c r="E162" s="106" t="s">
        <v>685</v>
      </c>
      <c r="F162" s="106" t="s">
        <v>936</v>
      </c>
      <c r="G162" s="117" t="s">
        <v>517</v>
      </c>
      <c r="H162" s="117" t="s">
        <v>517</v>
      </c>
      <c r="I162" s="117" t="s">
        <v>90</v>
      </c>
      <c r="J162" s="107" t="s">
        <v>85</v>
      </c>
      <c r="K162" s="106" t="s">
        <v>749</v>
      </c>
      <c r="L162" s="107" t="s">
        <v>714</v>
      </c>
      <c r="M162" s="108">
        <v>44044.0</v>
      </c>
      <c r="N162" s="106" t="s">
        <v>692</v>
      </c>
      <c r="O162" s="109" t="s">
        <v>690</v>
      </c>
      <c r="P162" s="107" t="s">
        <v>782</v>
      </c>
      <c r="Q162" s="107" t="s">
        <v>782</v>
      </c>
      <c r="R162" s="110"/>
      <c r="S162" s="110"/>
      <c r="T162" s="110"/>
      <c r="U162" s="110"/>
      <c r="V162" s="110"/>
      <c r="W162" s="110"/>
      <c r="X162" s="110"/>
      <c r="Y162" s="110"/>
      <c r="Z162" s="110"/>
    </row>
    <row r="163" ht="15.75" customHeight="1">
      <c r="A163" s="105" t="s">
        <v>1331</v>
      </c>
      <c r="B163" s="105" t="s">
        <v>46</v>
      </c>
      <c r="C163" s="106" t="s">
        <v>937</v>
      </c>
      <c r="D163" s="107" t="s">
        <v>135</v>
      </c>
      <c r="E163" s="106" t="s">
        <v>685</v>
      </c>
      <c r="F163" s="128" t="s">
        <v>938</v>
      </c>
      <c r="G163" s="117" t="s">
        <v>517</v>
      </c>
      <c r="H163" s="117" t="s">
        <v>517</v>
      </c>
      <c r="I163" s="117" t="s">
        <v>90</v>
      </c>
      <c r="J163" s="107" t="s">
        <v>85</v>
      </c>
      <c r="K163" s="106" t="s">
        <v>749</v>
      </c>
      <c r="L163" s="107" t="s">
        <v>714</v>
      </c>
      <c r="M163" s="108">
        <v>44044.0</v>
      </c>
      <c r="N163" s="106" t="s">
        <v>692</v>
      </c>
      <c r="O163" s="109" t="s">
        <v>690</v>
      </c>
      <c r="P163" s="107" t="s">
        <v>782</v>
      </c>
      <c r="Q163" s="107" t="s">
        <v>782</v>
      </c>
      <c r="R163" s="110"/>
      <c r="S163" s="110"/>
      <c r="T163" s="110"/>
      <c r="U163" s="110"/>
      <c r="V163" s="110"/>
      <c r="W163" s="110"/>
      <c r="X163" s="110"/>
      <c r="Y163" s="110"/>
      <c r="Z163" s="110"/>
    </row>
    <row r="164" ht="15.75" customHeight="1">
      <c r="A164" s="105" t="s">
        <v>531</v>
      </c>
      <c r="B164" s="105" t="s">
        <v>46</v>
      </c>
      <c r="C164" s="106" t="s">
        <v>943</v>
      </c>
      <c r="D164" s="107" t="s">
        <v>135</v>
      </c>
      <c r="E164" s="106" t="s">
        <v>720</v>
      </c>
      <c r="F164" s="126" t="b">
        <v>1</v>
      </c>
      <c r="G164" s="117" t="s">
        <v>517</v>
      </c>
      <c r="H164" s="117" t="s">
        <v>517</v>
      </c>
      <c r="I164" s="117" t="s">
        <v>90</v>
      </c>
      <c r="J164" s="107" t="s">
        <v>85</v>
      </c>
      <c r="K164" s="106" t="s">
        <v>749</v>
      </c>
      <c r="L164" s="107" t="s">
        <v>714</v>
      </c>
      <c r="M164" s="108">
        <v>44044.0</v>
      </c>
      <c r="N164" s="106" t="s">
        <v>692</v>
      </c>
      <c r="O164" s="109" t="s">
        <v>690</v>
      </c>
      <c r="P164" s="107" t="s">
        <v>782</v>
      </c>
      <c r="Q164" s="107" t="s">
        <v>782</v>
      </c>
      <c r="R164" s="110"/>
      <c r="S164" s="110"/>
      <c r="T164" s="110"/>
      <c r="U164" s="110"/>
      <c r="V164" s="110"/>
      <c r="W164" s="110"/>
      <c r="X164" s="110"/>
      <c r="Y164" s="110"/>
      <c r="Z164" s="110"/>
    </row>
    <row r="165" ht="15.75" customHeight="1">
      <c r="A165" s="105" t="s">
        <v>533</v>
      </c>
      <c r="B165" s="105" t="s">
        <v>46</v>
      </c>
      <c r="C165" s="106" t="s">
        <v>944</v>
      </c>
      <c r="D165" s="107" t="s">
        <v>135</v>
      </c>
      <c r="E165" s="106" t="s">
        <v>685</v>
      </c>
      <c r="F165" s="106" t="s">
        <v>936</v>
      </c>
      <c r="G165" s="117" t="s">
        <v>517</v>
      </c>
      <c r="H165" s="117" t="s">
        <v>517</v>
      </c>
      <c r="I165" s="117" t="s">
        <v>90</v>
      </c>
      <c r="J165" s="107" t="s">
        <v>85</v>
      </c>
      <c r="K165" s="106" t="s">
        <v>749</v>
      </c>
      <c r="L165" s="107" t="s">
        <v>714</v>
      </c>
      <c r="M165" s="108">
        <v>44044.0</v>
      </c>
      <c r="N165" s="106" t="s">
        <v>692</v>
      </c>
      <c r="O165" s="109" t="s">
        <v>690</v>
      </c>
      <c r="P165" s="107" t="s">
        <v>782</v>
      </c>
      <c r="Q165" s="107" t="s">
        <v>782</v>
      </c>
      <c r="R165" s="110"/>
      <c r="S165" s="110"/>
      <c r="T165" s="110"/>
      <c r="U165" s="110"/>
      <c r="V165" s="110"/>
      <c r="W165" s="110"/>
      <c r="X165" s="110"/>
      <c r="Y165" s="110"/>
      <c r="Z165" s="110"/>
    </row>
    <row r="166" ht="15.75" customHeight="1">
      <c r="A166" s="105" t="s">
        <v>535</v>
      </c>
      <c r="B166" s="105" t="s">
        <v>46</v>
      </c>
      <c r="C166" s="106" t="s">
        <v>945</v>
      </c>
      <c r="D166" s="107" t="s">
        <v>135</v>
      </c>
      <c r="E166" s="106" t="s">
        <v>685</v>
      </c>
      <c r="F166" s="106" t="s">
        <v>946</v>
      </c>
      <c r="G166" s="117" t="s">
        <v>517</v>
      </c>
      <c r="H166" s="117" t="s">
        <v>517</v>
      </c>
      <c r="I166" s="117" t="s">
        <v>90</v>
      </c>
      <c r="J166" s="107" t="s">
        <v>85</v>
      </c>
      <c r="K166" s="106" t="s">
        <v>749</v>
      </c>
      <c r="L166" s="107" t="s">
        <v>714</v>
      </c>
      <c r="M166" s="108">
        <v>44044.0</v>
      </c>
      <c r="N166" s="106" t="s">
        <v>692</v>
      </c>
      <c r="O166" s="109" t="s">
        <v>690</v>
      </c>
      <c r="P166" s="107" t="s">
        <v>782</v>
      </c>
      <c r="Q166" s="107" t="s">
        <v>782</v>
      </c>
      <c r="R166" s="110"/>
      <c r="S166" s="110"/>
      <c r="T166" s="110"/>
      <c r="U166" s="110"/>
      <c r="V166" s="110"/>
      <c r="W166" s="110"/>
      <c r="X166" s="110"/>
      <c r="Y166" s="110"/>
      <c r="Z166" s="110"/>
    </row>
    <row r="167" ht="15.75" customHeight="1">
      <c r="A167" s="105" t="s">
        <v>538</v>
      </c>
      <c r="B167" s="105" t="s">
        <v>46</v>
      </c>
      <c r="C167" s="106" t="s">
        <v>947</v>
      </c>
      <c r="D167" s="107" t="s">
        <v>135</v>
      </c>
      <c r="E167" s="106" t="s">
        <v>720</v>
      </c>
      <c r="F167" s="126" t="b">
        <v>1</v>
      </c>
      <c r="G167" s="117" t="s">
        <v>517</v>
      </c>
      <c r="H167" s="117" t="s">
        <v>517</v>
      </c>
      <c r="I167" s="117" t="s">
        <v>90</v>
      </c>
      <c r="J167" s="107" t="s">
        <v>85</v>
      </c>
      <c r="K167" s="106" t="s">
        <v>749</v>
      </c>
      <c r="L167" s="107" t="s">
        <v>714</v>
      </c>
      <c r="M167" s="108">
        <v>44044.0</v>
      </c>
      <c r="N167" s="106" t="s">
        <v>692</v>
      </c>
      <c r="O167" s="109" t="s">
        <v>690</v>
      </c>
      <c r="P167" s="107" t="s">
        <v>782</v>
      </c>
      <c r="Q167" s="107" t="s">
        <v>782</v>
      </c>
      <c r="R167" s="110"/>
      <c r="S167" s="110"/>
      <c r="T167" s="110"/>
      <c r="U167" s="110"/>
      <c r="V167" s="110"/>
      <c r="W167" s="110"/>
      <c r="X167" s="110"/>
      <c r="Y167" s="110"/>
      <c r="Z167" s="110"/>
    </row>
    <row r="168" ht="15.75" customHeight="1">
      <c r="A168" s="105" t="s">
        <v>540</v>
      </c>
      <c r="B168" s="105" t="s">
        <v>46</v>
      </c>
      <c r="C168" s="106" t="s">
        <v>948</v>
      </c>
      <c r="D168" s="107" t="s">
        <v>135</v>
      </c>
      <c r="E168" s="106" t="s">
        <v>685</v>
      </c>
      <c r="F168" s="106" t="s">
        <v>936</v>
      </c>
      <c r="G168" s="117" t="s">
        <v>517</v>
      </c>
      <c r="H168" s="117" t="s">
        <v>517</v>
      </c>
      <c r="I168" s="117" t="s">
        <v>90</v>
      </c>
      <c r="J168" s="107" t="s">
        <v>85</v>
      </c>
      <c r="K168" s="106" t="s">
        <v>749</v>
      </c>
      <c r="L168" s="107" t="s">
        <v>714</v>
      </c>
      <c r="M168" s="108">
        <v>44044.0</v>
      </c>
      <c r="N168" s="106" t="s">
        <v>692</v>
      </c>
      <c r="O168" s="109" t="s">
        <v>690</v>
      </c>
      <c r="P168" s="107" t="s">
        <v>782</v>
      </c>
      <c r="Q168" s="107" t="s">
        <v>782</v>
      </c>
      <c r="R168" s="110"/>
      <c r="S168" s="110"/>
      <c r="T168" s="110"/>
      <c r="U168" s="110"/>
      <c r="V168" s="110"/>
      <c r="W168" s="110"/>
      <c r="X168" s="110"/>
      <c r="Y168" s="110"/>
      <c r="Z168" s="110"/>
    </row>
    <row r="169" ht="15.75" customHeight="1">
      <c r="A169" s="105" t="s">
        <v>542</v>
      </c>
      <c r="B169" s="105" t="s">
        <v>46</v>
      </c>
      <c r="C169" s="106" t="s">
        <v>949</v>
      </c>
      <c r="D169" s="107" t="s">
        <v>135</v>
      </c>
      <c r="E169" s="106" t="s">
        <v>685</v>
      </c>
      <c r="F169" s="106" t="s">
        <v>950</v>
      </c>
      <c r="G169" s="117" t="s">
        <v>517</v>
      </c>
      <c r="H169" s="117" t="s">
        <v>517</v>
      </c>
      <c r="I169" s="117" t="s">
        <v>90</v>
      </c>
      <c r="J169" s="107" t="s">
        <v>85</v>
      </c>
      <c r="K169" s="106" t="s">
        <v>749</v>
      </c>
      <c r="L169" s="107" t="s">
        <v>714</v>
      </c>
      <c r="M169" s="108">
        <v>44044.0</v>
      </c>
      <c r="N169" s="106" t="s">
        <v>692</v>
      </c>
      <c r="O169" s="109" t="s">
        <v>690</v>
      </c>
      <c r="P169" s="107" t="s">
        <v>782</v>
      </c>
      <c r="Q169" s="107" t="s">
        <v>782</v>
      </c>
      <c r="R169" s="110"/>
      <c r="S169" s="110"/>
      <c r="T169" s="110"/>
      <c r="U169" s="110"/>
      <c r="V169" s="110"/>
      <c r="W169" s="110"/>
      <c r="X169" s="110"/>
      <c r="Y169" s="110"/>
      <c r="Z169" s="110"/>
    </row>
    <row r="170" ht="15.75" customHeight="1">
      <c r="A170" s="105" t="s">
        <v>545</v>
      </c>
      <c r="B170" s="105" t="s">
        <v>46</v>
      </c>
      <c r="C170" s="106" t="s">
        <v>951</v>
      </c>
      <c r="D170" s="107" t="s">
        <v>135</v>
      </c>
      <c r="E170" s="106" t="s">
        <v>720</v>
      </c>
      <c r="F170" s="126" t="b">
        <v>1</v>
      </c>
      <c r="G170" s="117" t="s">
        <v>517</v>
      </c>
      <c r="H170" s="117" t="s">
        <v>517</v>
      </c>
      <c r="I170" s="117" t="s">
        <v>90</v>
      </c>
      <c r="J170" s="107" t="s">
        <v>85</v>
      </c>
      <c r="K170" s="106" t="s">
        <v>749</v>
      </c>
      <c r="L170" s="107" t="s">
        <v>714</v>
      </c>
      <c r="M170" s="108">
        <v>44044.0</v>
      </c>
      <c r="N170" s="106" t="s">
        <v>692</v>
      </c>
      <c r="O170" s="109" t="s">
        <v>690</v>
      </c>
      <c r="P170" s="107" t="s">
        <v>782</v>
      </c>
      <c r="Q170" s="107" t="s">
        <v>782</v>
      </c>
      <c r="R170" s="110"/>
      <c r="S170" s="110"/>
      <c r="T170" s="110"/>
      <c r="U170" s="110"/>
      <c r="V170" s="110"/>
      <c r="W170" s="110"/>
      <c r="X170" s="110"/>
      <c r="Y170" s="110"/>
      <c r="Z170" s="110"/>
    </row>
    <row r="171" ht="15.75" customHeight="1">
      <c r="A171" s="105" t="s">
        <v>547</v>
      </c>
      <c r="B171" s="105" t="s">
        <v>46</v>
      </c>
      <c r="C171" s="106" t="s">
        <v>952</v>
      </c>
      <c r="D171" s="107" t="s">
        <v>135</v>
      </c>
      <c r="E171" s="106" t="s">
        <v>685</v>
      </c>
      <c r="F171" s="106" t="s">
        <v>936</v>
      </c>
      <c r="G171" s="117" t="s">
        <v>517</v>
      </c>
      <c r="H171" s="117" t="s">
        <v>517</v>
      </c>
      <c r="I171" s="117" t="s">
        <v>90</v>
      </c>
      <c r="J171" s="107" t="s">
        <v>85</v>
      </c>
      <c r="K171" s="106" t="s">
        <v>749</v>
      </c>
      <c r="L171" s="107" t="s">
        <v>714</v>
      </c>
      <c r="M171" s="108">
        <v>44044.0</v>
      </c>
      <c r="N171" s="106" t="s">
        <v>692</v>
      </c>
      <c r="O171" s="109" t="s">
        <v>690</v>
      </c>
      <c r="P171" s="107" t="s">
        <v>782</v>
      </c>
      <c r="Q171" s="107" t="s">
        <v>782</v>
      </c>
      <c r="R171" s="110"/>
      <c r="S171" s="110"/>
      <c r="T171" s="110"/>
      <c r="U171" s="110"/>
      <c r="V171" s="110"/>
      <c r="W171" s="110"/>
      <c r="X171" s="110"/>
      <c r="Y171" s="110"/>
      <c r="Z171" s="110"/>
    </row>
    <row r="172" ht="15.75" customHeight="1">
      <c r="A172" s="105" t="s">
        <v>550</v>
      </c>
      <c r="B172" s="105" t="s">
        <v>46</v>
      </c>
      <c r="C172" s="106" t="s">
        <v>953</v>
      </c>
      <c r="D172" s="107" t="s">
        <v>135</v>
      </c>
      <c r="E172" s="106" t="s">
        <v>685</v>
      </c>
      <c r="F172" s="106" t="s">
        <v>954</v>
      </c>
      <c r="G172" s="117" t="s">
        <v>517</v>
      </c>
      <c r="H172" s="117" t="s">
        <v>517</v>
      </c>
      <c r="I172" s="117" t="s">
        <v>90</v>
      </c>
      <c r="J172" s="107" t="s">
        <v>85</v>
      </c>
      <c r="K172" s="106" t="s">
        <v>749</v>
      </c>
      <c r="L172" s="107" t="s">
        <v>714</v>
      </c>
      <c r="M172" s="108">
        <v>44044.0</v>
      </c>
      <c r="N172" s="106" t="s">
        <v>692</v>
      </c>
      <c r="O172" s="109" t="s">
        <v>690</v>
      </c>
      <c r="P172" s="107" t="s">
        <v>782</v>
      </c>
      <c r="Q172" s="107" t="s">
        <v>782</v>
      </c>
      <c r="R172" s="110"/>
      <c r="S172" s="110"/>
      <c r="T172" s="110"/>
      <c r="U172" s="110"/>
      <c r="V172" s="110"/>
      <c r="W172" s="110"/>
      <c r="X172" s="110"/>
      <c r="Y172" s="110"/>
      <c r="Z172" s="110"/>
    </row>
    <row r="173" ht="15.75" customHeight="1">
      <c r="A173" s="105" t="s">
        <v>553</v>
      </c>
      <c r="B173" s="105" t="s">
        <v>46</v>
      </c>
      <c r="C173" s="106" t="s">
        <v>955</v>
      </c>
      <c r="D173" s="107" t="s">
        <v>135</v>
      </c>
      <c r="E173" s="106" t="s">
        <v>720</v>
      </c>
      <c r="F173" s="126" t="b">
        <v>1</v>
      </c>
      <c r="G173" s="117" t="s">
        <v>517</v>
      </c>
      <c r="H173" s="117" t="s">
        <v>517</v>
      </c>
      <c r="I173" s="117" t="s">
        <v>90</v>
      </c>
      <c r="J173" s="107" t="s">
        <v>85</v>
      </c>
      <c r="K173" s="106" t="s">
        <v>749</v>
      </c>
      <c r="L173" s="107" t="s">
        <v>714</v>
      </c>
      <c r="M173" s="108">
        <v>44044.0</v>
      </c>
      <c r="N173" s="106" t="s">
        <v>692</v>
      </c>
      <c r="O173" s="109" t="s">
        <v>690</v>
      </c>
      <c r="P173" s="107" t="s">
        <v>782</v>
      </c>
      <c r="Q173" s="107" t="s">
        <v>782</v>
      </c>
      <c r="R173" s="110"/>
      <c r="S173" s="110"/>
      <c r="T173" s="110"/>
      <c r="U173" s="110"/>
      <c r="V173" s="110"/>
      <c r="W173" s="110"/>
      <c r="X173" s="110"/>
      <c r="Y173" s="110"/>
      <c r="Z173" s="110"/>
    </row>
    <row r="174" ht="15.75" customHeight="1">
      <c r="A174" s="105" t="s">
        <v>555</v>
      </c>
      <c r="B174" s="105" t="s">
        <v>46</v>
      </c>
      <c r="C174" s="106" t="s">
        <v>956</v>
      </c>
      <c r="D174" s="107" t="s">
        <v>135</v>
      </c>
      <c r="E174" s="106" t="s">
        <v>685</v>
      </c>
      <c r="F174" s="106" t="s">
        <v>936</v>
      </c>
      <c r="G174" s="117" t="s">
        <v>517</v>
      </c>
      <c r="H174" s="117" t="s">
        <v>517</v>
      </c>
      <c r="I174" s="117" t="s">
        <v>90</v>
      </c>
      <c r="J174" s="107" t="s">
        <v>85</v>
      </c>
      <c r="K174" s="106" t="s">
        <v>749</v>
      </c>
      <c r="L174" s="107" t="s">
        <v>714</v>
      </c>
      <c r="M174" s="108">
        <v>44044.0</v>
      </c>
      <c r="N174" s="106" t="s">
        <v>692</v>
      </c>
      <c r="O174" s="109" t="s">
        <v>690</v>
      </c>
      <c r="P174" s="107" t="s">
        <v>782</v>
      </c>
      <c r="Q174" s="107" t="s">
        <v>782</v>
      </c>
      <c r="R174" s="110"/>
      <c r="S174" s="110"/>
      <c r="T174" s="110"/>
      <c r="U174" s="110"/>
      <c r="V174" s="110"/>
      <c r="W174" s="110"/>
      <c r="X174" s="110"/>
      <c r="Y174" s="110"/>
      <c r="Z174" s="110"/>
    </row>
    <row r="175" ht="15.75" customHeight="1">
      <c r="A175" s="105" t="s">
        <v>557</v>
      </c>
      <c r="B175" s="105" t="s">
        <v>46</v>
      </c>
      <c r="C175" s="106" t="s">
        <v>957</v>
      </c>
      <c r="D175" s="107" t="s">
        <v>135</v>
      </c>
      <c r="E175" s="106" t="s">
        <v>685</v>
      </c>
      <c r="F175" s="106" t="s">
        <v>958</v>
      </c>
      <c r="G175" s="117" t="s">
        <v>517</v>
      </c>
      <c r="H175" s="117" t="s">
        <v>517</v>
      </c>
      <c r="I175" s="117" t="s">
        <v>90</v>
      </c>
      <c r="J175" s="107" t="s">
        <v>85</v>
      </c>
      <c r="K175" s="106" t="s">
        <v>749</v>
      </c>
      <c r="L175" s="107" t="s">
        <v>714</v>
      </c>
      <c r="M175" s="108">
        <v>44044.0</v>
      </c>
      <c r="N175" s="106" t="s">
        <v>692</v>
      </c>
      <c r="O175" s="109" t="s">
        <v>690</v>
      </c>
      <c r="P175" s="107" t="s">
        <v>782</v>
      </c>
      <c r="Q175" s="107" t="s">
        <v>782</v>
      </c>
      <c r="R175" s="110"/>
      <c r="S175" s="110"/>
      <c r="T175" s="110"/>
      <c r="U175" s="110"/>
      <c r="V175" s="110"/>
      <c r="W175" s="110"/>
      <c r="X175" s="110"/>
      <c r="Y175" s="110"/>
      <c r="Z175" s="110"/>
    </row>
    <row r="176" ht="15.75" customHeight="1">
      <c r="A176" s="105" t="s">
        <v>560</v>
      </c>
      <c r="B176" s="105" t="s">
        <v>46</v>
      </c>
      <c r="C176" s="106" t="s">
        <v>959</v>
      </c>
      <c r="D176" s="107" t="s">
        <v>135</v>
      </c>
      <c r="E176" s="106" t="s">
        <v>720</v>
      </c>
      <c r="F176" s="126" t="b">
        <v>1</v>
      </c>
      <c r="G176" s="117" t="s">
        <v>517</v>
      </c>
      <c r="H176" s="117" t="s">
        <v>517</v>
      </c>
      <c r="I176" s="117" t="s">
        <v>90</v>
      </c>
      <c r="J176" s="107" t="s">
        <v>85</v>
      </c>
      <c r="K176" s="106" t="s">
        <v>749</v>
      </c>
      <c r="L176" s="107" t="s">
        <v>714</v>
      </c>
      <c r="M176" s="108">
        <v>44044.0</v>
      </c>
      <c r="N176" s="106" t="s">
        <v>692</v>
      </c>
      <c r="O176" s="109" t="s">
        <v>690</v>
      </c>
      <c r="P176" s="107" t="s">
        <v>782</v>
      </c>
      <c r="Q176" s="107" t="s">
        <v>782</v>
      </c>
      <c r="R176" s="110"/>
      <c r="S176" s="110"/>
      <c r="T176" s="110"/>
      <c r="U176" s="110"/>
      <c r="V176" s="110"/>
      <c r="W176" s="110"/>
      <c r="X176" s="110"/>
      <c r="Y176" s="110"/>
      <c r="Z176" s="110"/>
    </row>
    <row r="177" ht="15.75" customHeight="1">
      <c r="A177" s="105" t="s">
        <v>562</v>
      </c>
      <c r="B177" s="105" t="s">
        <v>46</v>
      </c>
      <c r="C177" s="106" t="s">
        <v>960</v>
      </c>
      <c r="D177" s="107" t="s">
        <v>135</v>
      </c>
      <c r="E177" s="106" t="s">
        <v>685</v>
      </c>
      <c r="F177" s="106" t="s">
        <v>936</v>
      </c>
      <c r="G177" s="117" t="s">
        <v>517</v>
      </c>
      <c r="H177" s="117" t="s">
        <v>517</v>
      </c>
      <c r="I177" s="117" t="s">
        <v>90</v>
      </c>
      <c r="J177" s="107" t="s">
        <v>85</v>
      </c>
      <c r="K177" s="106" t="s">
        <v>749</v>
      </c>
      <c r="L177" s="107" t="s">
        <v>714</v>
      </c>
      <c r="M177" s="108">
        <v>44044.0</v>
      </c>
      <c r="N177" s="106" t="s">
        <v>692</v>
      </c>
      <c r="O177" s="109" t="s">
        <v>690</v>
      </c>
      <c r="P177" s="107" t="s">
        <v>782</v>
      </c>
      <c r="Q177" s="107" t="s">
        <v>782</v>
      </c>
      <c r="R177" s="110"/>
      <c r="S177" s="110"/>
      <c r="T177" s="110"/>
      <c r="U177" s="110"/>
      <c r="V177" s="110"/>
      <c r="W177" s="110"/>
      <c r="X177" s="110"/>
      <c r="Y177" s="110"/>
      <c r="Z177" s="110"/>
    </row>
    <row r="178" ht="15.75" customHeight="1">
      <c r="A178" s="105" t="s">
        <v>564</v>
      </c>
      <c r="B178" s="105" t="s">
        <v>46</v>
      </c>
      <c r="C178" s="106" t="s">
        <v>961</v>
      </c>
      <c r="D178" s="107" t="s">
        <v>135</v>
      </c>
      <c r="E178" s="106" t="s">
        <v>685</v>
      </c>
      <c r="F178" s="106" t="s">
        <v>962</v>
      </c>
      <c r="G178" s="117" t="s">
        <v>517</v>
      </c>
      <c r="H178" s="117" t="s">
        <v>517</v>
      </c>
      <c r="I178" s="117" t="s">
        <v>90</v>
      </c>
      <c r="J178" s="107" t="s">
        <v>85</v>
      </c>
      <c r="K178" s="106" t="s">
        <v>749</v>
      </c>
      <c r="L178" s="107" t="s">
        <v>714</v>
      </c>
      <c r="M178" s="108">
        <v>44044.0</v>
      </c>
      <c r="N178" s="106" t="s">
        <v>692</v>
      </c>
      <c r="O178" s="109" t="s">
        <v>690</v>
      </c>
      <c r="P178" s="107" t="s">
        <v>782</v>
      </c>
      <c r="Q178" s="107" t="s">
        <v>782</v>
      </c>
      <c r="R178" s="110"/>
      <c r="S178" s="110"/>
      <c r="T178" s="110"/>
      <c r="U178" s="110"/>
      <c r="V178" s="110"/>
      <c r="W178" s="110"/>
      <c r="X178" s="110"/>
      <c r="Y178" s="110"/>
      <c r="Z178" s="110"/>
    </row>
    <row r="179" ht="15.75" customHeight="1">
      <c r="A179" s="105" t="s">
        <v>567</v>
      </c>
      <c r="B179" s="105" t="s">
        <v>46</v>
      </c>
      <c r="C179" s="106" t="s">
        <v>963</v>
      </c>
      <c r="D179" s="107" t="s">
        <v>135</v>
      </c>
      <c r="E179" s="106" t="s">
        <v>720</v>
      </c>
      <c r="F179" s="126" t="b">
        <v>1</v>
      </c>
      <c r="G179" s="117" t="s">
        <v>517</v>
      </c>
      <c r="H179" s="117" t="s">
        <v>517</v>
      </c>
      <c r="I179" s="117" t="s">
        <v>90</v>
      </c>
      <c r="J179" s="107" t="s">
        <v>85</v>
      </c>
      <c r="K179" s="106" t="s">
        <v>749</v>
      </c>
      <c r="L179" s="107" t="s">
        <v>714</v>
      </c>
      <c r="M179" s="108">
        <v>44044.0</v>
      </c>
      <c r="N179" s="106" t="s">
        <v>692</v>
      </c>
      <c r="O179" s="109" t="s">
        <v>690</v>
      </c>
      <c r="P179" s="107" t="s">
        <v>782</v>
      </c>
      <c r="Q179" s="107" t="s">
        <v>782</v>
      </c>
      <c r="R179" s="110"/>
      <c r="S179" s="110"/>
      <c r="T179" s="110"/>
      <c r="U179" s="110"/>
      <c r="V179" s="110"/>
      <c r="W179" s="110"/>
      <c r="X179" s="110"/>
      <c r="Y179" s="110"/>
      <c r="Z179" s="110"/>
    </row>
    <row r="180" ht="15.75" customHeight="1">
      <c r="A180" s="105" t="s">
        <v>569</v>
      </c>
      <c r="B180" s="105" t="s">
        <v>46</v>
      </c>
      <c r="C180" s="106" t="s">
        <v>964</v>
      </c>
      <c r="D180" s="107" t="s">
        <v>135</v>
      </c>
      <c r="E180" s="106" t="s">
        <v>685</v>
      </c>
      <c r="F180" s="106" t="s">
        <v>936</v>
      </c>
      <c r="G180" s="117" t="s">
        <v>517</v>
      </c>
      <c r="H180" s="117" t="s">
        <v>517</v>
      </c>
      <c r="I180" s="117" t="s">
        <v>90</v>
      </c>
      <c r="J180" s="107" t="s">
        <v>85</v>
      </c>
      <c r="K180" s="106" t="s">
        <v>749</v>
      </c>
      <c r="L180" s="107" t="s">
        <v>714</v>
      </c>
      <c r="M180" s="108">
        <v>44044.0</v>
      </c>
      <c r="N180" s="106" t="s">
        <v>692</v>
      </c>
      <c r="O180" s="109" t="s">
        <v>690</v>
      </c>
      <c r="P180" s="107" t="s">
        <v>782</v>
      </c>
      <c r="Q180" s="107" t="s">
        <v>782</v>
      </c>
      <c r="R180" s="110"/>
      <c r="S180" s="110"/>
      <c r="T180" s="110"/>
      <c r="U180" s="110"/>
      <c r="V180" s="110"/>
      <c r="W180" s="110"/>
      <c r="X180" s="110"/>
      <c r="Y180" s="110"/>
      <c r="Z180" s="110"/>
    </row>
    <row r="181" ht="15.75" customHeight="1">
      <c r="A181" s="105" t="s">
        <v>571</v>
      </c>
      <c r="B181" s="105" t="s">
        <v>46</v>
      </c>
      <c r="C181" s="106" t="s">
        <v>965</v>
      </c>
      <c r="D181" s="107" t="s">
        <v>135</v>
      </c>
      <c r="E181" s="106" t="s">
        <v>685</v>
      </c>
      <c r="F181" s="106" t="s">
        <v>966</v>
      </c>
      <c r="G181" s="117" t="s">
        <v>517</v>
      </c>
      <c r="H181" s="117" t="s">
        <v>517</v>
      </c>
      <c r="I181" s="117" t="s">
        <v>90</v>
      </c>
      <c r="J181" s="107" t="s">
        <v>85</v>
      </c>
      <c r="K181" s="106" t="s">
        <v>749</v>
      </c>
      <c r="L181" s="107" t="s">
        <v>714</v>
      </c>
      <c r="M181" s="108">
        <v>44044.0</v>
      </c>
      <c r="N181" s="106" t="s">
        <v>692</v>
      </c>
      <c r="O181" s="109" t="s">
        <v>690</v>
      </c>
      <c r="P181" s="107" t="s">
        <v>782</v>
      </c>
      <c r="Q181" s="107" t="s">
        <v>782</v>
      </c>
      <c r="R181" s="110"/>
      <c r="S181" s="110"/>
      <c r="T181" s="110"/>
      <c r="U181" s="110"/>
      <c r="V181" s="110"/>
      <c r="W181" s="110"/>
      <c r="X181" s="110"/>
      <c r="Y181" s="110"/>
      <c r="Z181" s="110"/>
    </row>
    <row r="182" ht="15.75" customHeight="1">
      <c r="A182" s="105" t="s">
        <v>574</v>
      </c>
      <c r="B182" s="105" t="s">
        <v>46</v>
      </c>
      <c r="C182" s="106" t="s">
        <v>967</v>
      </c>
      <c r="D182" s="107" t="s">
        <v>135</v>
      </c>
      <c r="E182" s="106" t="s">
        <v>720</v>
      </c>
      <c r="F182" s="126" t="b">
        <v>1</v>
      </c>
      <c r="G182" s="117" t="s">
        <v>517</v>
      </c>
      <c r="H182" s="117" t="s">
        <v>517</v>
      </c>
      <c r="I182" s="117" t="s">
        <v>90</v>
      </c>
      <c r="J182" s="107" t="s">
        <v>85</v>
      </c>
      <c r="K182" s="106" t="s">
        <v>749</v>
      </c>
      <c r="L182" s="107" t="s">
        <v>714</v>
      </c>
      <c r="M182" s="108">
        <v>44044.0</v>
      </c>
      <c r="N182" s="106" t="s">
        <v>692</v>
      </c>
      <c r="O182" s="109" t="s">
        <v>690</v>
      </c>
      <c r="P182" s="107" t="s">
        <v>782</v>
      </c>
      <c r="Q182" s="107" t="s">
        <v>782</v>
      </c>
      <c r="R182" s="110"/>
      <c r="S182" s="110"/>
      <c r="T182" s="110"/>
      <c r="U182" s="110"/>
      <c r="V182" s="110"/>
      <c r="W182" s="110"/>
      <c r="X182" s="110"/>
      <c r="Y182" s="110"/>
      <c r="Z182" s="110"/>
    </row>
    <row r="183" ht="15.75" customHeight="1">
      <c r="A183" s="105" t="s">
        <v>576</v>
      </c>
      <c r="B183" s="105" t="s">
        <v>46</v>
      </c>
      <c r="C183" s="106" t="s">
        <v>968</v>
      </c>
      <c r="D183" s="107" t="s">
        <v>135</v>
      </c>
      <c r="E183" s="106" t="s">
        <v>685</v>
      </c>
      <c r="F183" s="106" t="s">
        <v>936</v>
      </c>
      <c r="G183" s="117" t="s">
        <v>517</v>
      </c>
      <c r="H183" s="117" t="s">
        <v>517</v>
      </c>
      <c r="I183" s="117" t="s">
        <v>90</v>
      </c>
      <c r="J183" s="107" t="s">
        <v>85</v>
      </c>
      <c r="K183" s="106" t="s">
        <v>749</v>
      </c>
      <c r="L183" s="107" t="s">
        <v>714</v>
      </c>
      <c r="M183" s="108">
        <v>44044.0</v>
      </c>
      <c r="N183" s="106" t="s">
        <v>692</v>
      </c>
      <c r="O183" s="109" t="s">
        <v>690</v>
      </c>
      <c r="P183" s="107" t="s">
        <v>782</v>
      </c>
      <c r="Q183" s="107" t="s">
        <v>782</v>
      </c>
      <c r="R183" s="110"/>
      <c r="S183" s="110"/>
      <c r="T183" s="110"/>
      <c r="U183" s="110"/>
      <c r="V183" s="110"/>
      <c r="W183" s="110"/>
      <c r="X183" s="110"/>
      <c r="Y183" s="110"/>
      <c r="Z183" s="110"/>
    </row>
    <row r="184" ht="15.75" customHeight="1">
      <c r="A184" s="105" t="s">
        <v>578</v>
      </c>
      <c r="B184" s="105" t="s">
        <v>46</v>
      </c>
      <c r="C184" s="106" t="s">
        <v>969</v>
      </c>
      <c r="D184" s="107" t="s">
        <v>135</v>
      </c>
      <c r="E184" s="106" t="s">
        <v>685</v>
      </c>
      <c r="F184" s="106" t="s">
        <v>970</v>
      </c>
      <c r="G184" s="117" t="s">
        <v>517</v>
      </c>
      <c r="H184" s="117" t="s">
        <v>517</v>
      </c>
      <c r="I184" s="117" t="s">
        <v>90</v>
      </c>
      <c r="J184" s="107" t="s">
        <v>85</v>
      </c>
      <c r="K184" s="106" t="s">
        <v>749</v>
      </c>
      <c r="L184" s="107" t="s">
        <v>714</v>
      </c>
      <c r="M184" s="108">
        <v>44044.0</v>
      </c>
      <c r="N184" s="106" t="s">
        <v>692</v>
      </c>
      <c r="O184" s="109" t="s">
        <v>690</v>
      </c>
      <c r="P184" s="107" t="s">
        <v>782</v>
      </c>
      <c r="Q184" s="107" t="s">
        <v>782</v>
      </c>
      <c r="R184" s="110"/>
      <c r="S184" s="110"/>
      <c r="T184" s="110"/>
      <c r="U184" s="110"/>
      <c r="V184" s="110"/>
      <c r="W184" s="110"/>
      <c r="X184" s="110"/>
      <c r="Y184" s="110"/>
      <c r="Z184" s="110"/>
    </row>
    <row r="185" ht="15.75" customHeight="1">
      <c r="A185" s="105" t="s">
        <v>581</v>
      </c>
      <c r="B185" s="105" t="s">
        <v>46</v>
      </c>
      <c r="C185" s="106" t="s">
        <v>971</v>
      </c>
      <c r="D185" s="107" t="s">
        <v>135</v>
      </c>
      <c r="E185" s="106" t="s">
        <v>720</v>
      </c>
      <c r="F185" s="126" t="b">
        <v>1</v>
      </c>
      <c r="G185" s="117" t="s">
        <v>517</v>
      </c>
      <c r="H185" s="117" t="s">
        <v>517</v>
      </c>
      <c r="I185" s="117" t="s">
        <v>90</v>
      </c>
      <c r="J185" s="107" t="s">
        <v>85</v>
      </c>
      <c r="K185" s="106" t="s">
        <v>749</v>
      </c>
      <c r="L185" s="107" t="s">
        <v>714</v>
      </c>
      <c r="M185" s="108">
        <v>44044.0</v>
      </c>
      <c r="N185" s="106" t="s">
        <v>692</v>
      </c>
      <c r="O185" s="109" t="s">
        <v>690</v>
      </c>
      <c r="P185" s="107" t="s">
        <v>782</v>
      </c>
      <c r="Q185" s="107" t="s">
        <v>782</v>
      </c>
      <c r="R185" s="110"/>
      <c r="S185" s="110"/>
      <c r="T185" s="110"/>
      <c r="U185" s="110"/>
      <c r="V185" s="110"/>
      <c r="W185" s="110"/>
      <c r="X185" s="110"/>
      <c r="Y185" s="110"/>
      <c r="Z185" s="110"/>
    </row>
    <row r="186" ht="15.75" customHeight="1">
      <c r="A186" s="105" t="s">
        <v>583</v>
      </c>
      <c r="B186" s="105" t="s">
        <v>46</v>
      </c>
      <c r="C186" s="106" t="s">
        <v>972</v>
      </c>
      <c r="D186" s="107" t="s">
        <v>135</v>
      </c>
      <c r="E186" s="106" t="s">
        <v>685</v>
      </c>
      <c r="F186" s="106" t="s">
        <v>936</v>
      </c>
      <c r="G186" s="117" t="s">
        <v>517</v>
      </c>
      <c r="H186" s="117" t="s">
        <v>517</v>
      </c>
      <c r="I186" s="117" t="s">
        <v>90</v>
      </c>
      <c r="J186" s="107" t="s">
        <v>85</v>
      </c>
      <c r="K186" s="106" t="s">
        <v>749</v>
      </c>
      <c r="L186" s="107" t="s">
        <v>714</v>
      </c>
      <c r="M186" s="108">
        <v>44044.0</v>
      </c>
      <c r="N186" s="106" t="s">
        <v>692</v>
      </c>
      <c r="O186" s="109" t="s">
        <v>690</v>
      </c>
      <c r="P186" s="107" t="s">
        <v>782</v>
      </c>
      <c r="Q186" s="107" t="s">
        <v>782</v>
      </c>
      <c r="R186" s="110"/>
      <c r="S186" s="110"/>
      <c r="T186" s="110"/>
      <c r="U186" s="110"/>
      <c r="V186" s="110"/>
      <c r="W186" s="110"/>
      <c r="X186" s="110"/>
      <c r="Y186" s="110"/>
      <c r="Z186" s="110"/>
    </row>
    <row r="187" ht="15.75" customHeight="1">
      <c r="A187" s="105" t="s">
        <v>585</v>
      </c>
      <c r="B187" s="105" t="s">
        <v>46</v>
      </c>
      <c r="C187" s="106" t="s">
        <v>973</v>
      </c>
      <c r="D187" s="107" t="s">
        <v>135</v>
      </c>
      <c r="E187" s="106" t="s">
        <v>685</v>
      </c>
      <c r="F187" s="106" t="s">
        <v>974</v>
      </c>
      <c r="G187" s="117" t="s">
        <v>517</v>
      </c>
      <c r="H187" s="117" t="s">
        <v>517</v>
      </c>
      <c r="I187" s="117" t="s">
        <v>90</v>
      </c>
      <c r="J187" s="107" t="s">
        <v>85</v>
      </c>
      <c r="K187" s="106" t="s">
        <v>749</v>
      </c>
      <c r="L187" s="107" t="s">
        <v>714</v>
      </c>
      <c r="M187" s="108">
        <v>44044.0</v>
      </c>
      <c r="N187" s="106" t="s">
        <v>692</v>
      </c>
      <c r="O187" s="109" t="s">
        <v>690</v>
      </c>
      <c r="P187" s="107" t="s">
        <v>782</v>
      </c>
      <c r="Q187" s="107" t="s">
        <v>782</v>
      </c>
      <c r="R187" s="110"/>
      <c r="S187" s="110"/>
      <c r="T187" s="110"/>
      <c r="U187" s="110"/>
      <c r="V187" s="110"/>
      <c r="W187" s="110"/>
      <c r="X187" s="110"/>
      <c r="Y187" s="110"/>
      <c r="Z187" s="110"/>
    </row>
    <row r="188" ht="15.75" customHeight="1">
      <c r="A188" s="105" t="s">
        <v>588</v>
      </c>
      <c r="B188" s="105" t="s">
        <v>46</v>
      </c>
      <c r="C188" s="106" t="s">
        <v>975</v>
      </c>
      <c r="D188" s="107" t="s">
        <v>135</v>
      </c>
      <c r="E188" s="106" t="s">
        <v>720</v>
      </c>
      <c r="F188" s="126" t="b">
        <v>1</v>
      </c>
      <c r="G188" s="117" t="s">
        <v>517</v>
      </c>
      <c r="H188" s="117" t="s">
        <v>517</v>
      </c>
      <c r="I188" s="117" t="s">
        <v>90</v>
      </c>
      <c r="J188" s="107" t="s">
        <v>85</v>
      </c>
      <c r="K188" s="106" t="s">
        <v>749</v>
      </c>
      <c r="L188" s="107" t="s">
        <v>714</v>
      </c>
      <c r="M188" s="108">
        <v>44044.0</v>
      </c>
      <c r="N188" s="106" t="s">
        <v>692</v>
      </c>
      <c r="O188" s="109" t="s">
        <v>690</v>
      </c>
      <c r="P188" s="107" t="s">
        <v>782</v>
      </c>
      <c r="Q188" s="107" t="s">
        <v>782</v>
      </c>
      <c r="R188" s="110"/>
      <c r="S188" s="110"/>
      <c r="T188" s="110"/>
      <c r="U188" s="110"/>
      <c r="V188" s="110"/>
      <c r="W188" s="110"/>
      <c r="X188" s="110"/>
      <c r="Y188" s="110"/>
      <c r="Z188" s="110"/>
    </row>
    <row r="189" ht="15.75" customHeight="1">
      <c r="A189" s="105" t="s">
        <v>590</v>
      </c>
      <c r="B189" s="105" t="s">
        <v>46</v>
      </c>
      <c r="C189" s="106" t="s">
        <v>976</v>
      </c>
      <c r="D189" s="107" t="s">
        <v>135</v>
      </c>
      <c r="E189" s="106" t="s">
        <v>685</v>
      </c>
      <c r="F189" s="106" t="s">
        <v>977</v>
      </c>
      <c r="G189" s="117" t="s">
        <v>517</v>
      </c>
      <c r="H189" s="117" t="s">
        <v>517</v>
      </c>
      <c r="I189" s="117" t="s">
        <v>90</v>
      </c>
      <c r="J189" s="107" t="s">
        <v>85</v>
      </c>
      <c r="K189" s="106" t="s">
        <v>749</v>
      </c>
      <c r="L189" s="107" t="s">
        <v>714</v>
      </c>
      <c r="M189" s="108">
        <v>44044.0</v>
      </c>
      <c r="N189" s="106" t="s">
        <v>692</v>
      </c>
      <c r="O189" s="109" t="s">
        <v>690</v>
      </c>
      <c r="P189" s="107" t="s">
        <v>782</v>
      </c>
      <c r="Q189" s="107" t="s">
        <v>782</v>
      </c>
      <c r="R189" s="110"/>
      <c r="S189" s="110"/>
      <c r="T189" s="110"/>
      <c r="U189" s="110"/>
      <c r="V189" s="110"/>
      <c r="W189" s="110"/>
      <c r="X189" s="110"/>
      <c r="Y189" s="110"/>
      <c r="Z189" s="110"/>
    </row>
    <row r="190" ht="15.75" customHeight="1">
      <c r="A190" s="105" t="s">
        <v>592</v>
      </c>
      <c r="B190" s="105" t="s">
        <v>46</v>
      </c>
      <c r="C190" s="106" t="s">
        <v>978</v>
      </c>
      <c r="D190" s="107" t="s">
        <v>135</v>
      </c>
      <c r="E190" s="106" t="s">
        <v>685</v>
      </c>
      <c r="F190" s="106" t="s">
        <v>979</v>
      </c>
      <c r="G190" s="117" t="s">
        <v>517</v>
      </c>
      <c r="H190" s="117" t="s">
        <v>517</v>
      </c>
      <c r="I190" s="117" t="s">
        <v>90</v>
      </c>
      <c r="J190" s="107" t="s">
        <v>85</v>
      </c>
      <c r="K190" s="106" t="s">
        <v>749</v>
      </c>
      <c r="L190" s="107" t="s">
        <v>714</v>
      </c>
      <c r="M190" s="108">
        <v>44044.0</v>
      </c>
      <c r="N190" s="106" t="s">
        <v>692</v>
      </c>
      <c r="O190" s="109" t="s">
        <v>690</v>
      </c>
      <c r="P190" s="107" t="s">
        <v>782</v>
      </c>
      <c r="Q190" s="107" t="s">
        <v>782</v>
      </c>
      <c r="R190" s="110"/>
      <c r="S190" s="110"/>
      <c r="T190" s="110"/>
      <c r="U190" s="110"/>
      <c r="V190" s="110"/>
      <c r="W190" s="110"/>
      <c r="X190" s="110"/>
      <c r="Y190" s="110"/>
      <c r="Z190" s="110"/>
    </row>
    <row r="191" ht="15.75" customHeight="1">
      <c r="A191" s="105" t="s">
        <v>595</v>
      </c>
      <c r="B191" s="105" t="s">
        <v>46</v>
      </c>
      <c r="C191" s="106" t="s">
        <v>980</v>
      </c>
      <c r="D191" s="107" t="s">
        <v>135</v>
      </c>
      <c r="E191" s="106" t="s">
        <v>720</v>
      </c>
      <c r="F191" s="126" t="b">
        <v>1</v>
      </c>
      <c r="G191" s="117" t="s">
        <v>517</v>
      </c>
      <c r="H191" s="117" t="s">
        <v>517</v>
      </c>
      <c r="I191" s="117" t="s">
        <v>90</v>
      </c>
      <c r="J191" s="107" t="s">
        <v>85</v>
      </c>
      <c r="K191" s="106" t="s">
        <v>749</v>
      </c>
      <c r="L191" s="107" t="s">
        <v>714</v>
      </c>
      <c r="M191" s="108">
        <v>44044.0</v>
      </c>
      <c r="N191" s="106" t="s">
        <v>692</v>
      </c>
      <c r="O191" s="109" t="s">
        <v>690</v>
      </c>
      <c r="P191" s="107" t="s">
        <v>782</v>
      </c>
      <c r="Q191" s="107" t="s">
        <v>782</v>
      </c>
      <c r="R191" s="110"/>
      <c r="S191" s="110"/>
      <c r="T191" s="110"/>
      <c r="U191" s="110"/>
      <c r="V191" s="110"/>
      <c r="W191" s="110"/>
      <c r="X191" s="110"/>
      <c r="Y191" s="110"/>
      <c r="Z191" s="110"/>
    </row>
    <row r="192" ht="15.75" customHeight="1">
      <c r="A192" s="105" t="s">
        <v>597</v>
      </c>
      <c r="B192" s="105" t="s">
        <v>46</v>
      </c>
      <c r="C192" s="106" t="s">
        <v>981</v>
      </c>
      <c r="D192" s="107" t="s">
        <v>135</v>
      </c>
      <c r="E192" s="106" t="s">
        <v>685</v>
      </c>
      <c r="F192" s="106" t="s">
        <v>982</v>
      </c>
      <c r="G192" s="117" t="s">
        <v>517</v>
      </c>
      <c r="H192" s="117" t="s">
        <v>517</v>
      </c>
      <c r="I192" s="117" t="s">
        <v>90</v>
      </c>
      <c r="J192" s="107" t="s">
        <v>85</v>
      </c>
      <c r="K192" s="106" t="s">
        <v>749</v>
      </c>
      <c r="L192" s="107" t="s">
        <v>714</v>
      </c>
      <c r="M192" s="108">
        <v>44044.0</v>
      </c>
      <c r="N192" s="106" t="s">
        <v>692</v>
      </c>
      <c r="O192" s="109" t="s">
        <v>690</v>
      </c>
      <c r="P192" s="107" t="s">
        <v>782</v>
      </c>
      <c r="Q192" s="107" t="s">
        <v>782</v>
      </c>
      <c r="R192" s="110"/>
      <c r="S192" s="110"/>
      <c r="T192" s="110"/>
      <c r="U192" s="110"/>
      <c r="V192" s="110"/>
      <c r="W192" s="110"/>
      <c r="X192" s="110"/>
      <c r="Y192" s="110"/>
      <c r="Z192" s="110"/>
    </row>
    <row r="193" ht="15.75" customHeight="1">
      <c r="A193" s="105" t="s">
        <v>599</v>
      </c>
      <c r="B193" s="105" t="s">
        <v>46</v>
      </c>
      <c r="C193" s="106" t="s">
        <v>983</v>
      </c>
      <c r="D193" s="107" t="s">
        <v>135</v>
      </c>
      <c r="E193" s="106" t="s">
        <v>685</v>
      </c>
      <c r="F193" s="106" t="s">
        <v>984</v>
      </c>
      <c r="G193" s="117" t="s">
        <v>517</v>
      </c>
      <c r="H193" s="117" t="s">
        <v>517</v>
      </c>
      <c r="I193" s="117" t="s">
        <v>90</v>
      </c>
      <c r="J193" s="107" t="s">
        <v>85</v>
      </c>
      <c r="K193" s="106" t="s">
        <v>749</v>
      </c>
      <c r="L193" s="107" t="s">
        <v>714</v>
      </c>
      <c r="M193" s="108">
        <v>44044.0</v>
      </c>
      <c r="N193" s="106" t="s">
        <v>692</v>
      </c>
      <c r="O193" s="109" t="s">
        <v>690</v>
      </c>
      <c r="P193" s="107" t="s">
        <v>782</v>
      </c>
      <c r="Q193" s="107" t="s">
        <v>782</v>
      </c>
      <c r="R193" s="110"/>
      <c r="S193" s="110"/>
      <c r="T193" s="110"/>
      <c r="U193" s="110"/>
      <c r="V193" s="110"/>
      <c r="W193" s="110"/>
      <c r="X193" s="110"/>
      <c r="Y193" s="110"/>
      <c r="Z193" s="110"/>
    </row>
    <row r="194" ht="15.75" customHeight="1">
      <c r="A194" s="105" t="s">
        <v>602</v>
      </c>
      <c r="B194" s="105" t="s">
        <v>46</v>
      </c>
      <c r="C194" s="106" t="s">
        <v>985</v>
      </c>
      <c r="D194" s="107" t="s">
        <v>135</v>
      </c>
      <c r="E194" s="106" t="s">
        <v>720</v>
      </c>
      <c r="F194" s="126" t="b">
        <v>1</v>
      </c>
      <c r="G194" s="117" t="s">
        <v>517</v>
      </c>
      <c r="H194" s="117" t="s">
        <v>517</v>
      </c>
      <c r="I194" s="117" t="s">
        <v>90</v>
      </c>
      <c r="J194" s="107" t="s">
        <v>85</v>
      </c>
      <c r="K194" s="106" t="s">
        <v>749</v>
      </c>
      <c r="L194" s="107" t="s">
        <v>714</v>
      </c>
      <c r="M194" s="108">
        <v>44044.0</v>
      </c>
      <c r="N194" s="106" t="s">
        <v>692</v>
      </c>
      <c r="O194" s="109" t="s">
        <v>690</v>
      </c>
      <c r="P194" s="107" t="s">
        <v>782</v>
      </c>
      <c r="Q194" s="107" t="s">
        <v>782</v>
      </c>
      <c r="R194" s="110"/>
      <c r="S194" s="110"/>
      <c r="T194" s="110"/>
      <c r="U194" s="110"/>
      <c r="V194" s="110"/>
      <c r="W194" s="110"/>
      <c r="X194" s="110"/>
      <c r="Y194" s="110"/>
      <c r="Z194" s="110"/>
    </row>
    <row r="195" ht="15.75" customHeight="1">
      <c r="A195" s="105" t="s">
        <v>604</v>
      </c>
      <c r="B195" s="105" t="s">
        <v>46</v>
      </c>
      <c r="C195" s="106" t="s">
        <v>986</v>
      </c>
      <c r="D195" s="107" t="s">
        <v>135</v>
      </c>
      <c r="E195" s="106" t="s">
        <v>685</v>
      </c>
      <c r="F195" s="106" t="s">
        <v>936</v>
      </c>
      <c r="G195" s="117" t="s">
        <v>517</v>
      </c>
      <c r="H195" s="117" t="s">
        <v>517</v>
      </c>
      <c r="I195" s="117" t="s">
        <v>90</v>
      </c>
      <c r="J195" s="107" t="s">
        <v>85</v>
      </c>
      <c r="K195" s="106" t="s">
        <v>749</v>
      </c>
      <c r="L195" s="107" t="s">
        <v>714</v>
      </c>
      <c r="M195" s="108">
        <v>44044.0</v>
      </c>
      <c r="N195" s="106" t="s">
        <v>692</v>
      </c>
      <c r="O195" s="109" t="s">
        <v>690</v>
      </c>
      <c r="P195" s="107" t="s">
        <v>782</v>
      </c>
      <c r="Q195" s="107" t="s">
        <v>782</v>
      </c>
      <c r="R195" s="110"/>
      <c r="S195" s="110"/>
      <c r="T195" s="110"/>
      <c r="U195" s="110"/>
      <c r="V195" s="110"/>
      <c r="W195" s="110"/>
      <c r="X195" s="110"/>
      <c r="Y195" s="110"/>
      <c r="Z195" s="110"/>
    </row>
    <row r="196" ht="15.75" customHeight="1">
      <c r="A196" s="105" t="s">
        <v>606</v>
      </c>
      <c r="B196" s="105" t="s">
        <v>46</v>
      </c>
      <c r="C196" s="106" t="s">
        <v>987</v>
      </c>
      <c r="D196" s="107" t="s">
        <v>135</v>
      </c>
      <c r="E196" s="106" t="s">
        <v>685</v>
      </c>
      <c r="F196" s="106" t="s">
        <v>988</v>
      </c>
      <c r="G196" s="124" t="s">
        <v>517</v>
      </c>
      <c r="H196" s="124" t="s">
        <v>517</v>
      </c>
      <c r="I196" s="117" t="s">
        <v>90</v>
      </c>
      <c r="J196" s="112" t="s">
        <v>85</v>
      </c>
      <c r="K196" s="106" t="s">
        <v>749</v>
      </c>
      <c r="L196" s="107" t="s">
        <v>714</v>
      </c>
      <c r="M196" s="108">
        <v>44044.0</v>
      </c>
      <c r="N196" s="106" t="s">
        <v>692</v>
      </c>
      <c r="O196" s="109" t="s">
        <v>690</v>
      </c>
      <c r="P196" s="107" t="s">
        <v>782</v>
      </c>
      <c r="Q196" s="107" t="s">
        <v>782</v>
      </c>
      <c r="R196" s="110"/>
      <c r="S196" s="110"/>
      <c r="T196" s="110"/>
      <c r="U196" s="110"/>
      <c r="V196" s="110"/>
      <c r="W196" s="110"/>
      <c r="X196" s="110"/>
      <c r="Y196" s="110"/>
      <c r="Z196" s="110"/>
    </row>
    <row r="197" ht="15.75" customHeight="1">
      <c r="A197" s="105" t="s">
        <v>609</v>
      </c>
      <c r="B197" s="105" t="s">
        <v>46</v>
      </c>
      <c r="C197" s="106" t="s">
        <v>989</v>
      </c>
      <c r="D197" s="107" t="s">
        <v>135</v>
      </c>
      <c r="E197" s="106" t="s">
        <v>720</v>
      </c>
      <c r="F197" s="126" t="b">
        <v>1</v>
      </c>
      <c r="G197" s="117" t="s">
        <v>517</v>
      </c>
      <c r="H197" s="117" t="s">
        <v>517</v>
      </c>
      <c r="I197" s="117" t="s">
        <v>90</v>
      </c>
      <c r="J197" s="107" t="s">
        <v>85</v>
      </c>
      <c r="K197" s="106" t="s">
        <v>749</v>
      </c>
      <c r="L197" s="107" t="s">
        <v>714</v>
      </c>
      <c r="M197" s="108">
        <v>44013.0</v>
      </c>
      <c r="N197" s="106" t="s">
        <v>692</v>
      </c>
      <c r="O197" s="109" t="s">
        <v>690</v>
      </c>
      <c r="P197" s="107" t="s">
        <v>782</v>
      </c>
      <c r="Q197" s="107" t="s">
        <v>782</v>
      </c>
      <c r="R197" s="110"/>
      <c r="S197" s="110"/>
      <c r="T197" s="110"/>
      <c r="U197" s="110"/>
      <c r="V197" s="110"/>
      <c r="W197" s="110"/>
      <c r="X197" s="110"/>
      <c r="Y197" s="110"/>
      <c r="Z197" s="110"/>
    </row>
    <row r="198" ht="15.75" customHeight="1">
      <c r="A198" s="105" t="s">
        <v>611</v>
      </c>
      <c r="B198" s="105" t="s">
        <v>46</v>
      </c>
      <c r="C198" s="106" t="s">
        <v>990</v>
      </c>
      <c r="D198" s="107" t="s">
        <v>135</v>
      </c>
      <c r="E198" s="106" t="s">
        <v>685</v>
      </c>
      <c r="F198" s="106" t="s">
        <v>982</v>
      </c>
      <c r="G198" s="117" t="s">
        <v>517</v>
      </c>
      <c r="H198" s="117" t="s">
        <v>517</v>
      </c>
      <c r="I198" s="117" t="s">
        <v>90</v>
      </c>
      <c r="J198" s="107" t="s">
        <v>85</v>
      </c>
      <c r="K198" s="106" t="s">
        <v>749</v>
      </c>
      <c r="L198" s="107" t="s">
        <v>714</v>
      </c>
      <c r="M198" s="108">
        <v>44013.0</v>
      </c>
      <c r="N198" s="106" t="s">
        <v>692</v>
      </c>
      <c r="O198" s="109" t="s">
        <v>690</v>
      </c>
      <c r="P198" s="107" t="s">
        <v>782</v>
      </c>
      <c r="Q198" s="107" t="s">
        <v>782</v>
      </c>
      <c r="R198" s="110"/>
      <c r="S198" s="110"/>
      <c r="T198" s="110"/>
      <c r="U198" s="110"/>
      <c r="V198" s="110"/>
      <c r="W198" s="110"/>
      <c r="X198" s="110"/>
      <c r="Y198" s="110"/>
      <c r="Z198" s="110"/>
    </row>
    <row r="199" ht="15.75" customHeight="1">
      <c r="A199" s="105" t="s">
        <v>613</v>
      </c>
      <c r="B199" s="105" t="s">
        <v>46</v>
      </c>
      <c r="C199" s="106" t="s">
        <v>991</v>
      </c>
      <c r="D199" s="107" t="s">
        <v>135</v>
      </c>
      <c r="E199" s="106" t="s">
        <v>685</v>
      </c>
      <c r="F199" s="106" t="s">
        <v>992</v>
      </c>
      <c r="G199" s="117" t="s">
        <v>517</v>
      </c>
      <c r="H199" s="117" t="s">
        <v>517</v>
      </c>
      <c r="I199" s="117" t="s">
        <v>90</v>
      </c>
      <c r="J199" s="107" t="s">
        <v>85</v>
      </c>
      <c r="K199" s="106" t="s">
        <v>749</v>
      </c>
      <c r="L199" s="107" t="s">
        <v>714</v>
      </c>
      <c r="M199" s="108">
        <v>44013.0</v>
      </c>
      <c r="N199" s="106" t="s">
        <v>692</v>
      </c>
      <c r="O199" s="109" t="s">
        <v>690</v>
      </c>
      <c r="P199" s="107" t="s">
        <v>782</v>
      </c>
      <c r="Q199" s="107" t="s">
        <v>782</v>
      </c>
      <c r="R199" s="110"/>
      <c r="S199" s="110"/>
      <c r="T199" s="110"/>
      <c r="U199" s="110"/>
      <c r="V199" s="110"/>
      <c r="W199" s="110"/>
      <c r="X199" s="110"/>
      <c r="Y199" s="110"/>
      <c r="Z199" s="110"/>
    </row>
    <row r="200" ht="15.75" customHeight="1">
      <c r="A200" s="129" t="s">
        <v>1332</v>
      </c>
      <c r="B200" s="105" t="s">
        <v>46</v>
      </c>
      <c r="C200" s="106" t="s">
        <v>993</v>
      </c>
      <c r="D200" s="107" t="s">
        <v>135</v>
      </c>
      <c r="E200" s="106" t="s">
        <v>720</v>
      </c>
      <c r="F200" s="126" t="b">
        <v>1</v>
      </c>
      <c r="G200" s="117" t="s">
        <v>517</v>
      </c>
      <c r="H200" s="117" t="s">
        <v>517</v>
      </c>
      <c r="I200" s="117" t="s">
        <v>90</v>
      </c>
      <c r="J200" s="107" t="s">
        <v>85</v>
      </c>
      <c r="K200" s="106" t="s">
        <v>749</v>
      </c>
      <c r="L200" s="107" t="s">
        <v>714</v>
      </c>
      <c r="M200" s="108">
        <v>44013.0</v>
      </c>
      <c r="N200" s="106" t="s">
        <v>692</v>
      </c>
      <c r="O200" s="109" t="s">
        <v>690</v>
      </c>
      <c r="P200" s="107" t="s">
        <v>782</v>
      </c>
      <c r="Q200" s="107" t="s">
        <v>782</v>
      </c>
      <c r="R200" s="110"/>
      <c r="S200" s="110"/>
      <c r="T200" s="110"/>
      <c r="U200" s="110"/>
      <c r="V200" s="110"/>
      <c r="W200" s="110"/>
      <c r="X200" s="110"/>
      <c r="Y200" s="110"/>
      <c r="Z200" s="110"/>
    </row>
    <row r="201" ht="15.75" customHeight="1">
      <c r="A201" s="105" t="s">
        <v>1333</v>
      </c>
      <c r="B201" s="105" t="s">
        <v>46</v>
      </c>
      <c r="C201" s="106" t="s">
        <v>994</v>
      </c>
      <c r="D201" s="107" t="s">
        <v>135</v>
      </c>
      <c r="E201" s="106" t="s">
        <v>685</v>
      </c>
      <c r="F201" s="106" t="s">
        <v>977</v>
      </c>
      <c r="G201" s="117" t="s">
        <v>517</v>
      </c>
      <c r="H201" s="117" t="s">
        <v>517</v>
      </c>
      <c r="I201" s="117" t="s">
        <v>90</v>
      </c>
      <c r="J201" s="107" t="s">
        <v>85</v>
      </c>
      <c r="K201" s="106" t="s">
        <v>749</v>
      </c>
      <c r="L201" s="107" t="s">
        <v>714</v>
      </c>
      <c r="M201" s="108">
        <v>44013.0</v>
      </c>
      <c r="N201" s="106" t="s">
        <v>692</v>
      </c>
      <c r="O201" s="109" t="s">
        <v>690</v>
      </c>
      <c r="P201" s="107" t="s">
        <v>782</v>
      </c>
      <c r="Q201" s="107" t="s">
        <v>782</v>
      </c>
      <c r="R201" s="110"/>
      <c r="S201" s="110"/>
      <c r="T201" s="110"/>
      <c r="U201" s="110"/>
      <c r="V201" s="110"/>
      <c r="W201" s="110"/>
      <c r="X201" s="110"/>
      <c r="Y201" s="110"/>
      <c r="Z201" s="110"/>
    </row>
    <row r="202" ht="15.75" customHeight="1">
      <c r="A202" s="105" t="s">
        <v>1334</v>
      </c>
      <c r="B202" s="105" t="s">
        <v>46</v>
      </c>
      <c r="C202" s="106" t="s">
        <v>995</v>
      </c>
      <c r="D202" s="107" t="s">
        <v>135</v>
      </c>
      <c r="E202" s="106" t="s">
        <v>685</v>
      </c>
      <c r="F202" s="106" t="s">
        <v>996</v>
      </c>
      <c r="G202" s="117" t="s">
        <v>517</v>
      </c>
      <c r="H202" s="117" t="s">
        <v>517</v>
      </c>
      <c r="I202" s="117" t="s">
        <v>90</v>
      </c>
      <c r="J202" s="107" t="s">
        <v>85</v>
      </c>
      <c r="K202" s="106" t="s">
        <v>749</v>
      </c>
      <c r="L202" s="107" t="s">
        <v>714</v>
      </c>
      <c r="M202" s="108">
        <v>44013.0</v>
      </c>
      <c r="N202" s="106" t="s">
        <v>692</v>
      </c>
      <c r="O202" s="109" t="s">
        <v>690</v>
      </c>
      <c r="P202" s="107" t="s">
        <v>782</v>
      </c>
      <c r="Q202" s="107" t="s">
        <v>782</v>
      </c>
      <c r="R202" s="110"/>
      <c r="S202" s="110"/>
      <c r="T202" s="110"/>
      <c r="U202" s="110"/>
      <c r="V202" s="110"/>
      <c r="W202" s="110"/>
      <c r="X202" s="110"/>
      <c r="Y202" s="110"/>
      <c r="Z202" s="110"/>
    </row>
    <row r="203" ht="15.75" customHeight="1">
      <c r="A203" s="105" t="s">
        <v>630</v>
      </c>
      <c r="B203" s="105" t="s">
        <v>46</v>
      </c>
      <c r="C203" s="106" t="s">
        <v>997</v>
      </c>
      <c r="D203" s="107" t="s">
        <v>135</v>
      </c>
      <c r="E203" s="106" t="s">
        <v>720</v>
      </c>
      <c r="F203" s="126" t="b">
        <v>1</v>
      </c>
      <c r="G203" s="117" t="s">
        <v>517</v>
      </c>
      <c r="H203" s="117" t="s">
        <v>517</v>
      </c>
      <c r="I203" s="117" t="s">
        <v>90</v>
      </c>
      <c r="J203" s="107" t="s">
        <v>85</v>
      </c>
      <c r="K203" s="106" t="s">
        <v>749</v>
      </c>
      <c r="L203" s="107" t="s">
        <v>714</v>
      </c>
      <c r="M203" s="108">
        <v>44044.0</v>
      </c>
      <c r="N203" s="106" t="s">
        <v>692</v>
      </c>
      <c r="O203" s="109" t="s">
        <v>690</v>
      </c>
      <c r="P203" s="107" t="s">
        <v>782</v>
      </c>
      <c r="Q203" s="107" t="s">
        <v>782</v>
      </c>
      <c r="R203" s="110"/>
      <c r="S203" s="110"/>
      <c r="T203" s="110"/>
      <c r="U203" s="110"/>
      <c r="V203" s="110"/>
      <c r="W203" s="110"/>
      <c r="X203" s="110"/>
      <c r="Y203" s="110"/>
      <c r="Z203" s="110"/>
    </row>
    <row r="204" ht="15.75" customHeight="1">
      <c r="A204" s="105" t="s">
        <v>632</v>
      </c>
      <c r="B204" s="105" t="s">
        <v>46</v>
      </c>
      <c r="C204" s="106" t="s">
        <v>998</v>
      </c>
      <c r="D204" s="107" t="s">
        <v>135</v>
      </c>
      <c r="E204" s="106" t="s">
        <v>685</v>
      </c>
      <c r="F204" s="106" t="s">
        <v>982</v>
      </c>
      <c r="G204" s="117" t="s">
        <v>517</v>
      </c>
      <c r="H204" s="117" t="s">
        <v>517</v>
      </c>
      <c r="I204" s="117" t="s">
        <v>90</v>
      </c>
      <c r="J204" s="107" t="s">
        <v>85</v>
      </c>
      <c r="K204" s="106" t="s">
        <v>749</v>
      </c>
      <c r="L204" s="107" t="s">
        <v>714</v>
      </c>
      <c r="M204" s="108">
        <v>44044.0</v>
      </c>
      <c r="N204" s="106" t="s">
        <v>692</v>
      </c>
      <c r="O204" s="109" t="s">
        <v>690</v>
      </c>
      <c r="P204" s="107" t="s">
        <v>782</v>
      </c>
      <c r="Q204" s="107" t="s">
        <v>782</v>
      </c>
      <c r="R204" s="110"/>
      <c r="S204" s="110"/>
      <c r="T204" s="110"/>
      <c r="U204" s="110"/>
      <c r="V204" s="110"/>
      <c r="W204" s="110"/>
      <c r="X204" s="110"/>
      <c r="Y204" s="110"/>
      <c r="Z204" s="110"/>
    </row>
    <row r="205" ht="15.75" customHeight="1">
      <c r="A205" s="105" t="s">
        <v>634</v>
      </c>
      <c r="B205" s="105" t="s">
        <v>46</v>
      </c>
      <c r="C205" s="106" t="s">
        <v>999</v>
      </c>
      <c r="D205" s="107" t="s">
        <v>135</v>
      </c>
      <c r="E205" s="106" t="s">
        <v>685</v>
      </c>
      <c r="F205" s="106" t="s">
        <v>1000</v>
      </c>
      <c r="G205" s="117" t="s">
        <v>517</v>
      </c>
      <c r="H205" s="117" t="s">
        <v>517</v>
      </c>
      <c r="I205" s="117" t="s">
        <v>90</v>
      </c>
      <c r="J205" s="107" t="s">
        <v>85</v>
      </c>
      <c r="K205" s="106" t="s">
        <v>749</v>
      </c>
      <c r="L205" s="107" t="s">
        <v>714</v>
      </c>
      <c r="M205" s="108">
        <v>44044.0</v>
      </c>
      <c r="N205" s="106" t="s">
        <v>692</v>
      </c>
      <c r="O205" s="109" t="s">
        <v>690</v>
      </c>
      <c r="P205" s="107" t="s">
        <v>782</v>
      </c>
      <c r="Q205" s="107" t="s">
        <v>782</v>
      </c>
      <c r="R205" s="110"/>
      <c r="S205" s="110"/>
      <c r="T205" s="110"/>
      <c r="U205" s="110"/>
      <c r="V205" s="110"/>
      <c r="W205" s="110"/>
      <c r="X205" s="110"/>
      <c r="Y205" s="110"/>
      <c r="Z205" s="110"/>
    </row>
    <row r="206" ht="15.75" customHeight="1">
      <c r="A206" s="105" t="s">
        <v>637</v>
      </c>
      <c r="B206" s="105" t="s">
        <v>46</v>
      </c>
      <c r="C206" s="106" t="s">
        <v>1001</v>
      </c>
      <c r="D206" s="107" t="s">
        <v>135</v>
      </c>
      <c r="E206" s="106" t="s">
        <v>720</v>
      </c>
      <c r="F206" s="126" t="b">
        <v>1</v>
      </c>
      <c r="G206" s="117" t="s">
        <v>517</v>
      </c>
      <c r="H206" s="117" t="s">
        <v>517</v>
      </c>
      <c r="I206" s="117" t="s">
        <v>90</v>
      </c>
      <c r="J206" s="107" t="s">
        <v>85</v>
      </c>
      <c r="K206" s="106" t="s">
        <v>749</v>
      </c>
      <c r="L206" s="107" t="s">
        <v>714</v>
      </c>
      <c r="M206" s="108">
        <v>44044.0</v>
      </c>
      <c r="N206" s="106" t="s">
        <v>692</v>
      </c>
      <c r="O206" s="109" t="s">
        <v>690</v>
      </c>
      <c r="P206" s="107" t="s">
        <v>782</v>
      </c>
      <c r="Q206" s="107" t="s">
        <v>782</v>
      </c>
      <c r="R206" s="110"/>
      <c r="S206" s="110"/>
      <c r="T206" s="110"/>
      <c r="U206" s="110"/>
      <c r="V206" s="110"/>
      <c r="W206" s="110"/>
      <c r="X206" s="110"/>
      <c r="Y206" s="110"/>
      <c r="Z206" s="110"/>
    </row>
    <row r="207" ht="15.75" customHeight="1">
      <c r="A207" s="105" t="s">
        <v>639</v>
      </c>
      <c r="B207" s="105" t="s">
        <v>46</v>
      </c>
      <c r="C207" s="106" t="s">
        <v>1002</v>
      </c>
      <c r="D207" s="107" t="s">
        <v>135</v>
      </c>
      <c r="E207" s="106" t="s">
        <v>685</v>
      </c>
      <c r="F207" s="106" t="s">
        <v>977</v>
      </c>
      <c r="G207" s="117" t="s">
        <v>517</v>
      </c>
      <c r="H207" s="117" t="s">
        <v>517</v>
      </c>
      <c r="I207" s="117" t="s">
        <v>90</v>
      </c>
      <c r="J207" s="107" t="s">
        <v>85</v>
      </c>
      <c r="K207" s="106" t="s">
        <v>749</v>
      </c>
      <c r="L207" s="107" t="s">
        <v>714</v>
      </c>
      <c r="M207" s="108">
        <v>44044.0</v>
      </c>
      <c r="N207" s="106" t="s">
        <v>692</v>
      </c>
      <c r="O207" s="109" t="s">
        <v>690</v>
      </c>
      <c r="P207" s="107" t="s">
        <v>782</v>
      </c>
      <c r="Q207" s="107" t="s">
        <v>782</v>
      </c>
      <c r="R207" s="110"/>
      <c r="S207" s="110"/>
      <c r="T207" s="110"/>
      <c r="U207" s="110"/>
      <c r="V207" s="110"/>
      <c r="W207" s="110"/>
      <c r="X207" s="110"/>
      <c r="Y207" s="110"/>
      <c r="Z207" s="110"/>
    </row>
    <row r="208" ht="15.75" customHeight="1">
      <c r="A208" s="105" t="s">
        <v>641</v>
      </c>
      <c r="B208" s="105" t="s">
        <v>46</v>
      </c>
      <c r="C208" s="106" t="s">
        <v>1003</v>
      </c>
      <c r="D208" s="107" t="s">
        <v>135</v>
      </c>
      <c r="E208" s="106" t="s">
        <v>685</v>
      </c>
      <c r="F208" s="106" t="s">
        <v>1000</v>
      </c>
      <c r="G208" s="117" t="s">
        <v>517</v>
      </c>
      <c r="H208" s="117" t="s">
        <v>517</v>
      </c>
      <c r="I208" s="117" t="s">
        <v>90</v>
      </c>
      <c r="J208" s="107" t="s">
        <v>85</v>
      </c>
      <c r="K208" s="106" t="s">
        <v>749</v>
      </c>
      <c r="L208" s="107" t="s">
        <v>714</v>
      </c>
      <c r="M208" s="108">
        <v>44044.0</v>
      </c>
      <c r="N208" s="106" t="s">
        <v>692</v>
      </c>
      <c r="O208" s="109" t="s">
        <v>690</v>
      </c>
      <c r="P208" s="107" t="s">
        <v>782</v>
      </c>
      <c r="Q208" s="107" t="s">
        <v>782</v>
      </c>
      <c r="R208" s="110"/>
      <c r="S208" s="110"/>
      <c r="T208" s="110"/>
      <c r="U208" s="110"/>
      <c r="V208" s="110"/>
      <c r="W208" s="110"/>
      <c r="X208" s="110"/>
      <c r="Y208" s="110"/>
      <c r="Z208" s="110"/>
    </row>
    <row r="209" ht="15.75" customHeight="1">
      <c r="A209" s="105" t="s">
        <v>644</v>
      </c>
      <c r="B209" s="105" t="s">
        <v>46</v>
      </c>
      <c r="C209" s="106" t="s">
        <v>1004</v>
      </c>
      <c r="D209" s="107" t="s">
        <v>135</v>
      </c>
      <c r="E209" s="106" t="s">
        <v>720</v>
      </c>
      <c r="F209" s="126" t="b">
        <v>1</v>
      </c>
      <c r="G209" s="117" t="s">
        <v>517</v>
      </c>
      <c r="H209" s="117" t="s">
        <v>517</v>
      </c>
      <c r="I209" s="117" t="s">
        <v>90</v>
      </c>
      <c r="J209" s="107" t="s">
        <v>85</v>
      </c>
      <c r="K209" s="106" t="s">
        <v>749</v>
      </c>
      <c r="L209" s="107" t="s">
        <v>714</v>
      </c>
      <c r="M209" s="108">
        <v>44044.0</v>
      </c>
      <c r="N209" s="106" t="s">
        <v>692</v>
      </c>
      <c r="O209" s="109" t="s">
        <v>690</v>
      </c>
      <c r="P209" s="107" t="s">
        <v>782</v>
      </c>
      <c r="Q209" s="107" t="s">
        <v>782</v>
      </c>
      <c r="R209" s="110"/>
      <c r="S209" s="110"/>
      <c r="T209" s="110"/>
      <c r="U209" s="110"/>
      <c r="V209" s="110"/>
      <c r="W209" s="110"/>
      <c r="X209" s="110"/>
      <c r="Y209" s="110"/>
      <c r="Z209" s="110"/>
    </row>
    <row r="210" ht="15.75" customHeight="1">
      <c r="A210" s="105" t="s">
        <v>646</v>
      </c>
      <c r="B210" s="105" t="s">
        <v>46</v>
      </c>
      <c r="C210" s="106" t="s">
        <v>1005</v>
      </c>
      <c r="D210" s="107" t="s">
        <v>135</v>
      </c>
      <c r="E210" s="106" t="s">
        <v>685</v>
      </c>
      <c r="F210" s="106" t="s">
        <v>936</v>
      </c>
      <c r="G210" s="117" t="s">
        <v>517</v>
      </c>
      <c r="H210" s="117" t="s">
        <v>517</v>
      </c>
      <c r="I210" s="117" t="s">
        <v>90</v>
      </c>
      <c r="J210" s="107" t="s">
        <v>85</v>
      </c>
      <c r="K210" s="106" t="s">
        <v>749</v>
      </c>
      <c r="L210" s="107" t="s">
        <v>714</v>
      </c>
      <c r="M210" s="108">
        <v>44044.0</v>
      </c>
      <c r="N210" s="106" t="s">
        <v>692</v>
      </c>
      <c r="O210" s="109" t="s">
        <v>690</v>
      </c>
      <c r="P210" s="107" t="s">
        <v>782</v>
      </c>
      <c r="Q210" s="107" t="s">
        <v>782</v>
      </c>
      <c r="R210" s="110"/>
      <c r="S210" s="110"/>
      <c r="T210" s="110"/>
      <c r="U210" s="110"/>
      <c r="V210" s="110"/>
      <c r="W210" s="110"/>
      <c r="X210" s="110"/>
      <c r="Y210" s="110"/>
      <c r="Z210" s="110"/>
    </row>
    <row r="211" ht="15.75" customHeight="1">
      <c r="A211" s="105" t="s">
        <v>648</v>
      </c>
      <c r="B211" s="105" t="s">
        <v>46</v>
      </c>
      <c r="C211" s="106" t="s">
        <v>1006</v>
      </c>
      <c r="D211" s="107" t="s">
        <v>135</v>
      </c>
      <c r="E211" s="106" t="s">
        <v>685</v>
      </c>
      <c r="F211" s="106" t="s">
        <v>1007</v>
      </c>
      <c r="G211" s="117" t="s">
        <v>517</v>
      </c>
      <c r="H211" s="117" t="s">
        <v>517</v>
      </c>
      <c r="I211" s="117" t="s">
        <v>90</v>
      </c>
      <c r="J211" s="107" t="s">
        <v>85</v>
      </c>
      <c r="K211" s="106" t="s">
        <v>749</v>
      </c>
      <c r="L211" s="107" t="s">
        <v>714</v>
      </c>
      <c r="M211" s="108">
        <v>44044.0</v>
      </c>
      <c r="N211" s="106" t="s">
        <v>692</v>
      </c>
      <c r="O211" s="109" t="s">
        <v>690</v>
      </c>
      <c r="P211" s="107" t="s">
        <v>782</v>
      </c>
      <c r="Q211" s="107" t="s">
        <v>782</v>
      </c>
      <c r="R211" s="110"/>
      <c r="S211" s="110"/>
      <c r="T211" s="110"/>
      <c r="U211" s="110"/>
      <c r="V211" s="110"/>
      <c r="W211" s="110"/>
      <c r="X211" s="110"/>
      <c r="Y211" s="110"/>
      <c r="Z211" s="110"/>
    </row>
    <row r="212" ht="15.75" customHeight="1">
      <c r="A212" s="105" t="s">
        <v>651</v>
      </c>
      <c r="B212" s="105" t="s">
        <v>46</v>
      </c>
      <c r="C212" s="106" t="s">
        <v>1008</v>
      </c>
      <c r="D212" s="107" t="s">
        <v>135</v>
      </c>
      <c r="E212" s="106" t="s">
        <v>720</v>
      </c>
      <c r="F212" s="126" t="b">
        <v>1</v>
      </c>
      <c r="G212" s="117" t="s">
        <v>517</v>
      </c>
      <c r="H212" s="117" t="s">
        <v>517</v>
      </c>
      <c r="I212" s="117" t="s">
        <v>90</v>
      </c>
      <c r="J212" s="107" t="s">
        <v>85</v>
      </c>
      <c r="K212" s="106" t="s">
        <v>749</v>
      </c>
      <c r="L212" s="107" t="s">
        <v>714</v>
      </c>
      <c r="M212" s="108">
        <v>44044.0</v>
      </c>
      <c r="N212" s="106" t="s">
        <v>692</v>
      </c>
      <c r="O212" s="109" t="s">
        <v>690</v>
      </c>
      <c r="P212" s="107" t="s">
        <v>782</v>
      </c>
      <c r="Q212" s="107" t="s">
        <v>782</v>
      </c>
      <c r="R212" s="110"/>
      <c r="S212" s="110"/>
      <c r="T212" s="110"/>
      <c r="U212" s="110"/>
      <c r="V212" s="110"/>
      <c r="W212" s="110"/>
      <c r="X212" s="110"/>
      <c r="Y212" s="110"/>
      <c r="Z212" s="110"/>
    </row>
    <row r="213" ht="15.75" customHeight="1">
      <c r="A213" s="105" t="s">
        <v>653</v>
      </c>
      <c r="B213" s="105" t="s">
        <v>46</v>
      </c>
      <c r="C213" s="106" t="s">
        <v>1009</v>
      </c>
      <c r="D213" s="107" t="s">
        <v>135</v>
      </c>
      <c r="E213" s="106" t="s">
        <v>685</v>
      </c>
      <c r="F213" s="106" t="s">
        <v>936</v>
      </c>
      <c r="G213" s="117" t="s">
        <v>517</v>
      </c>
      <c r="H213" s="117" t="s">
        <v>517</v>
      </c>
      <c r="I213" s="117" t="s">
        <v>90</v>
      </c>
      <c r="J213" s="107" t="s">
        <v>85</v>
      </c>
      <c r="K213" s="106" t="s">
        <v>749</v>
      </c>
      <c r="L213" s="107" t="s">
        <v>714</v>
      </c>
      <c r="M213" s="108">
        <v>44044.0</v>
      </c>
      <c r="N213" s="106" t="s">
        <v>692</v>
      </c>
      <c r="O213" s="109" t="s">
        <v>690</v>
      </c>
      <c r="P213" s="107" t="s">
        <v>782</v>
      </c>
      <c r="Q213" s="107" t="s">
        <v>782</v>
      </c>
      <c r="R213" s="110"/>
      <c r="S213" s="110"/>
      <c r="T213" s="110"/>
      <c r="U213" s="110"/>
      <c r="V213" s="110"/>
      <c r="W213" s="110"/>
      <c r="X213" s="110"/>
      <c r="Y213" s="110"/>
      <c r="Z213" s="110"/>
    </row>
    <row r="214" ht="15.75" customHeight="1">
      <c r="A214" s="105" t="s">
        <v>655</v>
      </c>
      <c r="B214" s="105" t="s">
        <v>46</v>
      </c>
      <c r="C214" s="106" t="s">
        <v>1010</v>
      </c>
      <c r="D214" s="107" t="s">
        <v>135</v>
      </c>
      <c r="E214" s="106" t="s">
        <v>685</v>
      </c>
      <c r="F214" s="106" t="s">
        <v>1011</v>
      </c>
      <c r="G214" s="117" t="s">
        <v>517</v>
      </c>
      <c r="H214" s="117" t="s">
        <v>517</v>
      </c>
      <c r="I214" s="117" t="s">
        <v>90</v>
      </c>
      <c r="J214" s="107" t="s">
        <v>85</v>
      </c>
      <c r="K214" s="106" t="s">
        <v>749</v>
      </c>
      <c r="L214" s="107" t="s">
        <v>714</v>
      </c>
      <c r="M214" s="108">
        <v>44044.0</v>
      </c>
      <c r="N214" s="106" t="s">
        <v>692</v>
      </c>
      <c r="O214" s="109" t="s">
        <v>690</v>
      </c>
      <c r="P214" s="107" t="s">
        <v>782</v>
      </c>
      <c r="Q214" s="107" t="s">
        <v>782</v>
      </c>
      <c r="R214" s="110"/>
      <c r="S214" s="110"/>
      <c r="T214" s="110"/>
      <c r="U214" s="110"/>
      <c r="V214" s="110"/>
      <c r="W214" s="110"/>
      <c r="X214" s="110"/>
      <c r="Y214" s="110"/>
      <c r="Z214" s="110"/>
    </row>
    <row r="215" ht="15.75" customHeight="1">
      <c r="A215" s="105" t="s">
        <v>658</v>
      </c>
      <c r="B215" s="105" t="s">
        <v>46</v>
      </c>
      <c r="C215" s="106" t="s">
        <v>1012</v>
      </c>
      <c r="D215" s="107" t="s">
        <v>135</v>
      </c>
      <c r="E215" s="106" t="s">
        <v>720</v>
      </c>
      <c r="F215" s="126" t="b">
        <v>1</v>
      </c>
      <c r="G215" s="117" t="s">
        <v>517</v>
      </c>
      <c r="H215" s="117" t="s">
        <v>517</v>
      </c>
      <c r="I215" s="117" t="s">
        <v>90</v>
      </c>
      <c r="J215" s="107" t="s">
        <v>85</v>
      </c>
      <c r="K215" s="106" t="s">
        <v>749</v>
      </c>
      <c r="L215" s="107" t="s">
        <v>714</v>
      </c>
      <c r="M215" s="108">
        <v>44013.0</v>
      </c>
      <c r="N215" s="106" t="s">
        <v>692</v>
      </c>
      <c r="O215" s="109" t="s">
        <v>690</v>
      </c>
      <c r="P215" s="107" t="s">
        <v>782</v>
      </c>
      <c r="Q215" s="107" t="s">
        <v>782</v>
      </c>
      <c r="R215" s="110"/>
      <c r="S215" s="110"/>
      <c r="T215" s="110"/>
      <c r="U215" s="110"/>
      <c r="V215" s="110"/>
      <c r="W215" s="110"/>
      <c r="X215" s="110"/>
      <c r="Y215" s="110"/>
      <c r="Z215" s="110"/>
    </row>
    <row r="216" ht="15.75" customHeight="1">
      <c r="A216" s="105" t="s">
        <v>660</v>
      </c>
      <c r="B216" s="105" t="s">
        <v>46</v>
      </c>
      <c r="C216" s="106" t="s">
        <v>1013</v>
      </c>
      <c r="D216" s="107" t="s">
        <v>135</v>
      </c>
      <c r="E216" s="106" t="s">
        <v>685</v>
      </c>
      <c r="F216" s="106" t="s">
        <v>936</v>
      </c>
      <c r="G216" s="117" t="s">
        <v>517</v>
      </c>
      <c r="H216" s="117" t="s">
        <v>517</v>
      </c>
      <c r="I216" s="117" t="s">
        <v>90</v>
      </c>
      <c r="J216" s="107" t="s">
        <v>85</v>
      </c>
      <c r="K216" s="106" t="s">
        <v>749</v>
      </c>
      <c r="L216" s="107" t="s">
        <v>714</v>
      </c>
      <c r="M216" s="108">
        <v>44013.0</v>
      </c>
      <c r="N216" s="106" t="s">
        <v>692</v>
      </c>
      <c r="O216" s="109" t="s">
        <v>690</v>
      </c>
      <c r="P216" s="107" t="s">
        <v>782</v>
      </c>
      <c r="Q216" s="107" t="s">
        <v>782</v>
      </c>
      <c r="R216" s="110"/>
      <c r="S216" s="110"/>
      <c r="T216" s="110"/>
      <c r="U216" s="110"/>
      <c r="V216" s="110"/>
      <c r="W216" s="110"/>
      <c r="X216" s="110"/>
      <c r="Y216" s="110"/>
      <c r="Z216" s="110"/>
    </row>
    <row r="217" ht="15.75" customHeight="1">
      <c r="A217" s="105" t="s">
        <v>662</v>
      </c>
      <c r="B217" s="105" t="s">
        <v>46</v>
      </c>
      <c r="C217" s="106" t="s">
        <v>1014</v>
      </c>
      <c r="D217" s="107" t="s">
        <v>135</v>
      </c>
      <c r="E217" s="106" t="s">
        <v>685</v>
      </c>
      <c r="F217" s="106" t="s">
        <v>1015</v>
      </c>
      <c r="G217" s="124" t="s">
        <v>517</v>
      </c>
      <c r="H217" s="124" t="s">
        <v>517</v>
      </c>
      <c r="I217" s="117" t="s">
        <v>90</v>
      </c>
      <c r="J217" s="112" t="s">
        <v>85</v>
      </c>
      <c r="K217" s="106" t="s">
        <v>749</v>
      </c>
      <c r="L217" s="107" t="s">
        <v>714</v>
      </c>
      <c r="M217" s="108">
        <v>44013.0</v>
      </c>
      <c r="N217" s="106" t="s">
        <v>692</v>
      </c>
      <c r="O217" s="109" t="s">
        <v>690</v>
      </c>
      <c r="P217" s="107" t="s">
        <v>782</v>
      </c>
      <c r="Q217" s="107" t="s">
        <v>782</v>
      </c>
      <c r="R217" s="110"/>
      <c r="S217" s="110"/>
      <c r="T217" s="110"/>
      <c r="U217" s="110"/>
      <c r="V217" s="110"/>
      <c r="W217" s="110"/>
      <c r="X217" s="110"/>
      <c r="Y217" s="110"/>
      <c r="Z217" s="110"/>
    </row>
    <row r="218" ht="15.75" customHeight="1">
      <c r="A218" s="105" t="s">
        <v>665</v>
      </c>
      <c r="B218" s="105" t="s">
        <v>46</v>
      </c>
      <c r="C218" s="106" t="s">
        <v>1016</v>
      </c>
      <c r="D218" s="107" t="s">
        <v>135</v>
      </c>
      <c r="E218" s="106" t="s">
        <v>720</v>
      </c>
      <c r="F218" s="126" t="b">
        <v>1</v>
      </c>
      <c r="G218" s="117" t="s">
        <v>517</v>
      </c>
      <c r="H218" s="117" t="s">
        <v>517</v>
      </c>
      <c r="I218" s="117" t="s">
        <v>90</v>
      </c>
      <c r="J218" s="107" t="s">
        <v>85</v>
      </c>
      <c r="K218" s="106" t="s">
        <v>749</v>
      </c>
      <c r="L218" s="107" t="s">
        <v>714</v>
      </c>
      <c r="M218" s="108">
        <v>44013.0</v>
      </c>
      <c r="N218" s="106" t="s">
        <v>692</v>
      </c>
      <c r="O218" s="109" t="s">
        <v>690</v>
      </c>
      <c r="P218" s="107" t="s">
        <v>782</v>
      </c>
      <c r="Q218" s="107" t="s">
        <v>782</v>
      </c>
      <c r="R218" s="110"/>
      <c r="S218" s="110"/>
      <c r="T218" s="110"/>
      <c r="U218" s="110"/>
      <c r="V218" s="110"/>
      <c r="W218" s="110"/>
      <c r="X218" s="110"/>
      <c r="Y218" s="110"/>
      <c r="Z218" s="110"/>
    </row>
    <row r="219" ht="15.75" customHeight="1">
      <c r="A219" s="105" t="s">
        <v>667</v>
      </c>
      <c r="B219" s="105" t="s">
        <v>46</v>
      </c>
      <c r="C219" s="106" t="s">
        <v>1335</v>
      </c>
      <c r="D219" s="107" t="s">
        <v>135</v>
      </c>
      <c r="E219" s="106" t="s">
        <v>685</v>
      </c>
      <c r="F219" s="106" t="s">
        <v>936</v>
      </c>
      <c r="G219" s="117" t="s">
        <v>517</v>
      </c>
      <c r="H219" s="117" t="s">
        <v>517</v>
      </c>
      <c r="I219" s="117" t="s">
        <v>90</v>
      </c>
      <c r="J219" s="107" t="s">
        <v>85</v>
      </c>
      <c r="K219" s="106" t="s">
        <v>749</v>
      </c>
      <c r="L219" s="107" t="s">
        <v>714</v>
      </c>
      <c r="M219" s="108">
        <v>44013.0</v>
      </c>
      <c r="N219" s="106" t="s">
        <v>692</v>
      </c>
      <c r="O219" s="109" t="s">
        <v>690</v>
      </c>
      <c r="P219" s="107" t="s">
        <v>782</v>
      </c>
      <c r="Q219" s="107" t="s">
        <v>782</v>
      </c>
      <c r="R219" s="110"/>
      <c r="S219" s="110"/>
      <c r="T219" s="110"/>
      <c r="U219" s="110"/>
      <c r="V219" s="110"/>
      <c r="W219" s="110"/>
      <c r="X219" s="110"/>
      <c r="Y219" s="110"/>
      <c r="Z219" s="110"/>
    </row>
    <row r="220" ht="15.75" customHeight="1">
      <c r="A220" s="105" t="s">
        <v>669</v>
      </c>
      <c r="B220" s="105" t="s">
        <v>46</v>
      </c>
      <c r="C220" s="106" t="s">
        <v>1018</v>
      </c>
      <c r="D220" s="107" t="s">
        <v>135</v>
      </c>
      <c r="E220" s="106" t="s">
        <v>685</v>
      </c>
      <c r="F220" s="106" t="s">
        <v>1019</v>
      </c>
      <c r="G220" s="117" t="s">
        <v>517</v>
      </c>
      <c r="H220" s="117" t="s">
        <v>517</v>
      </c>
      <c r="I220" s="117" t="s">
        <v>90</v>
      </c>
      <c r="J220" s="107" t="s">
        <v>85</v>
      </c>
      <c r="K220" s="106" t="s">
        <v>749</v>
      </c>
      <c r="L220" s="107" t="s">
        <v>714</v>
      </c>
      <c r="M220" s="108">
        <v>44013.0</v>
      </c>
      <c r="N220" s="106" t="s">
        <v>692</v>
      </c>
      <c r="O220" s="109" t="s">
        <v>690</v>
      </c>
      <c r="P220" s="107" t="s">
        <v>782</v>
      </c>
      <c r="Q220" s="107" t="s">
        <v>782</v>
      </c>
      <c r="R220" s="110"/>
      <c r="S220" s="110"/>
      <c r="T220" s="110"/>
      <c r="U220" s="110"/>
      <c r="V220" s="110"/>
      <c r="W220" s="110"/>
      <c r="X220" s="110"/>
      <c r="Y220" s="110"/>
      <c r="Z220" s="110"/>
    </row>
    <row r="221" ht="15.75" customHeight="1">
      <c r="A221" s="105" t="s">
        <v>672</v>
      </c>
      <c r="B221" s="105" t="s">
        <v>46</v>
      </c>
      <c r="C221" s="106" t="s">
        <v>1020</v>
      </c>
      <c r="D221" s="107" t="s">
        <v>135</v>
      </c>
      <c r="E221" s="106" t="s">
        <v>720</v>
      </c>
      <c r="F221" s="126" t="b">
        <v>1</v>
      </c>
      <c r="G221" s="117" t="s">
        <v>517</v>
      </c>
      <c r="H221" s="117" t="s">
        <v>517</v>
      </c>
      <c r="I221" s="117" t="s">
        <v>90</v>
      </c>
      <c r="J221" s="107" t="s">
        <v>85</v>
      </c>
      <c r="K221" s="106" t="s">
        <v>749</v>
      </c>
      <c r="L221" s="107" t="s">
        <v>714</v>
      </c>
      <c r="M221" s="108">
        <v>44013.0</v>
      </c>
      <c r="N221" s="106" t="s">
        <v>692</v>
      </c>
      <c r="O221" s="109" t="s">
        <v>690</v>
      </c>
      <c r="P221" s="107" t="s">
        <v>782</v>
      </c>
      <c r="Q221" s="107" t="s">
        <v>782</v>
      </c>
      <c r="R221" s="110"/>
      <c r="S221" s="110"/>
      <c r="T221" s="110"/>
      <c r="U221" s="110"/>
      <c r="V221" s="110"/>
      <c r="W221" s="110"/>
      <c r="X221" s="110"/>
      <c r="Y221" s="110"/>
      <c r="Z221" s="110"/>
    </row>
    <row r="222" ht="15.75" customHeight="1">
      <c r="A222" s="105" t="s">
        <v>674</v>
      </c>
      <c r="B222" s="105" t="s">
        <v>46</v>
      </c>
      <c r="C222" s="106" t="s">
        <v>1021</v>
      </c>
      <c r="D222" s="107" t="s">
        <v>135</v>
      </c>
      <c r="E222" s="106" t="s">
        <v>685</v>
      </c>
      <c r="F222" s="106" t="s">
        <v>936</v>
      </c>
      <c r="G222" s="117" t="s">
        <v>517</v>
      </c>
      <c r="H222" s="117" t="s">
        <v>517</v>
      </c>
      <c r="I222" s="117" t="s">
        <v>90</v>
      </c>
      <c r="J222" s="107" t="s">
        <v>85</v>
      </c>
      <c r="K222" s="106" t="s">
        <v>749</v>
      </c>
      <c r="L222" s="107" t="s">
        <v>714</v>
      </c>
      <c r="M222" s="108">
        <v>44013.0</v>
      </c>
      <c r="N222" s="106" t="s">
        <v>692</v>
      </c>
      <c r="O222" s="109" t="s">
        <v>690</v>
      </c>
      <c r="P222" s="107" t="s">
        <v>782</v>
      </c>
      <c r="Q222" s="107" t="s">
        <v>782</v>
      </c>
      <c r="R222" s="110"/>
      <c r="S222" s="110"/>
      <c r="T222" s="110"/>
      <c r="U222" s="110"/>
      <c r="V222" s="110"/>
      <c r="W222" s="110"/>
      <c r="X222" s="110"/>
      <c r="Y222" s="110"/>
      <c r="Z222" s="110"/>
    </row>
    <row r="223" ht="15.75" customHeight="1">
      <c r="A223" s="105" t="s">
        <v>676</v>
      </c>
      <c r="B223" s="105" t="s">
        <v>46</v>
      </c>
      <c r="C223" s="106" t="s">
        <v>1022</v>
      </c>
      <c r="D223" s="107" t="s">
        <v>135</v>
      </c>
      <c r="E223" s="106" t="s">
        <v>685</v>
      </c>
      <c r="F223" s="106" t="s">
        <v>1023</v>
      </c>
      <c r="G223" s="117" t="s">
        <v>517</v>
      </c>
      <c r="H223" s="117" t="s">
        <v>517</v>
      </c>
      <c r="I223" s="117" t="s">
        <v>90</v>
      </c>
      <c r="J223" s="107" t="s">
        <v>85</v>
      </c>
      <c r="K223" s="106" t="s">
        <v>749</v>
      </c>
      <c r="L223" s="107" t="s">
        <v>714</v>
      </c>
      <c r="M223" s="108">
        <v>44013.0</v>
      </c>
      <c r="N223" s="106" t="s">
        <v>692</v>
      </c>
      <c r="O223" s="109" t="s">
        <v>690</v>
      </c>
      <c r="P223" s="107" t="s">
        <v>782</v>
      </c>
      <c r="Q223" s="107" t="s">
        <v>782</v>
      </c>
      <c r="R223" s="110"/>
      <c r="S223" s="110"/>
      <c r="T223" s="110"/>
      <c r="U223" s="110"/>
      <c r="V223" s="110"/>
      <c r="W223" s="110"/>
      <c r="X223" s="110"/>
      <c r="Y223" s="110"/>
      <c r="Z223" s="110"/>
    </row>
    <row r="224" ht="15.75" customHeight="1">
      <c r="A224" s="105" t="s">
        <v>472</v>
      </c>
      <c r="B224" s="105" t="s">
        <v>197</v>
      </c>
      <c r="C224" s="106" t="s">
        <v>475</v>
      </c>
      <c r="D224" s="107" t="s">
        <v>185</v>
      </c>
      <c r="E224" s="106" t="s">
        <v>713</v>
      </c>
      <c r="F224" s="107">
        <v>1.0</v>
      </c>
      <c r="G224" s="107" t="s">
        <v>476</v>
      </c>
      <c r="H224" s="107" t="s">
        <v>476</v>
      </c>
      <c r="I224" s="107" t="s">
        <v>476</v>
      </c>
      <c r="J224" s="107" t="s">
        <v>85</v>
      </c>
      <c r="K224" s="106" t="s">
        <v>749</v>
      </c>
      <c r="L224" s="107" t="s">
        <v>749</v>
      </c>
      <c r="M224" s="108">
        <v>44044.0</v>
      </c>
      <c r="N224" s="106" t="s">
        <v>692</v>
      </c>
      <c r="O224" s="109" t="s">
        <v>690</v>
      </c>
      <c r="P224" s="107" t="s">
        <v>724</v>
      </c>
      <c r="Q224" s="107" t="s">
        <v>724</v>
      </c>
      <c r="R224" s="110"/>
      <c r="S224" s="110"/>
      <c r="T224" s="110"/>
      <c r="U224" s="110"/>
      <c r="V224" s="110"/>
      <c r="W224" s="110"/>
      <c r="X224" s="110"/>
      <c r="Y224" s="110"/>
      <c r="Z224" s="110"/>
    </row>
    <row r="225" ht="15.75" customHeight="1">
      <c r="A225" s="105" t="s">
        <v>477</v>
      </c>
      <c r="B225" s="105" t="s">
        <v>197</v>
      </c>
      <c r="C225" s="106" t="s">
        <v>1024</v>
      </c>
      <c r="D225" s="107" t="s">
        <v>185</v>
      </c>
      <c r="E225" s="106" t="s">
        <v>713</v>
      </c>
      <c r="F225" s="107">
        <v>1.0</v>
      </c>
      <c r="G225" s="107" t="s">
        <v>476</v>
      </c>
      <c r="H225" s="107" t="s">
        <v>476</v>
      </c>
      <c r="I225" s="107" t="s">
        <v>476</v>
      </c>
      <c r="J225" s="107" t="s">
        <v>85</v>
      </c>
      <c r="K225" s="106" t="s">
        <v>749</v>
      </c>
      <c r="L225" s="107" t="s">
        <v>749</v>
      </c>
      <c r="M225" s="108">
        <v>44044.0</v>
      </c>
      <c r="N225" s="106" t="s">
        <v>692</v>
      </c>
      <c r="O225" s="109" t="s">
        <v>690</v>
      </c>
      <c r="P225" s="107" t="s">
        <v>724</v>
      </c>
      <c r="Q225" s="107" t="s">
        <v>724</v>
      </c>
      <c r="R225" s="110"/>
      <c r="S225" s="110"/>
      <c r="T225" s="110"/>
      <c r="U225" s="110"/>
      <c r="V225" s="110"/>
      <c r="W225" s="110"/>
      <c r="X225" s="110"/>
      <c r="Y225" s="110"/>
      <c r="Z225" s="110"/>
    </row>
    <row r="226" ht="15.75" customHeight="1">
      <c r="A226" s="105" t="s">
        <v>479</v>
      </c>
      <c r="B226" s="105" t="s">
        <v>197</v>
      </c>
      <c r="C226" s="106" t="s">
        <v>1025</v>
      </c>
      <c r="D226" s="107" t="s">
        <v>185</v>
      </c>
      <c r="E226" s="106" t="s">
        <v>694</v>
      </c>
      <c r="F226" s="107">
        <v>2.242180288E9</v>
      </c>
      <c r="G226" s="107" t="s">
        <v>476</v>
      </c>
      <c r="H226" s="107" t="s">
        <v>476</v>
      </c>
      <c r="I226" s="107" t="s">
        <v>476</v>
      </c>
      <c r="J226" s="107" t="s">
        <v>85</v>
      </c>
      <c r="K226" s="106" t="s">
        <v>749</v>
      </c>
      <c r="L226" s="107" t="s">
        <v>749</v>
      </c>
      <c r="M226" s="108">
        <v>44044.0</v>
      </c>
      <c r="N226" s="106" t="s">
        <v>692</v>
      </c>
      <c r="O226" s="109" t="s">
        <v>690</v>
      </c>
      <c r="P226" s="107" t="s">
        <v>724</v>
      </c>
      <c r="Q226" s="107" t="s">
        <v>724</v>
      </c>
      <c r="R226" s="110"/>
      <c r="S226" s="110"/>
      <c r="T226" s="110"/>
      <c r="U226" s="110"/>
      <c r="V226" s="110"/>
      <c r="W226" s="110"/>
      <c r="X226" s="110"/>
      <c r="Y226" s="110"/>
      <c r="Z226" s="110"/>
    </row>
    <row r="227" ht="15.75" customHeight="1">
      <c r="A227" s="105" t="s">
        <v>1026</v>
      </c>
      <c r="B227" s="105" t="s">
        <v>46</v>
      </c>
      <c r="C227" s="106" t="s">
        <v>1027</v>
      </c>
      <c r="D227" s="107" t="s">
        <v>135</v>
      </c>
      <c r="E227" s="106" t="s">
        <v>720</v>
      </c>
      <c r="F227" s="126" t="b">
        <v>1</v>
      </c>
      <c r="G227" s="117" t="s">
        <v>517</v>
      </c>
      <c r="H227" s="117" t="s">
        <v>517</v>
      </c>
      <c r="I227" s="117" t="s">
        <v>90</v>
      </c>
      <c r="J227" s="107" t="s">
        <v>85</v>
      </c>
      <c r="K227" s="106" t="s">
        <v>749</v>
      </c>
      <c r="L227" s="107" t="s">
        <v>714</v>
      </c>
      <c r="M227" s="108">
        <v>44044.0</v>
      </c>
      <c r="N227" s="106" t="s">
        <v>692</v>
      </c>
      <c r="O227" s="109" t="s">
        <v>690</v>
      </c>
      <c r="P227" s="107" t="s">
        <v>782</v>
      </c>
      <c r="Q227" s="107" t="s">
        <v>782</v>
      </c>
      <c r="R227" s="110"/>
      <c r="S227" s="110"/>
      <c r="T227" s="110"/>
      <c r="U227" s="110"/>
      <c r="V227" s="110"/>
      <c r="W227" s="110"/>
      <c r="X227" s="110"/>
      <c r="Y227" s="110"/>
      <c r="Z227" s="110"/>
    </row>
    <row r="228" ht="15.75" customHeight="1">
      <c r="A228" s="105" t="s">
        <v>1028</v>
      </c>
      <c r="B228" s="105" t="s">
        <v>46</v>
      </c>
      <c r="C228" s="106" t="s">
        <v>1029</v>
      </c>
      <c r="D228" s="107" t="s">
        <v>135</v>
      </c>
      <c r="E228" s="106" t="s">
        <v>685</v>
      </c>
      <c r="F228" s="106" t="s">
        <v>936</v>
      </c>
      <c r="G228" s="117" t="s">
        <v>517</v>
      </c>
      <c r="H228" s="117" t="s">
        <v>517</v>
      </c>
      <c r="I228" s="117" t="s">
        <v>90</v>
      </c>
      <c r="J228" s="107" t="s">
        <v>85</v>
      </c>
      <c r="K228" s="106" t="s">
        <v>749</v>
      </c>
      <c r="L228" s="107" t="s">
        <v>714</v>
      </c>
      <c r="M228" s="108">
        <v>44044.0</v>
      </c>
      <c r="N228" s="106" t="s">
        <v>692</v>
      </c>
      <c r="O228" s="109" t="s">
        <v>690</v>
      </c>
      <c r="P228" s="107" t="s">
        <v>782</v>
      </c>
      <c r="Q228" s="107" t="s">
        <v>782</v>
      </c>
      <c r="R228" s="110"/>
      <c r="S228" s="110"/>
      <c r="T228" s="110"/>
      <c r="U228" s="110"/>
      <c r="V228" s="110"/>
      <c r="W228" s="110"/>
      <c r="X228" s="110"/>
      <c r="Y228" s="110"/>
      <c r="Z228" s="110"/>
    </row>
    <row r="229" ht="15.75" customHeight="1">
      <c r="A229" s="105" t="s">
        <v>1030</v>
      </c>
      <c r="B229" s="105" t="s">
        <v>46</v>
      </c>
      <c r="C229" s="106" t="s">
        <v>1031</v>
      </c>
      <c r="D229" s="107" t="s">
        <v>135</v>
      </c>
      <c r="E229" s="106" t="s">
        <v>685</v>
      </c>
      <c r="F229" s="106" t="s">
        <v>1032</v>
      </c>
      <c r="G229" s="117" t="s">
        <v>517</v>
      </c>
      <c r="H229" s="117" t="s">
        <v>517</v>
      </c>
      <c r="I229" s="117" t="s">
        <v>90</v>
      </c>
      <c r="J229" s="107" t="s">
        <v>85</v>
      </c>
      <c r="K229" s="106" t="s">
        <v>749</v>
      </c>
      <c r="L229" s="107" t="s">
        <v>714</v>
      </c>
      <c r="M229" s="108">
        <v>44044.0</v>
      </c>
      <c r="N229" s="106" t="s">
        <v>692</v>
      </c>
      <c r="O229" s="109" t="s">
        <v>690</v>
      </c>
      <c r="P229" s="107" t="s">
        <v>782</v>
      </c>
      <c r="Q229" s="107" t="s">
        <v>782</v>
      </c>
      <c r="R229" s="110"/>
      <c r="S229" s="110"/>
      <c r="T229" s="110"/>
      <c r="U229" s="110"/>
      <c r="V229" s="110"/>
      <c r="W229" s="110"/>
      <c r="X229" s="110"/>
      <c r="Y229" s="110"/>
      <c r="Z229" s="110"/>
    </row>
    <row r="230" ht="15.75" customHeight="1">
      <c r="A230" s="105" t="s">
        <v>1336</v>
      </c>
      <c r="B230" s="105" t="s">
        <v>46</v>
      </c>
      <c r="C230" s="106" t="s">
        <v>1034</v>
      </c>
      <c r="D230" s="107" t="s">
        <v>135</v>
      </c>
      <c r="E230" s="106" t="s">
        <v>720</v>
      </c>
      <c r="F230" s="126" t="b">
        <v>1</v>
      </c>
      <c r="G230" s="117" t="s">
        <v>517</v>
      </c>
      <c r="H230" s="117" t="s">
        <v>517</v>
      </c>
      <c r="I230" s="117" t="s">
        <v>90</v>
      </c>
      <c r="J230" s="107" t="s">
        <v>85</v>
      </c>
      <c r="K230" s="106" t="s">
        <v>749</v>
      </c>
      <c r="L230" s="107" t="s">
        <v>714</v>
      </c>
      <c r="M230" s="108">
        <v>44044.0</v>
      </c>
      <c r="N230" s="106" t="s">
        <v>692</v>
      </c>
      <c r="O230" s="109" t="s">
        <v>690</v>
      </c>
      <c r="P230" s="107" t="s">
        <v>782</v>
      </c>
      <c r="Q230" s="107" t="s">
        <v>782</v>
      </c>
      <c r="R230" s="110"/>
      <c r="S230" s="110"/>
      <c r="T230" s="110"/>
      <c r="U230" s="110"/>
      <c r="V230" s="110"/>
      <c r="W230" s="110"/>
      <c r="X230" s="110"/>
      <c r="Y230" s="110"/>
      <c r="Z230" s="110"/>
    </row>
    <row r="231" ht="15.75" customHeight="1">
      <c r="A231" s="105" t="s">
        <v>1337</v>
      </c>
      <c r="B231" s="105" t="s">
        <v>46</v>
      </c>
      <c r="C231" s="106" t="s">
        <v>1036</v>
      </c>
      <c r="D231" s="107" t="s">
        <v>135</v>
      </c>
      <c r="E231" s="106" t="s">
        <v>685</v>
      </c>
      <c r="F231" s="106" t="s">
        <v>936</v>
      </c>
      <c r="G231" s="117" t="s">
        <v>517</v>
      </c>
      <c r="H231" s="117" t="s">
        <v>517</v>
      </c>
      <c r="I231" s="117" t="s">
        <v>90</v>
      </c>
      <c r="J231" s="107" t="s">
        <v>85</v>
      </c>
      <c r="K231" s="106" t="s">
        <v>749</v>
      </c>
      <c r="L231" s="107" t="s">
        <v>714</v>
      </c>
      <c r="M231" s="108">
        <v>44044.0</v>
      </c>
      <c r="N231" s="106" t="s">
        <v>692</v>
      </c>
      <c r="O231" s="109" t="s">
        <v>690</v>
      </c>
      <c r="P231" s="107" t="s">
        <v>782</v>
      </c>
      <c r="Q231" s="107" t="s">
        <v>782</v>
      </c>
      <c r="R231" s="110"/>
      <c r="S231" s="110"/>
      <c r="T231" s="110"/>
      <c r="U231" s="110"/>
      <c r="V231" s="110"/>
      <c r="W231" s="110"/>
      <c r="X231" s="110"/>
      <c r="Y231" s="110"/>
      <c r="Z231" s="110"/>
    </row>
    <row r="232" ht="15.75" customHeight="1">
      <c r="A232" s="105" t="s">
        <v>1338</v>
      </c>
      <c r="B232" s="105" t="s">
        <v>46</v>
      </c>
      <c r="C232" s="106" t="s">
        <v>1038</v>
      </c>
      <c r="D232" s="107" t="s">
        <v>135</v>
      </c>
      <c r="E232" s="106" t="s">
        <v>685</v>
      </c>
      <c r="F232" s="106" t="s">
        <v>1032</v>
      </c>
      <c r="G232" s="117" t="s">
        <v>517</v>
      </c>
      <c r="H232" s="117" t="s">
        <v>517</v>
      </c>
      <c r="I232" s="117" t="s">
        <v>90</v>
      </c>
      <c r="J232" s="107" t="s">
        <v>85</v>
      </c>
      <c r="K232" s="106" t="s">
        <v>749</v>
      </c>
      <c r="L232" s="107" t="s">
        <v>714</v>
      </c>
      <c r="M232" s="108">
        <v>44044.0</v>
      </c>
      <c r="N232" s="106" t="s">
        <v>692</v>
      </c>
      <c r="O232" s="109" t="s">
        <v>690</v>
      </c>
      <c r="P232" s="107" t="s">
        <v>782</v>
      </c>
      <c r="Q232" s="107" t="s">
        <v>782</v>
      </c>
      <c r="R232" s="110"/>
      <c r="S232" s="110"/>
      <c r="T232" s="110"/>
      <c r="U232" s="110"/>
      <c r="V232" s="110"/>
      <c r="W232" s="110"/>
      <c r="X232" s="110"/>
      <c r="Y232" s="110"/>
      <c r="Z232" s="110"/>
    </row>
    <row r="233" ht="15.75" customHeight="1">
      <c r="A233" s="105" t="s">
        <v>1039</v>
      </c>
      <c r="B233" s="105" t="s">
        <v>52</v>
      </c>
      <c r="C233" s="106" t="s">
        <v>1040</v>
      </c>
      <c r="D233" s="107" t="s">
        <v>185</v>
      </c>
      <c r="E233" s="106" t="s">
        <v>698</v>
      </c>
      <c r="F233" s="125">
        <v>43787.0</v>
      </c>
      <c r="G233" s="126" t="s">
        <v>723</v>
      </c>
      <c r="H233" s="105" t="s">
        <v>723</v>
      </c>
      <c r="I233" s="106" t="s">
        <v>723</v>
      </c>
      <c r="J233" s="107" t="s">
        <v>85</v>
      </c>
      <c r="K233" s="106" t="s">
        <v>687</v>
      </c>
      <c r="L233" s="107" t="s">
        <v>688</v>
      </c>
      <c r="M233" s="108">
        <v>44101.0</v>
      </c>
      <c r="N233" s="106" t="s">
        <v>735</v>
      </c>
      <c r="O233" s="116" t="s">
        <v>736</v>
      </c>
      <c r="P233" s="107" t="s">
        <v>721</v>
      </c>
      <c r="Q233" s="107" t="s">
        <v>721</v>
      </c>
      <c r="R233" s="110"/>
      <c r="S233" s="110"/>
      <c r="T233" s="110"/>
      <c r="U233" s="110"/>
      <c r="V233" s="110"/>
      <c r="W233" s="110"/>
      <c r="X233" s="110"/>
      <c r="Y233" s="110"/>
      <c r="Z233" s="110"/>
    </row>
    <row r="234" ht="15.75" customHeight="1">
      <c r="A234" s="105" t="s">
        <v>1041</v>
      </c>
      <c r="B234" s="105" t="s">
        <v>52</v>
      </c>
      <c r="C234" s="106" t="s">
        <v>1042</v>
      </c>
      <c r="D234" s="107" t="s">
        <v>185</v>
      </c>
      <c r="E234" s="106" t="s">
        <v>698</v>
      </c>
      <c r="F234" s="125">
        <v>43796.51299768518</v>
      </c>
      <c r="G234" s="126" t="s">
        <v>723</v>
      </c>
      <c r="H234" s="105" t="s">
        <v>723</v>
      </c>
      <c r="I234" s="106" t="s">
        <v>723</v>
      </c>
      <c r="J234" s="107" t="s">
        <v>85</v>
      </c>
      <c r="K234" s="106" t="s">
        <v>687</v>
      </c>
      <c r="L234" s="107" t="s">
        <v>688</v>
      </c>
      <c r="M234" s="108">
        <v>44101.0</v>
      </c>
      <c r="N234" s="106" t="s">
        <v>735</v>
      </c>
      <c r="O234" s="116" t="s">
        <v>736</v>
      </c>
      <c r="P234" s="107" t="s">
        <v>721</v>
      </c>
      <c r="Q234" s="107" t="s">
        <v>721</v>
      </c>
      <c r="R234" s="110"/>
      <c r="S234" s="110"/>
      <c r="T234" s="110"/>
      <c r="U234" s="110"/>
      <c r="V234" s="110"/>
      <c r="W234" s="110"/>
      <c r="X234" s="110"/>
      <c r="Y234" s="110"/>
      <c r="Z234" s="110"/>
    </row>
    <row r="235" ht="15.75" customHeight="1">
      <c r="A235" s="105" t="s">
        <v>1043</v>
      </c>
      <c r="B235" s="105" t="s">
        <v>52</v>
      </c>
      <c r="C235" s="106" t="s">
        <v>1044</v>
      </c>
      <c r="D235" s="107" t="s">
        <v>185</v>
      </c>
      <c r="E235" s="106" t="s">
        <v>713</v>
      </c>
      <c r="F235" s="117">
        <v>20.0</v>
      </c>
      <c r="G235" s="126" t="s">
        <v>723</v>
      </c>
      <c r="H235" s="105" t="s">
        <v>723</v>
      </c>
      <c r="I235" s="106" t="s">
        <v>723</v>
      </c>
      <c r="J235" s="107" t="s">
        <v>85</v>
      </c>
      <c r="K235" s="106" t="s">
        <v>687</v>
      </c>
      <c r="L235" s="107" t="s">
        <v>688</v>
      </c>
      <c r="M235" s="108">
        <v>44101.0</v>
      </c>
      <c r="N235" s="106" t="s">
        <v>735</v>
      </c>
      <c r="O235" s="116" t="s">
        <v>736</v>
      </c>
      <c r="P235" s="107" t="s">
        <v>721</v>
      </c>
      <c r="Q235" s="107" t="s">
        <v>721</v>
      </c>
      <c r="R235" s="110"/>
      <c r="S235" s="110"/>
      <c r="T235" s="110"/>
      <c r="U235" s="110"/>
      <c r="V235" s="110"/>
      <c r="W235" s="110"/>
      <c r="X235" s="110"/>
      <c r="Y235" s="110"/>
      <c r="Z235" s="110"/>
    </row>
    <row r="236" ht="15.75" customHeight="1">
      <c r="A236" s="105" t="s">
        <v>1045</v>
      </c>
      <c r="B236" s="105" t="s">
        <v>52</v>
      </c>
      <c r="C236" s="106" t="s">
        <v>1046</v>
      </c>
      <c r="D236" s="107" t="s">
        <v>185</v>
      </c>
      <c r="E236" s="106" t="s">
        <v>713</v>
      </c>
      <c r="F236" s="117">
        <v>36.0</v>
      </c>
      <c r="G236" s="126" t="s">
        <v>723</v>
      </c>
      <c r="H236" s="105" t="s">
        <v>723</v>
      </c>
      <c r="I236" s="106" t="s">
        <v>723</v>
      </c>
      <c r="J236" s="107" t="s">
        <v>85</v>
      </c>
      <c r="K236" s="106" t="s">
        <v>687</v>
      </c>
      <c r="L236" s="107" t="s">
        <v>688</v>
      </c>
      <c r="M236" s="108">
        <v>44101.0</v>
      </c>
      <c r="N236" s="106" t="s">
        <v>735</v>
      </c>
      <c r="O236" s="116" t="s">
        <v>736</v>
      </c>
      <c r="P236" s="107" t="s">
        <v>721</v>
      </c>
      <c r="Q236" s="107" t="s">
        <v>721</v>
      </c>
      <c r="R236" s="110"/>
      <c r="S236" s="110"/>
      <c r="T236" s="110"/>
      <c r="U236" s="110"/>
      <c r="V236" s="110"/>
      <c r="W236" s="110"/>
      <c r="X236" s="110"/>
      <c r="Y236" s="110"/>
      <c r="Z236" s="110"/>
    </row>
    <row r="237" ht="15.75" customHeight="1">
      <c r="A237" s="105" t="s">
        <v>1047</v>
      </c>
      <c r="B237" s="105" t="s">
        <v>197</v>
      </c>
      <c r="C237" s="106" t="s">
        <v>1048</v>
      </c>
      <c r="D237" s="107" t="s">
        <v>185</v>
      </c>
      <c r="E237" s="106" t="s">
        <v>768</v>
      </c>
      <c r="F237" s="117">
        <v>50.0</v>
      </c>
      <c r="G237" s="126" t="s">
        <v>723</v>
      </c>
      <c r="H237" s="105" t="s">
        <v>723</v>
      </c>
      <c r="I237" s="106" t="s">
        <v>723</v>
      </c>
      <c r="J237" s="107" t="s">
        <v>85</v>
      </c>
      <c r="K237" s="106" t="s">
        <v>687</v>
      </c>
      <c r="L237" s="107" t="s">
        <v>760</v>
      </c>
      <c r="M237" s="108">
        <v>44100.0</v>
      </c>
      <c r="N237" s="106" t="s">
        <v>735</v>
      </c>
      <c r="O237" s="116" t="s">
        <v>736</v>
      </c>
      <c r="P237" s="107" t="s">
        <v>761</v>
      </c>
      <c r="Q237" s="107" t="s">
        <v>761</v>
      </c>
      <c r="R237" s="110"/>
      <c r="S237" s="110"/>
      <c r="T237" s="110"/>
      <c r="U237" s="110"/>
      <c r="V237" s="110"/>
      <c r="W237" s="110"/>
      <c r="X237" s="110"/>
      <c r="Y237" s="110"/>
      <c r="Z237" s="110"/>
    </row>
    <row r="238" ht="15.75" customHeight="1">
      <c r="A238" s="105" t="s">
        <v>1049</v>
      </c>
      <c r="B238" s="105" t="s">
        <v>197</v>
      </c>
      <c r="C238" s="106" t="s">
        <v>1050</v>
      </c>
      <c r="D238" s="107" t="s">
        <v>135</v>
      </c>
      <c r="E238" s="106" t="s">
        <v>720</v>
      </c>
      <c r="F238" s="115" t="b">
        <v>1</v>
      </c>
      <c r="G238" s="106" t="s">
        <v>1051</v>
      </c>
      <c r="H238" s="107" t="s">
        <v>1052</v>
      </c>
      <c r="I238" s="107" t="s">
        <v>1052</v>
      </c>
      <c r="J238" s="107" t="s">
        <v>85</v>
      </c>
      <c r="K238" s="106" t="s">
        <v>749</v>
      </c>
      <c r="L238" s="107" t="s">
        <v>688</v>
      </c>
      <c r="M238" s="108">
        <v>44044.0</v>
      </c>
      <c r="N238" s="106" t="s">
        <v>913</v>
      </c>
      <c r="O238" s="109" t="s">
        <v>914</v>
      </c>
      <c r="P238" s="107" t="s">
        <v>724</v>
      </c>
      <c r="Q238" s="107" t="s">
        <v>724</v>
      </c>
      <c r="R238" s="110"/>
      <c r="S238" s="110"/>
      <c r="T238" s="110"/>
      <c r="U238" s="110"/>
      <c r="V238" s="110"/>
      <c r="W238" s="110"/>
      <c r="X238" s="110"/>
      <c r="Y238" s="110"/>
      <c r="Z238" s="110"/>
    </row>
    <row r="239" ht="15.75" customHeight="1">
      <c r="A239" s="105" t="s">
        <v>1053</v>
      </c>
      <c r="B239" s="105" t="s">
        <v>197</v>
      </c>
      <c r="C239" s="106" t="s">
        <v>1054</v>
      </c>
      <c r="D239" s="107" t="s">
        <v>185</v>
      </c>
      <c r="E239" s="106" t="s">
        <v>720</v>
      </c>
      <c r="F239" s="115" t="b">
        <v>1</v>
      </c>
      <c r="G239" s="106" t="s">
        <v>1051</v>
      </c>
      <c r="H239" s="107" t="s">
        <v>1052</v>
      </c>
      <c r="I239" s="107" t="s">
        <v>1052</v>
      </c>
      <c r="J239" s="107" t="s">
        <v>85</v>
      </c>
      <c r="K239" s="106" t="s">
        <v>687</v>
      </c>
      <c r="L239" s="107" t="s">
        <v>688</v>
      </c>
      <c r="M239" s="108">
        <v>44102.0</v>
      </c>
      <c r="N239" s="106" t="s">
        <v>913</v>
      </c>
      <c r="O239" s="109" t="s">
        <v>914</v>
      </c>
      <c r="P239" s="107" t="s">
        <v>691</v>
      </c>
      <c r="Q239" s="107" t="s">
        <v>691</v>
      </c>
      <c r="R239" s="110"/>
      <c r="S239" s="110"/>
      <c r="T239" s="110"/>
      <c r="U239" s="110"/>
      <c r="V239" s="110"/>
      <c r="W239" s="110"/>
      <c r="X239" s="110"/>
      <c r="Y239" s="110"/>
      <c r="Z239" s="110"/>
    </row>
    <row r="240" ht="40.5" customHeight="1">
      <c r="A240" s="105" t="s">
        <v>1055</v>
      </c>
      <c r="B240" s="105" t="s">
        <v>44</v>
      </c>
      <c r="C240" s="106" t="s">
        <v>1056</v>
      </c>
      <c r="D240" s="107" t="s">
        <v>185</v>
      </c>
      <c r="E240" s="106" t="s">
        <v>685</v>
      </c>
      <c r="F240" s="117">
        <v>9.052912593E9</v>
      </c>
      <c r="G240" s="106" t="s">
        <v>1051</v>
      </c>
      <c r="H240" s="107" t="s">
        <v>1052</v>
      </c>
      <c r="I240" s="107" t="s">
        <v>1052</v>
      </c>
      <c r="J240" s="107" t="s">
        <v>85</v>
      </c>
      <c r="K240" s="106" t="s">
        <v>687</v>
      </c>
      <c r="L240" s="107" t="s">
        <v>760</v>
      </c>
      <c r="M240" s="108">
        <v>44100.0</v>
      </c>
      <c r="N240" s="106" t="s">
        <v>735</v>
      </c>
      <c r="O240" s="116" t="s">
        <v>736</v>
      </c>
      <c r="P240" s="107" t="s">
        <v>761</v>
      </c>
      <c r="Q240" s="107" t="s">
        <v>761</v>
      </c>
      <c r="R240" s="110"/>
      <c r="S240" s="110"/>
      <c r="T240" s="110"/>
      <c r="U240" s="110"/>
      <c r="V240" s="110"/>
      <c r="W240" s="110"/>
      <c r="X240" s="110"/>
      <c r="Y240" s="110"/>
      <c r="Z240" s="110"/>
    </row>
    <row r="241" ht="15.75" customHeight="1">
      <c r="A241" s="105" t="s">
        <v>1057</v>
      </c>
      <c r="B241" s="105" t="s">
        <v>696</v>
      </c>
      <c r="C241" s="106" t="s">
        <v>1058</v>
      </c>
      <c r="D241" s="107" t="s">
        <v>185</v>
      </c>
      <c r="E241" s="106" t="s">
        <v>685</v>
      </c>
      <c r="F241" s="117">
        <v>6.49390994E8</v>
      </c>
      <c r="G241" s="106" t="s">
        <v>1051</v>
      </c>
      <c r="H241" s="107" t="s">
        <v>1052</v>
      </c>
      <c r="I241" s="107" t="s">
        <v>1052</v>
      </c>
      <c r="J241" s="107" t="s">
        <v>85</v>
      </c>
      <c r="K241" s="106" t="s">
        <v>687</v>
      </c>
      <c r="L241" s="107" t="s">
        <v>760</v>
      </c>
      <c r="M241" s="108">
        <v>44100.0</v>
      </c>
      <c r="N241" s="106" t="s">
        <v>735</v>
      </c>
      <c r="O241" s="116" t="s">
        <v>736</v>
      </c>
      <c r="P241" s="107" t="s">
        <v>761</v>
      </c>
      <c r="Q241" s="107" t="s">
        <v>761</v>
      </c>
      <c r="R241" s="110"/>
      <c r="S241" s="110"/>
      <c r="T241" s="110"/>
      <c r="U241" s="110"/>
      <c r="V241" s="110"/>
      <c r="W241" s="110"/>
      <c r="X241" s="110"/>
      <c r="Y241" s="110"/>
      <c r="Z241" s="110"/>
    </row>
    <row r="242" ht="15.75" customHeight="1">
      <c r="A242" s="105" t="s">
        <v>1059</v>
      </c>
      <c r="B242" s="105" t="s">
        <v>197</v>
      </c>
      <c r="C242" s="106" t="s">
        <v>1060</v>
      </c>
      <c r="D242" s="107" t="s">
        <v>185</v>
      </c>
      <c r="E242" s="106" t="s">
        <v>720</v>
      </c>
      <c r="F242" s="115" t="b">
        <v>1</v>
      </c>
      <c r="G242" s="126" t="s">
        <v>686</v>
      </c>
      <c r="H242" s="107" t="s">
        <v>91</v>
      </c>
      <c r="I242" s="107" t="s">
        <v>91</v>
      </c>
      <c r="J242" s="107" t="s">
        <v>85</v>
      </c>
      <c r="K242" s="106" t="s">
        <v>687</v>
      </c>
      <c r="L242" s="107" t="s">
        <v>688</v>
      </c>
      <c r="M242" s="108">
        <v>44100.0</v>
      </c>
      <c r="N242" s="106" t="s">
        <v>692</v>
      </c>
      <c r="O242" s="109" t="s">
        <v>690</v>
      </c>
      <c r="P242" s="107" t="s">
        <v>724</v>
      </c>
      <c r="Q242" s="107" t="s">
        <v>724</v>
      </c>
      <c r="R242" s="110"/>
      <c r="S242" s="110"/>
      <c r="T242" s="110"/>
      <c r="U242" s="110"/>
      <c r="V242" s="110"/>
      <c r="W242" s="110"/>
      <c r="X242" s="110"/>
      <c r="Y242" s="110"/>
      <c r="Z242" s="110"/>
    </row>
    <row r="243" ht="15.75" customHeight="1">
      <c r="A243" s="105" t="s">
        <v>1061</v>
      </c>
      <c r="B243" s="105" t="s">
        <v>197</v>
      </c>
      <c r="C243" s="106" t="s">
        <v>1062</v>
      </c>
      <c r="D243" s="107" t="s">
        <v>185</v>
      </c>
      <c r="E243" s="106" t="s">
        <v>768</v>
      </c>
      <c r="F243" s="117">
        <v>65.0</v>
      </c>
      <c r="G243" s="126" t="s">
        <v>723</v>
      </c>
      <c r="H243" s="105" t="s">
        <v>723</v>
      </c>
      <c r="I243" s="106" t="s">
        <v>723</v>
      </c>
      <c r="J243" s="107" t="s">
        <v>85</v>
      </c>
      <c r="K243" s="106" t="s">
        <v>687</v>
      </c>
      <c r="L243" s="107" t="s">
        <v>760</v>
      </c>
      <c r="M243" s="108">
        <v>44100.0</v>
      </c>
      <c r="N243" s="106" t="s">
        <v>735</v>
      </c>
      <c r="O243" s="116" t="s">
        <v>736</v>
      </c>
      <c r="P243" s="107" t="s">
        <v>761</v>
      </c>
      <c r="Q243" s="107" t="s">
        <v>761</v>
      </c>
      <c r="R243" s="110"/>
      <c r="S243" s="110"/>
      <c r="T243" s="110"/>
      <c r="U243" s="110"/>
      <c r="V243" s="110"/>
      <c r="W243" s="110"/>
      <c r="X243" s="110"/>
      <c r="Y243" s="110"/>
      <c r="Z243" s="110"/>
    </row>
    <row r="244" ht="15.75" customHeight="1">
      <c r="A244" s="105" t="s">
        <v>1063</v>
      </c>
      <c r="B244" s="105" t="s">
        <v>197</v>
      </c>
      <c r="C244" s="106" t="s">
        <v>1064</v>
      </c>
      <c r="D244" s="107" t="s">
        <v>185</v>
      </c>
      <c r="E244" s="106" t="s">
        <v>768</v>
      </c>
      <c r="F244" s="117">
        <v>55.0</v>
      </c>
      <c r="G244" s="126" t="s">
        <v>723</v>
      </c>
      <c r="H244" s="105" t="s">
        <v>723</v>
      </c>
      <c r="I244" s="106" t="s">
        <v>723</v>
      </c>
      <c r="J244" s="107" t="s">
        <v>85</v>
      </c>
      <c r="K244" s="106" t="s">
        <v>687</v>
      </c>
      <c r="L244" s="107" t="s">
        <v>760</v>
      </c>
      <c r="M244" s="108">
        <v>44100.0</v>
      </c>
      <c r="N244" s="106" t="s">
        <v>735</v>
      </c>
      <c r="O244" s="116" t="s">
        <v>736</v>
      </c>
      <c r="P244" s="107" t="s">
        <v>761</v>
      </c>
      <c r="Q244" s="107" t="s">
        <v>761</v>
      </c>
      <c r="R244" s="110"/>
      <c r="S244" s="110"/>
      <c r="T244" s="110"/>
      <c r="U244" s="110"/>
      <c r="V244" s="110"/>
      <c r="W244" s="110"/>
      <c r="X244" s="110"/>
      <c r="Y244" s="110"/>
      <c r="Z244" s="110"/>
    </row>
    <row r="245" ht="15.75" customHeight="1">
      <c r="A245" s="105" t="s">
        <v>1065</v>
      </c>
      <c r="B245" s="105" t="s">
        <v>44</v>
      </c>
      <c r="C245" s="106" t="s">
        <v>1066</v>
      </c>
      <c r="D245" s="107" t="s">
        <v>185</v>
      </c>
      <c r="E245" s="106" t="s">
        <v>768</v>
      </c>
      <c r="F245" s="117">
        <v>19401.0</v>
      </c>
      <c r="G245" s="106" t="s">
        <v>723</v>
      </c>
      <c r="H245" s="107" t="s">
        <v>1067</v>
      </c>
      <c r="I245" s="106" t="s">
        <v>723</v>
      </c>
      <c r="J245" s="107" t="s">
        <v>85</v>
      </c>
      <c r="K245" s="106" t="s">
        <v>749</v>
      </c>
      <c r="L245" s="107" t="s">
        <v>688</v>
      </c>
      <c r="M245" s="108">
        <v>44044.0</v>
      </c>
      <c r="N245" s="106" t="s">
        <v>701</v>
      </c>
      <c r="O245" s="109" t="s">
        <v>736</v>
      </c>
      <c r="P245" s="106" t="s">
        <v>750</v>
      </c>
      <c r="Q245" s="106" t="s">
        <v>750</v>
      </c>
      <c r="R245" s="110"/>
      <c r="S245" s="110"/>
      <c r="T245" s="110"/>
      <c r="U245" s="110"/>
      <c r="V245" s="110"/>
      <c r="W245" s="110"/>
      <c r="X245" s="110"/>
      <c r="Y245" s="110"/>
      <c r="Z245" s="110"/>
    </row>
    <row r="246" ht="15.75" customHeight="1">
      <c r="A246" s="105" t="s">
        <v>1068</v>
      </c>
      <c r="B246" s="105" t="s">
        <v>197</v>
      </c>
      <c r="C246" s="106" t="s">
        <v>1069</v>
      </c>
      <c r="D246" s="107" t="s">
        <v>185</v>
      </c>
      <c r="E246" s="106" t="s">
        <v>720</v>
      </c>
      <c r="F246" s="115" t="b">
        <v>1</v>
      </c>
      <c r="G246" s="106" t="s">
        <v>723</v>
      </c>
      <c r="H246" s="107" t="s">
        <v>1067</v>
      </c>
      <c r="I246" s="106" t="s">
        <v>723</v>
      </c>
      <c r="J246" s="107" t="s">
        <v>85</v>
      </c>
      <c r="K246" s="106" t="s">
        <v>687</v>
      </c>
      <c r="L246" s="107" t="s">
        <v>688</v>
      </c>
      <c r="M246" s="108">
        <v>44101.0</v>
      </c>
      <c r="N246" s="106" t="s">
        <v>701</v>
      </c>
      <c r="O246" s="109" t="s">
        <v>690</v>
      </c>
      <c r="P246" s="107" t="s">
        <v>744</v>
      </c>
      <c r="Q246" s="107" t="s">
        <v>744</v>
      </c>
      <c r="R246" s="110"/>
      <c r="S246" s="110"/>
      <c r="T246" s="110"/>
      <c r="U246" s="110"/>
      <c r="V246" s="110"/>
      <c r="W246" s="110"/>
      <c r="X246" s="110"/>
      <c r="Y246" s="110"/>
      <c r="Z246" s="110"/>
    </row>
    <row r="247" ht="15.75" customHeight="1">
      <c r="A247" s="105" t="s">
        <v>1070</v>
      </c>
      <c r="B247" s="105" t="s">
        <v>197</v>
      </c>
      <c r="C247" s="106" t="s">
        <v>1071</v>
      </c>
      <c r="D247" s="107" t="s">
        <v>185</v>
      </c>
      <c r="E247" s="106" t="s">
        <v>768</v>
      </c>
      <c r="F247" s="117">
        <v>8374.31</v>
      </c>
      <c r="G247" s="106" t="s">
        <v>723</v>
      </c>
      <c r="H247" s="107" t="s">
        <v>1067</v>
      </c>
      <c r="I247" s="106" t="s">
        <v>723</v>
      </c>
      <c r="J247" s="107" t="s">
        <v>85</v>
      </c>
      <c r="K247" s="106" t="s">
        <v>749</v>
      </c>
      <c r="L247" s="107" t="s">
        <v>688</v>
      </c>
      <c r="M247" s="108">
        <v>44084.0</v>
      </c>
      <c r="N247" s="106" t="s">
        <v>701</v>
      </c>
      <c r="O247" s="109" t="s">
        <v>690</v>
      </c>
      <c r="P247" s="107" t="s">
        <v>771</v>
      </c>
      <c r="Q247" s="107" t="s">
        <v>771</v>
      </c>
      <c r="R247" s="110"/>
      <c r="S247" s="110"/>
      <c r="T247" s="110"/>
      <c r="U247" s="110"/>
      <c r="V247" s="110"/>
      <c r="W247" s="110"/>
      <c r="X247" s="110"/>
      <c r="Y247" s="110"/>
      <c r="Z247" s="110"/>
    </row>
    <row r="248" ht="15.75" customHeight="1">
      <c r="A248" s="105" t="s">
        <v>1072</v>
      </c>
      <c r="B248" s="105" t="s">
        <v>197</v>
      </c>
      <c r="C248" s="106" t="s">
        <v>1073</v>
      </c>
      <c r="D248" s="107" t="s">
        <v>185</v>
      </c>
      <c r="E248" s="106" t="s">
        <v>768</v>
      </c>
      <c r="F248" s="117">
        <v>1383.48</v>
      </c>
      <c r="G248" s="106" t="s">
        <v>723</v>
      </c>
      <c r="H248" s="107" t="s">
        <v>1067</v>
      </c>
      <c r="I248" s="106" t="s">
        <v>723</v>
      </c>
      <c r="J248" s="107" t="s">
        <v>85</v>
      </c>
      <c r="K248" s="106" t="s">
        <v>749</v>
      </c>
      <c r="L248" s="107" t="s">
        <v>688</v>
      </c>
      <c r="M248" s="108">
        <v>44084.0</v>
      </c>
      <c r="N248" s="106" t="s">
        <v>701</v>
      </c>
      <c r="O248" s="109" t="s">
        <v>690</v>
      </c>
      <c r="P248" s="107" t="s">
        <v>771</v>
      </c>
      <c r="Q248" s="107" t="s">
        <v>771</v>
      </c>
      <c r="R248" s="110"/>
      <c r="S248" s="110"/>
      <c r="T248" s="110"/>
      <c r="U248" s="110"/>
      <c r="V248" s="110"/>
      <c r="W248" s="110"/>
      <c r="X248" s="110"/>
      <c r="Y248" s="110"/>
      <c r="Z248" s="110"/>
    </row>
    <row r="249" ht="15.75" customHeight="1">
      <c r="A249" s="105" t="s">
        <v>1074</v>
      </c>
      <c r="B249" s="105" t="s">
        <v>197</v>
      </c>
      <c r="C249" s="106" t="s">
        <v>1075</v>
      </c>
      <c r="D249" s="107" t="s">
        <v>185</v>
      </c>
      <c r="E249" s="106" t="s">
        <v>768</v>
      </c>
      <c r="F249" s="117">
        <v>8374.31</v>
      </c>
      <c r="G249" s="106" t="s">
        <v>1051</v>
      </c>
      <c r="H249" s="112" t="s">
        <v>1052</v>
      </c>
      <c r="I249" s="106" t="s">
        <v>1052</v>
      </c>
      <c r="J249" s="107" t="s">
        <v>85</v>
      </c>
      <c r="K249" s="106" t="s">
        <v>749</v>
      </c>
      <c r="L249" s="107" t="s">
        <v>688</v>
      </c>
      <c r="M249" s="108">
        <v>44084.0</v>
      </c>
      <c r="N249" s="106" t="s">
        <v>701</v>
      </c>
      <c r="O249" s="109" t="s">
        <v>690</v>
      </c>
      <c r="P249" s="107" t="s">
        <v>771</v>
      </c>
      <c r="Q249" s="107" t="s">
        <v>771</v>
      </c>
      <c r="R249" s="110"/>
      <c r="S249" s="110"/>
      <c r="T249" s="110"/>
      <c r="U249" s="110"/>
      <c r="V249" s="110"/>
      <c r="W249" s="110"/>
      <c r="X249" s="110"/>
      <c r="Y249" s="110"/>
      <c r="Z249" s="110"/>
    </row>
    <row r="250" ht="15.75" customHeight="1">
      <c r="A250" s="105" t="s">
        <v>1076</v>
      </c>
      <c r="B250" s="105" t="s">
        <v>696</v>
      </c>
      <c r="C250" s="106" t="s">
        <v>1077</v>
      </c>
      <c r="D250" s="107" t="s">
        <v>83</v>
      </c>
      <c r="E250" s="106" t="s">
        <v>698</v>
      </c>
      <c r="F250" s="125">
        <v>44229.0</v>
      </c>
      <c r="G250" s="106" t="s">
        <v>1051</v>
      </c>
      <c r="H250" s="112" t="s">
        <v>1052</v>
      </c>
      <c r="I250" s="126" t="s">
        <v>1052</v>
      </c>
      <c r="J250" s="107" t="s">
        <v>85</v>
      </c>
      <c r="K250" s="106" t="s">
        <v>687</v>
      </c>
      <c r="L250" s="107" t="s">
        <v>688</v>
      </c>
      <c r="M250" s="108">
        <v>44100.0</v>
      </c>
      <c r="N250" s="106" t="s">
        <v>735</v>
      </c>
      <c r="O250" s="116" t="s">
        <v>736</v>
      </c>
      <c r="P250" s="107" t="s">
        <v>691</v>
      </c>
      <c r="Q250" s="107" t="s">
        <v>691</v>
      </c>
      <c r="R250" s="110"/>
      <c r="S250" s="110"/>
      <c r="T250" s="110"/>
      <c r="U250" s="110"/>
      <c r="V250" s="110"/>
      <c r="W250" s="110"/>
      <c r="X250" s="110"/>
      <c r="Y250" s="110"/>
      <c r="Z250" s="110"/>
    </row>
    <row r="251" ht="15.75" customHeight="1">
      <c r="A251" s="105" t="s">
        <v>1078</v>
      </c>
      <c r="B251" s="105" t="s">
        <v>197</v>
      </c>
      <c r="C251" s="106" t="s">
        <v>1079</v>
      </c>
      <c r="D251" s="107" t="s">
        <v>185</v>
      </c>
      <c r="E251" s="106" t="s">
        <v>720</v>
      </c>
      <c r="F251" s="115" t="b">
        <v>1</v>
      </c>
      <c r="G251" s="106" t="s">
        <v>1051</v>
      </c>
      <c r="H251" s="112" t="s">
        <v>1052</v>
      </c>
      <c r="I251" s="126" t="s">
        <v>1052</v>
      </c>
      <c r="J251" s="107" t="s">
        <v>85</v>
      </c>
      <c r="K251" s="106" t="s">
        <v>687</v>
      </c>
      <c r="L251" s="107" t="s">
        <v>760</v>
      </c>
      <c r="M251" s="108">
        <v>44100.0</v>
      </c>
      <c r="N251" s="106" t="s">
        <v>735</v>
      </c>
      <c r="O251" s="116" t="s">
        <v>736</v>
      </c>
      <c r="P251" s="107" t="s">
        <v>761</v>
      </c>
      <c r="Q251" s="107" t="s">
        <v>761</v>
      </c>
      <c r="R251" s="110"/>
      <c r="S251" s="110"/>
      <c r="T251" s="110"/>
      <c r="U251" s="110"/>
      <c r="V251" s="110"/>
      <c r="W251" s="110"/>
      <c r="X251" s="110"/>
      <c r="Y251" s="110"/>
      <c r="Z251" s="110"/>
    </row>
    <row r="252" ht="15.75" customHeight="1">
      <c r="A252" s="105" t="s">
        <v>1080</v>
      </c>
      <c r="B252" s="105" t="s">
        <v>197</v>
      </c>
      <c r="C252" s="106" t="s">
        <v>1081</v>
      </c>
      <c r="D252" s="107" t="s">
        <v>185</v>
      </c>
      <c r="E252" s="106" t="s">
        <v>720</v>
      </c>
      <c r="F252" s="115" t="b">
        <v>1</v>
      </c>
      <c r="G252" s="106" t="s">
        <v>1051</v>
      </c>
      <c r="H252" s="112" t="s">
        <v>1052</v>
      </c>
      <c r="I252" s="126" t="s">
        <v>1052</v>
      </c>
      <c r="J252" s="107" t="s">
        <v>85</v>
      </c>
      <c r="K252" s="106" t="s">
        <v>687</v>
      </c>
      <c r="L252" s="107" t="s">
        <v>760</v>
      </c>
      <c r="M252" s="108">
        <v>44100.0</v>
      </c>
      <c r="N252" s="106" t="s">
        <v>735</v>
      </c>
      <c r="O252" s="116" t="s">
        <v>736</v>
      </c>
      <c r="P252" s="107" t="s">
        <v>761</v>
      </c>
      <c r="Q252" s="107" t="s">
        <v>761</v>
      </c>
      <c r="R252" s="110"/>
      <c r="S252" s="110"/>
      <c r="T252" s="110"/>
      <c r="U252" s="110"/>
      <c r="V252" s="110"/>
      <c r="W252" s="110"/>
      <c r="X252" s="110"/>
      <c r="Y252" s="110"/>
      <c r="Z252" s="110"/>
    </row>
    <row r="253" ht="15.75" customHeight="1">
      <c r="A253" s="105" t="s">
        <v>1082</v>
      </c>
      <c r="B253" s="105" t="s">
        <v>197</v>
      </c>
      <c r="C253" s="106" t="s">
        <v>1083</v>
      </c>
      <c r="D253" s="107" t="s">
        <v>135</v>
      </c>
      <c r="E253" s="106" t="s">
        <v>768</v>
      </c>
      <c r="F253" s="117">
        <v>0.05</v>
      </c>
      <c r="G253" s="106" t="s">
        <v>1051</v>
      </c>
      <c r="H253" s="112" t="s">
        <v>1052</v>
      </c>
      <c r="I253" s="126" t="s">
        <v>1052</v>
      </c>
      <c r="J253" s="107"/>
      <c r="K253" s="106" t="s">
        <v>749</v>
      </c>
      <c r="L253" s="107" t="s">
        <v>763</v>
      </c>
      <c r="M253" s="108">
        <v>44044.0</v>
      </c>
      <c r="N253" s="126" t="s">
        <v>913</v>
      </c>
      <c r="O253" s="109" t="s">
        <v>914</v>
      </c>
      <c r="P253" s="107" t="s">
        <v>724</v>
      </c>
      <c r="Q253" s="107" t="s">
        <v>724</v>
      </c>
      <c r="R253" s="110"/>
      <c r="S253" s="110"/>
      <c r="T253" s="110"/>
      <c r="U253" s="110"/>
      <c r="V253" s="110"/>
      <c r="W253" s="110"/>
      <c r="X253" s="110"/>
      <c r="Y253" s="110"/>
      <c r="Z253" s="110"/>
    </row>
    <row r="254" ht="15.75" customHeight="1">
      <c r="A254" s="105" t="s">
        <v>1084</v>
      </c>
      <c r="B254" s="105" t="s">
        <v>696</v>
      </c>
      <c r="C254" s="106" t="s">
        <v>1085</v>
      </c>
      <c r="D254" s="107" t="s">
        <v>135</v>
      </c>
      <c r="E254" s="106" t="s">
        <v>685</v>
      </c>
      <c r="F254" s="117">
        <v>2999.0</v>
      </c>
      <c r="G254" s="106" t="s">
        <v>723</v>
      </c>
      <c r="H254" s="117" t="s">
        <v>1067</v>
      </c>
      <c r="I254" s="106" t="s">
        <v>723</v>
      </c>
      <c r="J254" s="107"/>
      <c r="K254" s="106" t="s">
        <v>749</v>
      </c>
      <c r="L254" s="107" t="s">
        <v>763</v>
      </c>
      <c r="M254" s="108">
        <v>44044.0</v>
      </c>
      <c r="N254" s="126" t="s">
        <v>701</v>
      </c>
      <c r="O254" s="109" t="s">
        <v>690</v>
      </c>
      <c r="P254" s="107" t="s">
        <v>702</v>
      </c>
      <c r="Q254" s="107" t="s">
        <v>702</v>
      </c>
      <c r="R254" s="110"/>
      <c r="S254" s="110"/>
      <c r="T254" s="110"/>
      <c r="U254" s="110"/>
      <c r="V254" s="110"/>
      <c r="W254" s="110"/>
      <c r="X254" s="110"/>
      <c r="Y254" s="110"/>
      <c r="Z254" s="110"/>
    </row>
    <row r="255" ht="15.75" customHeight="1">
      <c r="A255" s="105" t="s">
        <v>1086</v>
      </c>
      <c r="B255" s="105" t="s">
        <v>197</v>
      </c>
      <c r="C255" s="106" t="s">
        <v>1087</v>
      </c>
      <c r="D255" s="107" t="s">
        <v>185</v>
      </c>
      <c r="E255" s="106" t="s">
        <v>720</v>
      </c>
      <c r="F255" s="115" t="b">
        <v>1</v>
      </c>
      <c r="G255" s="106" t="s">
        <v>723</v>
      </c>
      <c r="H255" s="117" t="s">
        <v>1067</v>
      </c>
      <c r="I255" s="106" t="s">
        <v>723</v>
      </c>
      <c r="J255" s="107" t="s">
        <v>85</v>
      </c>
      <c r="K255" s="106" t="s">
        <v>687</v>
      </c>
      <c r="L255" s="107" t="s">
        <v>688</v>
      </c>
      <c r="M255" s="108">
        <v>44101.0</v>
      </c>
      <c r="N255" s="126" t="s">
        <v>701</v>
      </c>
      <c r="O255" s="116" t="s">
        <v>732</v>
      </c>
      <c r="P255" s="107" t="s">
        <v>771</v>
      </c>
      <c r="Q255" s="107" t="s">
        <v>771</v>
      </c>
      <c r="R255" s="110"/>
      <c r="S255" s="110"/>
      <c r="T255" s="110"/>
      <c r="U255" s="110"/>
      <c r="V255" s="110"/>
      <c r="W255" s="110"/>
      <c r="X255" s="110"/>
      <c r="Y255" s="110"/>
      <c r="Z255" s="110"/>
    </row>
    <row r="256" ht="15.75" customHeight="1">
      <c r="A256" s="105" t="s">
        <v>1088</v>
      </c>
      <c r="B256" s="105" t="s">
        <v>52</v>
      </c>
      <c r="C256" s="106" t="s">
        <v>1089</v>
      </c>
      <c r="D256" s="107" t="s">
        <v>185</v>
      </c>
      <c r="E256" s="106" t="s">
        <v>685</v>
      </c>
      <c r="F256" s="117" t="s">
        <v>1090</v>
      </c>
      <c r="G256" s="106" t="s">
        <v>1051</v>
      </c>
      <c r="H256" s="112" t="s">
        <v>1052</v>
      </c>
      <c r="I256" s="126" t="s">
        <v>1052</v>
      </c>
      <c r="J256" s="107" t="s">
        <v>85</v>
      </c>
      <c r="K256" s="106" t="s">
        <v>687</v>
      </c>
      <c r="L256" s="107" t="s">
        <v>688</v>
      </c>
      <c r="M256" s="108">
        <v>44101.0</v>
      </c>
      <c r="N256" s="106" t="s">
        <v>735</v>
      </c>
      <c r="O256" s="116" t="s">
        <v>736</v>
      </c>
      <c r="P256" s="107" t="s">
        <v>721</v>
      </c>
      <c r="Q256" s="107" t="s">
        <v>721</v>
      </c>
      <c r="R256" s="110"/>
      <c r="S256" s="110"/>
      <c r="T256" s="110"/>
      <c r="U256" s="110"/>
      <c r="V256" s="110"/>
      <c r="W256" s="110"/>
      <c r="X256" s="110"/>
      <c r="Y256" s="110"/>
      <c r="Z256" s="110"/>
    </row>
    <row r="257" ht="15.75" customHeight="1">
      <c r="A257" s="105" t="s">
        <v>1091</v>
      </c>
      <c r="B257" s="105" t="s">
        <v>52</v>
      </c>
      <c r="C257" s="106" t="s">
        <v>1092</v>
      </c>
      <c r="D257" s="107" t="s">
        <v>185</v>
      </c>
      <c r="E257" s="106" t="s">
        <v>685</v>
      </c>
      <c r="F257" s="117" t="s">
        <v>1093</v>
      </c>
      <c r="G257" s="106" t="s">
        <v>1051</v>
      </c>
      <c r="H257" s="112" t="s">
        <v>1052</v>
      </c>
      <c r="I257" s="126" t="s">
        <v>1052</v>
      </c>
      <c r="J257" s="107" t="s">
        <v>85</v>
      </c>
      <c r="K257" s="106" t="s">
        <v>687</v>
      </c>
      <c r="L257" s="107" t="s">
        <v>688</v>
      </c>
      <c r="M257" s="108">
        <v>44101.0</v>
      </c>
      <c r="N257" s="106" t="s">
        <v>735</v>
      </c>
      <c r="O257" s="116" t="s">
        <v>736</v>
      </c>
      <c r="P257" s="107" t="s">
        <v>721</v>
      </c>
      <c r="Q257" s="107" t="s">
        <v>721</v>
      </c>
      <c r="R257" s="110"/>
      <c r="S257" s="110"/>
      <c r="T257" s="110"/>
      <c r="U257" s="110"/>
      <c r="V257" s="110"/>
      <c r="W257" s="110"/>
      <c r="X257" s="110"/>
      <c r="Y257" s="110"/>
      <c r="Z257" s="110"/>
    </row>
    <row r="258" ht="15.75" customHeight="1">
      <c r="A258" s="105" t="s">
        <v>1094</v>
      </c>
      <c r="B258" s="105" t="s">
        <v>58</v>
      </c>
      <c r="C258" s="106" t="s">
        <v>1095</v>
      </c>
      <c r="D258" s="107" t="s">
        <v>83</v>
      </c>
      <c r="E258" s="106" t="s">
        <v>768</v>
      </c>
      <c r="F258" s="117">
        <v>3030.15</v>
      </c>
      <c r="G258" s="106" t="s">
        <v>1051</v>
      </c>
      <c r="H258" s="112" t="s">
        <v>1052</v>
      </c>
      <c r="I258" s="126" t="s">
        <v>1052</v>
      </c>
      <c r="J258" s="107" t="s">
        <v>85</v>
      </c>
      <c r="K258" s="126" t="s">
        <v>749</v>
      </c>
      <c r="L258" s="117" t="s">
        <v>749</v>
      </c>
      <c r="M258" s="108">
        <v>44044.0</v>
      </c>
      <c r="N258" s="106" t="s">
        <v>692</v>
      </c>
      <c r="O258" s="109" t="s">
        <v>690</v>
      </c>
      <c r="P258" s="107" t="s">
        <v>750</v>
      </c>
      <c r="Q258" s="107" t="s">
        <v>750</v>
      </c>
      <c r="R258" s="110"/>
      <c r="S258" s="110"/>
      <c r="T258" s="110"/>
      <c r="U258" s="110"/>
      <c r="V258" s="110"/>
      <c r="W258" s="110"/>
      <c r="X258" s="110"/>
      <c r="Y258" s="110"/>
      <c r="Z258" s="110"/>
    </row>
    <row r="259" ht="15.75" customHeight="1">
      <c r="A259" s="105" t="s">
        <v>1096</v>
      </c>
      <c r="B259" s="105" t="s">
        <v>197</v>
      </c>
      <c r="C259" s="106" t="s">
        <v>1097</v>
      </c>
      <c r="D259" s="107" t="s">
        <v>185</v>
      </c>
      <c r="E259" s="106" t="s">
        <v>768</v>
      </c>
      <c r="F259" s="117">
        <v>3000.0</v>
      </c>
      <c r="G259" s="117" t="s">
        <v>835</v>
      </c>
      <c r="H259" s="117" t="s">
        <v>91</v>
      </c>
      <c r="I259" s="117" t="s">
        <v>91</v>
      </c>
      <c r="J259" s="107" t="s">
        <v>85</v>
      </c>
      <c r="K259" s="106" t="s">
        <v>687</v>
      </c>
      <c r="L259" s="107" t="s">
        <v>688</v>
      </c>
      <c r="M259" s="108">
        <v>44100.0</v>
      </c>
      <c r="N259" s="126" t="s">
        <v>701</v>
      </c>
      <c r="O259" s="116"/>
      <c r="P259" s="106" t="s">
        <v>750</v>
      </c>
      <c r="Q259" s="106" t="s">
        <v>750</v>
      </c>
      <c r="R259" s="110"/>
      <c r="S259" s="110"/>
      <c r="T259" s="110"/>
      <c r="U259" s="110"/>
      <c r="V259" s="110"/>
      <c r="W259" s="110"/>
      <c r="X259" s="110"/>
      <c r="Y259" s="110"/>
      <c r="Z259" s="110"/>
    </row>
    <row r="260" ht="15.75" customHeight="1">
      <c r="A260" s="105" t="s">
        <v>1098</v>
      </c>
      <c r="B260" s="105" t="s">
        <v>44</v>
      </c>
      <c r="C260" s="106" t="s">
        <v>1099</v>
      </c>
      <c r="D260" s="107" t="s">
        <v>185</v>
      </c>
      <c r="E260" s="106" t="s">
        <v>768</v>
      </c>
      <c r="F260" s="124">
        <v>1499.0</v>
      </c>
      <c r="G260" s="106" t="s">
        <v>723</v>
      </c>
      <c r="H260" s="124" t="s">
        <v>1067</v>
      </c>
      <c r="I260" s="106" t="s">
        <v>723</v>
      </c>
      <c r="J260" s="124" t="s">
        <v>85</v>
      </c>
      <c r="K260" s="114" t="s">
        <v>749</v>
      </c>
      <c r="L260" s="124" t="s">
        <v>688</v>
      </c>
      <c r="M260" s="108">
        <v>44101.0</v>
      </c>
      <c r="N260" s="126" t="s">
        <v>701</v>
      </c>
      <c r="O260" s="109" t="s">
        <v>690</v>
      </c>
      <c r="P260" s="107" t="s">
        <v>705</v>
      </c>
      <c r="Q260" s="107" t="s">
        <v>705</v>
      </c>
      <c r="R260" s="110"/>
      <c r="S260" s="110"/>
      <c r="T260" s="110"/>
      <c r="U260" s="110"/>
      <c r="V260" s="110"/>
      <c r="W260" s="110"/>
      <c r="X260" s="110"/>
      <c r="Y260" s="110"/>
      <c r="Z260" s="110"/>
    </row>
    <row r="261" ht="15.75" customHeight="1">
      <c r="A261" s="105" t="s">
        <v>1100</v>
      </c>
      <c r="B261" s="105" t="s">
        <v>58</v>
      </c>
      <c r="C261" s="106" t="s">
        <v>1101</v>
      </c>
      <c r="D261" s="107" t="s">
        <v>185</v>
      </c>
      <c r="E261" s="106" t="s">
        <v>1102</v>
      </c>
      <c r="F261" s="126">
        <v>20.25</v>
      </c>
      <c r="G261" s="105" t="s">
        <v>394</v>
      </c>
      <c r="H261" s="126" t="s">
        <v>394</v>
      </c>
      <c r="I261" s="126" t="s">
        <v>394</v>
      </c>
      <c r="J261" s="126" t="s">
        <v>85</v>
      </c>
      <c r="K261" s="126" t="s">
        <v>749</v>
      </c>
      <c r="L261" s="126" t="s">
        <v>749</v>
      </c>
      <c r="M261" s="108">
        <v>44044.0</v>
      </c>
      <c r="N261" s="126" t="s">
        <v>701</v>
      </c>
      <c r="O261" s="116"/>
      <c r="P261" s="126" t="s">
        <v>750</v>
      </c>
      <c r="Q261" s="126" t="s">
        <v>750</v>
      </c>
      <c r="R261" s="130"/>
      <c r="S261" s="130"/>
      <c r="T261" s="130"/>
      <c r="U261" s="130"/>
      <c r="V261" s="130"/>
      <c r="W261" s="130"/>
      <c r="X261" s="130"/>
      <c r="Y261" s="130"/>
      <c r="Z261" s="130"/>
    </row>
    <row r="262" ht="15.75" customHeight="1">
      <c r="A262" s="105" t="s">
        <v>1103</v>
      </c>
      <c r="B262" s="105" t="s">
        <v>58</v>
      </c>
      <c r="C262" s="106" t="s">
        <v>1104</v>
      </c>
      <c r="D262" s="107" t="s">
        <v>185</v>
      </c>
      <c r="E262" s="106" t="s">
        <v>1102</v>
      </c>
      <c r="F262" s="126">
        <v>20.25</v>
      </c>
      <c r="G262" s="105" t="s">
        <v>394</v>
      </c>
      <c r="H262" s="126" t="s">
        <v>394</v>
      </c>
      <c r="I262" s="126" t="s">
        <v>394</v>
      </c>
      <c r="J262" s="126" t="s">
        <v>85</v>
      </c>
      <c r="K262" s="126" t="s">
        <v>749</v>
      </c>
      <c r="L262" s="126" t="s">
        <v>749</v>
      </c>
      <c r="M262" s="108">
        <v>44044.0</v>
      </c>
      <c r="N262" s="126" t="s">
        <v>701</v>
      </c>
      <c r="O262" s="116"/>
      <c r="P262" s="126" t="s">
        <v>750</v>
      </c>
      <c r="Q262" s="126" t="s">
        <v>750</v>
      </c>
      <c r="R262" s="130"/>
      <c r="S262" s="130"/>
      <c r="T262" s="130"/>
      <c r="U262" s="130"/>
      <c r="V262" s="130"/>
      <c r="W262" s="130"/>
      <c r="X262" s="130"/>
      <c r="Y262" s="130"/>
      <c r="Z262" s="130"/>
    </row>
    <row r="263" ht="15.75" customHeight="1">
      <c r="A263" s="105" t="s">
        <v>1105</v>
      </c>
      <c r="B263" s="105" t="s">
        <v>58</v>
      </c>
      <c r="C263" s="106" t="s">
        <v>1106</v>
      </c>
      <c r="D263" s="107" t="s">
        <v>185</v>
      </c>
      <c r="E263" s="106" t="s">
        <v>1102</v>
      </c>
      <c r="F263" s="126">
        <v>20.25</v>
      </c>
      <c r="G263" s="105" t="s">
        <v>394</v>
      </c>
      <c r="H263" s="126" t="s">
        <v>394</v>
      </c>
      <c r="I263" s="126" t="s">
        <v>394</v>
      </c>
      <c r="J263" s="126" t="s">
        <v>85</v>
      </c>
      <c r="K263" s="126" t="s">
        <v>749</v>
      </c>
      <c r="L263" s="126" t="s">
        <v>749</v>
      </c>
      <c r="M263" s="108">
        <v>44044.0</v>
      </c>
      <c r="N263" s="126" t="s">
        <v>701</v>
      </c>
      <c r="O263" s="116"/>
      <c r="P263" s="126" t="s">
        <v>750</v>
      </c>
      <c r="Q263" s="126" t="s">
        <v>750</v>
      </c>
      <c r="R263" s="130"/>
      <c r="S263" s="130"/>
      <c r="T263" s="130"/>
      <c r="U263" s="130"/>
      <c r="V263" s="130"/>
      <c r="W263" s="130"/>
      <c r="X263" s="130"/>
      <c r="Y263" s="130"/>
      <c r="Z263" s="130"/>
    </row>
    <row r="264" ht="15.75" customHeight="1">
      <c r="A264" s="105" t="s">
        <v>1107</v>
      </c>
      <c r="B264" s="105" t="s">
        <v>58</v>
      </c>
      <c r="C264" s="106" t="s">
        <v>1108</v>
      </c>
      <c r="D264" s="107" t="s">
        <v>185</v>
      </c>
      <c r="E264" s="106" t="s">
        <v>1102</v>
      </c>
      <c r="F264" s="126">
        <v>20.25</v>
      </c>
      <c r="G264" s="105" t="s">
        <v>394</v>
      </c>
      <c r="H264" s="126" t="s">
        <v>394</v>
      </c>
      <c r="I264" s="126" t="s">
        <v>394</v>
      </c>
      <c r="J264" s="126" t="s">
        <v>85</v>
      </c>
      <c r="K264" s="126" t="s">
        <v>749</v>
      </c>
      <c r="L264" s="126" t="s">
        <v>749</v>
      </c>
      <c r="M264" s="108">
        <v>44044.0</v>
      </c>
      <c r="N264" s="126" t="s">
        <v>701</v>
      </c>
      <c r="O264" s="116"/>
      <c r="P264" s="126" t="s">
        <v>750</v>
      </c>
      <c r="Q264" s="126" t="s">
        <v>750</v>
      </c>
      <c r="R264" s="130"/>
      <c r="S264" s="130"/>
      <c r="T264" s="130"/>
      <c r="U264" s="130"/>
      <c r="V264" s="130"/>
      <c r="W264" s="130"/>
      <c r="X264" s="130"/>
      <c r="Y264" s="130"/>
      <c r="Z264" s="130"/>
    </row>
    <row r="265" ht="15.75" customHeight="1">
      <c r="A265" s="105" t="s">
        <v>1109</v>
      </c>
      <c r="B265" s="105" t="s">
        <v>58</v>
      </c>
      <c r="C265" s="106" t="s">
        <v>1110</v>
      </c>
      <c r="D265" s="107" t="s">
        <v>185</v>
      </c>
      <c r="E265" s="106" t="s">
        <v>1102</v>
      </c>
      <c r="F265" s="126">
        <v>20.25</v>
      </c>
      <c r="G265" s="105" t="s">
        <v>394</v>
      </c>
      <c r="H265" s="126" t="s">
        <v>394</v>
      </c>
      <c r="I265" s="126" t="s">
        <v>394</v>
      </c>
      <c r="J265" s="126" t="s">
        <v>85</v>
      </c>
      <c r="K265" s="126" t="s">
        <v>749</v>
      </c>
      <c r="L265" s="126" t="s">
        <v>749</v>
      </c>
      <c r="M265" s="108">
        <v>44044.0</v>
      </c>
      <c r="N265" s="126" t="s">
        <v>701</v>
      </c>
      <c r="O265" s="116"/>
      <c r="P265" s="126" t="s">
        <v>750</v>
      </c>
      <c r="Q265" s="126" t="s">
        <v>750</v>
      </c>
      <c r="R265" s="130"/>
      <c r="S265" s="130"/>
      <c r="T265" s="130"/>
      <c r="U265" s="130"/>
      <c r="V265" s="130"/>
      <c r="W265" s="130"/>
      <c r="X265" s="130"/>
      <c r="Y265" s="130"/>
      <c r="Z265" s="130"/>
    </row>
    <row r="266" ht="15.75" customHeight="1">
      <c r="A266" s="105" t="s">
        <v>1111</v>
      </c>
      <c r="B266" s="105" t="s">
        <v>58</v>
      </c>
      <c r="C266" s="106" t="s">
        <v>1112</v>
      </c>
      <c r="D266" s="107" t="s">
        <v>185</v>
      </c>
      <c r="E266" s="106" t="s">
        <v>1102</v>
      </c>
      <c r="F266" s="126">
        <v>20.25</v>
      </c>
      <c r="G266" s="105" t="s">
        <v>394</v>
      </c>
      <c r="H266" s="126" t="s">
        <v>394</v>
      </c>
      <c r="I266" s="126" t="s">
        <v>394</v>
      </c>
      <c r="J266" s="126" t="s">
        <v>85</v>
      </c>
      <c r="K266" s="126" t="s">
        <v>749</v>
      </c>
      <c r="L266" s="126" t="s">
        <v>749</v>
      </c>
      <c r="M266" s="108">
        <v>44044.0</v>
      </c>
      <c r="N266" s="126" t="s">
        <v>701</v>
      </c>
      <c r="O266" s="116"/>
      <c r="P266" s="126" t="s">
        <v>750</v>
      </c>
      <c r="Q266" s="126" t="s">
        <v>750</v>
      </c>
      <c r="R266" s="130"/>
      <c r="S266" s="130"/>
      <c r="T266" s="130"/>
      <c r="U266" s="130"/>
      <c r="V266" s="130"/>
      <c r="W266" s="130"/>
      <c r="X266" s="130"/>
      <c r="Y266" s="130"/>
      <c r="Z266" s="130"/>
    </row>
    <row r="267" ht="15.75" customHeight="1">
      <c r="A267" s="105" t="s">
        <v>1113</v>
      </c>
      <c r="B267" s="105" t="s">
        <v>197</v>
      </c>
      <c r="C267" s="106" t="s">
        <v>1114</v>
      </c>
      <c r="D267" s="107" t="s">
        <v>185</v>
      </c>
      <c r="E267" s="106" t="s">
        <v>1115</v>
      </c>
      <c r="F267" s="126">
        <v>15.0</v>
      </c>
      <c r="G267" s="105" t="s">
        <v>394</v>
      </c>
      <c r="H267" s="126" t="s">
        <v>394</v>
      </c>
      <c r="I267" s="126" t="s">
        <v>394</v>
      </c>
      <c r="J267" s="126" t="s">
        <v>85</v>
      </c>
      <c r="K267" s="126" t="s">
        <v>687</v>
      </c>
      <c r="L267" s="126" t="s">
        <v>760</v>
      </c>
      <c r="M267" s="108">
        <v>44100.0</v>
      </c>
      <c r="N267" s="106" t="s">
        <v>735</v>
      </c>
      <c r="O267" s="116"/>
      <c r="P267" s="126" t="s">
        <v>761</v>
      </c>
      <c r="Q267" s="126" t="s">
        <v>761</v>
      </c>
      <c r="R267" s="130"/>
      <c r="S267" s="130"/>
      <c r="T267" s="130"/>
      <c r="U267" s="130"/>
      <c r="V267" s="130"/>
      <c r="W267" s="130"/>
      <c r="X267" s="130"/>
      <c r="Y267" s="130"/>
      <c r="Z267" s="130"/>
    </row>
    <row r="268" ht="15.75" customHeight="1">
      <c r="A268" s="105" t="s">
        <v>1116</v>
      </c>
      <c r="B268" s="105" t="s">
        <v>197</v>
      </c>
      <c r="C268" s="106" t="s">
        <v>1117</v>
      </c>
      <c r="D268" s="107" t="s">
        <v>185</v>
      </c>
      <c r="E268" s="106" t="s">
        <v>1115</v>
      </c>
      <c r="F268" s="126">
        <v>15.0</v>
      </c>
      <c r="G268" s="105" t="s">
        <v>394</v>
      </c>
      <c r="H268" s="126" t="s">
        <v>394</v>
      </c>
      <c r="I268" s="126" t="s">
        <v>394</v>
      </c>
      <c r="J268" s="126" t="s">
        <v>85</v>
      </c>
      <c r="K268" s="126" t="s">
        <v>687</v>
      </c>
      <c r="L268" s="126" t="s">
        <v>760</v>
      </c>
      <c r="M268" s="108">
        <v>44100.0</v>
      </c>
      <c r="N268" s="106" t="s">
        <v>735</v>
      </c>
      <c r="O268" s="116"/>
      <c r="P268" s="126" t="s">
        <v>761</v>
      </c>
      <c r="Q268" s="126" t="s">
        <v>761</v>
      </c>
      <c r="R268" s="130"/>
      <c r="S268" s="130"/>
      <c r="T268" s="130"/>
      <c r="U268" s="130"/>
      <c r="V268" s="130"/>
      <c r="W268" s="130"/>
      <c r="X268" s="130"/>
      <c r="Y268" s="130"/>
      <c r="Z268" s="130"/>
    </row>
    <row r="269" ht="15.75" customHeight="1">
      <c r="A269" s="105" t="s">
        <v>1118</v>
      </c>
      <c r="B269" s="105" t="s">
        <v>197</v>
      </c>
      <c r="C269" s="106" t="s">
        <v>1119</v>
      </c>
      <c r="D269" s="107" t="s">
        <v>185</v>
      </c>
      <c r="E269" s="106" t="s">
        <v>1115</v>
      </c>
      <c r="F269" s="126">
        <v>15.0</v>
      </c>
      <c r="G269" s="105" t="s">
        <v>394</v>
      </c>
      <c r="H269" s="126" t="s">
        <v>394</v>
      </c>
      <c r="I269" s="126" t="s">
        <v>394</v>
      </c>
      <c r="J269" s="126" t="s">
        <v>85</v>
      </c>
      <c r="K269" s="126" t="s">
        <v>687</v>
      </c>
      <c r="L269" s="126" t="s">
        <v>760</v>
      </c>
      <c r="M269" s="108">
        <v>44100.0</v>
      </c>
      <c r="N269" s="106" t="s">
        <v>735</v>
      </c>
      <c r="O269" s="116"/>
      <c r="P269" s="126" t="s">
        <v>761</v>
      </c>
      <c r="Q269" s="126" t="s">
        <v>761</v>
      </c>
      <c r="R269" s="130"/>
      <c r="S269" s="130"/>
      <c r="T269" s="130"/>
      <c r="U269" s="130"/>
      <c r="V269" s="130"/>
      <c r="W269" s="130"/>
      <c r="X269" s="130"/>
      <c r="Y269" s="130"/>
      <c r="Z269" s="130"/>
    </row>
    <row r="270" ht="15.75" customHeight="1">
      <c r="A270" s="105" t="s">
        <v>1120</v>
      </c>
      <c r="B270" s="105" t="s">
        <v>197</v>
      </c>
      <c r="C270" s="106" t="s">
        <v>1121</v>
      </c>
      <c r="D270" s="107" t="s">
        <v>135</v>
      </c>
      <c r="E270" s="106" t="s">
        <v>685</v>
      </c>
      <c r="F270" s="126" t="s">
        <v>1122</v>
      </c>
      <c r="G270" s="126" t="s">
        <v>723</v>
      </c>
      <c r="H270" s="126" t="s">
        <v>91</v>
      </c>
      <c r="I270" s="126" t="s">
        <v>723</v>
      </c>
      <c r="J270" s="126" t="s">
        <v>85</v>
      </c>
      <c r="K270" s="126" t="s">
        <v>749</v>
      </c>
      <c r="L270" s="126" t="s">
        <v>763</v>
      </c>
      <c r="M270" s="108">
        <v>44044.0</v>
      </c>
      <c r="N270" s="106" t="s">
        <v>741</v>
      </c>
      <c r="O270" s="131"/>
      <c r="P270" s="126" t="s">
        <v>745</v>
      </c>
      <c r="Q270" s="126" t="s">
        <v>745</v>
      </c>
      <c r="R270" s="130"/>
      <c r="S270" s="130"/>
      <c r="T270" s="130"/>
      <c r="U270" s="130"/>
      <c r="V270" s="130"/>
      <c r="W270" s="130"/>
      <c r="X270" s="130"/>
      <c r="Y270" s="130"/>
      <c r="Z270" s="130"/>
    </row>
    <row r="271" ht="15.75" customHeight="1">
      <c r="A271" s="105" t="s">
        <v>133</v>
      </c>
      <c r="B271" s="105" t="s">
        <v>44</v>
      </c>
      <c r="C271" s="106" t="s">
        <v>1123</v>
      </c>
      <c r="D271" s="107" t="s">
        <v>1339</v>
      </c>
      <c r="E271" s="106" t="s">
        <v>1115</v>
      </c>
      <c r="F271" s="126">
        <v>58.0</v>
      </c>
      <c r="G271" s="126" t="s">
        <v>136</v>
      </c>
      <c r="H271" s="126" t="s">
        <v>1124</v>
      </c>
      <c r="I271" s="126" t="s">
        <v>1124</v>
      </c>
      <c r="J271" s="126" t="s">
        <v>85</v>
      </c>
      <c r="K271" s="126" t="s">
        <v>749</v>
      </c>
      <c r="L271" s="126" t="s">
        <v>763</v>
      </c>
      <c r="M271" s="108">
        <v>44044.0</v>
      </c>
      <c r="N271" s="106" t="s">
        <v>701</v>
      </c>
      <c r="O271" s="109" t="s">
        <v>690</v>
      </c>
      <c r="P271" s="126" t="s">
        <v>691</v>
      </c>
      <c r="Q271" s="126" t="s">
        <v>691</v>
      </c>
      <c r="R271" s="130"/>
      <c r="S271" s="130"/>
      <c r="T271" s="130"/>
      <c r="U271" s="130"/>
      <c r="V271" s="130"/>
      <c r="W271" s="130"/>
      <c r="X271" s="130"/>
      <c r="Y271" s="130"/>
      <c r="Z271" s="130"/>
    </row>
    <row r="272" ht="15.75" customHeight="1">
      <c r="A272" s="105" t="s">
        <v>172</v>
      </c>
      <c r="B272" s="105" t="s">
        <v>842</v>
      </c>
      <c r="C272" s="106" t="s">
        <v>1125</v>
      </c>
      <c r="D272" s="107" t="s">
        <v>1339</v>
      </c>
      <c r="E272" s="106" t="s">
        <v>685</v>
      </c>
      <c r="F272" s="126" t="s">
        <v>1126</v>
      </c>
      <c r="G272" s="126" t="s">
        <v>136</v>
      </c>
      <c r="H272" s="126" t="s">
        <v>1124</v>
      </c>
      <c r="I272" s="126" t="s">
        <v>1124</v>
      </c>
      <c r="J272" s="126" t="s">
        <v>85</v>
      </c>
      <c r="K272" s="126" t="s">
        <v>749</v>
      </c>
      <c r="L272" s="126" t="s">
        <v>763</v>
      </c>
      <c r="M272" s="108">
        <v>44044.0</v>
      </c>
      <c r="N272" s="106" t="s">
        <v>689</v>
      </c>
      <c r="O272" s="109" t="s">
        <v>690</v>
      </c>
      <c r="P272" s="126" t="s">
        <v>691</v>
      </c>
      <c r="Q272" s="126" t="s">
        <v>691</v>
      </c>
      <c r="R272" s="130"/>
      <c r="S272" s="130"/>
      <c r="T272" s="130"/>
      <c r="U272" s="130"/>
      <c r="V272" s="130"/>
      <c r="W272" s="130"/>
      <c r="X272" s="130"/>
      <c r="Y272" s="130"/>
      <c r="Z272" s="130"/>
    </row>
    <row r="273" ht="15.75" customHeight="1">
      <c r="A273" s="105" t="s">
        <v>1127</v>
      </c>
      <c r="B273" s="105" t="s">
        <v>58</v>
      </c>
      <c r="C273" s="106" t="s">
        <v>1128</v>
      </c>
      <c r="D273" s="107" t="s">
        <v>185</v>
      </c>
      <c r="E273" s="106" t="s">
        <v>1102</v>
      </c>
      <c r="F273" s="126">
        <v>399.33</v>
      </c>
      <c r="G273" s="105" t="s">
        <v>394</v>
      </c>
      <c r="H273" s="126" t="s">
        <v>394</v>
      </c>
      <c r="I273" s="126" t="s">
        <v>394</v>
      </c>
      <c r="J273" s="126" t="s">
        <v>85</v>
      </c>
      <c r="K273" s="126" t="s">
        <v>749</v>
      </c>
      <c r="L273" s="126" t="s">
        <v>749</v>
      </c>
      <c r="M273" s="108">
        <v>44044.0</v>
      </c>
      <c r="N273" s="106" t="s">
        <v>701</v>
      </c>
      <c r="O273" s="131"/>
      <c r="P273" s="126" t="s">
        <v>750</v>
      </c>
      <c r="Q273" s="126" t="s">
        <v>750</v>
      </c>
      <c r="R273" s="130"/>
      <c r="S273" s="130"/>
      <c r="T273" s="130"/>
      <c r="U273" s="130"/>
      <c r="V273" s="130"/>
      <c r="W273" s="130"/>
      <c r="X273" s="130"/>
      <c r="Y273" s="130"/>
      <c r="Z273" s="130"/>
    </row>
    <row r="274" ht="15.75" customHeight="1">
      <c r="A274" s="105" t="s">
        <v>1129</v>
      </c>
      <c r="B274" s="105" t="s">
        <v>58</v>
      </c>
      <c r="C274" s="106" t="s">
        <v>1130</v>
      </c>
      <c r="D274" s="107" t="s">
        <v>185</v>
      </c>
      <c r="E274" s="106" t="s">
        <v>1102</v>
      </c>
      <c r="F274" s="126">
        <v>599.0</v>
      </c>
      <c r="G274" s="126" t="s">
        <v>394</v>
      </c>
      <c r="H274" s="126" t="s">
        <v>394</v>
      </c>
      <c r="I274" s="126" t="s">
        <v>394</v>
      </c>
      <c r="J274" s="126" t="s">
        <v>85</v>
      </c>
      <c r="K274" s="126" t="s">
        <v>749</v>
      </c>
      <c r="L274" s="126" t="s">
        <v>749</v>
      </c>
      <c r="M274" s="108">
        <v>44044.0</v>
      </c>
      <c r="N274" s="106" t="s">
        <v>701</v>
      </c>
      <c r="O274" s="131"/>
      <c r="P274" s="126" t="s">
        <v>750</v>
      </c>
      <c r="Q274" s="126" t="s">
        <v>750</v>
      </c>
      <c r="R274" s="130"/>
      <c r="S274" s="130"/>
      <c r="T274" s="130"/>
      <c r="U274" s="130"/>
      <c r="V274" s="130"/>
      <c r="W274" s="130"/>
      <c r="X274" s="130"/>
      <c r="Y274" s="130"/>
      <c r="Z274" s="130"/>
    </row>
    <row r="275" ht="15.75" customHeight="1">
      <c r="A275" s="105" t="s">
        <v>1131</v>
      </c>
      <c r="B275" s="105" t="s">
        <v>58</v>
      </c>
      <c r="C275" s="106" t="s">
        <v>1132</v>
      </c>
      <c r="D275" s="107" t="s">
        <v>185</v>
      </c>
      <c r="E275" s="106" t="s">
        <v>1102</v>
      </c>
      <c r="F275" s="126">
        <v>599.0</v>
      </c>
      <c r="G275" s="126" t="s">
        <v>394</v>
      </c>
      <c r="H275" s="126" t="s">
        <v>394</v>
      </c>
      <c r="I275" s="126" t="s">
        <v>394</v>
      </c>
      <c r="J275" s="126" t="s">
        <v>85</v>
      </c>
      <c r="K275" s="126" t="s">
        <v>749</v>
      </c>
      <c r="L275" s="126" t="s">
        <v>749</v>
      </c>
      <c r="M275" s="108">
        <v>44044.0</v>
      </c>
      <c r="N275" s="106" t="s">
        <v>701</v>
      </c>
      <c r="O275" s="131"/>
      <c r="P275" s="126" t="s">
        <v>750</v>
      </c>
      <c r="Q275" s="126" t="s">
        <v>750</v>
      </c>
      <c r="R275" s="130"/>
      <c r="S275" s="130"/>
      <c r="T275" s="130"/>
      <c r="U275" s="130"/>
      <c r="V275" s="130"/>
      <c r="W275" s="130"/>
      <c r="X275" s="130"/>
      <c r="Y275" s="130"/>
      <c r="Z275" s="130"/>
    </row>
    <row r="276" ht="15.75" customHeight="1">
      <c r="A276" s="105" t="s">
        <v>1133</v>
      </c>
      <c r="B276" s="105" t="s">
        <v>197</v>
      </c>
      <c r="C276" s="106" t="s">
        <v>1134</v>
      </c>
      <c r="D276" s="107" t="s">
        <v>185</v>
      </c>
      <c r="E276" s="106" t="s">
        <v>1102</v>
      </c>
      <c r="F276" s="126">
        <v>340.0</v>
      </c>
      <c r="G276" s="126" t="s">
        <v>723</v>
      </c>
      <c r="H276" s="105" t="s">
        <v>723</v>
      </c>
      <c r="I276" s="106" t="s">
        <v>723</v>
      </c>
      <c r="J276" s="126" t="s">
        <v>85</v>
      </c>
      <c r="K276" s="126" t="s">
        <v>687</v>
      </c>
      <c r="L276" s="126" t="s">
        <v>760</v>
      </c>
      <c r="M276" s="108">
        <v>44100.0</v>
      </c>
      <c r="N276" s="106" t="s">
        <v>692</v>
      </c>
      <c r="O276" s="109" t="s">
        <v>690</v>
      </c>
      <c r="P276" s="126" t="s">
        <v>724</v>
      </c>
      <c r="Q276" s="126" t="s">
        <v>724</v>
      </c>
      <c r="R276" s="130"/>
      <c r="S276" s="130"/>
      <c r="T276" s="130"/>
      <c r="U276" s="130"/>
      <c r="V276" s="130"/>
      <c r="W276" s="130"/>
      <c r="X276" s="130"/>
      <c r="Y276" s="130"/>
      <c r="Z276" s="130"/>
    </row>
    <row r="277" ht="15.75" customHeight="1">
      <c r="A277" s="105" t="s">
        <v>1135</v>
      </c>
      <c r="B277" s="105" t="s">
        <v>197</v>
      </c>
      <c r="C277" s="106" t="s">
        <v>1136</v>
      </c>
      <c r="D277" s="107" t="s">
        <v>185</v>
      </c>
      <c r="E277" s="106" t="s">
        <v>1102</v>
      </c>
      <c r="F277" s="126">
        <v>37.0</v>
      </c>
      <c r="G277" s="126" t="s">
        <v>723</v>
      </c>
      <c r="H277" s="105" t="s">
        <v>723</v>
      </c>
      <c r="I277" s="106" t="s">
        <v>723</v>
      </c>
      <c r="J277" s="126" t="s">
        <v>85</v>
      </c>
      <c r="K277" s="126" t="s">
        <v>687</v>
      </c>
      <c r="L277" s="126" t="s">
        <v>760</v>
      </c>
      <c r="M277" s="108">
        <v>44100.0</v>
      </c>
      <c r="N277" s="106" t="s">
        <v>741</v>
      </c>
      <c r="O277" s="109" t="s">
        <v>690</v>
      </c>
      <c r="P277" s="126" t="s">
        <v>724</v>
      </c>
      <c r="Q277" s="126" t="s">
        <v>724</v>
      </c>
      <c r="R277" s="130"/>
      <c r="S277" s="130"/>
      <c r="T277" s="130"/>
      <c r="U277" s="130"/>
      <c r="V277" s="130"/>
      <c r="W277" s="130"/>
      <c r="X277" s="130"/>
      <c r="Y277" s="130"/>
      <c r="Z277" s="130"/>
    </row>
    <row r="278" ht="15.75" customHeight="1">
      <c r="A278" s="105" t="s">
        <v>1137</v>
      </c>
      <c r="B278" s="105" t="s">
        <v>197</v>
      </c>
      <c r="C278" s="106" t="s">
        <v>1138</v>
      </c>
      <c r="D278" s="107" t="s">
        <v>185</v>
      </c>
      <c r="E278" s="106" t="s">
        <v>1102</v>
      </c>
      <c r="F278" s="126">
        <v>73.0</v>
      </c>
      <c r="G278" s="126" t="s">
        <v>723</v>
      </c>
      <c r="H278" s="105" t="s">
        <v>723</v>
      </c>
      <c r="I278" s="106" t="s">
        <v>723</v>
      </c>
      <c r="J278" s="126" t="s">
        <v>85</v>
      </c>
      <c r="K278" s="126" t="s">
        <v>687</v>
      </c>
      <c r="L278" s="126" t="s">
        <v>760</v>
      </c>
      <c r="M278" s="108">
        <v>44100.0</v>
      </c>
      <c r="N278" s="106" t="s">
        <v>741</v>
      </c>
      <c r="O278" s="109" t="s">
        <v>690</v>
      </c>
      <c r="P278" s="126" t="s">
        <v>724</v>
      </c>
      <c r="Q278" s="126" t="s">
        <v>724</v>
      </c>
      <c r="R278" s="130"/>
      <c r="S278" s="130"/>
      <c r="T278" s="130"/>
      <c r="U278" s="130"/>
      <c r="V278" s="130"/>
      <c r="W278" s="130"/>
      <c r="X278" s="130"/>
      <c r="Y278" s="130"/>
      <c r="Z278" s="130"/>
    </row>
    <row r="279" ht="15.75" customHeight="1">
      <c r="A279" s="105" t="s">
        <v>1139</v>
      </c>
      <c r="B279" s="105" t="s">
        <v>197</v>
      </c>
      <c r="C279" s="106" t="s">
        <v>1140</v>
      </c>
      <c r="D279" s="107" t="s">
        <v>185</v>
      </c>
      <c r="E279" s="106" t="s">
        <v>1115</v>
      </c>
      <c r="F279" s="126">
        <v>1.0</v>
      </c>
      <c r="G279" s="126" t="s">
        <v>394</v>
      </c>
      <c r="H279" s="126" t="s">
        <v>394</v>
      </c>
      <c r="I279" s="126" t="s">
        <v>394</v>
      </c>
      <c r="J279" s="126" t="s">
        <v>85</v>
      </c>
      <c r="K279" s="126" t="s">
        <v>687</v>
      </c>
      <c r="L279" s="126" t="s">
        <v>760</v>
      </c>
      <c r="M279" s="108">
        <v>44100.0</v>
      </c>
      <c r="N279" s="106" t="s">
        <v>735</v>
      </c>
      <c r="O279" s="131"/>
      <c r="P279" s="126" t="s">
        <v>761</v>
      </c>
      <c r="Q279" s="126" t="s">
        <v>761</v>
      </c>
      <c r="R279" s="130"/>
      <c r="S279" s="130"/>
      <c r="T279" s="130"/>
      <c r="U279" s="130"/>
      <c r="V279" s="130"/>
      <c r="W279" s="130"/>
      <c r="X279" s="130"/>
      <c r="Y279" s="130"/>
      <c r="Z279" s="130"/>
    </row>
    <row r="280" ht="15.75" customHeight="1">
      <c r="A280" s="105" t="s">
        <v>1141</v>
      </c>
      <c r="B280" s="105" t="s">
        <v>197</v>
      </c>
      <c r="C280" s="106" t="s">
        <v>1142</v>
      </c>
      <c r="D280" s="107" t="s">
        <v>185</v>
      </c>
      <c r="E280" s="106" t="s">
        <v>1115</v>
      </c>
      <c r="F280" s="126">
        <v>4.0</v>
      </c>
      <c r="G280" s="126" t="s">
        <v>394</v>
      </c>
      <c r="H280" s="126" t="s">
        <v>394</v>
      </c>
      <c r="I280" s="126" t="s">
        <v>394</v>
      </c>
      <c r="J280" s="126" t="s">
        <v>85</v>
      </c>
      <c r="K280" s="126" t="s">
        <v>687</v>
      </c>
      <c r="L280" s="126" t="s">
        <v>760</v>
      </c>
      <c r="M280" s="108">
        <v>44100.0</v>
      </c>
      <c r="N280" s="106" t="s">
        <v>735</v>
      </c>
      <c r="O280" s="131"/>
      <c r="P280" s="126" t="s">
        <v>761</v>
      </c>
      <c r="Q280" s="126" t="s">
        <v>761</v>
      </c>
      <c r="R280" s="130"/>
      <c r="S280" s="130"/>
      <c r="T280" s="130"/>
      <c r="U280" s="130"/>
      <c r="V280" s="130"/>
      <c r="W280" s="130"/>
      <c r="X280" s="130"/>
      <c r="Y280" s="130"/>
      <c r="Z280" s="130"/>
    </row>
    <row r="281" ht="15.75" customHeight="1">
      <c r="A281" s="105" t="s">
        <v>1143</v>
      </c>
      <c r="B281" s="105" t="s">
        <v>197</v>
      </c>
      <c r="C281" s="106" t="s">
        <v>1144</v>
      </c>
      <c r="D281" s="107" t="s">
        <v>185</v>
      </c>
      <c r="E281" s="106" t="s">
        <v>1115</v>
      </c>
      <c r="F281" s="126">
        <v>6.0</v>
      </c>
      <c r="G281" s="126" t="s">
        <v>394</v>
      </c>
      <c r="H281" s="126" t="s">
        <v>394</v>
      </c>
      <c r="I281" s="126" t="s">
        <v>394</v>
      </c>
      <c r="J281" s="126" t="s">
        <v>85</v>
      </c>
      <c r="K281" s="126" t="s">
        <v>687</v>
      </c>
      <c r="L281" s="126" t="s">
        <v>760</v>
      </c>
      <c r="M281" s="108">
        <v>44100.0</v>
      </c>
      <c r="N281" s="106" t="s">
        <v>692</v>
      </c>
      <c r="O281" s="109" t="s">
        <v>690</v>
      </c>
      <c r="P281" s="126" t="s">
        <v>761</v>
      </c>
      <c r="Q281" s="126" t="s">
        <v>761</v>
      </c>
      <c r="R281" s="130"/>
      <c r="S281" s="130"/>
      <c r="T281" s="130"/>
      <c r="U281" s="130"/>
      <c r="V281" s="130"/>
      <c r="W281" s="130"/>
      <c r="X281" s="130"/>
      <c r="Y281" s="130"/>
      <c r="Z281" s="130"/>
    </row>
    <row r="282" ht="15.75" customHeight="1">
      <c r="A282" s="105" t="s">
        <v>1145</v>
      </c>
      <c r="B282" s="105" t="s">
        <v>58</v>
      </c>
      <c r="C282" s="106" t="s">
        <v>1146</v>
      </c>
      <c r="D282" s="107" t="s">
        <v>185</v>
      </c>
      <c r="E282" s="106" t="s">
        <v>1102</v>
      </c>
      <c r="F282" s="126">
        <v>20.25</v>
      </c>
      <c r="G282" s="126" t="s">
        <v>394</v>
      </c>
      <c r="H282" s="126" t="s">
        <v>394</v>
      </c>
      <c r="I282" s="126" t="s">
        <v>394</v>
      </c>
      <c r="J282" s="126" t="s">
        <v>85</v>
      </c>
      <c r="K282" s="126" t="s">
        <v>749</v>
      </c>
      <c r="L282" s="126" t="s">
        <v>749</v>
      </c>
      <c r="M282" s="108">
        <v>44044.0</v>
      </c>
      <c r="N282" s="106" t="s">
        <v>701</v>
      </c>
      <c r="O282" s="131"/>
      <c r="P282" s="126" t="s">
        <v>750</v>
      </c>
      <c r="Q282" s="126" t="s">
        <v>750</v>
      </c>
      <c r="R282" s="130"/>
      <c r="S282" s="130"/>
      <c r="T282" s="130"/>
      <c r="U282" s="130"/>
      <c r="V282" s="130"/>
      <c r="W282" s="130"/>
      <c r="X282" s="130"/>
      <c r="Y282" s="130"/>
      <c r="Z282" s="130"/>
    </row>
    <row r="283" ht="15.75" customHeight="1">
      <c r="A283" s="105" t="s">
        <v>1147</v>
      </c>
      <c r="B283" s="105" t="s">
        <v>58</v>
      </c>
      <c r="C283" s="106" t="s">
        <v>1148</v>
      </c>
      <c r="D283" s="107" t="s">
        <v>185</v>
      </c>
      <c r="E283" s="106" t="s">
        <v>1102</v>
      </c>
      <c r="F283" s="126">
        <v>20.25</v>
      </c>
      <c r="G283" s="126" t="s">
        <v>394</v>
      </c>
      <c r="H283" s="126" t="s">
        <v>394</v>
      </c>
      <c r="I283" s="126" t="s">
        <v>394</v>
      </c>
      <c r="J283" s="126" t="s">
        <v>85</v>
      </c>
      <c r="K283" s="126" t="s">
        <v>749</v>
      </c>
      <c r="L283" s="126" t="s">
        <v>749</v>
      </c>
      <c r="M283" s="108">
        <v>44044.0</v>
      </c>
      <c r="N283" s="106" t="s">
        <v>701</v>
      </c>
      <c r="O283" s="131"/>
      <c r="P283" s="126" t="s">
        <v>750</v>
      </c>
      <c r="Q283" s="126" t="s">
        <v>750</v>
      </c>
      <c r="R283" s="130"/>
      <c r="S283" s="130"/>
      <c r="T283" s="130"/>
      <c r="U283" s="130"/>
      <c r="V283" s="130"/>
      <c r="W283" s="130"/>
      <c r="X283" s="130"/>
      <c r="Y283" s="130"/>
      <c r="Z283" s="130"/>
    </row>
    <row r="284" ht="15.75" customHeight="1">
      <c r="A284" s="105" t="s">
        <v>1149</v>
      </c>
      <c r="B284" s="105" t="s">
        <v>58</v>
      </c>
      <c r="C284" s="106" t="s">
        <v>1150</v>
      </c>
      <c r="D284" s="107" t="s">
        <v>185</v>
      </c>
      <c r="E284" s="106" t="s">
        <v>1102</v>
      </c>
      <c r="F284" s="126">
        <v>20.25</v>
      </c>
      <c r="G284" s="126" t="s">
        <v>394</v>
      </c>
      <c r="H284" s="126" t="s">
        <v>394</v>
      </c>
      <c r="I284" s="126" t="s">
        <v>394</v>
      </c>
      <c r="J284" s="126" t="s">
        <v>85</v>
      </c>
      <c r="K284" s="126" t="s">
        <v>749</v>
      </c>
      <c r="L284" s="126" t="s">
        <v>749</v>
      </c>
      <c r="M284" s="108">
        <v>44044.0</v>
      </c>
      <c r="N284" s="106" t="s">
        <v>701</v>
      </c>
      <c r="O284" s="131"/>
      <c r="P284" s="126" t="s">
        <v>750</v>
      </c>
      <c r="Q284" s="126" t="s">
        <v>750</v>
      </c>
      <c r="R284" s="130"/>
      <c r="S284" s="130"/>
      <c r="T284" s="130"/>
      <c r="U284" s="130"/>
      <c r="V284" s="130"/>
      <c r="W284" s="130"/>
      <c r="X284" s="130"/>
      <c r="Y284" s="130"/>
      <c r="Z284" s="130"/>
    </row>
    <row r="285" ht="15.75" customHeight="1">
      <c r="A285" s="105" t="s">
        <v>1151</v>
      </c>
      <c r="B285" s="105" t="s">
        <v>197</v>
      </c>
      <c r="C285" s="106" t="s">
        <v>1152</v>
      </c>
      <c r="D285" s="107" t="s">
        <v>135</v>
      </c>
      <c r="E285" s="106" t="s">
        <v>1102</v>
      </c>
      <c r="F285" s="126">
        <v>66.78</v>
      </c>
      <c r="G285" s="126" t="s">
        <v>136</v>
      </c>
      <c r="H285" s="126" t="s">
        <v>136</v>
      </c>
      <c r="I285" s="126" t="s">
        <v>835</v>
      </c>
      <c r="J285" s="117" t="s">
        <v>85</v>
      </c>
      <c r="K285" s="126" t="s">
        <v>749</v>
      </c>
      <c r="L285" s="126" t="s">
        <v>1153</v>
      </c>
      <c r="M285" s="108">
        <v>44044.0</v>
      </c>
      <c r="N285" s="106" t="s">
        <v>692</v>
      </c>
      <c r="O285" s="131"/>
      <c r="P285" s="126" t="s">
        <v>721</v>
      </c>
      <c r="Q285" s="126" t="s">
        <v>721</v>
      </c>
      <c r="R285" s="130"/>
      <c r="S285" s="130"/>
      <c r="T285" s="130"/>
      <c r="U285" s="130"/>
      <c r="V285" s="130"/>
      <c r="W285" s="130"/>
      <c r="X285" s="130"/>
      <c r="Y285" s="130"/>
      <c r="Z285" s="130"/>
    </row>
    <row r="286" ht="15.75" customHeight="1">
      <c r="A286" s="105" t="s">
        <v>1154</v>
      </c>
      <c r="B286" s="105" t="s">
        <v>197</v>
      </c>
      <c r="C286" s="106" t="s">
        <v>1155</v>
      </c>
      <c r="D286" s="107" t="s">
        <v>185</v>
      </c>
      <c r="E286" s="106" t="s">
        <v>1115</v>
      </c>
      <c r="F286" s="126">
        <v>289.0</v>
      </c>
      <c r="G286" s="126" t="s">
        <v>723</v>
      </c>
      <c r="H286" s="126" t="s">
        <v>91</v>
      </c>
      <c r="I286" s="106" t="s">
        <v>723</v>
      </c>
      <c r="J286" s="117" t="s">
        <v>85</v>
      </c>
      <c r="K286" s="126" t="s">
        <v>687</v>
      </c>
      <c r="L286" s="126" t="s">
        <v>688</v>
      </c>
      <c r="M286" s="108">
        <v>44100.0</v>
      </c>
      <c r="N286" s="106" t="s">
        <v>692</v>
      </c>
      <c r="O286" s="109" t="s">
        <v>690</v>
      </c>
      <c r="P286" s="126" t="s">
        <v>724</v>
      </c>
      <c r="Q286" s="126" t="s">
        <v>724</v>
      </c>
      <c r="R286" s="130"/>
      <c r="S286" s="130"/>
      <c r="T286" s="130"/>
      <c r="U286" s="130"/>
      <c r="V286" s="130"/>
      <c r="W286" s="130"/>
      <c r="X286" s="130"/>
      <c r="Y286" s="130"/>
      <c r="Z286" s="130"/>
    </row>
    <row r="287" ht="15.75" customHeight="1">
      <c r="A287" s="105" t="s">
        <v>1156</v>
      </c>
      <c r="B287" s="105" t="s">
        <v>52</v>
      </c>
      <c r="C287" s="106" t="s">
        <v>1157</v>
      </c>
      <c r="D287" s="107" t="s">
        <v>185</v>
      </c>
      <c r="E287" s="106" t="s">
        <v>698</v>
      </c>
      <c r="F287" s="115">
        <v>43971.333333333336</v>
      </c>
      <c r="G287" s="126" t="s">
        <v>723</v>
      </c>
      <c r="H287" s="126" t="s">
        <v>723</v>
      </c>
      <c r="I287" s="126" t="s">
        <v>723</v>
      </c>
      <c r="J287" s="117" t="s">
        <v>85</v>
      </c>
      <c r="K287" s="126" t="s">
        <v>687</v>
      </c>
      <c r="L287" s="126" t="s">
        <v>688</v>
      </c>
      <c r="M287" s="108">
        <v>44101.0</v>
      </c>
      <c r="N287" s="106" t="s">
        <v>735</v>
      </c>
      <c r="O287" s="116" t="s">
        <v>736</v>
      </c>
      <c r="P287" s="126" t="s">
        <v>721</v>
      </c>
      <c r="Q287" s="126" t="s">
        <v>721</v>
      </c>
      <c r="R287" s="130"/>
      <c r="S287" s="130"/>
      <c r="T287" s="130"/>
      <c r="U287" s="130"/>
      <c r="V287" s="130"/>
      <c r="W287" s="130"/>
      <c r="X287" s="130"/>
      <c r="Y287" s="130"/>
      <c r="Z287" s="130"/>
    </row>
    <row r="288" ht="15.75" customHeight="1">
      <c r="A288" s="105" t="s">
        <v>1158</v>
      </c>
      <c r="B288" s="105" t="s">
        <v>52</v>
      </c>
      <c r="C288" s="106" t="s">
        <v>1159</v>
      </c>
      <c r="D288" s="107" t="s">
        <v>185</v>
      </c>
      <c r="E288" s="106" t="s">
        <v>1102</v>
      </c>
      <c r="F288" s="126">
        <v>33.5</v>
      </c>
      <c r="G288" s="126" t="s">
        <v>723</v>
      </c>
      <c r="H288" s="126" t="s">
        <v>723</v>
      </c>
      <c r="I288" s="126" t="s">
        <v>723</v>
      </c>
      <c r="J288" s="117" t="s">
        <v>85</v>
      </c>
      <c r="K288" s="126" t="s">
        <v>687</v>
      </c>
      <c r="L288" s="126" t="s">
        <v>688</v>
      </c>
      <c r="M288" s="108">
        <v>44101.0</v>
      </c>
      <c r="N288" s="106" t="s">
        <v>735</v>
      </c>
      <c r="O288" s="116" t="s">
        <v>736</v>
      </c>
      <c r="P288" s="126" t="s">
        <v>721</v>
      </c>
      <c r="Q288" s="126" t="s">
        <v>721</v>
      </c>
      <c r="R288" s="130"/>
      <c r="S288" s="130"/>
      <c r="T288" s="130"/>
      <c r="U288" s="130"/>
      <c r="V288" s="130"/>
      <c r="W288" s="130"/>
      <c r="X288" s="130"/>
      <c r="Y288" s="130"/>
      <c r="Z288" s="130"/>
    </row>
    <row r="289" ht="15.75" customHeight="1">
      <c r="A289" s="105" t="s">
        <v>1160</v>
      </c>
      <c r="B289" s="105" t="s">
        <v>52</v>
      </c>
      <c r="C289" s="106" t="s">
        <v>1161</v>
      </c>
      <c r="D289" s="107" t="s">
        <v>185</v>
      </c>
      <c r="E289" s="106" t="s">
        <v>698</v>
      </c>
      <c r="F289" s="115">
        <v>43971.333333333336</v>
      </c>
      <c r="G289" s="126" t="s">
        <v>723</v>
      </c>
      <c r="H289" s="126" t="s">
        <v>723</v>
      </c>
      <c r="I289" s="126" t="s">
        <v>723</v>
      </c>
      <c r="J289" s="117" t="s">
        <v>85</v>
      </c>
      <c r="K289" s="126" t="s">
        <v>687</v>
      </c>
      <c r="L289" s="126" t="s">
        <v>688</v>
      </c>
      <c r="M289" s="108">
        <v>44101.0</v>
      </c>
      <c r="N289" s="106" t="s">
        <v>735</v>
      </c>
      <c r="O289" s="116" t="s">
        <v>736</v>
      </c>
      <c r="P289" s="126" t="s">
        <v>721</v>
      </c>
      <c r="Q289" s="126" t="s">
        <v>721</v>
      </c>
      <c r="R289" s="130"/>
      <c r="S289" s="130"/>
      <c r="T289" s="130"/>
      <c r="U289" s="130"/>
      <c r="V289" s="130"/>
      <c r="W289" s="130"/>
      <c r="X289" s="130"/>
      <c r="Y289" s="130"/>
      <c r="Z289" s="130"/>
    </row>
    <row r="290" ht="15.75" customHeight="1">
      <c r="A290" s="105" t="s">
        <v>1162</v>
      </c>
      <c r="B290" s="105" t="s">
        <v>52</v>
      </c>
      <c r="C290" s="106" t="s">
        <v>1163</v>
      </c>
      <c r="D290" s="107" t="s">
        <v>185</v>
      </c>
      <c r="E290" s="106" t="s">
        <v>1102</v>
      </c>
      <c r="F290" s="126">
        <v>33.5</v>
      </c>
      <c r="G290" s="126" t="s">
        <v>723</v>
      </c>
      <c r="H290" s="126" t="s">
        <v>723</v>
      </c>
      <c r="I290" s="126" t="s">
        <v>723</v>
      </c>
      <c r="J290" s="117" t="s">
        <v>85</v>
      </c>
      <c r="K290" s="126" t="s">
        <v>687</v>
      </c>
      <c r="L290" s="126" t="s">
        <v>688</v>
      </c>
      <c r="M290" s="108">
        <v>44101.0</v>
      </c>
      <c r="N290" s="106" t="s">
        <v>735</v>
      </c>
      <c r="O290" s="116" t="s">
        <v>736</v>
      </c>
      <c r="P290" s="126" t="s">
        <v>721</v>
      </c>
      <c r="Q290" s="126" t="s">
        <v>721</v>
      </c>
      <c r="R290" s="130"/>
      <c r="S290" s="130"/>
      <c r="T290" s="130"/>
      <c r="U290" s="130"/>
      <c r="V290" s="130"/>
      <c r="W290" s="130"/>
      <c r="X290" s="130"/>
      <c r="Y290" s="130"/>
      <c r="Z290" s="130"/>
    </row>
    <row r="291" ht="15.75" customHeight="1">
      <c r="A291" s="105" t="s">
        <v>1164</v>
      </c>
      <c r="B291" s="105" t="s">
        <v>52</v>
      </c>
      <c r="C291" s="106" t="s">
        <v>1165</v>
      </c>
      <c r="D291" s="107" t="s">
        <v>185</v>
      </c>
      <c r="E291" s="106" t="s">
        <v>1115</v>
      </c>
      <c r="F291" s="126">
        <v>12.0</v>
      </c>
      <c r="G291" s="126" t="s">
        <v>723</v>
      </c>
      <c r="H291" s="126" t="s">
        <v>723</v>
      </c>
      <c r="I291" s="126" t="s">
        <v>723</v>
      </c>
      <c r="J291" s="117" t="s">
        <v>85</v>
      </c>
      <c r="K291" s="126" t="s">
        <v>687</v>
      </c>
      <c r="L291" s="126" t="s">
        <v>688</v>
      </c>
      <c r="M291" s="108">
        <v>44101.0</v>
      </c>
      <c r="N291" s="106" t="s">
        <v>735</v>
      </c>
      <c r="O291" s="116" t="s">
        <v>736</v>
      </c>
      <c r="P291" s="126" t="s">
        <v>721</v>
      </c>
      <c r="Q291" s="126" t="s">
        <v>721</v>
      </c>
      <c r="R291" s="130"/>
      <c r="S291" s="130"/>
      <c r="T291" s="130"/>
      <c r="U291" s="130"/>
      <c r="V291" s="130"/>
      <c r="W291" s="130"/>
      <c r="X291" s="130"/>
      <c r="Y291" s="130"/>
      <c r="Z291" s="130"/>
    </row>
    <row r="292" ht="15.75" customHeight="1">
      <c r="A292" s="105" t="s">
        <v>1166</v>
      </c>
      <c r="B292" s="105" t="s">
        <v>52</v>
      </c>
      <c r="C292" s="106" t="s">
        <v>1167</v>
      </c>
      <c r="D292" s="107" t="s">
        <v>185</v>
      </c>
      <c r="E292" s="106" t="s">
        <v>1102</v>
      </c>
      <c r="F292" s="126">
        <v>33.5</v>
      </c>
      <c r="G292" s="126" t="s">
        <v>723</v>
      </c>
      <c r="H292" s="126" t="s">
        <v>723</v>
      </c>
      <c r="I292" s="126" t="s">
        <v>723</v>
      </c>
      <c r="J292" s="117" t="s">
        <v>85</v>
      </c>
      <c r="K292" s="126" t="s">
        <v>687</v>
      </c>
      <c r="L292" s="126" t="s">
        <v>688</v>
      </c>
      <c r="M292" s="108">
        <v>44101.0</v>
      </c>
      <c r="N292" s="106" t="s">
        <v>735</v>
      </c>
      <c r="O292" s="116" t="s">
        <v>736</v>
      </c>
      <c r="P292" s="126" t="s">
        <v>721</v>
      </c>
      <c r="Q292" s="126" t="s">
        <v>721</v>
      </c>
      <c r="R292" s="130"/>
      <c r="S292" s="130"/>
      <c r="T292" s="130"/>
      <c r="U292" s="130"/>
      <c r="V292" s="130"/>
      <c r="W292" s="130"/>
      <c r="X292" s="130"/>
      <c r="Y292" s="130"/>
      <c r="Z292" s="130"/>
    </row>
    <row r="293" ht="15.75" customHeight="1">
      <c r="A293" s="105" t="s">
        <v>1168</v>
      </c>
      <c r="B293" s="105" t="s">
        <v>52</v>
      </c>
      <c r="C293" s="106" t="s">
        <v>1169</v>
      </c>
      <c r="D293" s="107" t="s">
        <v>185</v>
      </c>
      <c r="E293" s="106" t="s">
        <v>1102</v>
      </c>
      <c r="F293" s="126">
        <v>33.5</v>
      </c>
      <c r="G293" s="126" t="s">
        <v>723</v>
      </c>
      <c r="H293" s="126" t="s">
        <v>723</v>
      </c>
      <c r="I293" s="126" t="s">
        <v>723</v>
      </c>
      <c r="J293" s="117" t="s">
        <v>85</v>
      </c>
      <c r="K293" s="126" t="s">
        <v>687</v>
      </c>
      <c r="L293" s="126" t="s">
        <v>688</v>
      </c>
      <c r="M293" s="108">
        <v>44101.0</v>
      </c>
      <c r="N293" s="106" t="s">
        <v>735</v>
      </c>
      <c r="O293" s="116" t="s">
        <v>736</v>
      </c>
      <c r="P293" s="126" t="s">
        <v>721</v>
      </c>
      <c r="Q293" s="126" t="s">
        <v>721</v>
      </c>
      <c r="R293" s="130"/>
      <c r="S293" s="130"/>
      <c r="T293" s="130"/>
      <c r="U293" s="130"/>
      <c r="V293" s="130"/>
      <c r="W293" s="130"/>
      <c r="X293" s="130"/>
      <c r="Y293" s="130"/>
      <c r="Z293" s="130"/>
    </row>
    <row r="294" ht="15.75" customHeight="1">
      <c r="A294" s="105" t="s">
        <v>1170</v>
      </c>
      <c r="B294" s="105" t="s">
        <v>52</v>
      </c>
      <c r="C294" s="106" t="s">
        <v>1171</v>
      </c>
      <c r="D294" s="107" t="s">
        <v>185</v>
      </c>
      <c r="E294" s="106" t="s">
        <v>698</v>
      </c>
      <c r="F294" s="115">
        <v>43971.333333333336</v>
      </c>
      <c r="G294" s="126" t="s">
        <v>723</v>
      </c>
      <c r="H294" s="126" t="s">
        <v>723</v>
      </c>
      <c r="I294" s="126" t="s">
        <v>723</v>
      </c>
      <c r="J294" s="117" t="s">
        <v>85</v>
      </c>
      <c r="K294" s="126" t="s">
        <v>687</v>
      </c>
      <c r="L294" s="126" t="s">
        <v>688</v>
      </c>
      <c r="M294" s="108">
        <v>44101.0</v>
      </c>
      <c r="N294" s="106" t="s">
        <v>735</v>
      </c>
      <c r="O294" s="116" t="s">
        <v>736</v>
      </c>
      <c r="P294" s="126" t="s">
        <v>721</v>
      </c>
      <c r="Q294" s="126" t="s">
        <v>721</v>
      </c>
      <c r="R294" s="130"/>
      <c r="S294" s="130"/>
      <c r="T294" s="130"/>
      <c r="U294" s="130"/>
      <c r="V294" s="130"/>
      <c r="W294" s="130"/>
      <c r="X294" s="130"/>
      <c r="Y294" s="130"/>
      <c r="Z294" s="130"/>
    </row>
    <row r="295" ht="15.75" customHeight="1">
      <c r="A295" s="105" t="s">
        <v>1172</v>
      </c>
      <c r="B295" s="105" t="s">
        <v>52</v>
      </c>
      <c r="C295" s="106" t="s">
        <v>1173</v>
      </c>
      <c r="D295" s="107" t="s">
        <v>185</v>
      </c>
      <c r="E295" s="106" t="s">
        <v>698</v>
      </c>
      <c r="F295" s="115">
        <v>43971.333333333336</v>
      </c>
      <c r="G295" s="126" t="s">
        <v>723</v>
      </c>
      <c r="H295" s="126" t="s">
        <v>723</v>
      </c>
      <c r="I295" s="126" t="s">
        <v>723</v>
      </c>
      <c r="J295" s="117" t="s">
        <v>85</v>
      </c>
      <c r="K295" s="126" t="s">
        <v>687</v>
      </c>
      <c r="L295" s="126" t="s">
        <v>688</v>
      </c>
      <c r="M295" s="108">
        <v>44101.0</v>
      </c>
      <c r="N295" s="106" t="s">
        <v>735</v>
      </c>
      <c r="O295" s="116" t="s">
        <v>736</v>
      </c>
      <c r="P295" s="126" t="s">
        <v>721</v>
      </c>
      <c r="Q295" s="126" t="s">
        <v>721</v>
      </c>
      <c r="R295" s="130"/>
      <c r="S295" s="130"/>
      <c r="T295" s="130"/>
      <c r="U295" s="130"/>
      <c r="V295" s="130"/>
      <c r="W295" s="130"/>
      <c r="X295" s="130"/>
      <c r="Y295" s="130"/>
      <c r="Z295" s="130"/>
    </row>
    <row r="296" ht="15.75" customHeight="1">
      <c r="A296" s="105" t="s">
        <v>1174</v>
      </c>
      <c r="B296" s="105" t="s">
        <v>52</v>
      </c>
      <c r="C296" s="106" t="s">
        <v>1175</v>
      </c>
      <c r="D296" s="107" t="s">
        <v>185</v>
      </c>
      <c r="E296" s="106" t="s">
        <v>1102</v>
      </c>
      <c r="F296" s="126">
        <v>33.5</v>
      </c>
      <c r="G296" s="126" t="s">
        <v>723</v>
      </c>
      <c r="H296" s="126" t="s">
        <v>723</v>
      </c>
      <c r="I296" s="126" t="s">
        <v>723</v>
      </c>
      <c r="J296" s="117" t="s">
        <v>85</v>
      </c>
      <c r="K296" s="126" t="s">
        <v>687</v>
      </c>
      <c r="L296" s="126" t="s">
        <v>688</v>
      </c>
      <c r="M296" s="108">
        <v>44101.0</v>
      </c>
      <c r="N296" s="106" t="s">
        <v>735</v>
      </c>
      <c r="O296" s="116" t="s">
        <v>736</v>
      </c>
      <c r="P296" s="126" t="s">
        <v>721</v>
      </c>
      <c r="Q296" s="126" t="s">
        <v>721</v>
      </c>
      <c r="R296" s="130"/>
      <c r="S296" s="130"/>
      <c r="T296" s="130"/>
      <c r="U296" s="130"/>
      <c r="V296" s="130"/>
      <c r="W296" s="130"/>
      <c r="X296" s="130"/>
      <c r="Y296" s="130"/>
      <c r="Z296" s="130"/>
    </row>
    <row r="297" ht="15.75" customHeight="1">
      <c r="A297" s="105" t="s">
        <v>1176</v>
      </c>
      <c r="B297" s="105" t="s">
        <v>52</v>
      </c>
      <c r="C297" s="106" t="s">
        <v>1177</v>
      </c>
      <c r="D297" s="107" t="s">
        <v>185</v>
      </c>
      <c r="E297" s="106" t="s">
        <v>698</v>
      </c>
      <c r="F297" s="115">
        <v>43971.333333333336</v>
      </c>
      <c r="G297" s="126" t="s">
        <v>723</v>
      </c>
      <c r="H297" s="126" t="s">
        <v>723</v>
      </c>
      <c r="I297" s="126" t="s">
        <v>723</v>
      </c>
      <c r="J297" s="117" t="s">
        <v>85</v>
      </c>
      <c r="K297" s="126" t="s">
        <v>687</v>
      </c>
      <c r="L297" s="126" t="s">
        <v>688</v>
      </c>
      <c r="M297" s="108">
        <v>44101.0</v>
      </c>
      <c r="N297" s="106" t="s">
        <v>735</v>
      </c>
      <c r="O297" s="116" t="s">
        <v>736</v>
      </c>
      <c r="P297" s="126" t="s">
        <v>721</v>
      </c>
      <c r="Q297" s="126" t="s">
        <v>721</v>
      </c>
      <c r="R297" s="130"/>
      <c r="S297" s="130"/>
      <c r="T297" s="130"/>
      <c r="U297" s="130"/>
      <c r="V297" s="130"/>
      <c r="W297" s="130"/>
      <c r="X297" s="130"/>
      <c r="Y297" s="130"/>
      <c r="Z297" s="130"/>
    </row>
    <row r="298" ht="15.75" customHeight="1">
      <c r="A298" s="105" t="s">
        <v>1178</v>
      </c>
      <c r="B298" s="105" t="s">
        <v>60</v>
      </c>
      <c r="C298" s="106" t="s">
        <v>1179</v>
      </c>
      <c r="D298" s="107" t="s">
        <v>135</v>
      </c>
      <c r="E298" s="106" t="s">
        <v>720</v>
      </c>
      <c r="F298" s="115" t="b">
        <v>1</v>
      </c>
      <c r="G298" s="126" t="s">
        <v>136</v>
      </c>
      <c r="H298" s="126" t="s">
        <v>1180</v>
      </c>
      <c r="I298" s="126" t="s">
        <v>1180</v>
      </c>
      <c r="J298" s="117" t="s">
        <v>85</v>
      </c>
      <c r="K298" s="126" t="s">
        <v>749</v>
      </c>
      <c r="L298" s="126"/>
      <c r="M298" s="108">
        <v>44044.0</v>
      </c>
      <c r="N298" s="126" t="s">
        <v>701</v>
      </c>
      <c r="O298" s="116"/>
      <c r="P298" s="126" t="s">
        <v>782</v>
      </c>
      <c r="Q298" s="126" t="s">
        <v>782</v>
      </c>
      <c r="R298" s="130"/>
      <c r="S298" s="130"/>
      <c r="T298" s="130"/>
      <c r="U298" s="130"/>
      <c r="V298" s="130"/>
      <c r="W298" s="130"/>
      <c r="X298" s="130"/>
      <c r="Y298" s="130"/>
      <c r="Z298" s="130"/>
    </row>
    <row r="299" ht="15.75" customHeight="1">
      <c r="A299" s="105" t="s">
        <v>1181</v>
      </c>
      <c r="B299" s="105" t="s">
        <v>60</v>
      </c>
      <c r="C299" s="106" t="s">
        <v>1182</v>
      </c>
      <c r="D299" s="107" t="s">
        <v>135</v>
      </c>
      <c r="E299" s="106" t="s">
        <v>1183</v>
      </c>
      <c r="F299" s="126">
        <v>0.435</v>
      </c>
      <c r="G299" s="126" t="s">
        <v>136</v>
      </c>
      <c r="H299" s="126" t="s">
        <v>1180</v>
      </c>
      <c r="I299" s="126" t="s">
        <v>1180</v>
      </c>
      <c r="J299" s="117" t="s">
        <v>85</v>
      </c>
      <c r="K299" s="126" t="s">
        <v>749</v>
      </c>
      <c r="L299" s="126"/>
      <c r="M299" s="108">
        <v>44044.0</v>
      </c>
      <c r="N299" s="126" t="s">
        <v>701</v>
      </c>
      <c r="O299" s="116"/>
      <c r="P299" s="126" t="s">
        <v>782</v>
      </c>
      <c r="Q299" s="126" t="s">
        <v>782</v>
      </c>
      <c r="R299" s="130"/>
      <c r="S299" s="130"/>
      <c r="T299" s="130"/>
      <c r="U299" s="130"/>
      <c r="V299" s="130"/>
      <c r="W299" s="130"/>
      <c r="X299" s="130"/>
      <c r="Y299" s="130"/>
      <c r="Z299" s="130"/>
    </row>
    <row r="300" ht="15.75" customHeight="1">
      <c r="A300" s="105" t="s">
        <v>193</v>
      </c>
      <c r="B300" s="105" t="s">
        <v>696</v>
      </c>
      <c r="C300" s="106" t="s">
        <v>1184</v>
      </c>
      <c r="D300" s="107" t="s">
        <v>185</v>
      </c>
      <c r="E300" s="106" t="s">
        <v>685</v>
      </c>
      <c r="F300" s="126" t="s">
        <v>195</v>
      </c>
      <c r="G300" s="126" t="s">
        <v>686</v>
      </c>
      <c r="H300" s="126" t="s">
        <v>91</v>
      </c>
      <c r="I300" s="126" t="s">
        <v>91</v>
      </c>
      <c r="J300" s="126" t="s">
        <v>85</v>
      </c>
      <c r="K300" s="126" t="s">
        <v>687</v>
      </c>
      <c r="L300" s="126"/>
      <c r="M300" s="108">
        <v>44098.0</v>
      </c>
      <c r="N300" s="106" t="s">
        <v>692</v>
      </c>
      <c r="O300" s="109" t="s">
        <v>690</v>
      </c>
      <c r="P300" s="126" t="s">
        <v>782</v>
      </c>
      <c r="Q300" s="126" t="s">
        <v>782</v>
      </c>
      <c r="R300" s="130"/>
      <c r="S300" s="130"/>
      <c r="T300" s="130"/>
      <c r="U300" s="130"/>
      <c r="V300" s="130"/>
      <c r="W300" s="130"/>
      <c r="X300" s="130"/>
      <c r="Y300" s="130"/>
      <c r="Z300" s="130"/>
    </row>
    <row r="301" ht="15.75" customHeight="1">
      <c r="A301" s="105" t="s">
        <v>1189</v>
      </c>
      <c r="B301" s="105" t="s">
        <v>52</v>
      </c>
      <c r="C301" s="106" t="s">
        <v>1190</v>
      </c>
      <c r="D301" s="107" t="s">
        <v>185</v>
      </c>
      <c r="E301" s="106" t="s">
        <v>1191</v>
      </c>
      <c r="F301" s="115">
        <v>43967.333333333336</v>
      </c>
      <c r="G301" s="126" t="s">
        <v>723</v>
      </c>
      <c r="H301" s="126" t="s">
        <v>723</v>
      </c>
      <c r="I301" s="126" t="s">
        <v>723</v>
      </c>
      <c r="J301" s="126" t="s">
        <v>85</v>
      </c>
      <c r="K301" s="126" t="s">
        <v>687</v>
      </c>
      <c r="L301" s="126" t="s">
        <v>760</v>
      </c>
      <c r="M301" s="108">
        <v>44101.0</v>
      </c>
      <c r="N301" s="126" t="s">
        <v>735</v>
      </c>
      <c r="O301" s="116" t="s">
        <v>736</v>
      </c>
      <c r="P301" s="126" t="s">
        <v>721</v>
      </c>
      <c r="Q301" s="126" t="s">
        <v>721</v>
      </c>
      <c r="R301" s="132"/>
      <c r="S301" s="132"/>
      <c r="T301" s="132"/>
      <c r="U301" s="132"/>
      <c r="V301" s="132"/>
      <c r="W301" s="132"/>
      <c r="X301" s="132"/>
      <c r="Y301" s="132"/>
      <c r="Z301" s="132"/>
    </row>
    <row r="302" ht="15.75" customHeight="1">
      <c r="A302" s="105" t="s">
        <v>1192</v>
      </c>
      <c r="B302" s="105" t="s">
        <v>197</v>
      </c>
      <c r="C302" s="106" t="s">
        <v>1193</v>
      </c>
      <c r="D302" s="107" t="s">
        <v>185</v>
      </c>
      <c r="E302" s="106" t="s">
        <v>685</v>
      </c>
      <c r="F302" s="126" t="s">
        <v>1194</v>
      </c>
      <c r="G302" s="126" t="s">
        <v>723</v>
      </c>
      <c r="H302" s="126" t="s">
        <v>723</v>
      </c>
      <c r="I302" s="126" t="s">
        <v>723</v>
      </c>
      <c r="J302" s="126" t="s">
        <v>85</v>
      </c>
      <c r="K302" s="126" t="s">
        <v>687</v>
      </c>
      <c r="L302" s="126" t="s">
        <v>688</v>
      </c>
      <c r="M302" s="108">
        <v>44101.0</v>
      </c>
      <c r="N302" s="126" t="s">
        <v>741</v>
      </c>
      <c r="O302" s="131"/>
      <c r="P302" s="126" t="s">
        <v>745</v>
      </c>
      <c r="Q302" s="126" t="s">
        <v>745</v>
      </c>
      <c r="R302" s="132"/>
      <c r="S302" s="132"/>
      <c r="T302" s="132"/>
      <c r="U302" s="132"/>
      <c r="V302" s="132"/>
      <c r="W302" s="132"/>
      <c r="X302" s="132"/>
      <c r="Y302" s="132"/>
      <c r="Z302" s="132"/>
    </row>
    <row r="303" ht="15.75" customHeight="1">
      <c r="A303" s="105" t="s">
        <v>1195</v>
      </c>
      <c r="B303" s="105" t="s">
        <v>197</v>
      </c>
      <c r="C303" s="106" t="s">
        <v>1196</v>
      </c>
      <c r="D303" s="107" t="s">
        <v>185</v>
      </c>
      <c r="E303" s="106" t="s">
        <v>1115</v>
      </c>
      <c r="F303" s="126">
        <v>35.0</v>
      </c>
      <c r="G303" s="126" t="s">
        <v>723</v>
      </c>
      <c r="H303" s="126" t="s">
        <v>723</v>
      </c>
      <c r="I303" s="126" t="s">
        <v>723</v>
      </c>
      <c r="J303" s="126" t="s">
        <v>85</v>
      </c>
      <c r="K303" s="126" t="s">
        <v>687</v>
      </c>
      <c r="L303" s="126" t="s">
        <v>688</v>
      </c>
      <c r="M303" s="108">
        <v>44101.0</v>
      </c>
      <c r="N303" s="126" t="s">
        <v>741</v>
      </c>
      <c r="O303" s="131"/>
      <c r="P303" s="126" t="s">
        <v>745</v>
      </c>
      <c r="Q303" s="126" t="s">
        <v>745</v>
      </c>
      <c r="R303" s="132"/>
      <c r="S303" s="132"/>
      <c r="T303" s="132"/>
      <c r="U303" s="132"/>
      <c r="V303" s="132"/>
      <c r="W303" s="132"/>
      <c r="X303" s="132"/>
      <c r="Y303" s="132"/>
      <c r="Z303" s="132"/>
    </row>
    <row r="304" ht="15.75" customHeight="1">
      <c r="A304" s="105" t="s">
        <v>1242</v>
      </c>
      <c r="B304" s="105" t="s">
        <v>197</v>
      </c>
      <c r="C304" s="106" t="s">
        <v>1243</v>
      </c>
      <c r="D304" s="107" t="s">
        <v>185</v>
      </c>
      <c r="E304" s="106" t="s">
        <v>1115</v>
      </c>
      <c r="F304" s="126">
        <v>35.0</v>
      </c>
      <c r="G304" s="126" t="s">
        <v>723</v>
      </c>
      <c r="H304" s="126" t="s">
        <v>723</v>
      </c>
      <c r="I304" s="126" t="s">
        <v>723</v>
      </c>
      <c r="J304" s="126" t="s">
        <v>85</v>
      </c>
      <c r="K304" s="126" t="s">
        <v>687</v>
      </c>
      <c r="L304" s="126" t="s">
        <v>760</v>
      </c>
      <c r="M304" s="108">
        <v>44100.0</v>
      </c>
      <c r="N304" s="126" t="s">
        <v>735</v>
      </c>
      <c r="O304" s="116" t="s">
        <v>736</v>
      </c>
      <c r="P304" s="126" t="s">
        <v>761</v>
      </c>
      <c r="Q304" s="126" t="s">
        <v>761</v>
      </c>
      <c r="R304" s="132"/>
      <c r="S304" s="132"/>
      <c r="T304" s="132"/>
      <c r="U304" s="132"/>
      <c r="V304" s="132"/>
      <c r="W304" s="132"/>
      <c r="X304" s="132"/>
      <c r="Y304" s="132"/>
      <c r="Z304" s="132"/>
    </row>
    <row r="305" ht="15.75" customHeight="1">
      <c r="A305" s="105" t="s">
        <v>1244</v>
      </c>
      <c r="B305" s="105" t="s">
        <v>197</v>
      </c>
      <c r="C305" s="106" t="s">
        <v>1245</v>
      </c>
      <c r="D305" s="107" t="s">
        <v>185</v>
      </c>
      <c r="E305" s="106" t="s">
        <v>1102</v>
      </c>
      <c r="F305" s="126">
        <v>23.56</v>
      </c>
      <c r="G305" s="126" t="s">
        <v>723</v>
      </c>
      <c r="H305" s="126" t="s">
        <v>723</v>
      </c>
      <c r="I305" s="126" t="s">
        <v>723</v>
      </c>
      <c r="J305" s="126" t="s">
        <v>85</v>
      </c>
      <c r="K305" s="126" t="s">
        <v>687</v>
      </c>
      <c r="L305" s="126" t="s">
        <v>760</v>
      </c>
      <c r="M305" s="108">
        <v>44100.0</v>
      </c>
      <c r="N305" s="126" t="s">
        <v>735</v>
      </c>
      <c r="O305" s="116" t="s">
        <v>736</v>
      </c>
      <c r="P305" s="126" t="s">
        <v>761</v>
      </c>
      <c r="Q305" s="126" t="s">
        <v>761</v>
      </c>
      <c r="R305" s="132"/>
      <c r="S305" s="132"/>
      <c r="T305" s="132"/>
      <c r="U305" s="132"/>
      <c r="V305" s="132"/>
      <c r="W305" s="132"/>
      <c r="X305" s="132"/>
      <c r="Y305" s="132"/>
      <c r="Z305" s="132"/>
    </row>
    <row r="306" ht="15.75" customHeight="1">
      <c r="A306" s="105" t="s">
        <v>1246</v>
      </c>
      <c r="B306" s="105" t="s">
        <v>197</v>
      </c>
      <c r="C306" s="106" t="s">
        <v>1247</v>
      </c>
      <c r="D306" s="107" t="s">
        <v>185</v>
      </c>
      <c r="E306" s="106" t="s">
        <v>1102</v>
      </c>
      <c r="F306" s="126">
        <v>23.56</v>
      </c>
      <c r="G306" s="126" t="s">
        <v>723</v>
      </c>
      <c r="H306" s="126" t="s">
        <v>723</v>
      </c>
      <c r="I306" s="126" t="s">
        <v>723</v>
      </c>
      <c r="J306" s="126" t="s">
        <v>85</v>
      </c>
      <c r="K306" s="126" t="s">
        <v>687</v>
      </c>
      <c r="L306" s="126" t="s">
        <v>760</v>
      </c>
      <c r="M306" s="108">
        <v>44100.0</v>
      </c>
      <c r="N306" s="126" t="s">
        <v>735</v>
      </c>
      <c r="O306" s="116" t="s">
        <v>736</v>
      </c>
      <c r="P306" s="126" t="s">
        <v>761</v>
      </c>
      <c r="Q306" s="126" t="s">
        <v>761</v>
      </c>
      <c r="R306" s="132"/>
      <c r="S306" s="132"/>
      <c r="T306" s="132"/>
      <c r="U306" s="132"/>
      <c r="V306" s="132"/>
      <c r="W306" s="132"/>
      <c r="X306" s="132"/>
      <c r="Y306" s="132"/>
      <c r="Z306" s="132"/>
    </row>
    <row r="307" ht="15.75" customHeight="1">
      <c r="A307" s="105" t="s">
        <v>1248</v>
      </c>
      <c r="B307" s="105" t="s">
        <v>197</v>
      </c>
      <c r="C307" s="106" t="s">
        <v>1249</v>
      </c>
      <c r="D307" s="107" t="s">
        <v>185</v>
      </c>
      <c r="E307" s="106" t="s">
        <v>1102</v>
      </c>
      <c r="F307" s="126">
        <v>35.0</v>
      </c>
      <c r="G307" s="126" t="s">
        <v>394</v>
      </c>
      <c r="H307" s="126" t="s">
        <v>394</v>
      </c>
      <c r="I307" s="126" t="s">
        <v>394</v>
      </c>
      <c r="J307" s="126" t="s">
        <v>85</v>
      </c>
      <c r="K307" s="126" t="s">
        <v>687</v>
      </c>
      <c r="L307" s="126" t="s">
        <v>688</v>
      </c>
      <c r="M307" s="108">
        <v>44100.0</v>
      </c>
      <c r="N307" s="126" t="s">
        <v>735</v>
      </c>
      <c r="O307" s="116" t="s">
        <v>736</v>
      </c>
      <c r="P307" s="126" t="s">
        <v>761</v>
      </c>
      <c r="Q307" s="126" t="s">
        <v>761</v>
      </c>
      <c r="R307" s="132"/>
      <c r="S307" s="132"/>
      <c r="T307" s="132"/>
      <c r="U307" s="132"/>
      <c r="V307" s="132"/>
      <c r="W307" s="132"/>
      <c r="X307" s="132"/>
      <c r="Y307" s="132"/>
      <c r="Z307" s="132"/>
    </row>
    <row r="308" ht="15.75" customHeight="1">
      <c r="A308" s="105" t="s">
        <v>1250</v>
      </c>
      <c r="B308" s="105" t="s">
        <v>197</v>
      </c>
      <c r="C308" s="106" t="s">
        <v>1251</v>
      </c>
      <c r="D308" s="107" t="s">
        <v>185</v>
      </c>
      <c r="E308" s="106" t="s">
        <v>1102</v>
      </c>
      <c r="F308" s="126">
        <v>23.56</v>
      </c>
      <c r="G308" s="126" t="s">
        <v>394</v>
      </c>
      <c r="H308" s="126" t="s">
        <v>394</v>
      </c>
      <c r="I308" s="126" t="s">
        <v>394</v>
      </c>
      <c r="J308" s="126" t="s">
        <v>85</v>
      </c>
      <c r="K308" s="126" t="s">
        <v>687</v>
      </c>
      <c r="L308" s="126" t="s">
        <v>688</v>
      </c>
      <c r="M308" s="108">
        <v>44100.0</v>
      </c>
      <c r="N308" s="126" t="s">
        <v>735</v>
      </c>
      <c r="O308" s="116" t="s">
        <v>736</v>
      </c>
      <c r="P308" s="126" t="s">
        <v>761</v>
      </c>
      <c r="Q308" s="126" t="s">
        <v>761</v>
      </c>
      <c r="R308" s="132"/>
      <c r="S308" s="132"/>
      <c r="T308" s="132"/>
      <c r="U308" s="132"/>
      <c r="V308" s="132"/>
      <c r="W308" s="132"/>
      <c r="X308" s="132"/>
      <c r="Y308" s="132"/>
      <c r="Z308" s="132"/>
    </row>
    <row r="309" ht="15.75" customHeight="1">
      <c r="A309" s="105" t="s">
        <v>1252</v>
      </c>
      <c r="B309" s="105" t="s">
        <v>197</v>
      </c>
      <c r="C309" s="106" t="s">
        <v>1253</v>
      </c>
      <c r="D309" s="107" t="s">
        <v>185</v>
      </c>
      <c r="E309" s="106" t="s">
        <v>1102</v>
      </c>
      <c r="F309" s="133">
        <v>100.0</v>
      </c>
      <c r="G309" s="126" t="s">
        <v>394</v>
      </c>
      <c r="H309" s="126" t="s">
        <v>394</v>
      </c>
      <c r="I309" s="126" t="s">
        <v>394</v>
      </c>
      <c r="J309" s="126" t="s">
        <v>85</v>
      </c>
      <c r="K309" s="126" t="s">
        <v>687</v>
      </c>
      <c r="L309" s="126" t="s">
        <v>688</v>
      </c>
      <c r="M309" s="108">
        <v>44100.0</v>
      </c>
      <c r="N309" s="126" t="s">
        <v>735</v>
      </c>
      <c r="O309" s="116" t="s">
        <v>736</v>
      </c>
      <c r="P309" s="126" t="s">
        <v>761</v>
      </c>
      <c r="Q309" s="126" t="s">
        <v>761</v>
      </c>
      <c r="R309" s="132"/>
      <c r="S309" s="132"/>
      <c r="T309" s="132"/>
      <c r="U309" s="132"/>
      <c r="V309" s="132"/>
      <c r="W309" s="132"/>
      <c r="X309" s="132"/>
      <c r="Y309" s="132"/>
      <c r="Z309" s="132"/>
    </row>
    <row r="310" ht="15.75" customHeight="1">
      <c r="A310" s="105" t="s">
        <v>1254</v>
      </c>
      <c r="B310" s="105" t="s">
        <v>197</v>
      </c>
      <c r="C310" s="106" t="s">
        <v>1255</v>
      </c>
      <c r="D310" s="107" t="s">
        <v>185</v>
      </c>
      <c r="E310" s="106" t="s">
        <v>1115</v>
      </c>
      <c r="F310" s="126">
        <v>8.0</v>
      </c>
      <c r="G310" s="126" t="s">
        <v>394</v>
      </c>
      <c r="H310" s="126" t="s">
        <v>394</v>
      </c>
      <c r="I310" s="126" t="s">
        <v>394</v>
      </c>
      <c r="J310" s="126" t="s">
        <v>85</v>
      </c>
      <c r="K310" s="126" t="s">
        <v>687</v>
      </c>
      <c r="L310" s="126" t="s">
        <v>688</v>
      </c>
      <c r="M310" s="108">
        <v>44100.0</v>
      </c>
      <c r="N310" s="126" t="s">
        <v>735</v>
      </c>
      <c r="O310" s="116" t="s">
        <v>736</v>
      </c>
      <c r="P310" s="126" t="s">
        <v>761</v>
      </c>
      <c r="Q310" s="126" t="s">
        <v>761</v>
      </c>
      <c r="R310" s="132"/>
      <c r="S310" s="132"/>
      <c r="T310" s="132"/>
      <c r="U310" s="132"/>
      <c r="V310" s="132"/>
      <c r="W310" s="132"/>
      <c r="X310" s="132"/>
      <c r="Y310" s="132"/>
      <c r="Z310" s="132"/>
    </row>
    <row r="311" ht="15.75" customHeight="1">
      <c r="A311" s="105" t="s">
        <v>1256</v>
      </c>
      <c r="B311" s="105" t="s">
        <v>197</v>
      </c>
      <c r="C311" s="106" t="s">
        <v>1048</v>
      </c>
      <c r="D311" s="107" t="s">
        <v>185</v>
      </c>
      <c r="E311" s="106" t="s">
        <v>1115</v>
      </c>
      <c r="F311" s="126">
        <v>20.0</v>
      </c>
      <c r="G311" s="126" t="s">
        <v>723</v>
      </c>
      <c r="H311" s="126" t="s">
        <v>723</v>
      </c>
      <c r="I311" s="126" t="s">
        <v>723</v>
      </c>
      <c r="J311" s="126" t="s">
        <v>85</v>
      </c>
      <c r="K311" s="126" t="s">
        <v>687</v>
      </c>
      <c r="L311" s="126" t="s">
        <v>688</v>
      </c>
      <c r="M311" s="108">
        <v>44100.0</v>
      </c>
      <c r="N311" s="126" t="s">
        <v>735</v>
      </c>
      <c r="O311" s="116" t="s">
        <v>736</v>
      </c>
      <c r="P311" s="126" t="s">
        <v>761</v>
      </c>
      <c r="Q311" s="126" t="s">
        <v>761</v>
      </c>
      <c r="R311" s="132"/>
      <c r="S311" s="132"/>
      <c r="T311" s="132"/>
      <c r="U311" s="132"/>
      <c r="V311" s="132"/>
      <c r="W311" s="132"/>
      <c r="X311" s="132"/>
      <c r="Y311" s="132"/>
      <c r="Z311" s="132"/>
    </row>
    <row r="312" ht="15.75" customHeight="1">
      <c r="A312" s="105" t="s">
        <v>1281</v>
      </c>
      <c r="B312" s="105" t="s">
        <v>197</v>
      </c>
      <c r="C312" s="106" t="s">
        <v>1282</v>
      </c>
      <c r="D312" s="107" t="s">
        <v>185</v>
      </c>
      <c r="E312" s="106" t="s">
        <v>685</v>
      </c>
      <c r="F312" s="126" t="s">
        <v>1283</v>
      </c>
      <c r="G312" s="126" t="s">
        <v>394</v>
      </c>
      <c r="H312" s="126" t="s">
        <v>394</v>
      </c>
      <c r="I312" s="126" t="s">
        <v>394</v>
      </c>
      <c r="J312" s="126" t="s">
        <v>85</v>
      </c>
      <c r="K312" s="126" t="s">
        <v>687</v>
      </c>
      <c r="L312" s="126" t="s">
        <v>760</v>
      </c>
      <c r="M312" s="108">
        <v>44100.0</v>
      </c>
      <c r="N312" s="126" t="s">
        <v>735</v>
      </c>
      <c r="O312" s="116" t="s">
        <v>736</v>
      </c>
      <c r="P312" s="126" t="s">
        <v>761</v>
      </c>
      <c r="Q312" s="126" t="s">
        <v>761</v>
      </c>
      <c r="R312" s="132"/>
      <c r="S312" s="132"/>
      <c r="T312" s="132"/>
      <c r="U312" s="132"/>
      <c r="V312" s="132"/>
      <c r="W312" s="132"/>
      <c r="X312" s="132"/>
      <c r="Y312" s="132"/>
      <c r="Z312" s="132"/>
    </row>
    <row r="313" ht="15.75" customHeight="1">
      <c r="A313" s="105" t="s">
        <v>1284</v>
      </c>
      <c r="B313" s="105" t="s">
        <v>197</v>
      </c>
      <c r="C313" s="106" t="s">
        <v>1285</v>
      </c>
      <c r="D313" s="107" t="s">
        <v>185</v>
      </c>
      <c r="E313" s="106" t="s">
        <v>685</v>
      </c>
      <c r="F313" s="126" t="s">
        <v>1283</v>
      </c>
      <c r="G313" s="126" t="s">
        <v>394</v>
      </c>
      <c r="H313" s="126" t="s">
        <v>394</v>
      </c>
      <c r="I313" s="126" t="s">
        <v>394</v>
      </c>
      <c r="J313" s="126" t="s">
        <v>85</v>
      </c>
      <c r="K313" s="126" t="s">
        <v>687</v>
      </c>
      <c r="L313" s="126" t="s">
        <v>760</v>
      </c>
      <c r="M313" s="108">
        <v>44100.0</v>
      </c>
      <c r="N313" s="126" t="s">
        <v>735</v>
      </c>
      <c r="O313" s="116" t="s">
        <v>736</v>
      </c>
      <c r="P313" s="126" t="s">
        <v>761</v>
      </c>
      <c r="Q313" s="126" t="s">
        <v>761</v>
      </c>
      <c r="R313" s="132"/>
      <c r="S313" s="132"/>
      <c r="T313" s="132"/>
      <c r="U313" s="132"/>
      <c r="V313" s="132"/>
      <c r="W313" s="132"/>
      <c r="X313" s="132"/>
      <c r="Y313" s="132"/>
      <c r="Z313" s="132"/>
    </row>
    <row r="314" ht="15.75" customHeight="1">
      <c r="A314" s="105" t="s">
        <v>1286</v>
      </c>
      <c r="B314" s="105" t="s">
        <v>197</v>
      </c>
      <c r="C314" s="106" t="s">
        <v>1287</v>
      </c>
      <c r="D314" s="107" t="s">
        <v>185</v>
      </c>
      <c r="E314" s="106" t="s">
        <v>685</v>
      </c>
      <c r="F314" s="126" t="s">
        <v>1283</v>
      </c>
      <c r="G314" s="126" t="s">
        <v>394</v>
      </c>
      <c r="H314" s="126" t="s">
        <v>394</v>
      </c>
      <c r="I314" s="126" t="s">
        <v>394</v>
      </c>
      <c r="J314" s="126" t="s">
        <v>85</v>
      </c>
      <c r="K314" s="126" t="s">
        <v>687</v>
      </c>
      <c r="L314" s="126" t="s">
        <v>760</v>
      </c>
      <c r="M314" s="108">
        <v>44100.0</v>
      </c>
      <c r="N314" s="126" t="s">
        <v>735</v>
      </c>
      <c r="O314" s="116" t="s">
        <v>736</v>
      </c>
      <c r="P314" s="126" t="s">
        <v>761</v>
      </c>
      <c r="Q314" s="126" t="s">
        <v>761</v>
      </c>
      <c r="R314" s="132"/>
      <c r="S314" s="132"/>
      <c r="T314" s="132"/>
      <c r="U314" s="132"/>
      <c r="V314" s="132"/>
      <c r="W314" s="132"/>
      <c r="X314" s="132"/>
      <c r="Y314" s="132"/>
      <c r="Z314" s="132"/>
    </row>
    <row r="315" ht="15.75" customHeight="1">
      <c r="A315" s="105" t="s">
        <v>1288</v>
      </c>
      <c r="B315" s="105" t="s">
        <v>197</v>
      </c>
      <c r="C315" s="106" t="s">
        <v>1289</v>
      </c>
      <c r="D315" s="107" t="s">
        <v>185</v>
      </c>
      <c r="E315" s="106" t="s">
        <v>685</v>
      </c>
      <c r="F315" s="126" t="s">
        <v>1283</v>
      </c>
      <c r="G315" s="126" t="s">
        <v>394</v>
      </c>
      <c r="H315" s="126" t="s">
        <v>394</v>
      </c>
      <c r="I315" s="126" t="s">
        <v>394</v>
      </c>
      <c r="J315" s="126" t="s">
        <v>85</v>
      </c>
      <c r="K315" s="126" t="s">
        <v>687</v>
      </c>
      <c r="L315" s="126" t="s">
        <v>760</v>
      </c>
      <c r="M315" s="108">
        <v>44100.0</v>
      </c>
      <c r="N315" s="126" t="s">
        <v>735</v>
      </c>
      <c r="O315" s="116" t="s">
        <v>736</v>
      </c>
      <c r="P315" s="126" t="s">
        <v>761</v>
      </c>
      <c r="Q315" s="126" t="s">
        <v>761</v>
      </c>
      <c r="R315" s="132"/>
      <c r="S315" s="132"/>
      <c r="T315" s="132"/>
      <c r="U315" s="132"/>
      <c r="V315" s="132"/>
      <c r="W315" s="132"/>
      <c r="X315" s="132"/>
      <c r="Y315" s="132"/>
      <c r="Z315" s="132"/>
    </row>
    <row r="316" ht="15.75" customHeight="1">
      <c r="A316" s="105" t="s">
        <v>1290</v>
      </c>
      <c r="B316" s="105" t="s">
        <v>197</v>
      </c>
      <c r="C316" s="106" t="s">
        <v>1291</v>
      </c>
      <c r="D316" s="107" t="s">
        <v>185</v>
      </c>
      <c r="E316" s="106" t="s">
        <v>685</v>
      </c>
      <c r="F316" s="126" t="s">
        <v>1283</v>
      </c>
      <c r="G316" s="126" t="s">
        <v>394</v>
      </c>
      <c r="H316" s="126" t="s">
        <v>394</v>
      </c>
      <c r="I316" s="126" t="s">
        <v>394</v>
      </c>
      <c r="J316" s="126" t="s">
        <v>85</v>
      </c>
      <c r="K316" s="126" t="s">
        <v>687</v>
      </c>
      <c r="L316" s="126" t="s">
        <v>760</v>
      </c>
      <c r="M316" s="108">
        <v>44100.0</v>
      </c>
      <c r="N316" s="126" t="s">
        <v>735</v>
      </c>
      <c r="O316" s="116" t="s">
        <v>736</v>
      </c>
      <c r="P316" s="126" t="s">
        <v>761</v>
      </c>
      <c r="Q316" s="126" t="s">
        <v>761</v>
      </c>
      <c r="R316" s="132"/>
      <c r="S316" s="132"/>
      <c r="T316" s="132"/>
      <c r="U316" s="132"/>
      <c r="V316" s="132"/>
      <c r="W316" s="132"/>
      <c r="X316" s="132"/>
      <c r="Y316" s="132"/>
      <c r="Z316" s="132"/>
    </row>
    <row r="317" ht="15.75" customHeight="1">
      <c r="A317" s="105" t="s">
        <v>1292</v>
      </c>
      <c r="B317" s="105" t="s">
        <v>197</v>
      </c>
      <c r="C317" s="106" t="s">
        <v>1293</v>
      </c>
      <c r="D317" s="107" t="s">
        <v>185</v>
      </c>
      <c r="E317" s="106" t="s">
        <v>685</v>
      </c>
      <c r="F317" s="126" t="s">
        <v>1283</v>
      </c>
      <c r="G317" s="126" t="s">
        <v>394</v>
      </c>
      <c r="H317" s="126" t="s">
        <v>394</v>
      </c>
      <c r="I317" s="126" t="s">
        <v>394</v>
      </c>
      <c r="J317" s="126" t="s">
        <v>85</v>
      </c>
      <c r="K317" s="126" t="s">
        <v>687</v>
      </c>
      <c r="L317" s="126" t="s">
        <v>760</v>
      </c>
      <c r="M317" s="108">
        <v>44100.0</v>
      </c>
      <c r="N317" s="126" t="s">
        <v>735</v>
      </c>
      <c r="O317" s="116" t="s">
        <v>736</v>
      </c>
      <c r="P317" s="126" t="s">
        <v>761</v>
      </c>
      <c r="Q317" s="126" t="s">
        <v>761</v>
      </c>
      <c r="R317" s="132"/>
      <c r="S317" s="132"/>
      <c r="T317" s="132"/>
      <c r="U317" s="132"/>
      <c r="V317" s="132"/>
      <c r="W317" s="132"/>
      <c r="X317" s="132"/>
      <c r="Y317" s="132"/>
      <c r="Z317" s="132"/>
    </row>
    <row r="318" ht="15.75" customHeight="1">
      <c r="A318" s="105" t="s">
        <v>1294</v>
      </c>
      <c r="B318" s="105" t="s">
        <v>197</v>
      </c>
      <c r="C318" s="106" t="s">
        <v>1295</v>
      </c>
      <c r="D318" s="107" t="s">
        <v>185</v>
      </c>
      <c r="E318" s="106" t="s">
        <v>685</v>
      </c>
      <c r="F318" s="126" t="s">
        <v>1296</v>
      </c>
      <c r="G318" s="126" t="s">
        <v>394</v>
      </c>
      <c r="H318" s="126" t="s">
        <v>394</v>
      </c>
      <c r="I318" s="126" t="s">
        <v>394</v>
      </c>
      <c r="J318" s="126" t="s">
        <v>85</v>
      </c>
      <c r="K318" s="126" t="s">
        <v>687</v>
      </c>
      <c r="L318" s="126" t="s">
        <v>688</v>
      </c>
      <c r="M318" s="108">
        <v>44101.0</v>
      </c>
      <c r="N318" s="126" t="s">
        <v>701</v>
      </c>
      <c r="O318" s="116" t="s">
        <v>736</v>
      </c>
      <c r="P318" s="126" t="s">
        <v>744</v>
      </c>
      <c r="Q318" s="126" t="s">
        <v>744</v>
      </c>
      <c r="R318" s="132"/>
      <c r="S318" s="132"/>
      <c r="T318" s="132"/>
      <c r="U318" s="132"/>
      <c r="V318" s="132"/>
      <c r="W318" s="132"/>
      <c r="X318" s="132"/>
      <c r="Y318" s="132"/>
      <c r="Z318" s="132"/>
    </row>
    <row r="319" ht="15.75" customHeight="1">
      <c r="A319" s="105" t="s">
        <v>1297</v>
      </c>
      <c r="B319" s="105" t="s">
        <v>197</v>
      </c>
      <c r="C319" s="106" t="s">
        <v>1298</v>
      </c>
      <c r="D319" s="107" t="s">
        <v>185</v>
      </c>
      <c r="E319" s="106" t="s">
        <v>1299</v>
      </c>
      <c r="F319" s="134">
        <v>56.67</v>
      </c>
      <c r="G319" s="112" t="s">
        <v>394</v>
      </c>
      <c r="H319" s="112" t="s">
        <v>394</v>
      </c>
      <c r="I319" s="112" t="s">
        <v>394</v>
      </c>
      <c r="J319" s="135" t="s">
        <v>85</v>
      </c>
      <c r="K319" s="136" t="s">
        <v>687</v>
      </c>
      <c r="L319" s="135" t="s">
        <v>760</v>
      </c>
      <c r="M319" s="137">
        <v>44100.0</v>
      </c>
      <c r="N319" s="138" t="s">
        <v>1340</v>
      </c>
      <c r="O319" s="116" t="s">
        <v>736</v>
      </c>
      <c r="P319" s="134" t="s">
        <v>750</v>
      </c>
      <c r="Q319" s="134" t="s">
        <v>750</v>
      </c>
      <c r="R319" s="132"/>
      <c r="S319" s="132"/>
      <c r="T319" s="132"/>
      <c r="U319" s="132"/>
      <c r="V319" s="132"/>
      <c r="W319" s="132"/>
      <c r="X319" s="132"/>
      <c r="Y319" s="132"/>
      <c r="Z319" s="132"/>
    </row>
    <row r="320" ht="15.75" customHeight="1">
      <c r="A320" s="105" t="s">
        <v>1300</v>
      </c>
      <c r="B320" s="105" t="s">
        <v>197</v>
      </c>
      <c r="C320" s="106" t="s">
        <v>1301</v>
      </c>
      <c r="D320" s="107" t="s">
        <v>185</v>
      </c>
      <c r="E320" s="106" t="s">
        <v>1299</v>
      </c>
      <c r="F320" s="134">
        <v>86.5</v>
      </c>
      <c r="G320" s="112" t="s">
        <v>394</v>
      </c>
      <c r="H320" s="112" t="s">
        <v>394</v>
      </c>
      <c r="I320" s="112" t="s">
        <v>394</v>
      </c>
      <c r="J320" s="135" t="s">
        <v>85</v>
      </c>
      <c r="K320" s="136" t="s">
        <v>687</v>
      </c>
      <c r="L320" s="135" t="s">
        <v>760</v>
      </c>
      <c r="M320" s="137">
        <v>44100.0</v>
      </c>
      <c r="N320" s="138" t="s">
        <v>1340</v>
      </c>
      <c r="O320" s="116" t="s">
        <v>736</v>
      </c>
      <c r="P320" s="134" t="s">
        <v>750</v>
      </c>
      <c r="Q320" s="134" t="s">
        <v>750</v>
      </c>
      <c r="R320" s="132"/>
      <c r="S320" s="132"/>
      <c r="T320" s="132"/>
      <c r="U320" s="132"/>
      <c r="V320" s="132"/>
      <c r="W320" s="132"/>
      <c r="X320" s="132"/>
      <c r="Y320" s="132"/>
      <c r="Z320" s="132"/>
    </row>
    <row r="321" ht="15.75" customHeight="1">
      <c r="A321" s="105" t="s">
        <v>1302</v>
      </c>
      <c r="B321" s="105" t="s">
        <v>197</v>
      </c>
      <c r="C321" s="106" t="s">
        <v>1303</v>
      </c>
      <c r="D321" s="107" t="s">
        <v>185</v>
      </c>
      <c r="E321" s="106" t="s">
        <v>1299</v>
      </c>
      <c r="F321" s="134">
        <v>61.0</v>
      </c>
      <c r="G321" s="112" t="s">
        <v>394</v>
      </c>
      <c r="H321" s="112" t="s">
        <v>394</v>
      </c>
      <c r="I321" s="112" t="s">
        <v>394</v>
      </c>
      <c r="J321" s="135" t="s">
        <v>85</v>
      </c>
      <c r="K321" s="136" t="s">
        <v>687</v>
      </c>
      <c r="L321" s="135" t="s">
        <v>760</v>
      </c>
      <c r="M321" s="137">
        <v>44100.0</v>
      </c>
      <c r="N321" s="138" t="s">
        <v>1340</v>
      </c>
      <c r="O321" s="116" t="s">
        <v>736</v>
      </c>
      <c r="P321" s="134" t="s">
        <v>750</v>
      </c>
      <c r="Q321" s="134" t="s">
        <v>750</v>
      </c>
      <c r="R321" s="132"/>
      <c r="S321" s="132"/>
      <c r="T321" s="132"/>
      <c r="U321" s="132"/>
      <c r="V321" s="132"/>
      <c r="W321" s="132"/>
      <c r="X321" s="132"/>
      <c r="Y321" s="132"/>
      <c r="Z321" s="132"/>
    </row>
    <row r="322" ht="15.75" customHeight="1">
      <c r="A322" s="105" t="s">
        <v>1304</v>
      </c>
      <c r="B322" s="105" t="s">
        <v>696</v>
      </c>
      <c r="C322" s="106" t="s">
        <v>1305</v>
      </c>
      <c r="D322" s="107" t="s">
        <v>83</v>
      </c>
      <c r="E322" s="106" t="s">
        <v>1306</v>
      </c>
      <c r="F322" s="134" t="s">
        <v>1307</v>
      </c>
      <c r="G322" s="112" t="s">
        <v>394</v>
      </c>
      <c r="H322" s="112" t="s">
        <v>394</v>
      </c>
      <c r="I322" s="112" t="s">
        <v>394</v>
      </c>
      <c r="J322" s="135" t="s">
        <v>85</v>
      </c>
      <c r="K322" s="136" t="s">
        <v>687</v>
      </c>
      <c r="L322" s="138" t="s">
        <v>688</v>
      </c>
      <c r="M322" s="137">
        <v>44100.0</v>
      </c>
      <c r="N322" s="138" t="s">
        <v>1327</v>
      </c>
      <c r="O322" s="116" t="s">
        <v>736</v>
      </c>
      <c r="P322" s="134" t="s">
        <v>744</v>
      </c>
      <c r="Q322" s="139" t="s">
        <v>744</v>
      </c>
      <c r="R322" s="132"/>
      <c r="S322" s="132"/>
      <c r="T322" s="132"/>
      <c r="U322" s="132"/>
      <c r="V322" s="132"/>
      <c r="W322" s="132"/>
      <c r="X322" s="132"/>
      <c r="Y322" s="132"/>
      <c r="Z322" s="132"/>
    </row>
    <row r="323" ht="15.75" customHeight="1">
      <c r="A323" s="105" t="s">
        <v>1308</v>
      </c>
      <c r="B323" s="105" t="s">
        <v>197</v>
      </c>
      <c r="C323" s="106" t="s">
        <v>1341</v>
      </c>
      <c r="D323" s="107" t="s">
        <v>185</v>
      </c>
      <c r="E323" s="106" t="s">
        <v>1299</v>
      </c>
      <c r="F323" s="134">
        <v>25.0</v>
      </c>
      <c r="G323" s="112" t="s">
        <v>394</v>
      </c>
      <c r="H323" s="112" t="s">
        <v>1310</v>
      </c>
      <c r="I323" s="112" t="s">
        <v>394</v>
      </c>
      <c r="J323" s="135" t="s">
        <v>85</v>
      </c>
      <c r="K323" s="136" t="s">
        <v>687</v>
      </c>
      <c r="L323" s="135" t="s">
        <v>760</v>
      </c>
      <c r="M323" s="137">
        <v>44100.0</v>
      </c>
      <c r="N323" s="106" t="s">
        <v>692</v>
      </c>
      <c r="O323" s="109" t="s">
        <v>690</v>
      </c>
      <c r="P323" s="134" t="s">
        <v>724</v>
      </c>
      <c r="Q323" s="134" t="s">
        <v>724</v>
      </c>
      <c r="R323" s="132"/>
      <c r="S323" s="132"/>
      <c r="T323" s="132"/>
      <c r="U323" s="132"/>
      <c r="V323" s="132"/>
      <c r="W323" s="132"/>
      <c r="X323" s="132"/>
      <c r="Y323" s="132"/>
      <c r="Z323" s="132"/>
    </row>
    <row r="324" ht="15.75" customHeight="1">
      <c r="A324" s="105" t="s">
        <v>1311</v>
      </c>
      <c r="B324" s="105" t="s">
        <v>197</v>
      </c>
      <c r="C324" s="106" t="s">
        <v>1342</v>
      </c>
      <c r="D324" s="107" t="s">
        <v>185</v>
      </c>
      <c r="E324" s="106" t="s">
        <v>1299</v>
      </c>
      <c r="F324" s="134">
        <v>5.0</v>
      </c>
      <c r="G324" s="112" t="s">
        <v>394</v>
      </c>
      <c r="H324" s="112" t="s">
        <v>1310</v>
      </c>
      <c r="I324" s="112" t="s">
        <v>394</v>
      </c>
      <c r="J324" s="135" t="s">
        <v>85</v>
      </c>
      <c r="K324" s="136" t="s">
        <v>687</v>
      </c>
      <c r="L324" s="135" t="s">
        <v>760</v>
      </c>
      <c r="M324" s="137">
        <v>44100.0</v>
      </c>
      <c r="N324" s="106" t="s">
        <v>692</v>
      </c>
      <c r="O324" s="109" t="s">
        <v>690</v>
      </c>
      <c r="P324" s="134" t="s">
        <v>724</v>
      </c>
      <c r="Q324" s="134" t="s">
        <v>724</v>
      </c>
      <c r="R324" s="132"/>
      <c r="S324" s="132"/>
      <c r="T324" s="132"/>
      <c r="U324" s="132"/>
      <c r="V324" s="132"/>
      <c r="W324" s="132"/>
      <c r="X324" s="132"/>
      <c r="Y324" s="132"/>
      <c r="Z324" s="132"/>
    </row>
    <row r="325" ht="15.75" customHeight="1">
      <c r="A325" s="105" t="s">
        <v>210</v>
      </c>
      <c r="B325" s="105" t="s">
        <v>197</v>
      </c>
      <c r="C325" s="106" t="s">
        <v>211</v>
      </c>
      <c r="D325" s="107" t="s">
        <v>185</v>
      </c>
      <c r="E325" s="106" t="s">
        <v>720</v>
      </c>
      <c r="F325" s="134" t="b">
        <v>1</v>
      </c>
      <c r="G325" s="112" t="s">
        <v>394</v>
      </c>
      <c r="H325" s="112" t="s">
        <v>91</v>
      </c>
      <c r="I325" s="112" t="s">
        <v>394</v>
      </c>
      <c r="J325" s="135" t="s">
        <v>85</v>
      </c>
      <c r="K325" s="136" t="s">
        <v>749</v>
      </c>
      <c r="L325" s="135"/>
      <c r="M325" s="140">
        <v>44013.0</v>
      </c>
      <c r="N325" s="135" t="s">
        <v>735</v>
      </c>
      <c r="O325" s="135" t="s">
        <v>732</v>
      </c>
      <c r="P325" s="134" t="s">
        <v>702</v>
      </c>
      <c r="Q325" s="134" t="s">
        <v>702</v>
      </c>
      <c r="R325" s="132"/>
      <c r="S325" s="132"/>
      <c r="T325" s="132"/>
      <c r="U325" s="132"/>
      <c r="V325" s="132"/>
      <c r="W325" s="132"/>
      <c r="X325" s="132"/>
      <c r="Y325" s="132"/>
      <c r="Z325" s="132"/>
    </row>
    <row r="326" ht="15.75" customHeight="1">
      <c r="A326" s="105" t="s">
        <v>1343</v>
      </c>
      <c r="B326" s="105" t="s">
        <v>197</v>
      </c>
      <c r="C326" s="106" t="s">
        <v>1344</v>
      </c>
      <c r="D326" s="107" t="s">
        <v>185</v>
      </c>
      <c r="E326" s="106" t="s">
        <v>1345</v>
      </c>
      <c r="F326" s="134">
        <v>43666.333333333336</v>
      </c>
      <c r="G326" s="105" t="s">
        <v>1346</v>
      </c>
      <c r="H326" s="105" t="s">
        <v>1346</v>
      </c>
      <c r="I326" s="105" t="s">
        <v>1346</v>
      </c>
      <c r="J326" s="135" t="s">
        <v>85</v>
      </c>
      <c r="K326" s="136" t="s">
        <v>687</v>
      </c>
      <c r="L326" s="135" t="s">
        <v>760</v>
      </c>
      <c r="M326" s="137">
        <v>44100.0</v>
      </c>
      <c r="N326" s="106" t="s">
        <v>692</v>
      </c>
      <c r="O326" s="109" t="s">
        <v>690</v>
      </c>
      <c r="P326" s="134" t="s">
        <v>724</v>
      </c>
      <c r="Q326" s="134" t="s">
        <v>724</v>
      </c>
      <c r="R326" s="132"/>
      <c r="S326" s="132"/>
      <c r="T326" s="132"/>
      <c r="U326" s="132"/>
      <c r="V326" s="132"/>
      <c r="W326" s="132"/>
      <c r="X326" s="132"/>
      <c r="Y326" s="132"/>
      <c r="Z326" s="132"/>
    </row>
    <row r="327" ht="15.75" customHeight="1">
      <c r="A327" s="105" t="s">
        <v>1347</v>
      </c>
      <c r="B327" s="105" t="s">
        <v>52</v>
      </c>
      <c r="C327" s="106" t="s">
        <v>1348</v>
      </c>
      <c r="D327" s="107" t="s">
        <v>185</v>
      </c>
      <c r="E327" s="106" t="s">
        <v>1299</v>
      </c>
      <c r="F327" s="134">
        <v>120.0</v>
      </c>
      <c r="G327" s="105" t="s">
        <v>1346</v>
      </c>
      <c r="H327" s="105" t="s">
        <v>1346</v>
      </c>
      <c r="I327" s="105" t="s">
        <v>1346</v>
      </c>
      <c r="J327" s="135" t="s">
        <v>85</v>
      </c>
      <c r="K327" s="136" t="s">
        <v>687</v>
      </c>
      <c r="L327" s="135" t="s">
        <v>760</v>
      </c>
      <c r="M327" s="137">
        <v>44101.0</v>
      </c>
      <c r="N327" s="106" t="s">
        <v>735</v>
      </c>
      <c r="O327" s="116" t="s">
        <v>736</v>
      </c>
      <c r="P327" s="134" t="s">
        <v>721</v>
      </c>
      <c r="Q327" s="134" t="s">
        <v>721</v>
      </c>
      <c r="R327" s="132"/>
      <c r="S327" s="132"/>
      <c r="T327" s="132"/>
      <c r="U327" s="132"/>
      <c r="V327" s="132"/>
      <c r="W327" s="132"/>
      <c r="X327" s="132"/>
      <c r="Y327" s="132"/>
      <c r="Z327" s="132"/>
    </row>
    <row r="328" ht="15.75" customHeight="1">
      <c r="A328" s="105" t="s">
        <v>1349</v>
      </c>
      <c r="B328" s="105" t="s">
        <v>52</v>
      </c>
      <c r="C328" s="106" t="s">
        <v>1350</v>
      </c>
      <c r="D328" s="107" t="s">
        <v>185</v>
      </c>
      <c r="E328" s="106" t="s">
        <v>1299</v>
      </c>
      <c r="F328" s="134">
        <v>120.0</v>
      </c>
      <c r="G328" s="105" t="s">
        <v>1346</v>
      </c>
      <c r="H328" s="105" t="s">
        <v>1346</v>
      </c>
      <c r="I328" s="105" t="s">
        <v>1346</v>
      </c>
      <c r="J328" s="135" t="s">
        <v>85</v>
      </c>
      <c r="K328" s="136" t="s">
        <v>687</v>
      </c>
      <c r="L328" s="135" t="s">
        <v>760</v>
      </c>
      <c r="M328" s="137">
        <v>44101.0</v>
      </c>
      <c r="N328" s="106" t="s">
        <v>735</v>
      </c>
      <c r="O328" s="116" t="s">
        <v>736</v>
      </c>
      <c r="P328" s="134" t="s">
        <v>721</v>
      </c>
      <c r="Q328" s="134" t="s">
        <v>721</v>
      </c>
      <c r="R328" s="132"/>
      <c r="S328" s="132"/>
      <c r="T328" s="132"/>
      <c r="U328" s="132"/>
      <c r="V328" s="132"/>
      <c r="W328" s="132"/>
      <c r="X328" s="132"/>
      <c r="Y328" s="132"/>
      <c r="Z328" s="132"/>
    </row>
    <row r="329" ht="15.75" customHeight="1">
      <c r="A329" s="105" t="s">
        <v>1351</v>
      </c>
      <c r="B329" s="105" t="s">
        <v>197</v>
      </c>
      <c r="C329" s="106" t="s">
        <v>1352</v>
      </c>
      <c r="D329" s="107" t="s">
        <v>185</v>
      </c>
      <c r="E329" s="106" t="s">
        <v>1299</v>
      </c>
      <c r="F329" s="134">
        <v>20.25</v>
      </c>
      <c r="G329" s="105" t="s">
        <v>1346</v>
      </c>
      <c r="H329" s="105" t="s">
        <v>1346</v>
      </c>
      <c r="I329" s="105" t="s">
        <v>1346</v>
      </c>
      <c r="J329" s="135" t="s">
        <v>85</v>
      </c>
      <c r="K329" s="136" t="s">
        <v>687</v>
      </c>
      <c r="L329" s="135" t="s">
        <v>760</v>
      </c>
      <c r="M329" s="137">
        <v>44100.0</v>
      </c>
      <c r="N329" s="138" t="s">
        <v>1340</v>
      </c>
      <c r="O329" s="138" t="s">
        <v>736</v>
      </c>
      <c r="P329" s="134" t="s">
        <v>750</v>
      </c>
      <c r="Q329" s="134" t="s">
        <v>750</v>
      </c>
      <c r="R329" s="132"/>
      <c r="S329" s="132"/>
      <c r="T329" s="132"/>
      <c r="U329" s="132"/>
      <c r="V329" s="132"/>
      <c r="W329" s="132"/>
      <c r="X329" s="132"/>
      <c r="Y329" s="132"/>
      <c r="Z329" s="132"/>
    </row>
    <row r="330" ht="15.75" customHeight="1">
      <c r="A330" s="105" t="s">
        <v>1353</v>
      </c>
      <c r="B330" s="105" t="s">
        <v>52</v>
      </c>
      <c r="C330" s="106" t="s">
        <v>1354</v>
      </c>
      <c r="D330" s="107" t="s">
        <v>185</v>
      </c>
      <c r="E330" s="106" t="s">
        <v>1345</v>
      </c>
      <c r="F330" s="134">
        <v>43678.333333333336</v>
      </c>
      <c r="G330" s="105" t="s">
        <v>1346</v>
      </c>
      <c r="H330" s="105" t="s">
        <v>1346</v>
      </c>
      <c r="I330" s="105" t="s">
        <v>1346</v>
      </c>
      <c r="J330" s="135" t="s">
        <v>85</v>
      </c>
      <c r="K330" s="136" t="s">
        <v>687</v>
      </c>
      <c r="L330" s="135" t="s">
        <v>760</v>
      </c>
      <c r="M330" s="137">
        <v>44101.0</v>
      </c>
      <c r="N330" s="138" t="s">
        <v>913</v>
      </c>
      <c r="O330" s="116" t="s">
        <v>736</v>
      </c>
      <c r="P330" s="134" t="s">
        <v>721</v>
      </c>
      <c r="Q330" s="134" t="s">
        <v>721</v>
      </c>
      <c r="R330" s="132"/>
      <c r="S330" s="132"/>
      <c r="T330" s="132"/>
      <c r="U330" s="132"/>
      <c r="V330" s="132"/>
      <c r="W330" s="132"/>
      <c r="X330" s="132"/>
      <c r="Y330" s="132"/>
      <c r="Z330" s="132"/>
    </row>
    <row r="331" ht="15.75" customHeight="1">
      <c r="A331" s="105" t="s">
        <v>1355</v>
      </c>
      <c r="B331" s="105" t="s">
        <v>152</v>
      </c>
      <c r="C331" s="106" t="s">
        <v>1356</v>
      </c>
      <c r="D331" s="107" t="s">
        <v>185</v>
      </c>
      <c r="E331" s="106" t="s">
        <v>1306</v>
      </c>
      <c r="F331" s="134" t="s">
        <v>1357</v>
      </c>
      <c r="G331" s="105" t="s">
        <v>1358</v>
      </c>
      <c r="H331" s="105" t="s">
        <v>1358</v>
      </c>
      <c r="I331" s="105" t="s">
        <v>1358</v>
      </c>
      <c r="J331" s="135" t="s">
        <v>85</v>
      </c>
      <c r="K331" s="136" t="s">
        <v>1359</v>
      </c>
      <c r="L331" s="135" t="s">
        <v>1360</v>
      </c>
      <c r="M331" s="140">
        <v>44044.0</v>
      </c>
      <c r="N331" s="106" t="s">
        <v>692</v>
      </c>
      <c r="O331" s="109" t="s">
        <v>690</v>
      </c>
      <c r="P331" s="134" t="s">
        <v>782</v>
      </c>
      <c r="Q331" s="134" t="s">
        <v>782</v>
      </c>
      <c r="R331" s="132"/>
      <c r="S331" s="132"/>
      <c r="T331" s="132"/>
      <c r="U331" s="132"/>
      <c r="V331" s="132"/>
      <c r="W331" s="132"/>
      <c r="X331" s="132"/>
      <c r="Y331" s="132"/>
      <c r="Z331" s="132"/>
    </row>
    <row r="332" ht="15.75" customHeight="1">
      <c r="A332" s="105" t="s">
        <v>1361</v>
      </c>
      <c r="B332" s="105" t="s">
        <v>152</v>
      </c>
      <c r="C332" s="106" t="s">
        <v>1362</v>
      </c>
      <c r="D332" s="107" t="s">
        <v>185</v>
      </c>
      <c r="E332" s="106" t="s">
        <v>1306</v>
      </c>
      <c r="F332" s="134" t="s">
        <v>1363</v>
      </c>
      <c r="G332" s="105" t="s">
        <v>1358</v>
      </c>
      <c r="H332" s="105" t="s">
        <v>1358</v>
      </c>
      <c r="I332" s="105" t="s">
        <v>1358</v>
      </c>
      <c r="J332" s="135" t="s">
        <v>85</v>
      </c>
      <c r="K332" s="136" t="s">
        <v>1359</v>
      </c>
      <c r="L332" s="135" t="s">
        <v>1360</v>
      </c>
      <c r="M332" s="140">
        <v>44044.0</v>
      </c>
      <c r="N332" s="106" t="s">
        <v>692</v>
      </c>
      <c r="O332" s="109" t="s">
        <v>690</v>
      </c>
      <c r="P332" s="134" t="s">
        <v>782</v>
      </c>
      <c r="Q332" s="134" t="s">
        <v>782</v>
      </c>
      <c r="R332" s="132"/>
      <c r="S332" s="132"/>
      <c r="T332" s="132"/>
      <c r="U332" s="132"/>
      <c r="V332" s="132"/>
      <c r="W332" s="132"/>
      <c r="X332" s="132"/>
      <c r="Y332" s="132"/>
      <c r="Z332" s="132"/>
    </row>
    <row r="333" ht="15.75" customHeight="1">
      <c r="A333" s="105" t="s">
        <v>1364</v>
      </c>
      <c r="B333" s="105" t="s">
        <v>152</v>
      </c>
      <c r="C333" s="106" t="s">
        <v>1365</v>
      </c>
      <c r="D333" s="107" t="s">
        <v>185</v>
      </c>
      <c r="E333" s="106" t="s">
        <v>1306</v>
      </c>
      <c r="F333" s="134" t="s">
        <v>1357</v>
      </c>
      <c r="G333" s="105" t="s">
        <v>1358</v>
      </c>
      <c r="H333" s="105" t="s">
        <v>1358</v>
      </c>
      <c r="I333" s="105" t="s">
        <v>1358</v>
      </c>
      <c r="J333" s="135" t="s">
        <v>85</v>
      </c>
      <c r="K333" s="136" t="s">
        <v>1359</v>
      </c>
      <c r="L333" s="135" t="s">
        <v>1360</v>
      </c>
      <c r="M333" s="140">
        <v>44044.0</v>
      </c>
      <c r="N333" s="106" t="s">
        <v>692</v>
      </c>
      <c r="O333" s="109" t="s">
        <v>690</v>
      </c>
      <c r="P333" s="134" t="s">
        <v>782</v>
      </c>
      <c r="Q333" s="134" t="s">
        <v>782</v>
      </c>
      <c r="R333" s="132"/>
      <c r="S333" s="132"/>
      <c r="T333" s="132"/>
      <c r="U333" s="132"/>
      <c r="V333" s="132"/>
      <c r="W333" s="132"/>
      <c r="X333" s="132"/>
      <c r="Y333" s="132"/>
      <c r="Z333" s="132"/>
    </row>
    <row r="334" ht="15.75" customHeight="1">
      <c r="A334" s="105" t="s">
        <v>1366</v>
      </c>
      <c r="B334" s="105" t="s">
        <v>152</v>
      </c>
      <c r="C334" s="106" t="s">
        <v>1367</v>
      </c>
      <c r="D334" s="107" t="s">
        <v>185</v>
      </c>
      <c r="E334" s="106" t="s">
        <v>1306</v>
      </c>
      <c r="F334" s="134" t="s">
        <v>1363</v>
      </c>
      <c r="G334" s="105" t="s">
        <v>1358</v>
      </c>
      <c r="H334" s="105" t="s">
        <v>1358</v>
      </c>
      <c r="I334" s="105" t="s">
        <v>1358</v>
      </c>
      <c r="J334" s="135" t="s">
        <v>85</v>
      </c>
      <c r="K334" s="136" t="s">
        <v>1359</v>
      </c>
      <c r="L334" s="135" t="s">
        <v>1360</v>
      </c>
      <c r="M334" s="140">
        <v>44044.0</v>
      </c>
      <c r="N334" s="106" t="s">
        <v>692</v>
      </c>
      <c r="O334" s="109" t="s">
        <v>690</v>
      </c>
      <c r="P334" s="134" t="s">
        <v>782</v>
      </c>
      <c r="Q334" s="134" t="s">
        <v>782</v>
      </c>
      <c r="R334" s="132"/>
      <c r="S334" s="132"/>
      <c r="T334" s="132"/>
      <c r="U334" s="132"/>
      <c r="V334" s="132"/>
      <c r="W334" s="132"/>
      <c r="X334" s="132"/>
      <c r="Y334" s="132"/>
      <c r="Z334" s="132"/>
    </row>
    <row r="335" ht="15.75" customHeight="1">
      <c r="A335" s="105" t="s">
        <v>1368</v>
      </c>
      <c r="B335" s="105" t="s">
        <v>152</v>
      </c>
      <c r="C335" s="106" t="s">
        <v>1369</v>
      </c>
      <c r="D335" s="107" t="s">
        <v>83</v>
      </c>
      <c r="E335" s="106" t="s">
        <v>685</v>
      </c>
      <c r="F335" s="134" t="s">
        <v>1370</v>
      </c>
      <c r="G335" s="112" t="s">
        <v>1371</v>
      </c>
      <c r="H335" s="112" t="s">
        <v>686</v>
      </c>
      <c r="I335" s="112" t="s">
        <v>686</v>
      </c>
      <c r="J335" s="135" t="s">
        <v>85</v>
      </c>
      <c r="K335" s="136" t="s">
        <v>749</v>
      </c>
      <c r="L335" s="136" t="s">
        <v>749</v>
      </c>
      <c r="M335" s="108">
        <v>44013.0</v>
      </c>
      <c r="N335" s="135" t="s">
        <v>692</v>
      </c>
      <c r="O335" s="138" t="s">
        <v>1372</v>
      </c>
      <c r="P335" s="134" t="s">
        <v>782</v>
      </c>
      <c r="Q335" s="134" t="s">
        <v>782</v>
      </c>
      <c r="R335" s="132"/>
      <c r="S335" s="132"/>
      <c r="T335" s="132"/>
      <c r="U335" s="132"/>
      <c r="V335" s="132"/>
      <c r="W335" s="132"/>
      <c r="X335" s="132"/>
      <c r="Y335" s="132"/>
      <c r="Z335" s="132"/>
    </row>
    <row r="336" ht="15.75" customHeight="1">
      <c r="A336" s="105" t="s">
        <v>1373</v>
      </c>
      <c r="B336" s="105" t="s">
        <v>152</v>
      </c>
      <c r="C336" s="106" t="s">
        <v>1374</v>
      </c>
      <c r="D336" s="107" t="s">
        <v>83</v>
      </c>
      <c r="E336" s="106" t="s">
        <v>685</v>
      </c>
      <c r="F336" s="134" t="s">
        <v>1375</v>
      </c>
      <c r="G336" s="112" t="s">
        <v>1371</v>
      </c>
      <c r="H336" s="112" t="s">
        <v>686</v>
      </c>
      <c r="I336" s="112" t="s">
        <v>686</v>
      </c>
      <c r="J336" s="135" t="s">
        <v>85</v>
      </c>
      <c r="K336" s="136" t="s">
        <v>749</v>
      </c>
      <c r="L336" s="136" t="s">
        <v>749</v>
      </c>
      <c r="M336" s="108">
        <v>44013.0</v>
      </c>
      <c r="N336" s="135" t="s">
        <v>692</v>
      </c>
      <c r="O336" s="138" t="s">
        <v>1372</v>
      </c>
      <c r="P336" s="134" t="s">
        <v>782</v>
      </c>
      <c r="Q336" s="134" t="s">
        <v>782</v>
      </c>
      <c r="R336" s="132"/>
      <c r="S336" s="132"/>
      <c r="T336" s="132"/>
      <c r="U336" s="132"/>
      <c r="V336" s="132"/>
      <c r="W336" s="132"/>
      <c r="X336" s="132"/>
      <c r="Y336" s="132"/>
      <c r="Z336" s="132"/>
    </row>
    <row r="337" ht="15.75" customHeight="1">
      <c r="A337" s="105" t="s">
        <v>1376</v>
      </c>
      <c r="B337" s="105" t="s">
        <v>152</v>
      </c>
      <c r="C337" s="106" t="s">
        <v>1377</v>
      </c>
      <c r="D337" s="107" t="s">
        <v>83</v>
      </c>
      <c r="E337" s="106" t="s">
        <v>685</v>
      </c>
      <c r="F337" s="134" t="s">
        <v>1378</v>
      </c>
      <c r="G337" s="112" t="s">
        <v>1371</v>
      </c>
      <c r="H337" s="112" t="s">
        <v>686</v>
      </c>
      <c r="I337" s="112" t="s">
        <v>686</v>
      </c>
      <c r="J337" s="135" t="s">
        <v>85</v>
      </c>
      <c r="K337" s="136" t="s">
        <v>749</v>
      </c>
      <c r="L337" s="136" t="s">
        <v>749</v>
      </c>
      <c r="M337" s="108"/>
      <c r="N337" s="135" t="s">
        <v>692</v>
      </c>
      <c r="O337" s="138" t="s">
        <v>1372</v>
      </c>
      <c r="P337" s="134" t="s">
        <v>782</v>
      </c>
      <c r="Q337" s="134" t="s">
        <v>782</v>
      </c>
      <c r="R337" s="132"/>
      <c r="S337" s="132"/>
      <c r="T337" s="132"/>
      <c r="U337" s="132"/>
      <c r="V337" s="132"/>
      <c r="W337" s="132"/>
      <c r="X337" s="132"/>
      <c r="Y337" s="132"/>
      <c r="Z337" s="132"/>
    </row>
    <row r="338" ht="15.75" customHeight="1">
      <c r="A338" s="105" t="s">
        <v>1379</v>
      </c>
      <c r="B338" s="105" t="s">
        <v>152</v>
      </c>
      <c r="C338" s="106" t="s">
        <v>1380</v>
      </c>
      <c r="D338" s="107" t="s">
        <v>83</v>
      </c>
      <c r="E338" s="106" t="s">
        <v>685</v>
      </c>
      <c r="F338" s="134" t="s">
        <v>1381</v>
      </c>
      <c r="G338" s="112" t="s">
        <v>1371</v>
      </c>
      <c r="H338" s="112" t="s">
        <v>686</v>
      </c>
      <c r="I338" s="112" t="s">
        <v>686</v>
      </c>
      <c r="J338" s="135" t="s">
        <v>85</v>
      </c>
      <c r="K338" s="136" t="s">
        <v>749</v>
      </c>
      <c r="L338" s="136" t="s">
        <v>749</v>
      </c>
      <c r="M338" s="108">
        <v>44013.0</v>
      </c>
      <c r="N338" s="135" t="s">
        <v>692</v>
      </c>
      <c r="O338" s="138" t="s">
        <v>1372</v>
      </c>
      <c r="P338" s="134" t="s">
        <v>782</v>
      </c>
      <c r="Q338" s="134" t="s">
        <v>782</v>
      </c>
      <c r="R338" s="132"/>
      <c r="S338" s="132"/>
      <c r="T338" s="132"/>
      <c r="U338" s="132"/>
      <c r="V338" s="132"/>
      <c r="W338" s="132"/>
      <c r="X338" s="132"/>
      <c r="Y338" s="132"/>
      <c r="Z338" s="132"/>
    </row>
    <row r="339" ht="15.75" customHeight="1">
      <c r="A339" s="105" t="s">
        <v>1382</v>
      </c>
      <c r="B339" s="105" t="s">
        <v>197</v>
      </c>
      <c r="C339" s="106" t="s">
        <v>1383</v>
      </c>
      <c r="D339" s="107" t="s">
        <v>185</v>
      </c>
      <c r="E339" s="106" t="s">
        <v>1102</v>
      </c>
      <c r="F339" s="112">
        <v>23.55</v>
      </c>
      <c r="G339" s="105" t="s">
        <v>1346</v>
      </c>
      <c r="H339" s="105" t="s">
        <v>1346</v>
      </c>
      <c r="I339" s="105" t="s">
        <v>1346</v>
      </c>
      <c r="J339" s="135" t="s">
        <v>85</v>
      </c>
      <c r="K339" s="138" t="s">
        <v>687</v>
      </c>
      <c r="L339" s="135" t="s">
        <v>760</v>
      </c>
      <c r="M339" s="137">
        <v>44100.0</v>
      </c>
      <c r="N339" s="135" t="s">
        <v>692</v>
      </c>
      <c r="O339" s="138" t="s">
        <v>690</v>
      </c>
      <c r="P339" s="141" t="s">
        <v>761</v>
      </c>
      <c r="Q339" s="141" t="s">
        <v>761</v>
      </c>
      <c r="R339" s="132"/>
      <c r="S339" s="132"/>
      <c r="T339" s="132"/>
      <c r="U339" s="132"/>
      <c r="V339" s="132"/>
      <c r="W339" s="132"/>
      <c r="X339" s="132"/>
      <c r="Y339" s="132"/>
      <c r="Z339" s="132"/>
    </row>
    <row r="340" ht="15.75" customHeight="1">
      <c r="A340" s="105" t="s">
        <v>1384</v>
      </c>
      <c r="B340" s="105" t="s">
        <v>197</v>
      </c>
      <c r="C340" s="106" t="s">
        <v>1385</v>
      </c>
      <c r="D340" s="107" t="s">
        <v>185</v>
      </c>
      <c r="E340" s="106" t="s">
        <v>1306</v>
      </c>
      <c r="F340" s="141" t="s">
        <v>1386</v>
      </c>
      <c r="G340" s="105" t="s">
        <v>1346</v>
      </c>
      <c r="H340" s="105" t="s">
        <v>1346</v>
      </c>
      <c r="I340" s="105" t="s">
        <v>1346</v>
      </c>
      <c r="J340" s="135" t="s">
        <v>85</v>
      </c>
      <c r="K340" s="138" t="s">
        <v>749</v>
      </c>
      <c r="L340" s="112" t="s">
        <v>749</v>
      </c>
      <c r="M340" s="140">
        <v>44044.0</v>
      </c>
      <c r="N340" s="135" t="s">
        <v>692</v>
      </c>
      <c r="O340" s="138" t="s">
        <v>690</v>
      </c>
      <c r="P340" s="141" t="s">
        <v>761</v>
      </c>
      <c r="Q340" s="141" t="s">
        <v>761</v>
      </c>
      <c r="R340" s="132"/>
      <c r="S340" s="132"/>
      <c r="T340" s="132"/>
      <c r="U340" s="132"/>
      <c r="V340" s="132"/>
      <c r="W340" s="132"/>
      <c r="X340" s="132"/>
      <c r="Y340" s="132"/>
      <c r="Z340" s="132"/>
    </row>
    <row r="341" ht="15.75" customHeight="1">
      <c r="A341" s="105" t="s">
        <v>1387</v>
      </c>
      <c r="B341" s="105" t="s">
        <v>696</v>
      </c>
      <c r="C341" s="106" t="s">
        <v>1388</v>
      </c>
      <c r="D341" s="107" t="s">
        <v>185</v>
      </c>
      <c r="E341" s="106" t="s">
        <v>1313</v>
      </c>
      <c r="F341" s="141">
        <v>4977716.0</v>
      </c>
      <c r="G341" s="105" t="s">
        <v>1389</v>
      </c>
      <c r="H341" s="105" t="s">
        <v>1389</v>
      </c>
      <c r="I341" s="105" t="s">
        <v>1389</v>
      </c>
      <c r="J341" s="135" t="s">
        <v>85</v>
      </c>
      <c r="K341" s="138" t="s">
        <v>687</v>
      </c>
      <c r="L341" s="138" t="s">
        <v>688</v>
      </c>
      <c r="M341" s="137">
        <v>44100.0</v>
      </c>
      <c r="N341" s="135" t="s">
        <v>1318</v>
      </c>
      <c r="O341" s="138" t="s">
        <v>690</v>
      </c>
      <c r="P341" s="141" t="s">
        <v>702</v>
      </c>
      <c r="Q341" s="141" t="s">
        <v>702</v>
      </c>
      <c r="R341" s="132"/>
      <c r="S341" s="132"/>
      <c r="T341" s="132"/>
      <c r="U341" s="132"/>
      <c r="V341" s="132"/>
      <c r="W341" s="132"/>
      <c r="X341" s="132"/>
      <c r="Y341" s="132"/>
      <c r="Z341" s="132"/>
    </row>
    <row r="342" ht="15.75" customHeight="1">
      <c r="A342" s="105" t="s">
        <v>1390</v>
      </c>
      <c r="B342" s="105" t="s">
        <v>696</v>
      </c>
      <c r="C342" s="106" t="s">
        <v>1391</v>
      </c>
      <c r="D342" s="107" t="s">
        <v>83</v>
      </c>
      <c r="E342" s="106" t="s">
        <v>1313</v>
      </c>
      <c r="F342" s="141" t="s">
        <v>1392</v>
      </c>
      <c r="G342" s="105" t="s">
        <v>1389</v>
      </c>
      <c r="H342" s="142" t="s">
        <v>1389</v>
      </c>
      <c r="I342" s="142" t="s">
        <v>1389</v>
      </c>
      <c r="J342" s="135" t="s">
        <v>85</v>
      </c>
      <c r="K342" s="138" t="s">
        <v>687</v>
      </c>
      <c r="L342" s="138" t="s">
        <v>688</v>
      </c>
      <c r="M342" s="137">
        <v>44100.0</v>
      </c>
      <c r="N342" s="135" t="s">
        <v>1318</v>
      </c>
      <c r="O342" s="138" t="s">
        <v>690</v>
      </c>
      <c r="P342" s="141" t="s">
        <v>702</v>
      </c>
      <c r="Q342" s="141" t="s">
        <v>702</v>
      </c>
      <c r="R342" s="132"/>
      <c r="S342" s="132"/>
      <c r="T342" s="132"/>
      <c r="U342" s="132"/>
      <c r="V342" s="132"/>
      <c r="W342" s="132"/>
      <c r="X342" s="132"/>
      <c r="Y342" s="132"/>
      <c r="Z342" s="132"/>
    </row>
    <row r="343" ht="15.75" customHeight="1">
      <c r="A343" s="105" t="s">
        <v>1393</v>
      </c>
      <c r="B343" s="105" t="s">
        <v>44</v>
      </c>
      <c r="C343" s="106" t="s">
        <v>1394</v>
      </c>
      <c r="D343" s="107" t="s">
        <v>185</v>
      </c>
      <c r="E343" s="106" t="s">
        <v>1323</v>
      </c>
      <c r="F343" s="112">
        <v>2500.0055</v>
      </c>
      <c r="G343" s="126" t="s">
        <v>1389</v>
      </c>
      <c r="H343" s="105" t="s">
        <v>1389</v>
      </c>
      <c r="I343" s="126" t="s">
        <v>1389</v>
      </c>
      <c r="J343" s="135" t="s">
        <v>85</v>
      </c>
      <c r="K343" s="138" t="s">
        <v>687</v>
      </c>
      <c r="L343" s="138" t="s">
        <v>688</v>
      </c>
      <c r="M343" s="137">
        <v>44100.0</v>
      </c>
      <c r="N343" s="135" t="s">
        <v>1324</v>
      </c>
      <c r="O343" s="138" t="s">
        <v>690</v>
      </c>
      <c r="P343" s="141" t="s">
        <v>744</v>
      </c>
      <c r="Q343" s="141" t="s">
        <v>744</v>
      </c>
      <c r="R343" s="132"/>
      <c r="S343" s="132"/>
      <c r="T343" s="132"/>
      <c r="U343" s="132"/>
      <c r="V343" s="132"/>
      <c r="W343" s="132"/>
      <c r="X343" s="132"/>
      <c r="Y343" s="132"/>
      <c r="Z343" s="132"/>
    </row>
    <row r="344" ht="15.75" customHeight="1">
      <c r="A344" s="105" t="s">
        <v>1395</v>
      </c>
      <c r="B344" s="105" t="s">
        <v>696</v>
      </c>
      <c r="C344" s="106" t="s">
        <v>1396</v>
      </c>
      <c r="D344" s="107" t="s">
        <v>185</v>
      </c>
      <c r="E344" s="106" t="s">
        <v>698</v>
      </c>
      <c r="F344" s="143">
        <v>44044.333333333336</v>
      </c>
      <c r="G344" s="105" t="s">
        <v>1397</v>
      </c>
      <c r="H344" s="105" t="s">
        <v>1397</v>
      </c>
      <c r="I344" s="105" t="s">
        <v>1397</v>
      </c>
      <c r="J344" s="135" t="s">
        <v>85</v>
      </c>
      <c r="K344" s="138" t="s">
        <v>687</v>
      </c>
      <c r="L344" s="138" t="s">
        <v>688</v>
      </c>
      <c r="M344" s="137">
        <v>44100.0</v>
      </c>
      <c r="N344" s="135" t="s">
        <v>1327</v>
      </c>
      <c r="O344" s="138" t="s">
        <v>690</v>
      </c>
      <c r="P344" s="141" t="s">
        <v>744</v>
      </c>
      <c r="Q344" s="141" t="s">
        <v>744</v>
      </c>
      <c r="R344" s="132"/>
      <c r="S344" s="132"/>
      <c r="T344" s="132"/>
      <c r="U344" s="132"/>
      <c r="V344" s="132"/>
      <c r="W344" s="132"/>
      <c r="X344" s="132"/>
      <c r="Y344" s="132"/>
      <c r="Z344" s="132"/>
    </row>
    <row r="345" ht="15.75" customHeight="1">
      <c r="A345" s="105" t="s">
        <v>1398</v>
      </c>
      <c r="B345" s="105" t="s">
        <v>197</v>
      </c>
      <c r="C345" s="106" t="s">
        <v>1399</v>
      </c>
      <c r="D345" s="107" t="s">
        <v>83</v>
      </c>
      <c r="E345" s="106" t="s">
        <v>1313</v>
      </c>
      <c r="F345" s="141" t="s">
        <v>1400</v>
      </c>
      <c r="G345" s="105" t="s">
        <v>1389</v>
      </c>
      <c r="H345" s="126" t="s">
        <v>1389</v>
      </c>
      <c r="I345" s="126" t="s">
        <v>1389</v>
      </c>
      <c r="J345" s="135" t="s">
        <v>85</v>
      </c>
      <c r="K345" s="138" t="s">
        <v>687</v>
      </c>
      <c r="L345" s="138" t="s">
        <v>688</v>
      </c>
      <c r="M345" s="137">
        <v>44100.0</v>
      </c>
      <c r="N345" s="135" t="s">
        <v>1401</v>
      </c>
      <c r="O345" s="138" t="s">
        <v>1402</v>
      </c>
      <c r="P345" s="141" t="s">
        <v>744</v>
      </c>
      <c r="Q345" s="141" t="s">
        <v>744</v>
      </c>
      <c r="R345" s="132"/>
      <c r="S345" s="132"/>
      <c r="T345" s="132"/>
      <c r="U345" s="132"/>
      <c r="V345" s="132"/>
      <c r="W345" s="132"/>
      <c r="X345" s="132"/>
      <c r="Y345" s="132"/>
      <c r="Z345" s="132"/>
    </row>
    <row r="346" ht="15.75" customHeight="1">
      <c r="A346" s="105" t="s">
        <v>1403</v>
      </c>
      <c r="B346" s="105" t="s">
        <v>197</v>
      </c>
      <c r="C346" s="106" t="s">
        <v>1404</v>
      </c>
      <c r="D346" s="107" t="s">
        <v>185</v>
      </c>
      <c r="E346" s="106" t="s">
        <v>1313</v>
      </c>
      <c r="F346" s="141" t="s">
        <v>1400</v>
      </c>
      <c r="G346" s="105" t="s">
        <v>1389</v>
      </c>
      <c r="H346" s="126" t="s">
        <v>1389</v>
      </c>
      <c r="I346" s="126" t="s">
        <v>1389</v>
      </c>
      <c r="J346" s="135" t="s">
        <v>85</v>
      </c>
      <c r="K346" s="138" t="s">
        <v>687</v>
      </c>
      <c r="L346" s="138" t="s">
        <v>688</v>
      </c>
      <c r="M346" s="137">
        <v>44100.0</v>
      </c>
      <c r="N346" s="135" t="s">
        <v>1401</v>
      </c>
      <c r="O346" s="138" t="s">
        <v>1402</v>
      </c>
      <c r="P346" s="141" t="s">
        <v>744</v>
      </c>
      <c r="Q346" s="141" t="s">
        <v>744</v>
      </c>
      <c r="R346" s="132"/>
      <c r="S346" s="132"/>
      <c r="T346" s="132"/>
      <c r="U346" s="132"/>
      <c r="V346" s="132"/>
      <c r="W346" s="132"/>
      <c r="X346" s="132"/>
      <c r="Y346" s="132"/>
      <c r="Z346" s="132"/>
    </row>
    <row r="347" ht="15.75" customHeight="1">
      <c r="A347" s="105" t="s">
        <v>1405</v>
      </c>
      <c r="B347" s="105" t="s">
        <v>197</v>
      </c>
      <c r="C347" s="106" t="s">
        <v>1406</v>
      </c>
      <c r="D347" s="107" t="s">
        <v>185</v>
      </c>
      <c r="E347" s="106" t="s">
        <v>713</v>
      </c>
      <c r="F347" s="141">
        <v>15.0</v>
      </c>
      <c r="G347" s="105" t="s">
        <v>1389</v>
      </c>
      <c r="H347" s="126" t="s">
        <v>1389</v>
      </c>
      <c r="I347" s="126" t="s">
        <v>1389</v>
      </c>
      <c r="J347" s="135" t="s">
        <v>85</v>
      </c>
      <c r="K347" s="138" t="s">
        <v>687</v>
      </c>
      <c r="L347" s="138" t="s">
        <v>688</v>
      </c>
      <c r="M347" s="137">
        <v>44100.0</v>
      </c>
      <c r="N347" s="135" t="s">
        <v>1327</v>
      </c>
      <c r="O347" s="138" t="s">
        <v>690</v>
      </c>
      <c r="P347" s="141" t="s">
        <v>744</v>
      </c>
      <c r="Q347" s="141" t="s">
        <v>744</v>
      </c>
      <c r="R347" s="132"/>
      <c r="S347" s="132"/>
      <c r="T347" s="132"/>
      <c r="U347" s="132"/>
      <c r="V347" s="132"/>
      <c r="W347" s="132"/>
      <c r="X347" s="132"/>
      <c r="Y347" s="132"/>
      <c r="Z347" s="132"/>
    </row>
    <row r="348" ht="15.75" customHeight="1">
      <c r="A348" s="105" t="s">
        <v>1407</v>
      </c>
      <c r="B348" s="105" t="s">
        <v>197</v>
      </c>
      <c r="C348" s="106" t="s">
        <v>1408</v>
      </c>
      <c r="D348" s="107" t="s">
        <v>185</v>
      </c>
      <c r="E348" s="106" t="s">
        <v>713</v>
      </c>
      <c r="F348" s="141">
        <v>15.0</v>
      </c>
      <c r="G348" s="105" t="s">
        <v>1389</v>
      </c>
      <c r="H348" s="126" t="s">
        <v>1389</v>
      </c>
      <c r="I348" s="126" t="s">
        <v>1389</v>
      </c>
      <c r="J348" s="135" t="s">
        <v>85</v>
      </c>
      <c r="K348" s="138" t="s">
        <v>687</v>
      </c>
      <c r="L348" s="138" t="s">
        <v>688</v>
      </c>
      <c r="M348" s="137">
        <v>44100.0</v>
      </c>
      <c r="N348" s="135" t="s">
        <v>1327</v>
      </c>
      <c r="O348" s="138" t="s">
        <v>690</v>
      </c>
      <c r="P348" s="141" t="s">
        <v>744</v>
      </c>
      <c r="Q348" s="141" t="s">
        <v>744</v>
      </c>
      <c r="R348" s="132"/>
      <c r="S348" s="132"/>
      <c r="T348" s="132"/>
      <c r="U348" s="132"/>
      <c r="V348" s="132"/>
      <c r="W348" s="132"/>
      <c r="X348" s="132"/>
      <c r="Y348" s="132"/>
      <c r="Z348" s="132"/>
    </row>
    <row r="349" ht="15.75" customHeight="1">
      <c r="A349" s="105" t="s">
        <v>1409</v>
      </c>
      <c r="B349" s="105" t="s">
        <v>696</v>
      </c>
      <c r="C349" s="106" t="s">
        <v>1410</v>
      </c>
      <c r="D349" s="107" t="s">
        <v>83</v>
      </c>
      <c r="E349" s="106" t="s">
        <v>713</v>
      </c>
      <c r="F349" s="141">
        <v>15.0</v>
      </c>
      <c r="G349" s="105" t="s">
        <v>1389</v>
      </c>
      <c r="H349" s="142" t="s">
        <v>1389</v>
      </c>
      <c r="I349" s="142" t="s">
        <v>1389</v>
      </c>
      <c r="J349" s="135" t="s">
        <v>85</v>
      </c>
      <c r="K349" s="138" t="s">
        <v>687</v>
      </c>
      <c r="L349" s="138" t="s">
        <v>688</v>
      </c>
      <c r="M349" s="137">
        <v>44100.0</v>
      </c>
      <c r="N349" s="135" t="s">
        <v>1318</v>
      </c>
      <c r="O349" s="138" t="s">
        <v>690</v>
      </c>
      <c r="P349" s="141" t="s">
        <v>788</v>
      </c>
      <c r="Q349" s="141" t="s">
        <v>788</v>
      </c>
      <c r="R349" s="132"/>
      <c r="S349" s="132"/>
      <c r="T349" s="132"/>
      <c r="U349" s="132"/>
      <c r="V349" s="132"/>
      <c r="W349" s="132"/>
      <c r="X349" s="132"/>
      <c r="Y349" s="132"/>
      <c r="Z349" s="132"/>
    </row>
    <row r="350" ht="15.75" customHeight="1">
      <c r="A350" s="105" t="s">
        <v>1411</v>
      </c>
      <c r="B350" s="105" t="s">
        <v>44</v>
      </c>
      <c r="C350" s="106" t="s">
        <v>1412</v>
      </c>
      <c r="D350" s="107" t="s">
        <v>83</v>
      </c>
      <c r="E350" s="106" t="s">
        <v>1313</v>
      </c>
      <c r="F350" s="144" t="s">
        <v>1413</v>
      </c>
      <c r="G350" s="105" t="s">
        <v>1389</v>
      </c>
      <c r="H350" s="142" t="s">
        <v>1389</v>
      </c>
      <c r="I350" s="142" t="s">
        <v>1389</v>
      </c>
      <c r="J350" s="135" t="s">
        <v>85</v>
      </c>
      <c r="K350" s="138" t="s">
        <v>687</v>
      </c>
      <c r="L350" s="138" t="s">
        <v>688</v>
      </c>
      <c r="M350" s="137">
        <v>44100.0</v>
      </c>
      <c r="N350" s="135" t="s">
        <v>1318</v>
      </c>
      <c r="O350" s="138" t="s">
        <v>690</v>
      </c>
      <c r="P350" s="141" t="s">
        <v>691</v>
      </c>
      <c r="Q350" s="141" t="s">
        <v>691</v>
      </c>
      <c r="R350" s="132"/>
      <c r="S350" s="132"/>
      <c r="T350" s="132"/>
      <c r="U350" s="132"/>
      <c r="V350" s="132"/>
      <c r="W350" s="132"/>
      <c r="X350" s="132"/>
      <c r="Y350" s="132"/>
      <c r="Z350" s="132"/>
    </row>
    <row r="351" ht="15.75" customHeight="1">
      <c r="A351" s="105" t="s">
        <v>1414</v>
      </c>
      <c r="B351" s="105" t="s">
        <v>44</v>
      </c>
      <c r="C351" s="106" t="s">
        <v>1415</v>
      </c>
      <c r="D351" s="107" t="s">
        <v>185</v>
      </c>
      <c r="E351" s="106" t="s">
        <v>1313</v>
      </c>
      <c r="F351" s="112">
        <v>9.176888895E9</v>
      </c>
      <c r="G351" s="105" t="s">
        <v>1389</v>
      </c>
      <c r="H351" s="142" t="s">
        <v>1389</v>
      </c>
      <c r="I351" s="142" t="s">
        <v>1389</v>
      </c>
      <c r="J351" s="135" t="s">
        <v>85</v>
      </c>
      <c r="K351" s="138" t="s">
        <v>687</v>
      </c>
      <c r="L351" s="138" t="s">
        <v>688</v>
      </c>
      <c r="M351" s="137">
        <v>44100.0</v>
      </c>
      <c r="N351" s="135" t="s">
        <v>1318</v>
      </c>
      <c r="O351" s="138" t="s">
        <v>690</v>
      </c>
      <c r="P351" s="141" t="s">
        <v>691</v>
      </c>
      <c r="Q351" s="141" t="s">
        <v>691</v>
      </c>
      <c r="R351" s="132"/>
      <c r="S351" s="132"/>
      <c r="T351" s="132"/>
      <c r="U351" s="132"/>
      <c r="V351" s="132"/>
      <c r="W351" s="132"/>
      <c r="X351" s="132"/>
      <c r="Y351" s="132"/>
      <c r="Z351" s="132"/>
    </row>
    <row r="352" ht="15.75" customHeight="1">
      <c r="A352" s="105" t="s">
        <v>1416</v>
      </c>
      <c r="B352" s="105" t="s">
        <v>696</v>
      </c>
      <c r="C352" s="106" t="s">
        <v>1417</v>
      </c>
      <c r="D352" s="107" t="s">
        <v>83</v>
      </c>
      <c r="E352" s="106" t="s">
        <v>1313</v>
      </c>
      <c r="F352" s="141">
        <v>1.0</v>
      </c>
      <c r="G352" s="105" t="s">
        <v>1389</v>
      </c>
      <c r="H352" s="126" t="s">
        <v>1389</v>
      </c>
      <c r="I352" s="126" t="s">
        <v>1389</v>
      </c>
      <c r="J352" s="135" t="s">
        <v>85</v>
      </c>
      <c r="K352" s="138" t="s">
        <v>687</v>
      </c>
      <c r="L352" s="138" t="s">
        <v>688</v>
      </c>
      <c r="M352" s="137">
        <v>44100.0</v>
      </c>
      <c r="N352" s="135" t="s">
        <v>1418</v>
      </c>
      <c r="O352" s="138" t="s">
        <v>1419</v>
      </c>
      <c r="P352" s="141" t="s">
        <v>744</v>
      </c>
      <c r="Q352" s="141" t="s">
        <v>744</v>
      </c>
      <c r="R352" s="132"/>
      <c r="S352" s="132"/>
      <c r="T352" s="132"/>
      <c r="U352" s="132"/>
      <c r="V352" s="132"/>
      <c r="W352" s="132"/>
      <c r="X352" s="132"/>
      <c r="Y352" s="132"/>
      <c r="Z352" s="132"/>
    </row>
    <row r="353" ht="15.75" customHeight="1">
      <c r="A353" s="105" t="s">
        <v>1420</v>
      </c>
      <c r="B353" s="105" t="s">
        <v>197</v>
      </c>
      <c r="C353" s="106" t="s">
        <v>1421</v>
      </c>
      <c r="D353" s="107" t="s">
        <v>185</v>
      </c>
      <c r="E353" s="106" t="s">
        <v>720</v>
      </c>
      <c r="F353" s="117" t="s">
        <v>839</v>
      </c>
      <c r="G353" s="105" t="s">
        <v>1422</v>
      </c>
      <c r="H353" s="105" t="s">
        <v>1422</v>
      </c>
      <c r="I353" s="105" t="s">
        <v>1422</v>
      </c>
      <c r="J353" s="135" t="s">
        <v>85</v>
      </c>
      <c r="K353" s="145" t="s">
        <v>749</v>
      </c>
      <c r="L353" s="135"/>
      <c r="M353" s="140">
        <v>44044.0</v>
      </c>
      <c r="N353" s="135" t="s">
        <v>764</v>
      </c>
      <c r="O353" s="138" t="s">
        <v>732</v>
      </c>
      <c r="P353" s="141" t="s">
        <v>782</v>
      </c>
      <c r="Q353" s="141" t="s">
        <v>782</v>
      </c>
      <c r="R353" s="132"/>
      <c r="S353" s="132"/>
      <c r="T353" s="132"/>
      <c r="U353" s="132"/>
      <c r="V353" s="132"/>
      <c r="W353" s="132"/>
      <c r="X353" s="132"/>
      <c r="Y353" s="132"/>
      <c r="Z353" s="132"/>
    </row>
    <row r="354" ht="15.75" customHeight="1">
      <c r="A354" s="105" t="s">
        <v>1423</v>
      </c>
      <c r="B354" s="105" t="s">
        <v>197</v>
      </c>
      <c r="C354" s="106" t="s">
        <v>1424</v>
      </c>
      <c r="D354" s="107" t="s">
        <v>185</v>
      </c>
      <c r="E354" s="106" t="s">
        <v>720</v>
      </c>
      <c r="F354" s="117" t="s">
        <v>839</v>
      </c>
      <c r="G354" s="105" t="s">
        <v>1422</v>
      </c>
      <c r="H354" s="105" t="s">
        <v>1422</v>
      </c>
      <c r="I354" s="105" t="s">
        <v>1422</v>
      </c>
      <c r="J354" s="135" t="s">
        <v>85</v>
      </c>
      <c r="K354" s="145" t="s">
        <v>749</v>
      </c>
      <c r="L354" s="135"/>
      <c r="M354" s="140">
        <v>44044.0</v>
      </c>
      <c r="N354" s="135" t="s">
        <v>764</v>
      </c>
      <c r="O354" s="138" t="s">
        <v>732</v>
      </c>
      <c r="P354" s="141" t="s">
        <v>782</v>
      </c>
      <c r="Q354" s="141" t="s">
        <v>782</v>
      </c>
      <c r="R354" s="132"/>
      <c r="S354" s="132"/>
      <c r="T354" s="132"/>
      <c r="U354" s="132"/>
      <c r="V354" s="132"/>
      <c r="W354" s="132"/>
      <c r="X354" s="132"/>
      <c r="Y354" s="132"/>
      <c r="Z354" s="132"/>
    </row>
    <row r="355" ht="15.75" customHeight="1">
      <c r="A355" s="105" t="s">
        <v>1425</v>
      </c>
      <c r="B355" s="105" t="s">
        <v>197</v>
      </c>
      <c r="C355" s="106" t="s">
        <v>1426</v>
      </c>
      <c r="D355" s="107" t="s">
        <v>185</v>
      </c>
      <c r="E355" s="106" t="s">
        <v>720</v>
      </c>
      <c r="F355" s="117" t="s">
        <v>839</v>
      </c>
      <c r="G355" s="105" t="s">
        <v>1422</v>
      </c>
      <c r="H355" s="105" t="s">
        <v>1422</v>
      </c>
      <c r="I355" s="105" t="s">
        <v>1422</v>
      </c>
      <c r="J355" s="135" t="s">
        <v>85</v>
      </c>
      <c r="K355" s="145" t="s">
        <v>749</v>
      </c>
      <c r="L355" s="135"/>
      <c r="M355" s="140">
        <v>44044.0</v>
      </c>
      <c r="N355" s="135" t="s">
        <v>764</v>
      </c>
      <c r="O355" s="138" t="s">
        <v>732</v>
      </c>
      <c r="P355" s="141" t="s">
        <v>782</v>
      </c>
      <c r="Q355" s="141" t="s">
        <v>782</v>
      </c>
      <c r="R355" s="132"/>
      <c r="S355" s="132"/>
      <c r="T355" s="132"/>
      <c r="U355" s="132"/>
      <c r="V355" s="132"/>
      <c r="W355" s="132"/>
      <c r="X355" s="132"/>
      <c r="Y355" s="132"/>
      <c r="Z355" s="132"/>
    </row>
    <row r="356" ht="15.75" customHeight="1">
      <c r="A356" s="105" t="s">
        <v>1427</v>
      </c>
      <c r="B356" s="105" t="s">
        <v>197</v>
      </c>
      <c r="C356" s="106" t="s">
        <v>1428</v>
      </c>
      <c r="D356" s="107" t="s">
        <v>185</v>
      </c>
      <c r="E356" s="106" t="s">
        <v>720</v>
      </c>
      <c r="F356" s="117" t="s">
        <v>839</v>
      </c>
      <c r="G356" s="105" t="s">
        <v>1422</v>
      </c>
      <c r="H356" s="105" t="s">
        <v>1422</v>
      </c>
      <c r="I356" s="105" t="s">
        <v>1422</v>
      </c>
      <c r="J356" s="135" t="s">
        <v>85</v>
      </c>
      <c r="K356" s="145" t="s">
        <v>749</v>
      </c>
      <c r="L356" s="135"/>
      <c r="M356" s="140">
        <v>44044.0</v>
      </c>
      <c r="N356" s="135" t="s">
        <v>764</v>
      </c>
      <c r="O356" s="138" t="s">
        <v>732</v>
      </c>
      <c r="P356" s="141" t="s">
        <v>782</v>
      </c>
      <c r="Q356" s="141" t="s">
        <v>782</v>
      </c>
      <c r="R356" s="132"/>
      <c r="S356" s="132"/>
      <c r="T356" s="132"/>
      <c r="U356" s="132"/>
      <c r="V356" s="132"/>
      <c r="W356" s="132"/>
      <c r="X356" s="132"/>
      <c r="Y356" s="132"/>
      <c r="Z356" s="132"/>
    </row>
    <row r="357" ht="15.75" customHeight="1">
      <c r="A357" s="105" t="s">
        <v>1429</v>
      </c>
      <c r="B357" s="105" t="s">
        <v>197</v>
      </c>
      <c r="C357" s="106" t="s">
        <v>1430</v>
      </c>
      <c r="D357" s="107" t="s">
        <v>185</v>
      </c>
      <c r="E357" s="106" t="s">
        <v>720</v>
      </c>
      <c r="F357" s="117" t="s">
        <v>839</v>
      </c>
      <c r="G357" s="105" t="s">
        <v>1422</v>
      </c>
      <c r="H357" s="105" t="s">
        <v>1422</v>
      </c>
      <c r="I357" s="105" t="s">
        <v>1422</v>
      </c>
      <c r="J357" s="135" t="s">
        <v>85</v>
      </c>
      <c r="K357" s="145" t="s">
        <v>749</v>
      </c>
      <c r="L357" s="135"/>
      <c r="M357" s="140">
        <v>44044.0</v>
      </c>
      <c r="N357" s="135" t="s">
        <v>764</v>
      </c>
      <c r="O357" s="138" t="s">
        <v>732</v>
      </c>
      <c r="P357" s="141" t="s">
        <v>782</v>
      </c>
      <c r="Q357" s="141" t="s">
        <v>782</v>
      </c>
      <c r="R357" s="132"/>
      <c r="S357" s="132"/>
      <c r="T357" s="132"/>
      <c r="U357" s="132"/>
      <c r="V357" s="132"/>
      <c r="W357" s="132"/>
      <c r="X357" s="132"/>
      <c r="Y357" s="132"/>
      <c r="Z357" s="132"/>
    </row>
    <row r="358" ht="15.75" customHeight="1">
      <c r="A358" s="105" t="s">
        <v>1431</v>
      </c>
      <c r="B358" s="105" t="s">
        <v>197</v>
      </c>
      <c r="C358" s="106" t="s">
        <v>1432</v>
      </c>
      <c r="D358" s="107" t="s">
        <v>185</v>
      </c>
      <c r="E358" s="106" t="s">
        <v>720</v>
      </c>
      <c r="F358" s="117" t="s">
        <v>839</v>
      </c>
      <c r="G358" s="105" t="s">
        <v>1422</v>
      </c>
      <c r="H358" s="105" t="s">
        <v>1422</v>
      </c>
      <c r="I358" s="105" t="s">
        <v>1422</v>
      </c>
      <c r="J358" s="135" t="s">
        <v>85</v>
      </c>
      <c r="K358" s="145" t="s">
        <v>749</v>
      </c>
      <c r="L358" s="135"/>
      <c r="M358" s="140">
        <v>44044.0</v>
      </c>
      <c r="N358" s="135" t="s">
        <v>764</v>
      </c>
      <c r="O358" s="138" t="s">
        <v>732</v>
      </c>
      <c r="P358" s="141" t="s">
        <v>782</v>
      </c>
      <c r="Q358" s="141" t="s">
        <v>782</v>
      </c>
      <c r="R358" s="132"/>
      <c r="S358" s="132"/>
      <c r="T358" s="132"/>
      <c r="U358" s="132"/>
      <c r="V358" s="132"/>
      <c r="W358" s="132"/>
      <c r="X358" s="132"/>
      <c r="Y358" s="132"/>
      <c r="Z358" s="132"/>
    </row>
    <row r="359" ht="15.75" customHeight="1">
      <c r="A359" s="105" t="s">
        <v>1433</v>
      </c>
      <c r="B359" s="105" t="s">
        <v>197</v>
      </c>
      <c r="C359" s="106" t="s">
        <v>1434</v>
      </c>
      <c r="D359" s="107" t="s">
        <v>185</v>
      </c>
      <c r="E359" s="106" t="s">
        <v>720</v>
      </c>
      <c r="F359" s="117" t="s">
        <v>839</v>
      </c>
      <c r="G359" s="105" t="s">
        <v>686</v>
      </c>
      <c r="H359" s="105" t="s">
        <v>686</v>
      </c>
      <c r="I359" s="105" t="s">
        <v>686</v>
      </c>
      <c r="J359" s="135" t="s">
        <v>85</v>
      </c>
      <c r="K359" s="145" t="s">
        <v>749</v>
      </c>
      <c r="L359" s="135"/>
      <c r="M359" s="140">
        <v>44044.0</v>
      </c>
      <c r="N359" s="135" t="s">
        <v>692</v>
      </c>
      <c r="O359" s="138" t="s">
        <v>690</v>
      </c>
      <c r="P359" s="141" t="s">
        <v>782</v>
      </c>
      <c r="Q359" s="141" t="s">
        <v>782</v>
      </c>
      <c r="R359" s="132"/>
      <c r="S359" s="132"/>
      <c r="T359" s="132"/>
      <c r="U359" s="132"/>
      <c r="V359" s="132"/>
      <c r="W359" s="132"/>
      <c r="X359" s="132"/>
      <c r="Y359" s="132"/>
      <c r="Z359" s="132"/>
    </row>
    <row r="360" ht="15.75" customHeight="1">
      <c r="A360" s="105" t="s">
        <v>1435</v>
      </c>
      <c r="B360" s="105" t="s">
        <v>197</v>
      </c>
      <c r="C360" s="106" t="s">
        <v>1436</v>
      </c>
      <c r="D360" s="107" t="s">
        <v>83</v>
      </c>
      <c r="E360" s="106" t="s">
        <v>1306</v>
      </c>
      <c r="F360" s="117" t="s">
        <v>977</v>
      </c>
      <c r="G360" s="105" t="s">
        <v>686</v>
      </c>
      <c r="H360" s="105" t="s">
        <v>686</v>
      </c>
      <c r="I360" s="105" t="s">
        <v>686</v>
      </c>
      <c r="J360" s="135" t="s">
        <v>85</v>
      </c>
      <c r="K360" s="145" t="s">
        <v>749</v>
      </c>
      <c r="L360" s="135"/>
      <c r="M360" s="140">
        <v>44044.0</v>
      </c>
      <c r="N360" s="135" t="s">
        <v>692</v>
      </c>
      <c r="O360" s="138" t="s">
        <v>690</v>
      </c>
      <c r="P360" s="141" t="s">
        <v>782</v>
      </c>
      <c r="Q360" s="141" t="s">
        <v>782</v>
      </c>
      <c r="R360" s="132"/>
      <c r="S360" s="132"/>
      <c r="T360" s="132"/>
      <c r="U360" s="132"/>
      <c r="V360" s="132"/>
      <c r="W360" s="132"/>
      <c r="X360" s="132"/>
      <c r="Y360" s="132"/>
      <c r="Z360" s="132"/>
    </row>
    <row r="361" ht="15.75" customHeight="1">
      <c r="A361" s="105" t="s">
        <v>1437</v>
      </c>
      <c r="B361" s="105" t="s">
        <v>197</v>
      </c>
      <c r="C361" s="106" t="s">
        <v>1438</v>
      </c>
      <c r="D361" s="107" t="s">
        <v>185</v>
      </c>
      <c r="E361" s="106" t="s">
        <v>1439</v>
      </c>
      <c r="F361" s="117" t="s">
        <v>1440</v>
      </c>
      <c r="G361" s="105" t="s">
        <v>686</v>
      </c>
      <c r="H361" s="105" t="s">
        <v>686</v>
      </c>
      <c r="I361" s="105" t="s">
        <v>686</v>
      </c>
      <c r="J361" s="135" t="s">
        <v>85</v>
      </c>
      <c r="K361" s="145" t="s">
        <v>714</v>
      </c>
      <c r="L361" s="135"/>
      <c r="M361" s="140">
        <v>44044.0</v>
      </c>
      <c r="N361" s="135" t="s">
        <v>692</v>
      </c>
      <c r="O361" s="138" t="s">
        <v>690</v>
      </c>
      <c r="P361" s="141" t="s">
        <v>782</v>
      </c>
      <c r="Q361" s="141" t="s">
        <v>782</v>
      </c>
      <c r="R361" s="132"/>
      <c r="S361" s="132"/>
      <c r="T361" s="132"/>
      <c r="U361" s="132"/>
      <c r="V361" s="132"/>
      <c r="W361" s="132"/>
      <c r="X361" s="132"/>
      <c r="Y361" s="132"/>
      <c r="Z361" s="132"/>
    </row>
    <row r="362" ht="15.75" customHeight="1">
      <c r="A362" s="105" t="s">
        <v>1441</v>
      </c>
      <c r="B362" s="105" t="s">
        <v>197</v>
      </c>
      <c r="C362" s="106" t="s">
        <v>1442</v>
      </c>
      <c r="D362" s="107" t="s">
        <v>185</v>
      </c>
      <c r="E362" s="106" t="s">
        <v>720</v>
      </c>
      <c r="F362" s="117" t="s">
        <v>839</v>
      </c>
      <c r="G362" s="105" t="s">
        <v>686</v>
      </c>
      <c r="H362" s="105" t="s">
        <v>686</v>
      </c>
      <c r="I362" s="105" t="s">
        <v>686</v>
      </c>
      <c r="J362" s="135" t="s">
        <v>85</v>
      </c>
      <c r="K362" s="145" t="s">
        <v>714</v>
      </c>
      <c r="L362" s="135"/>
      <c r="M362" s="140">
        <v>44044.0</v>
      </c>
      <c r="N362" s="135" t="s">
        <v>692</v>
      </c>
      <c r="O362" s="138" t="s">
        <v>690</v>
      </c>
      <c r="P362" s="141" t="s">
        <v>782</v>
      </c>
      <c r="Q362" s="141" t="s">
        <v>782</v>
      </c>
      <c r="R362" s="132"/>
      <c r="S362" s="132"/>
      <c r="T362" s="132"/>
      <c r="U362" s="132"/>
      <c r="V362" s="132"/>
      <c r="W362" s="132"/>
      <c r="X362" s="132"/>
      <c r="Y362" s="132"/>
      <c r="Z362" s="132"/>
    </row>
    <row r="363" ht="15.75" customHeight="1">
      <c r="A363" s="105" t="s">
        <v>1443</v>
      </c>
      <c r="B363" s="105" t="s">
        <v>197</v>
      </c>
      <c r="C363" s="106" t="s">
        <v>1444</v>
      </c>
      <c r="D363" s="107" t="s">
        <v>83</v>
      </c>
      <c r="E363" s="106" t="s">
        <v>1306</v>
      </c>
      <c r="F363" s="117" t="s">
        <v>977</v>
      </c>
      <c r="G363" s="105" t="s">
        <v>686</v>
      </c>
      <c r="H363" s="105" t="s">
        <v>686</v>
      </c>
      <c r="I363" s="105" t="s">
        <v>686</v>
      </c>
      <c r="J363" s="135" t="s">
        <v>85</v>
      </c>
      <c r="K363" s="145" t="s">
        <v>714</v>
      </c>
      <c r="L363" s="135"/>
      <c r="M363" s="140">
        <v>44044.0</v>
      </c>
      <c r="N363" s="135" t="s">
        <v>692</v>
      </c>
      <c r="O363" s="138" t="s">
        <v>690</v>
      </c>
      <c r="P363" s="141" t="s">
        <v>782</v>
      </c>
      <c r="Q363" s="141" t="s">
        <v>782</v>
      </c>
      <c r="R363" s="132"/>
      <c r="S363" s="132"/>
      <c r="T363" s="132"/>
      <c r="U363" s="132"/>
      <c r="V363" s="132"/>
      <c r="W363" s="132"/>
      <c r="X363" s="132"/>
      <c r="Y363" s="132"/>
      <c r="Z363" s="132"/>
    </row>
    <row r="364" ht="15.75" customHeight="1">
      <c r="A364" s="105" t="s">
        <v>1445</v>
      </c>
      <c r="B364" s="105" t="s">
        <v>197</v>
      </c>
      <c r="C364" s="106" t="s">
        <v>1446</v>
      </c>
      <c r="D364" s="107" t="s">
        <v>185</v>
      </c>
      <c r="E364" s="106" t="s">
        <v>1439</v>
      </c>
      <c r="F364" s="146" t="s">
        <v>1447</v>
      </c>
      <c r="G364" s="105" t="s">
        <v>686</v>
      </c>
      <c r="H364" s="105" t="s">
        <v>686</v>
      </c>
      <c r="I364" s="105" t="s">
        <v>686</v>
      </c>
      <c r="J364" s="147" t="s">
        <v>85</v>
      </c>
      <c r="K364" s="148" t="s">
        <v>714</v>
      </c>
      <c r="L364" s="147"/>
      <c r="M364" s="149">
        <v>44044.0</v>
      </c>
      <c r="N364" s="147" t="s">
        <v>692</v>
      </c>
      <c r="O364" s="150" t="s">
        <v>690</v>
      </c>
      <c r="P364" s="141" t="s">
        <v>782</v>
      </c>
      <c r="Q364" s="141" t="s">
        <v>782</v>
      </c>
      <c r="R364" s="132"/>
      <c r="S364" s="132"/>
      <c r="T364" s="132"/>
      <c r="U364" s="132"/>
      <c r="V364" s="132"/>
      <c r="W364" s="132"/>
      <c r="X364" s="132"/>
      <c r="Y364" s="132"/>
      <c r="Z364" s="132"/>
    </row>
    <row r="365" ht="15.75" customHeight="1">
      <c r="A365" s="105" t="s">
        <v>1448</v>
      </c>
      <c r="B365" s="105" t="s">
        <v>197</v>
      </c>
      <c r="C365" s="106" t="s">
        <v>1449</v>
      </c>
      <c r="D365" s="107" t="s">
        <v>185</v>
      </c>
      <c r="E365" s="106" t="s">
        <v>720</v>
      </c>
      <c r="F365" s="117" t="b">
        <v>1</v>
      </c>
      <c r="G365" s="112" t="s">
        <v>686</v>
      </c>
      <c r="H365" s="112" t="s">
        <v>686</v>
      </c>
      <c r="I365" s="112" t="s">
        <v>90</v>
      </c>
      <c r="J365" s="135" t="s">
        <v>85</v>
      </c>
      <c r="K365" s="145" t="s">
        <v>749</v>
      </c>
      <c r="L365" s="135"/>
      <c r="M365" s="135"/>
      <c r="N365" s="106" t="s">
        <v>741</v>
      </c>
      <c r="O365" s="109" t="s">
        <v>690</v>
      </c>
      <c r="P365" s="141" t="s">
        <v>702</v>
      </c>
      <c r="Q365" s="141" t="s">
        <v>702</v>
      </c>
      <c r="R365" s="132"/>
      <c r="S365" s="132"/>
      <c r="T365" s="132"/>
      <c r="U365" s="132"/>
      <c r="V365" s="132"/>
      <c r="W365" s="132"/>
      <c r="X365" s="132"/>
      <c r="Y365" s="132"/>
      <c r="Z365" s="132"/>
    </row>
    <row r="366" ht="15.75" customHeight="1">
      <c r="A366" s="105" t="s">
        <v>1450</v>
      </c>
      <c r="B366" s="105" t="s">
        <v>696</v>
      </c>
      <c r="C366" s="106" t="s">
        <v>1451</v>
      </c>
      <c r="D366" s="106" t="s">
        <v>83</v>
      </c>
      <c r="E366" s="106" t="s">
        <v>1313</v>
      </c>
      <c r="F366" s="126" t="s">
        <v>1452</v>
      </c>
      <c r="G366" s="105" t="s">
        <v>1389</v>
      </c>
      <c r="H366" s="105" t="s">
        <v>1389</v>
      </c>
      <c r="I366" s="105" t="s">
        <v>1389</v>
      </c>
      <c r="J366" s="135" t="s">
        <v>85</v>
      </c>
      <c r="K366" s="145" t="s">
        <v>687</v>
      </c>
      <c r="L366" s="138" t="s">
        <v>688</v>
      </c>
      <c r="M366" s="135"/>
      <c r="N366" s="138" t="s">
        <v>1401</v>
      </c>
      <c r="O366" s="138" t="s">
        <v>1419</v>
      </c>
      <c r="P366" s="151" t="s">
        <v>744</v>
      </c>
      <c r="Q366" s="151" t="s">
        <v>744</v>
      </c>
      <c r="R366" s="132"/>
      <c r="S366" s="132"/>
      <c r="T366" s="132"/>
      <c r="U366" s="132"/>
      <c r="V366" s="132"/>
      <c r="W366" s="132"/>
      <c r="X366" s="132"/>
      <c r="Y366" s="132"/>
      <c r="Z366" s="132"/>
    </row>
    <row r="367" ht="15.75" customHeight="1">
      <c r="A367" s="105" t="s">
        <v>1453</v>
      </c>
      <c r="B367" s="105" t="s">
        <v>44</v>
      </c>
      <c r="C367" s="106" t="s">
        <v>1454</v>
      </c>
      <c r="D367" s="106" t="s">
        <v>83</v>
      </c>
      <c r="E367" s="106" t="s">
        <v>1313</v>
      </c>
      <c r="F367" s="126">
        <v>6.3220000097E11</v>
      </c>
      <c r="G367" s="105" t="s">
        <v>1389</v>
      </c>
      <c r="H367" s="105" t="s">
        <v>1389</v>
      </c>
      <c r="I367" s="105" t="s">
        <v>1389</v>
      </c>
      <c r="J367" s="135" t="s">
        <v>85</v>
      </c>
      <c r="K367" s="145" t="s">
        <v>687</v>
      </c>
      <c r="L367" s="138" t="s">
        <v>688</v>
      </c>
      <c r="M367" s="135"/>
      <c r="N367" s="138" t="s">
        <v>1401</v>
      </c>
      <c r="O367" s="138" t="s">
        <v>1419</v>
      </c>
      <c r="P367" s="151" t="s">
        <v>744</v>
      </c>
      <c r="Q367" s="151" t="s">
        <v>744</v>
      </c>
      <c r="R367" s="132"/>
      <c r="S367" s="132"/>
      <c r="T367" s="132"/>
      <c r="U367" s="132"/>
      <c r="V367" s="132"/>
      <c r="W367" s="132"/>
      <c r="X367" s="132"/>
      <c r="Y367" s="132"/>
      <c r="Z367" s="132"/>
    </row>
    <row r="368" ht="15.75" customHeight="1">
      <c r="A368" s="105" t="s">
        <v>1455</v>
      </c>
      <c r="B368" s="105" t="s">
        <v>44</v>
      </c>
      <c r="C368" s="106" t="s">
        <v>1456</v>
      </c>
      <c r="D368" s="106" t="s">
        <v>83</v>
      </c>
      <c r="E368" s="106" t="s">
        <v>1313</v>
      </c>
      <c r="F368" s="126" t="s">
        <v>1457</v>
      </c>
      <c r="G368" s="105" t="s">
        <v>1389</v>
      </c>
      <c r="H368" s="105" t="s">
        <v>1389</v>
      </c>
      <c r="I368" s="105" t="s">
        <v>1389</v>
      </c>
      <c r="J368" s="135" t="s">
        <v>85</v>
      </c>
      <c r="K368" s="145" t="s">
        <v>687</v>
      </c>
      <c r="L368" s="138" t="s">
        <v>688</v>
      </c>
      <c r="M368" s="135"/>
      <c r="N368" s="138" t="s">
        <v>1401</v>
      </c>
      <c r="O368" s="138" t="s">
        <v>1419</v>
      </c>
      <c r="P368" s="151" t="s">
        <v>744</v>
      </c>
      <c r="Q368" s="151" t="s">
        <v>744</v>
      </c>
      <c r="R368" s="132"/>
      <c r="S368" s="132"/>
      <c r="T368" s="132"/>
      <c r="U368" s="132"/>
      <c r="V368" s="132"/>
      <c r="W368" s="132"/>
      <c r="X368" s="132"/>
      <c r="Y368" s="132"/>
      <c r="Z368" s="132"/>
    </row>
    <row r="369" ht="15.75" customHeight="1">
      <c r="A369" s="105" t="s">
        <v>1458</v>
      </c>
      <c r="B369" s="105" t="s">
        <v>696</v>
      </c>
      <c r="C369" s="106" t="s">
        <v>1459</v>
      </c>
      <c r="D369" s="106" t="s">
        <v>83</v>
      </c>
      <c r="E369" s="106" t="s">
        <v>1460</v>
      </c>
      <c r="F369" s="126">
        <v>8.0</v>
      </c>
      <c r="G369" s="105" t="s">
        <v>1389</v>
      </c>
      <c r="H369" s="105" t="s">
        <v>1389</v>
      </c>
      <c r="I369" s="105" t="s">
        <v>1389</v>
      </c>
      <c r="J369" s="135" t="s">
        <v>85</v>
      </c>
      <c r="K369" s="145" t="s">
        <v>687</v>
      </c>
      <c r="L369" s="138" t="s">
        <v>688</v>
      </c>
      <c r="M369" s="135"/>
      <c r="N369" s="138" t="s">
        <v>1401</v>
      </c>
      <c r="O369" s="138" t="s">
        <v>1419</v>
      </c>
      <c r="P369" s="151" t="s">
        <v>744</v>
      </c>
      <c r="Q369" s="151" t="s">
        <v>744</v>
      </c>
      <c r="R369" s="132"/>
      <c r="S369" s="132"/>
      <c r="T369" s="132"/>
      <c r="U369" s="132"/>
      <c r="V369" s="132"/>
      <c r="W369" s="132"/>
      <c r="X369" s="132"/>
      <c r="Y369" s="132"/>
      <c r="Z369" s="132"/>
    </row>
    <row r="370" ht="15.75" customHeight="1">
      <c r="A370" s="105" t="s">
        <v>1461</v>
      </c>
      <c r="B370" s="105" t="s">
        <v>696</v>
      </c>
      <c r="C370" s="106" t="s">
        <v>1462</v>
      </c>
      <c r="D370" s="106" t="s">
        <v>83</v>
      </c>
      <c r="E370" s="106" t="s">
        <v>1313</v>
      </c>
      <c r="F370" s="126" t="s">
        <v>1463</v>
      </c>
      <c r="G370" s="105" t="s">
        <v>1389</v>
      </c>
      <c r="H370" s="105" t="s">
        <v>1389</v>
      </c>
      <c r="I370" s="105" t="s">
        <v>1389</v>
      </c>
      <c r="J370" s="135" t="s">
        <v>85</v>
      </c>
      <c r="K370" s="145" t="s">
        <v>687</v>
      </c>
      <c r="L370" s="138" t="s">
        <v>688</v>
      </c>
      <c r="M370" s="135"/>
      <c r="N370" s="138" t="s">
        <v>1401</v>
      </c>
      <c r="O370" s="138" t="s">
        <v>1419</v>
      </c>
      <c r="P370" s="151" t="s">
        <v>744</v>
      </c>
      <c r="Q370" s="151" t="s">
        <v>744</v>
      </c>
      <c r="R370" s="132"/>
      <c r="S370" s="132"/>
      <c r="T370" s="132"/>
      <c r="U370" s="132"/>
      <c r="V370" s="132"/>
      <c r="W370" s="132"/>
      <c r="X370" s="132"/>
      <c r="Y370" s="132"/>
      <c r="Z370" s="132"/>
    </row>
    <row r="371" ht="15.75" customHeight="1">
      <c r="A371" s="105" t="s">
        <v>1464</v>
      </c>
      <c r="B371" s="105" t="s">
        <v>197</v>
      </c>
      <c r="C371" s="106" t="s">
        <v>1465</v>
      </c>
      <c r="D371" s="106" t="s">
        <v>185</v>
      </c>
      <c r="E371" s="106" t="s">
        <v>1466</v>
      </c>
      <c r="F371" s="126">
        <v>-66.0</v>
      </c>
      <c r="G371" s="105" t="s">
        <v>1397</v>
      </c>
      <c r="H371" s="105" t="s">
        <v>1397</v>
      </c>
      <c r="I371" s="105" t="s">
        <v>1397</v>
      </c>
      <c r="J371" s="135" t="s">
        <v>85</v>
      </c>
      <c r="K371" s="145" t="s">
        <v>687</v>
      </c>
      <c r="L371" s="138" t="s">
        <v>760</v>
      </c>
      <c r="M371" s="135"/>
      <c r="N371" s="138" t="s">
        <v>1340</v>
      </c>
      <c r="O371" s="138" t="s">
        <v>1419</v>
      </c>
      <c r="P371" s="151" t="s">
        <v>761</v>
      </c>
      <c r="Q371" s="151" t="s">
        <v>761</v>
      </c>
      <c r="R371" s="132"/>
      <c r="S371" s="132"/>
      <c r="T371" s="132"/>
      <c r="U371" s="132"/>
      <c r="V371" s="132"/>
      <c r="W371" s="132"/>
      <c r="X371" s="132"/>
      <c r="Y371" s="132"/>
      <c r="Z371" s="132"/>
    </row>
    <row r="372" ht="15.75" customHeight="1">
      <c r="A372" s="105" t="s">
        <v>1467</v>
      </c>
      <c r="B372" s="105" t="s">
        <v>44</v>
      </c>
      <c r="C372" s="106" t="s">
        <v>1468</v>
      </c>
      <c r="D372" s="106" t="s">
        <v>185</v>
      </c>
      <c r="E372" s="106" t="s">
        <v>1466</v>
      </c>
      <c r="F372" s="126">
        <v>58.5</v>
      </c>
      <c r="G372" s="105" t="s">
        <v>1346</v>
      </c>
      <c r="H372" s="105" t="s">
        <v>1346</v>
      </c>
      <c r="I372" s="105" t="s">
        <v>1346</v>
      </c>
      <c r="J372" s="135" t="s">
        <v>85</v>
      </c>
      <c r="K372" s="145" t="s">
        <v>687</v>
      </c>
      <c r="L372" s="138" t="s">
        <v>688</v>
      </c>
      <c r="M372" s="135"/>
      <c r="N372" s="138" t="s">
        <v>1340</v>
      </c>
      <c r="O372" s="138" t="s">
        <v>1419</v>
      </c>
      <c r="P372" s="151" t="s">
        <v>761</v>
      </c>
      <c r="Q372" s="151" t="s">
        <v>761</v>
      </c>
      <c r="R372" s="132"/>
      <c r="S372" s="132"/>
      <c r="T372" s="132"/>
      <c r="U372" s="132"/>
      <c r="V372" s="132"/>
      <c r="W372" s="132"/>
      <c r="X372" s="132"/>
      <c r="Y372" s="132"/>
      <c r="Z372" s="132"/>
    </row>
    <row r="373" ht="15.75" customHeight="1">
      <c r="A373" s="105" t="s">
        <v>1469</v>
      </c>
      <c r="B373" s="105" t="s">
        <v>197</v>
      </c>
      <c r="C373" s="106" t="s">
        <v>1470</v>
      </c>
      <c r="D373" s="106" t="s">
        <v>185</v>
      </c>
      <c r="E373" s="106" t="s">
        <v>1466</v>
      </c>
      <c r="F373" s="126">
        <v>10.94</v>
      </c>
      <c r="G373" s="105" t="s">
        <v>1389</v>
      </c>
      <c r="H373" s="105" t="s">
        <v>1389</v>
      </c>
      <c r="I373" s="105" t="s">
        <v>1389</v>
      </c>
      <c r="J373" s="135" t="s">
        <v>85</v>
      </c>
      <c r="K373" s="145" t="s">
        <v>687</v>
      </c>
      <c r="L373" s="138" t="s">
        <v>760</v>
      </c>
      <c r="M373" s="135"/>
      <c r="N373" s="106" t="s">
        <v>701</v>
      </c>
      <c r="O373" s="109" t="s">
        <v>690</v>
      </c>
      <c r="P373" s="151" t="s">
        <v>724</v>
      </c>
      <c r="Q373" s="151" t="s">
        <v>724</v>
      </c>
      <c r="R373" s="132"/>
      <c r="S373" s="132"/>
      <c r="T373" s="132"/>
      <c r="U373" s="132"/>
      <c r="V373" s="132"/>
      <c r="W373" s="132"/>
      <c r="X373" s="132"/>
      <c r="Y373" s="132"/>
      <c r="Z373" s="132"/>
    </row>
    <row r="374" ht="15.75" customHeight="1">
      <c r="A374" s="105" t="s">
        <v>1471</v>
      </c>
      <c r="B374" s="105" t="s">
        <v>197</v>
      </c>
      <c r="C374" s="106" t="s">
        <v>1472</v>
      </c>
      <c r="D374" s="106" t="s">
        <v>185</v>
      </c>
      <c r="E374" s="106" t="s">
        <v>1466</v>
      </c>
      <c r="F374" s="126">
        <v>22.0</v>
      </c>
      <c r="G374" s="105" t="s">
        <v>1473</v>
      </c>
      <c r="H374" s="105" t="s">
        <v>1473</v>
      </c>
      <c r="I374" s="105" t="s">
        <v>1473</v>
      </c>
      <c r="J374" s="135" t="s">
        <v>85</v>
      </c>
      <c r="K374" s="145" t="s">
        <v>687</v>
      </c>
      <c r="L374" s="138" t="s">
        <v>760</v>
      </c>
      <c r="M374" s="106"/>
      <c r="N374" s="106" t="s">
        <v>741</v>
      </c>
      <c r="O374" s="109" t="s">
        <v>690</v>
      </c>
      <c r="P374" s="151" t="s">
        <v>724</v>
      </c>
      <c r="Q374" s="151" t="s">
        <v>724</v>
      </c>
      <c r="R374" s="132"/>
      <c r="S374" s="132"/>
      <c r="T374" s="132"/>
      <c r="U374" s="132"/>
      <c r="V374" s="132"/>
      <c r="W374" s="132"/>
      <c r="X374" s="132"/>
      <c r="Y374" s="132"/>
      <c r="Z374" s="132"/>
    </row>
    <row r="375" ht="15.75" customHeight="1">
      <c r="A375" s="105" t="s">
        <v>1474</v>
      </c>
      <c r="B375" s="105" t="s">
        <v>197</v>
      </c>
      <c r="C375" s="106" t="s">
        <v>1475</v>
      </c>
      <c r="D375" s="106" t="s">
        <v>185</v>
      </c>
      <c r="E375" s="106" t="s">
        <v>1466</v>
      </c>
      <c r="F375" s="126">
        <v>446.32</v>
      </c>
      <c r="G375" s="105" t="s">
        <v>1473</v>
      </c>
      <c r="H375" s="105" t="s">
        <v>1473</v>
      </c>
      <c r="I375" s="105" t="s">
        <v>1473</v>
      </c>
      <c r="J375" s="135" t="s">
        <v>85</v>
      </c>
      <c r="K375" s="145" t="s">
        <v>687</v>
      </c>
      <c r="L375" s="138" t="s">
        <v>760</v>
      </c>
      <c r="M375" s="135"/>
      <c r="N375" s="106" t="s">
        <v>741</v>
      </c>
      <c r="O375" s="109" t="s">
        <v>690</v>
      </c>
      <c r="P375" s="151" t="s">
        <v>724</v>
      </c>
      <c r="Q375" s="151" t="s">
        <v>724</v>
      </c>
      <c r="R375" s="132"/>
      <c r="S375" s="132"/>
      <c r="T375" s="132"/>
      <c r="U375" s="132"/>
      <c r="V375" s="132"/>
      <c r="W375" s="132"/>
      <c r="X375" s="132"/>
      <c r="Y375" s="132"/>
      <c r="Z375" s="132"/>
    </row>
    <row r="376" ht="15.75" customHeight="1">
      <c r="A376" s="105" t="s">
        <v>1476</v>
      </c>
      <c r="B376" s="105" t="s">
        <v>197</v>
      </c>
      <c r="C376" s="106" t="s">
        <v>1477</v>
      </c>
      <c r="D376" s="106" t="s">
        <v>185</v>
      </c>
      <c r="E376" s="106" t="s">
        <v>1460</v>
      </c>
      <c r="F376" s="126">
        <v>25.0</v>
      </c>
      <c r="G376" s="105" t="s">
        <v>1473</v>
      </c>
      <c r="H376" s="105" t="s">
        <v>1473</v>
      </c>
      <c r="I376" s="105" t="s">
        <v>1473</v>
      </c>
      <c r="J376" s="135" t="s">
        <v>85</v>
      </c>
      <c r="K376" s="145" t="s">
        <v>687</v>
      </c>
      <c r="L376" s="138" t="s">
        <v>760</v>
      </c>
      <c r="M376" s="135"/>
      <c r="N376" s="106" t="s">
        <v>1327</v>
      </c>
      <c r="O376" s="109" t="s">
        <v>690</v>
      </c>
      <c r="P376" s="151" t="s">
        <v>724</v>
      </c>
      <c r="Q376" s="151" t="s">
        <v>724</v>
      </c>
      <c r="R376" s="132"/>
      <c r="S376" s="132"/>
      <c r="T376" s="132"/>
      <c r="U376" s="132"/>
      <c r="V376" s="132"/>
      <c r="W376" s="132"/>
      <c r="X376" s="132"/>
      <c r="Y376" s="132"/>
      <c r="Z376" s="132"/>
    </row>
    <row r="377" ht="15.75" customHeight="1">
      <c r="A377" s="83"/>
      <c r="B377" s="94"/>
      <c r="C377" s="83"/>
      <c r="D377" s="95"/>
      <c r="E377" s="95"/>
      <c r="F377" s="96"/>
      <c r="G377" s="152"/>
      <c r="H377" s="97"/>
      <c r="I377" s="97"/>
      <c r="J377" s="95"/>
      <c r="K377" s="98"/>
      <c r="L377" s="95"/>
      <c r="M377" s="99"/>
      <c r="N377" s="95"/>
      <c r="O377" s="95"/>
      <c r="P377" s="100"/>
      <c r="Q377" s="100"/>
      <c r="R377" s="81"/>
      <c r="S377" s="81"/>
      <c r="T377" s="81"/>
      <c r="U377" s="81"/>
      <c r="V377" s="81"/>
      <c r="W377" s="81"/>
      <c r="X377" s="81"/>
      <c r="Y377" s="81"/>
      <c r="Z377" s="81"/>
    </row>
    <row r="378" ht="15.75" customHeight="1">
      <c r="A378" s="83"/>
      <c r="B378" s="94"/>
      <c r="C378" s="83"/>
      <c r="D378" s="95"/>
      <c r="E378" s="95"/>
      <c r="F378" s="96"/>
      <c r="G378" s="152"/>
      <c r="H378" s="97"/>
      <c r="I378" s="97"/>
      <c r="J378" s="95"/>
      <c r="K378" s="98"/>
      <c r="L378" s="95"/>
      <c r="M378" s="99"/>
      <c r="N378" s="95"/>
      <c r="O378" s="95"/>
      <c r="P378" s="100"/>
      <c r="Q378" s="100"/>
      <c r="R378" s="81"/>
      <c r="S378" s="81"/>
      <c r="T378" s="81"/>
      <c r="U378" s="81"/>
      <c r="V378" s="81"/>
      <c r="W378" s="81"/>
      <c r="X378" s="81"/>
      <c r="Y378" s="81"/>
      <c r="Z378" s="81"/>
    </row>
    <row r="379" ht="15.75" customHeight="1">
      <c r="A379" s="83"/>
      <c r="B379" s="94"/>
      <c r="C379" s="83"/>
      <c r="D379" s="95"/>
      <c r="E379" s="95"/>
      <c r="F379" s="96"/>
      <c r="G379" s="152"/>
      <c r="H379" s="97"/>
      <c r="I379" s="97"/>
      <c r="J379" s="95"/>
      <c r="K379" s="98"/>
      <c r="L379" s="95"/>
      <c r="M379" s="99"/>
      <c r="N379" s="95"/>
      <c r="O379" s="95"/>
      <c r="P379" s="100"/>
      <c r="Q379" s="100"/>
      <c r="R379" s="81"/>
      <c r="S379" s="81"/>
      <c r="T379" s="81"/>
      <c r="U379" s="81"/>
      <c r="V379" s="81"/>
      <c r="W379" s="81"/>
      <c r="X379" s="81"/>
      <c r="Y379" s="81"/>
      <c r="Z379" s="81"/>
    </row>
    <row r="380" ht="15.75" customHeight="1">
      <c r="A380" s="83"/>
      <c r="B380" s="94"/>
      <c r="C380" s="83"/>
      <c r="D380" s="95"/>
      <c r="E380" s="95"/>
      <c r="F380" s="96"/>
      <c r="G380" s="152"/>
      <c r="H380" s="97"/>
      <c r="I380" s="97"/>
      <c r="J380" s="95"/>
      <c r="K380" s="98"/>
      <c r="L380" s="95"/>
      <c r="M380" s="99"/>
      <c r="N380" s="95"/>
      <c r="O380" s="95"/>
      <c r="P380" s="100"/>
      <c r="Q380" s="100"/>
      <c r="R380" s="81"/>
      <c r="S380" s="81"/>
      <c r="T380" s="81"/>
      <c r="U380" s="81"/>
      <c r="V380" s="81"/>
      <c r="W380" s="81"/>
      <c r="X380" s="81"/>
      <c r="Y380" s="81"/>
      <c r="Z380" s="81"/>
    </row>
    <row r="381" ht="15.75" customHeight="1">
      <c r="A381" s="83"/>
      <c r="B381" s="94"/>
      <c r="C381" s="83"/>
      <c r="D381" s="95"/>
      <c r="E381" s="95"/>
      <c r="F381" s="96"/>
      <c r="G381" s="152"/>
      <c r="H381" s="97"/>
      <c r="I381" s="97"/>
      <c r="J381" s="95"/>
      <c r="K381" s="98"/>
      <c r="L381" s="95"/>
      <c r="M381" s="99"/>
      <c r="N381" s="95"/>
      <c r="O381" s="95"/>
      <c r="P381" s="100"/>
      <c r="Q381" s="100"/>
      <c r="R381" s="81"/>
      <c r="S381" s="81"/>
      <c r="T381" s="81"/>
      <c r="U381" s="81"/>
      <c r="V381" s="81"/>
      <c r="W381" s="81"/>
      <c r="X381" s="81"/>
      <c r="Y381" s="81"/>
      <c r="Z381" s="81"/>
    </row>
    <row r="382" ht="15.75" customHeight="1">
      <c r="A382" s="83"/>
      <c r="B382" s="94"/>
      <c r="C382" s="83"/>
      <c r="D382" s="95"/>
      <c r="E382" s="95"/>
      <c r="F382" s="96"/>
      <c r="G382" s="152"/>
      <c r="H382" s="97"/>
      <c r="I382" s="97"/>
      <c r="J382" s="95"/>
      <c r="K382" s="98"/>
      <c r="L382" s="95"/>
      <c r="M382" s="99"/>
      <c r="N382" s="95"/>
      <c r="O382" s="95"/>
      <c r="P382" s="100"/>
      <c r="Q382" s="100"/>
      <c r="R382" s="81"/>
      <c r="S382" s="81"/>
      <c r="T382" s="81"/>
      <c r="U382" s="81"/>
      <c r="V382" s="81"/>
      <c r="W382" s="81"/>
      <c r="X382" s="81"/>
      <c r="Y382" s="81"/>
      <c r="Z382" s="81"/>
    </row>
    <row r="383" ht="15.75" customHeight="1">
      <c r="A383" s="83"/>
      <c r="B383" s="94"/>
      <c r="C383" s="83"/>
      <c r="D383" s="95"/>
      <c r="E383" s="95"/>
      <c r="F383" s="96"/>
      <c r="G383" s="152"/>
      <c r="H383" s="97"/>
      <c r="I383" s="97"/>
      <c r="J383" s="95"/>
      <c r="K383" s="98"/>
      <c r="L383" s="95"/>
      <c r="M383" s="99"/>
      <c r="N383" s="95"/>
      <c r="O383" s="95"/>
      <c r="P383" s="100"/>
      <c r="Q383" s="100"/>
      <c r="R383" s="81"/>
      <c r="S383" s="81"/>
      <c r="T383" s="81"/>
      <c r="U383" s="81"/>
      <c r="V383" s="81"/>
      <c r="W383" s="81"/>
      <c r="X383" s="81"/>
      <c r="Y383" s="81"/>
      <c r="Z383" s="81"/>
    </row>
    <row r="384" ht="15.75" customHeight="1">
      <c r="A384" s="83"/>
      <c r="B384" s="94"/>
      <c r="C384" s="83"/>
      <c r="D384" s="95"/>
      <c r="E384" s="95"/>
      <c r="F384" s="96"/>
      <c r="G384" s="152"/>
      <c r="H384" s="97"/>
      <c r="I384" s="97"/>
      <c r="J384" s="95"/>
      <c r="K384" s="98"/>
      <c r="L384" s="95"/>
      <c r="M384" s="99"/>
      <c r="N384" s="95"/>
      <c r="O384" s="95"/>
      <c r="P384" s="100"/>
      <c r="Q384" s="100"/>
      <c r="R384" s="81"/>
      <c r="S384" s="81"/>
      <c r="T384" s="81"/>
      <c r="U384" s="81"/>
      <c r="V384" s="81"/>
      <c r="W384" s="81"/>
      <c r="X384" s="81"/>
      <c r="Y384" s="81"/>
      <c r="Z384" s="81"/>
    </row>
    <row r="385" ht="15.75" customHeight="1">
      <c r="A385" s="83"/>
      <c r="B385" s="94"/>
      <c r="C385" s="83"/>
      <c r="D385" s="95"/>
      <c r="E385" s="95"/>
      <c r="F385" s="96"/>
      <c r="G385" s="152"/>
      <c r="H385" s="97"/>
      <c r="I385" s="97"/>
      <c r="J385" s="95"/>
      <c r="K385" s="98"/>
      <c r="L385" s="95"/>
      <c r="M385" s="99"/>
      <c r="N385" s="95"/>
      <c r="O385" s="95"/>
      <c r="P385" s="100"/>
      <c r="Q385" s="100"/>
      <c r="R385" s="81"/>
      <c r="S385" s="81"/>
      <c r="T385" s="81"/>
      <c r="U385" s="81"/>
      <c r="V385" s="81"/>
      <c r="W385" s="81"/>
      <c r="X385" s="81"/>
      <c r="Y385" s="81"/>
      <c r="Z385" s="81"/>
    </row>
    <row r="386" ht="15.75" customHeight="1">
      <c r="A386" s="83"/>
      <c r="B386" s="94"/>
      <c r="C386" s="83"/>
      <c r="D386" s="95"/>
      <c r="E386" s="95"/>
      <c r="F386" s="96"/>
      <c r="G386" s="152"/>
      <c r="H386" s="97"/>
      <c r="I386" s="97"/>
      <c r="J386" s="95"/>
      <c r="K386" s="98"/>
      <c r="L386" s="95"/>
      <c r="M386" s="99"/>
      <c r="N386" s="95"/>
      <c r="O386" s="95"/>
      <c r="P386" s="100"/>
      <c r="Q386" s="100"/>
      <c r="R386" s="81"/>
      <c r="S386" s="81"/>
      <c r="T386" s="81"/>
      <c r="U386" s="81"/>
      <c r="V386" s="81"/>
      <c r="W386" s="81"/>
      <c r="X386" s="81"/>
      <c r="Y386" s="81"/>
      <c r="Z386" s="81"/>
    </row>
    <row r="387" ht="15.75" customHeight="1">
      <c r="A387" s="83"/>
      <c r="B387" s="94"/>
      <c r="C387" s="83"/>
      <c r="D387" s="95"/>
      <c r="E387" s="95"/>
      <c r="F387" s="96"/>
      <c r="G387" s="152"/>
      <c r="H387" s="97"/>
      <c r="I387" s="97"/>
      <c r="J387" s="95"/>
      <c r="K387" s="98"/>
      <c r="L387" s="95"/>
      <c r="M387" s="99"/>
      <c r="N387" s="95"/>
      <c r="O387" s="95"/>
      <c r="P387" s="100"/>
      <c r="Q387" s="100"/>
      <c r="R387" s="81"/>
      <c r="S387" s="81"/>
      <c r="T387" s="81"/>
      <c r="U387" s="81"/>
      <c r="V387" s="81"/>
      <c r="W387" s="81"/>
      <c r="X387" s="81"/>
      <c r="Y387" s="81"/>
      <c r="Z387" s="81"/>
    </row>
    <row r="388" ht="15.75" customHeight="1">
      <c r="A388" s="83"/>
      <c r="B388" s="94"/>
      <c r="C388" s="83"/>
      <c r="D388" s="95"/>
      <c r="E388" s="95"/>
      <c r="F388" s="96"/>
      <c r="G388" s="152"/>
      <c r="H388" s="97"/>
      <c r="I388" s="97"/>
      <c r="J388" s="95"/>
      <c r="K388" s="98"/>
      <c r="L388" s="95"/>
      <c r="M388" s="99"/>
      <c r="N388" s="95"/>
      <c r="O388" s="95"/>
      <c r="P388" s="100"/>
      <c r="Q388" s="100"/>
      <c r="R388" s="81"/>
      <c r="S388" s="81"/>
      <c r="T388" s="81"/>
      <c r="U388" s="81"/>
      <c r="V388" s="81"/>
      <c r="W388" s="81"/>
      <c r="X388" s="81"/>
      <c r="Y388" s="81"/>
      <c r="Z388" s="81"/>
    </row>
    <row r="389" ht="15.75" customHeight="1">
      <c r="A389" s="83"/>
      <c r="B389" s="94"/>
      <c r="C389" s="83"/>
      <c r="D389" s="95"/>
      <c r="E389" s="95"/>
      <c r="F389" s="96"/>
      <c r="G389" s="152"/>
      <c r="H389" s="97"/>
      <c r="I389" s="97"/>
      <c r="J389" s="95"/>
      <c r="K389" s="98"/>
      <c r="L389" s="95"/>
      <c r="M389" s="99"/>
      <c r="N389" s="95"/>
      <c r="O389" s="95"/>
      <c r="P389" s="100"/>
      <c r="Q389" s="100"/>
      <c r="R389" s="81"/>
      <c r="S389" s="81"/>
      <c r="T389" s="81"/>
      <c r="U389" s="81"/>
      <c r="V389" s="81"/>
      <c r="W389" s="81"/>
      <c r="X389" s="81"/>
      <c r="Y389" s="81"/>
      <c r="Z389" s="81"/>
    </row>
    <row r="390" ht="15.75" customHeight="1">
      <c r="A390" s="83"/>
      <c r="B390" s="94"/>
      <c r="C390" s="83"/>
      <c r="D390" s="95"/>
      <c r="E390" s="95"/>
      <c r="F390" s="96"/>
      <c r="G390" s="152"/>
      <c r="H390" s="97"/>
      <c r="I390" s="97"/>
      <c r="J390" s="95"/>
      <c r="K390" s="98"/>
      <c r="L390" s="95"/>
      <c r="M390" s="99"/>
      <c r="N390" s="95"/>
      <c r="O390" s="95"/>
      <c r="P390" s="100"/>
      <c r="Q390" s="100"/>
      <c r="R390" s="81"/>
      <c r="S390" s="81"/>
      <c r="T390" s="81"/>
      <c r="U390" s="81"/>
      <c r="V390" s="81"/>
      <c r="W390" s="81"/>
      <c r="X390" s="81"/>
      <c r="Y390" s="81"/>
      <c r="Z390" s="81"/>
    </row>
    <row r="391" ht="15.75" customHeight="1">
      <c r="A391" s="83"/>
      <c r="B391" s="94"/>
      <c r="C391" s="83"/>
      <c r="D391" s="95"/>
      <c r="E391" s="95"/>
      <c r="F391" s="96"/>
      <c r="G391" s="152"/>
      <c r="H391" s="97"/>
      <c r="I391" s="97"/>
      <c r="J391" s="95"/>
      <c r="K391" s="98"/>
      <c r="L391" s="95"/>
      <c r="M391" s="99"/>
      <c r="N391" s="95"/>
      <c r="O391" s="95"/>
      <c r="P391" s="100"/>
      <c r="Q391" s="100"/>
      <c r="R391" s="81"/>
      <c r="S391" s="81"/>
      <c r="T391" s="81"/>
      <c r="U391" s="81"/>
      <c r="V391" s="81"/>
      <c r="W391" s="81"/>
      <c r="X391" s="81"/>
      <c r="Y391" s="81"/>
      <c r="Z391" s="81"/>
    </row>
    <row r="392" ht="15.75" customHeight="1">
      <c r="A392" s="83"/>
      <c r="B392" s="94"/>
      <c r="C392" s="83"/>
      <c r="D392" s="95"/>
      <c r="E392" s="95"/>
      <c r="F392" s="96"/>
      <c r="G392" s="152"/>
      <c r="H392" s="97"/>
      <c r="I392" s="97"/>
      <c r="J392" s="95"/>
      <c r="K392" s="98"/>
      <c r="L392" s="95"/>
      <c r="M392" s="99"/>
      <c r="N392" s="95"/>
      <c r="O392" s="95"/>
      <c r="P392" s="100"/>
      <c r="Q392" s="100"/>
      <c r="R392" s="81"/>
      <c r="S392" s="81"/>
      <c r="T392" s="81"/>
      <c r="U392" s="81"/>
      <c r="V392" s="81"/>
      <c r="W392" s="81"/>
      <c r="X392" s="81"/>
      <c r="Y392" s="81"/>
      <c r="Z392" s="81"/>
    </row>
    <row r="393" ht="15.75" customHeight="1">
      <c r="A393" s="83"/>
      <c r="B393" s="94"/>
      <c r="C393" s="83"/>
      <c r="D393" s="95"/>
      <c r="E393" s="95"/>
      <c r="F393" s="96"/>
      <c r="G393" s="152"/>
      <c r="H393" s="97"/>
      <c r="I393" s="97"/>
      <c r="J393" s="95"/>
      <c r="K393" s="98"/>
      <c r="L393" s="95"/>
      <c r="M393" s="99"/>
      <c r="N393" s="95"/>
      <c r="O393" s="95"/>
      <c r="P393" s="100"/>
      <c r="Q393" s="100"/>
      <c r="R393" s="81"/>
      <c r="S393" s="81"/>
      <c r="T393" s="81"/>
      <c r="U393" s="81"/>
      <c r="V393" s="81"/>
      <c r="W393" s="81"/>
      <c r="X393" s="81"/>
      <c r="Y393" s="81"/>
      <c r="Z393" s="81"/>
    </row>
    <row r="394" ht="15.75" customHeight="1">
      <c r="A394" s="83"/>
      <c r="B394" s="94"/>
      <c r="C394" s="83"/>
      <c r="D394" s="95"/>
      <c r="E394" s="95"/>
      <c r="F394" s="96"/>
      <c r="G394" s="152"/>
      <c r="H394" s="97"/>
      <c r="I394" s="97"/>
      <c r="J394" s="95"/>
      <c r="K394" s="98"/>
      <c r="L394" s="95"/>
      <c r="M394" s="99"/>
      <c r="N394" s="95"/>
      <c r="O394" s="95"/>
      <c r="P394" s="100"/>
      <c r="Q394" s="100"/>
      <c r="R394" s="81"/>
      <c r="S394" s="81"/>
      <c r="T394" s="81"/>
      <c r="U394" s="81"/>
      <c r="V394" s="81"/>
      <c r="W394" s="81"/>
      <c r="X394" s="81"/>
      <c r="Y394" s="81"/>
      <c r="Z394" s="81"/>
    </row>
    <row r="395" ht="15.75" customHeight="1">
      <c r="A395" s="83"/>
      <c r="B395" s="94"/>
      <c r="C395" s="83"/>
      <c r="D395" s="95"/>
      <c r="E395" s="95"/>
      <c r="F395" s="96"/>
      <c r="G395" s="152"/>
      <c r="H395" s="97"/>
      <c r="I395" s="97"/>
      <c r="J395" s="95"/>
      <c r="K395" s="98"/>
      <c r="L395" s="95"/>
      <c r="M395" s="99"/>
      <c r="N395" s="95"/>
      <c r="O395" s="95"/>
      <c r="P395" s="100"/>
      <c r="Q395" s="100"/>
      <c r="R395" s="81"/>
      <c r="S395" s="81"/>
      <c r="T395" s="81"/>
      <c r="U395" s="81"/>
      <c r="V395" s="81"/>
      <c r="W395" s="81"/>
      <c r="X395" s="81"/>
      <c r="Y395" s="81"/>
      <c r="Z395" s="81"/>
    </row>
    <row r="396" ht="15.75" customHeight="1">
      <c r="A396" s="83"/>
      <c r="B396" s="94"/>
      <c r="C396" s="83"/>
      <c r="D396" s="95"/>
      <c r="E396" s="95"/>
      <c r="F396" s="96"/>
      <c r="G396" s="152"/>
      <c r="H396" s="97"/>
      <c r="I396" s="97"/>
      <c r="J396" s="95"/>
      <c r="K396" s="98"/>
      <c r="L396" s="95"/>
      <c r="M396" s="99"/>
      <c r="N396" s="95"/>
      <c r="O396" s="95"/>
      <c r="P396" s="100"/>
      <c r="Q396" s="100"/>
      <c r="R396" s="81"/>
      <c r="S396" s="81"/>
      <c r="T396" s="81"/>
      <c r="U396" s="81"/>
      <c r="V396" s="81"/>
      <c r="W396" s="81"/>
      <c r="X396" s="81"/>
      <c r="Y396" s="81"/>
      <c r="Z396" s="81"/>
    </row>
    <row r="397" ht="15.75" customHeight="1">
      <c r="A397" s="83"/>
      <c r="B397" s="94"/>
      <c r="C397" s="83"/>
      <c r="D397" s="95"/>
      <c r="E397" s="95"/>
      <c r="F397" s="96"/>
      <c r="G397" s="152"/>
      <c r="H397" s="97"/>
      <c r="I397" s="97"/>
      <c r="J397" s="95"/>
      <c r="K397" s="98"/>
      <c r="L397" s="95"/>
      <c r="M397" s="99"/>
      <c r="N397" s="95"/>
      <c r="O397" s="95"/>
      <c r="P397" s="100"/>
      <c r="Q397" s="100"/>
      <c r="R397" s="81"/>
      <c r="S397" s="81"/>
      <c r="T397" s="81"/>
      <c r="U397" s="81"/>
      <c r="V397" s="81"/>
      <c r="W397" s="81"/>
      <c r="X397" s="81"/>
      <c r="Y397" s="81"/>
      <c r="Z397" s="81"/>
    </row>
    <row r="398" ht="15.75" customHeight="1">
      <c r="A398" s="83"/>
      <c r="B398" s="94"/>
      <c r="C398" s="83"/>
      <c r="D398" s="95"/>
      <c r="E398" s="95"/>
      <c r="F398" s="96"/>
      <c r="G398" s="152"/>
      <c r="H398" s="97"/>
      <c r="I398" s="97"/>
      <c r="J398" s="95"/>
      <c r="K398" s="98"/>
      <c r="L398" s="95"/>
      <c r="M398" s="99"/>
      <c r="N398" s="95"/>
      <c r="O398" s="95"/>
      <c r="P398" s="100"/>
      <c r="Q398" s="100"/>
      <c r="R398" s="81"/>
      <c r="S398" s="81"/>
      <c r="T398" s="81"/>
      <c r="U398" s="81"/>
      <c r="V398" s="81"/>
      <c r="W398" s="81"/>
      <c r="X398" s="81"/>
      <c r="Y398" s="81"/>
      <c r="Z398" s="81"/>
    </row>
    <row r="399" ht="15.75" customHeight="1">
      <c r="A399" s="83"/>
      <c r="B399" s="94"/>
      <c r="C399" s="83"/>
      <c r="D399" s="95"/>
      <c r="E399" s="95"/>
      <c r="F399" s="96"/>
      <c r="G399" s="152"/>
      <c r="H399" s="97"/>
      <c r="I399" s="97"/>
      <c r="J399" s="95"/>
      <c r="K399" s="98"/>
      <c r="L399" s="95"/>
      <c r="M399" s="99"/>
      <c r="N399" s="95"/>
      <c r="O399" s="95"/>
      <c r="P399" s="100"/>
      <c r="Q399" s="100"/>
      <c r="R399" s="81"/>
      <c r="S399" s="81"/>
      <c r="T399" s="81"/>
      <c r="U399" s="81"/>
      <c r="V399" s="81"/>
      <c r="W399" s="81"/>
      <c r="X399" s="81"/>
      <c r="Y399" s="81"/>
      <c r="Z399" s="81"/>
    </row>
    <row r="400" ht="15.75" customHeight="1">
      <c r="A400" s="83"/>
      <c r="B400" s="94"/>
      <c r="C400" s="83"/>
      <c r="D400" s="95"/>
      <c r="E400" s="95"/>
      <c r="F400" s="96"/>
      <c r="G400" s="152"/>
      <c r="H400" s="97"/>
      <c r="I400" s="97"/>
      <c r="J400" s="95"/>
      <c r="K400" s="98"/>
      <c r="L400" s="95"/>
      <c r="M400" s="99"/>
      <c r="N400" s="95"/>
      <c r="O400" s="95"/>
      <c r="P400" s="100"/>
      <c r="Q400" s="100"/>
      <c r="R400" s="81"/>
      <c r="S400" s="81"/>
      <c r="T400" s="81"/>
      <c r="U400" s="81"/>
      <c r="V400" s="81"/>
      <c r="W400" s="81"/>
      <c r="X400" s="81"/>
      <c r="Y400" s="81"/>
      <c r="Z400" s="81"/>
    </row>
    <row r="401" ht="15.75" customHeight="1">
      <c r="A401" s="83"/>
      <c r="B401" s="94"/>
      <c r="C401" s="83"/>
      <c r="D401" s="95"/>
      <c r="E401" s="95"/>
      <c r="F401" s="96"/>
      <c r="G401" s="152"/>
      <c r="H401" s="97"/>
      <c r="I401" s="97"/>
      <c r="J401" s="95"/>
      <c r="K401" s="98"/>
      <c r="L401" s="95"/>
      <c r="M401" s="99"/>
      <c r="N401" s="95"/>
      <c r="O401" s="95"/>
      <c r="P401" s="100"/>
      <c r="Q401" s="100"/>
      <c r="R401" s="81"/>
      <c r="S401" s="81"/>
      <c r="T401" s="81"/>
      <c r="U401" s="81"/>
      <c r="V401" s="81"/>
      <c r="W401" s="81"/>
      <c r="X401" s="81"/>
      <c r="Y401" s="81"/>
      <c r="Z401" s="81"/>
    </row>
    <row r="402" ht="15.75" customHeight="1">
      <c r="A402" s="83"/>
      <c r="B402" s="94"/>
      <c r="C402" s="83"/>
      <c r="D402" s="95"/>
      <c r="E402" s="95"/>
      <c r="F402" s="96"/>
      <c r="G402" s="152"/>
      <c r="H402" s="97"/>
      <c r="I402" s="97"/>
      <c r="J402" s="95"/>
      <c r="K402" s="98"/>
      <c r="L402" s="95"/>
      <c r="M402" s="99"/>
      <c r="N402" s="95"/>
      <c r="O402" s="95"/>
      <c r="P402" s="100"/>
      <c r="Q402" s="100"/>
      <c r="R402" s="81"/>
      <c r="S402" s="81"/>
      <c r="T402" s="81"/>
      <c r="U402" s="81"/>
      <c r="V402" s="81"/>
      <c r="W402" s="81"/>
      <c r="X402" s="81"/>
      <c r="Y402" s="81"/>
      <c r="Z402" s="81"/>
    </row>
    <row r="403" ht="15.75" customHeight="1">
      <c r="A403" s="83"/>
      <c r="B403" s="94"/>
      <c r="C403" s="83"/>
      <c r="D403" s="95"/>
      <c r="E403" s="95"/>
      <c r="F403" s="96"/>
      <c r="G403" s="152"/>
      <c r="H403" s="97"/>
      <c r="I403" s="97"/>
      <c r="J403" s="95"/>
      <c r="K403" s="98"/>
      <c r="L403" s="95"/>
      <c r="M403" s="99"/>
      <c r="N403" s="95"/>
      <c r="O403" s="95"/>
      <c r="P403" s="100"/>
      <c r="Q403" s="100"/>
      <c r="R403" s="81"/>
      <c r="S403" s="81"/>
      <c r="T403" s="81"/>
      <c r="U403" s="81"/>
      <c r="V403" s="81"/>
      <c r="W403" s="81"/>
      <c r="X403" s="81"/>
      <c r="Y403" s="81"/>
      <c r="Z403" s="81"/>
    </row>
    <row r="404" ht="15.75" customHeight="1">
      <c r="A404" s="83"/>
      <c r="B404" s="94"/>
      <c r="C404" s="83"/>
      <c r="D404" s="95"/>
      <c r="E404" s="95"/>
      <c r="F404" s="96"/>
      <c r="G404" s="152"/>
      <c r="H404" s="97"/>
      <c r="I404" s="97"/>
      <c r="J404" s="95"/>
      <c r="K404" s="98"/>
      <c r="L404" s="95"/>
      <c r="M404" s="99"/>
      <c r="N404" s="95"/>
      <c r="O404" s="95"/>
      <c r="P404" s="100"/>
      <c r="Q404" s="100"/>
      <c r="R404" s="81"/>
      <c r="S404" s="81"/>
      <c r="T404" s="81"/>
      <c r="U404" s="81"/>
      <c r="V404" s="81"/>
      <c r="W404" s="81"/>
      <c r="X404" s="81"/>
      <c r="Y404" s="81"/>
      <c r="Z404" s="81"/>
    </row>
    <row r="405" ht="15.75" customHeight="1">
      <c r="A405" s="83"/>
      <c r="B405" s="94"/>
      <c r="C405" s="83"/>
      <c r="D405" s="95"/>
      <c r="E405" s="95"/>
      <c r="F405" s="96"/>
      <c r="G405" s="152"/>
      <c r="H405" s="97"/>
      <c r="I405" s="97"/>
      <c r="J405" s="95"/>
      <c r="K405" s="98"/>
      <c r="L405" s="95"/>
      <c r="M405" s="99"/>
      <c r="N405" s="95"/>
      <c r="O405" s="95"/>
      <c r="P405" s="100"/>
      <c r="Q405" s="100"/>
      <c r="R405" s="81"/>
      <c r="S405" s="81"/>
      <c r="T405" s="81"/>
      <c r="U405" s="81"/>
      <c r="V405" s="81"/>
      <c r="W405" s="81"/>
      <c r="X405" s="81"/>
      <c r="Y405" s="81"/>
      <c r="Z405" s="81"/>
    </row>
    <row r="406" ht="15.75" customHeight="1">
      <c r="A406" s="83"/>
      <c r="B406" s="94"/>
      <c r="C406" s="83"/>
      <c r="D406" s="95"/>
      <c r="E406" s="95"/>
      <c r="F406" s="96"/>
      <c r="G406" s="152"/>
      <c r="H406" s="97"/>
      <c r="I406" s="97"/>
      <c r="J406" s="95"/>
      <c r="K406" s="98"/>
      <c r="L406" s="95"/>
      <c r="M406" s="99"/>
      <c r="N406" s="95"/>
      <c r="O406" s="95"/>
      <c r="P406" s="100"/>
      <c r="Q406" s="100"/>
      <c r="R406" s="81"/>
      <c r="S406" s="81"/>
      <c r="T406" s="81"/>
      <c r="U406" s="81"/>
      <c r="V406" s="81"/>
      <c r="W406" s="81"/>
      <c r="X406" s="81"/>
      <c r="Y406" s="81"/>
      <c r="Z406" s="81"/>
    </row>
    <row r="407" ht="15.75" customHeight="1">
      <c r="A407" s="83"/>
      <c r="B407" s="94"/>
      <c r="C407" s="83"/>
      <c r="D407" s="95"/>
      <c r="E407" s="95"/>
      <c r="F407" s="96"/>
      <c r="G407" s="152"/>
      <c r="H407" s="97"/>
      <c r="I407" s="97"/>
      <c r="J407" s="95"/>
      <c r="K407" s="98"/>
      <c r="L407" s="95"/>
      <c r="M407" s="99"/>
      <c r="N407" s="95"/>
      <c r="O407" s="95"/>
      <c r="P407" s="100"/>
      <c r="Q407" s="100"/>
      <c r="R407" s="81"/>
      <c r="S407" s="81"/>
      <c r="T407" s="81"/>
      <c r="U407" s="81"/>
      <c r="V407" s="81"/>
      <c r="W407" s="81"/>
      <c r="X407" s="81"/>
      <c r="Y407" s="81"/>
      <c r="Z407" s="81"/>
    </row>
    <row r="408" ht="15.75" customHeight="1">
      <c r="A408" s="83"/>
      <c r="B408" s="94"/>
      <c r="C408" s="83"/>
      <c r="D408" s="95"/>
      <c r="E408" s="95"/>
      <c r="F408" s="96"/>
      <c r="G408" s="152"/>
      <c r="H408" s="97"/>
      <c r="I408" s="97"/>
      <c r="J408" s="95"/>
      <c r="K408" s="98"/>
      <c r="L408" s="95"/>
      <c r="M408" s="99"/>
      <c r="N408" s="95"/>
      <c r="O408" s="95"/>
      <c r="P408" s="100"/>
      <c r="Q408" s="100"/>
      <c r="R408" s="81"/>
      <c r="S408" s="81"/>
      <c r="T408" s="81"/>
      <c r="U408" s="81"/>
      <c r="V408" s="81"/>
      <c r="W408" s="81"/>
      <c r="X408" s="81"/>
      <c r="Y408" s="81"/>
      <c r="Z408" s="81"/>
    </row>
    <row r="409" ht="15.75" customHeight="1">
      <c r="A409" s="83"/>
      <c r="B409" s="94"/>
      <c r="C409" s="83"/>
      <c r="D409" s="95"/>
      <c r="E409" s="95"/>
      <c r="F409" s="96"/>
      <c r="G409" s="152"/>
      <c r="H409" s="97"/>
      <c r="I409" s="97"/>
      <c r="J409" s="95"/>
      <c r="K409" s="98"/>
      <c r="L409" s="95"/>
      <c r="M409" s="99"/>
      <c r="N409" s="95"/>
      <c r="O409" s="95"/>
      <c r="P409" s="100"/>
      <c r="Q409" s="100"/>
      <c r="R409" s="81"/>
      <c r="S409" s="81"/>
      <c r="T409" s="81"/>
      <c r="U409" s="81"/>
      <c r="V409" s="81"/>
      <c r="W409" s="81"/>
      <c r="X409" s="81"/>
      <c r="Y409" s="81"/>
      <c r="Z409" s="81"/>
    </row>
    <row r="410" ht="15.75" customHeight="1">
      <c r="A410" s="83"/>
      <c r="B410" s="94"/>
      <c r="C410" s="83"/>
      <c r="D410" s="95"/>
      <c r="E410" s="95"/>
      <c r="F410" s="96"/>
      <c r="G410" s="152"/>
      <c r="H410" s="97"/>
      <c r="I410" s="97"/>
      <c r="J410" s="95"/>
      <c r="K410" s="98"/>
      <c r="L410" s="95"/>
      <c r="M410" s="99"/>
      <c r="N410" s="95"/>
      <c r="O410" s="95"/>
      <c r="P410" s="100"/>
      <c r="Q410" s="100"/>
      <c r="R410" s="81"/>
      <c r="S410" s="81"/>
      <c r="T410" s="81"/>
      <c r="U410" s="81"/>
      <c r="V410" s="81"/>
      <c r="W410" s="81"/>
      <c r="X410" s="81"/>
      <c r="Y410" s="81"/>
      <c r="Z410" s="81"/>
    </row>
    <row r="411" ht="15.75" customHeight="1">
      <c r="A411" s="83"/>
      <c r="B411" s="94"/>
      <c r="C411" s="83"/>
      <c r="D411" s="95"/>
      <c r="E411" s="95"/>
      <c r="F411" s="96"/>
      <c r="G411" s="152"/>
      <c r="H411" s="97"/>
      <c r="I411" s="97"/>
      <c r="J411" s="95"/>
      <c r="K411" s="98"/>
      <c r="L411" s="95"/>
      <c r="M411" s="99"/>
      <c r="N411" s="95"/>
      <c r="O411" s="95"/>
      <c r="P411" s="100"/>
      <c r="Q411" s="100"/>
      <c r="R411" s="81"/>
      <c r="S411" s="81"/>
      <c r="T411" s="81"/>
      <c r="U411" s="81"/>
      <c r="V411" s="81"/>
      <c r="W411" s="81"/>
      <c r="X411" s="81"/>
      <c r="Y411" s="81"/>
      <c r="Z411" s="81"/>
    </row>
    <row r="412" ht="15.75" customHeight="1">
      <c r="A412" s="83"/>
      <c r="B412" s="94"/>
      <c r="C412" s="83"/>
      <c r="D412" s="95"/>
      <c r="E412" s="95"/>
      <c r="F412" s="96"/>
      <c r="G412" s="152"/>
      <c r="H412" s="97"/>
      <c r="I412" s="97"/>
      <c r="J412" s="95"/>
      <c r="K412" s="98"/>
      <c r="L412" s="95"/>
      <c r="M412" s="99"/>
      <c r="N412" s="95"/>
      <c r="O412" s="95"/>
      <c r="P412" s="100"/>
      <c r="Q412" s="100"/>
      <c r="R412" s="81"/>
      <c r="S412" s="81"/>
      <c r="T412" s="81"/>
      <c r="U412" s="81"/>
      <c r="V412" s="81"/>
      <c r="W412" s="81"/>
      <c r="X412" s="81"/>
      <c r="Y412" s="81"/>
      <c r="Z412" s="81"/>
    </row>
    <row r="413" ht="15.75" customHeight="1">
      <c r="A413" s="83"/>
      <c r="B413" s="94"/>
      <c r="C413" s="83"/>
      <c r="D413" s="95"/>
      <c r="E413" s="95"/>
      <c r="F413" s="96"/>
      <c r="G413" s="152"/>
      <c r="H413" s="97"/>
      <c r="I413" s="97"/>
      <c r="J413" s="95"/>
      <c r="K413" s="98"/>
      <c r="L413" s="95"/>
      <c r="M413" s="99"/>
      <c r="N413" s="95"/>
      <c r="O413" s="95"/>
      <c r="P413" s="100"/>
      <c r="Q413" s="100"/>
      <c r="R413" s="81"/>
      <c r="S413" s="81"/>
      <c r="T413" s="81"/>
      <c r="U413" s="81"/>
      <c r="V413" s="81"/>
      <c r="W413" s="81"/>
      <c r="X413" s="81"/>
      <c r="Y413" s="81"/>
      <c r="Z413" s="81"/>
    </row>
    <row r="414" ht="15.75" customHeight="1">
      <c r="A414" s="83"/>
      <c r="B414" s="94"/>
      <c r="C414" s="83"/>
      <c r="D414" s="95"/>
      <c r="E414" s="95"/>
      <c r="F414" s="96"/>
      <c r="G414" s="152"/>
      <c r="H414" s="97"/>
      <c r="I414" s="97"/>
      <c r="J414" s="95"/>
      <c r="K414" s="98"/>
      <c r="L414" s="95"/>
      <c r="M414" s="99"/>
      <c r="N414" s="95"/>
      <c r="O414" s="95"/>
      <c r="P414" s="100"/>
      <c r="Q414" s="100"/>
      <c r="R414" s="81"/>
      <c r="S414" s="81"/>
      <c r="T414" s="81"/>
      <c r="U414" s="81"/>
      <c r="V414" s="81"/>
      <c r="W414" s="81"/>
      <c r="X414" s="81"/>
      <c r="Y414" s="81"/>
      <c r="Z414" s="81"/>
    </row>
    <row r="415" ht="15.75" customHeight="1">
      <c r="A415" s="83"/>
      <c r="B415" s="94"/>
      <c r="C415" s="83"/>
      <c r="D415" s="95"/>
      <c r="E415" s="95"/>
      <c r="F415" s="96"/>
      <c r="G415" s="152"/>
      <c r="H415" s="97"/>
      <c r="I415" s="97"/>
      <c r="J415" s="95"/>
      <c r="K415" s="98"/>
      <c r="L415" s="95"/>
      <c r="M415" s="99"/>
      <c r="N415" s="95"/>
      <c r="O415" s="95"/>
      <c r="P415" s="100"/>
      <c r="Q415" s="100"/>
      <c r="R415" s="81"/>
      <c r="S415" s="81"/>
      <c r="T415" s="81"/>
      <c r="U415" s="81"/>
      <c r="V415" s="81"/>
      <c r="W415" s="81"/>
      <c r="X415" s="81"/>
      <c r="Y415" s="81"/>
      <c r="Z415" s="81"/>
    </row>
    <row r="416" ht="15.75" customHeight="1">
      <c r="A416" s="83"/>
      <c r="B416" s="94"/>
      <c r="C416" s="83"/>
      <c r="D416" s="95"/>
      <c r="E416" s="95"/>
      <c r="F416" s="96"/>
      <c r="G416" s="152"/>
      <c r="H416" s="97"/>
      <c r="I416" s="97"/>
      <c r="J416" s="95"/>
      <c r="K416" s="98"/>
      <c r="L416" s="95"/>
      <c r="M416" s="99"/>
      <c r="N416" s="95"/>
      <c r="O416" s="95"/>
      <c r="P416" s="100"/>
      <c r="Q416" s="100"/>
      <c r="R416" s="81"/>
      <c r="S416" s="81"/>
      <c r="T416" s="81"/>
      <c r="U416" s="81"/>
      <c r="V416" s="81"/>
      <c r="W416" s="81"/>
      <c r="X416" s="81"/>
      <c r="Y416" s="81"/>
      <c r="Z416" s="81"/>
    </row>
    <row r="417" ht="15.75" customHeight="1">
      <c r="A417" s="83"/>
      <c r="B417" s="94"/>
      <c r="C417" s="83"/>
      <c r="D417" s="95"/>
      <c r="E417" s="95"/>
      <c r="F417" s="96"/>
      <c r="G417" s="152"/>
      <c r="H417" s="97"/>
      <c r="I417" s="97"/>
      <c r="J417" s="95"/>
      <c r="K417" s="98"/>
      <c r="L417" s="95"/>
      <c r="M417" s="99"/>
      <c r="N417" s="95"/>
      <c r="O417" s="95"/>
      <c r="P417" s="100"/>
      <c r="Q417" s="100"/>
      <c r="R417" s="81"/>
      <c r="S417" s="81"/>
      <c r="T417" s="81"/>
      <c r="U417" s="81"/>
      <c r="V417" s="81"/>
      <c r="W417" s="81"/>
      <c r="X417" s="81"/>
      <c r="Y417" s="81"/>
      <c r="Z417" s="81"/>
    </row>
    <row r="418" ht="15.75" customHeight="1">
      <c r="A418" s="83"/>
      <c r="B418" s="94"/>
      <c r="C418" s="83"/>
      <c r="D418" s="95"/>
      <c r="E418" s="95"/>
      <c r="F418" s="96"/>
      <c r="G418" s="152"/>
      <c r="H418" s="97"/>
      <c r="I418" s="97"/>
      <c r="J418" s="95"/>
      <c r="K418" s="98"/>
      <c r="L418" s="95"/>
      <c r="M418" s="99"/>
      <c r="N418" s="95"/>
      <c r="O418" s="95"/>
      <c r="P418" s="100"/>
      <c r="Q418" s="100"/>
      <c r="R418" s="81"/>
      <c r="S418" s="81"/>
      <c r="T418" s="81"/>
      <c r="U418" s="81"/>
      <c r="V418" s="81"/>
      <c r="W418" s="81"/>
      <c r="X418" s="81"/>
      <c r="Y418" s="81"/>
      <c r="Z418" s="81"/>
    </row>
    <row r="419" ht="15.75" customHeight="1">
      <c r="A419" s="83"/>
      <c r="B419" s="94"/>
      <c r="C419" s="83"/>
      <c r="D419" s="95"/>
      <c r="E419" s="95"/>
      <c r="F419" s="96"/>
      <c r="G419" s="152"/>
      <c r="H419" s="97"/>
      <c r="I419" s="97"/>
      <c r="J419" s="95"/>
      <c r="K419" s="98"/>
      <c r="L419" s="95"/>
      <c r="M419" s="99"/>
      <c r="N419" s="95"/>
      <c r="O419" s="95"/>
      <c r="P419" s="100"/>
      <c r="Q419" s="100"/>
      <c r="R419" s="81"/>
      <c r="S419" s="81"/>
      <c r="T419" s="81"/>
      <c r="U419" s="81"/>
      <c r="V419" s="81"/>
      <c r="W419" s="81"/>
      <c r="X419" s="81"/>
      <c r="Y419" s="81"/>
      <c r="Z419" s="81"/>
    </row>
    <row r="420" ht="15.75" customHeight="1">
      <c r="A420" s="83"/>
      <c r="B420" s="94"/>
      <c r="C420" s="83"/>
      <c r="D420" s="95"/>
      <c r="E420" s="95"/>
      <c r="F420" s="96"/>
      <c r="G420" s="152"/>
      <c r="H420" s="97"/>
      <c r="I420" s="97"/>
      <c r="J420" s="95"/>
      <c r="K420" s="98"/>
      <c r="L420" s="95"/>
      <c r="M420" s="99"/>
      <c r="N420" s="95"/>
      <c r="O420" s="95"/>
      <c r="P420" s="100"/>
      <c r="Q420" s="100"/>
      <c r="R420" s="81"/>
      <c r="S420" s="81"/>
      <c r="T420" s="81"/>
      <c r="U420" s="81"/>
      <c r="V420" s="81"/>
      <c r="W420" s="81"/>
      <c r="X420" s="81"/>
      <c r="Y420" s="81"/>
      <c r="Z420" s="81"/>
    </row>
    <row r="421" ht="15.75" customHeight="1">
      <c r="A421" s="83"/>
      <c r="B421" s="94"/>
      <c r="C421" s="83"/>
      <c r="D421" s="95"/>
      <c r="E421" s="95"/>
      <c r="F421" s="96"/>
      <c r="G421" s="152"/>
      <c r="H421" s="97"/>
      <c r="I421" s="97"/>
      <c r="J421" s="95"/>
      <c r="K421" s="98"/>
      <c r="L421" s="95"/>
      <c r="M421" s="99"/>
      <c r="N421" s="95"/>
      <c r="O421" s="95"/>
      <c r="P421" s="100"/>
      <c r="Q421" s="100"/>
      <c r="R421" s="81"/>
      <c r="S421" s="81"/>
      <c r="T421" s="81"/>
      <c r="U421" s="81"/>
      <c r="V421" s="81"/>
      <c r="W421" s="81"/>
      <c r="X421" s="81"/>
      <c r="Y421" s="81"/>
      <c r="Z421" s="81"/>
    </row>
    <row r="422" ht="15.75" customHeight="1">
      <c r="A422" s="83"/>
      <c r="B422" s="94"/>
      <c r="C422" s="83"/>
      <c r="D422" s="95"/>
      <c r="E422" s="95"/>
      <c r="F422" s="96"/>
      <c r="G422" s="152"/>
      <c r="H422" s="97"/>
      <c r="I422" s="97"/>
      <c r="J422" s="95"/>
      <c r="K422" s="98"/>
      <c r="L422" s="95"/>
      <c r="M422" s="99"/>
      <c r="N422" s="95"/>
      <c r="O422" s="95"/>
      <c r="P422" s="100"/>
      <c r="Q422" s="100"/>
      <c r="R422" s="81"/>
      <c r="S422" s="81"/>
      <c r="T422" s="81"/>
      <c r="U422" s="81"/>
      <c r="V422" s="81"/>
      <c r="W422" s="81"/>
      <c r="X422" s="81"/>
      <c r="Y422" s="81"/>
      <c r="Z422" s="81"/>
    </row>
    <row r="423" ht="15.75" customHeight="1">
      <c r="A423" s="83"/>
      <c r="B423" s="94"/>
      <c r="C423" s="83"/>
      <c r="D423" s="95"/>
      <c r="E423" s="95"/>
      <c r="F423" s="96"/>
      <c r="G423" s="152"/>
      <c r="H423" s="97"/>
      <c r="I423" s="97"/>
      <c r="J423" s="95"/>
      <c r="K423" s="98"/>
      <c r="L423" s="95"/>
      <c r="M423" s="99"/>
      <c r="N423" s="95"/>
      <c r="O423" s="95"/>
      <c r="P423" s="100"/>
      <c r="Q423" s="100"/>
      <c r="R423" s="81"/>
      <c r="S423" s="81"/>
      <c r="T423" s="81"/>
      <c r="U423" s="81"/>
      <c r="V423" s="81"/>
      <c r="W423" s="81"/>
      <c r="X423" s="81"/>
      <c r="Y423" s="81"/>
      <c r="Z423" s="81"/>
    </row>
    <row r="424" ht="15.75" customHeight="1">
      <c r="A424" s="83"/>
      <c r="B424" s="94"/>
      <c r="C424" s="83"/>
      <c r="D424" s="95"/>
      <c r="E424" s="95"/>
      <c r="F424" s="96"/>
      <c r="G424" s="152"/>
      <c r="H424" s="97"/>
      <c r="I424" s="97"/>
      <c r="J424" s="95"/>
      <c r="K424" s="98"/>
      <c r="L424" s="95"/>
      <c r="M424" s="99"/>
      <c r="N424" s="95"/>
      <c r="O424" s="95"/>
      <c r="P424" s="100"/>
      <c r="Q424" s="100"/>
      <c r="R424" s="81"/>
      <c r="S424" s="81"/>
      <c r="T424" s="81"/>
      <c r="U424" s="81"/>
      <c r="V424" s="81"/>
      <c r="W424" s="81"/>
      <c r="X424" s="81"/>
      <c r="Y424" s="81"/>
      <c r="Z424" s="81"/>
    </row>
    <row r="425" ht="15.75" customHeight="1">
      <c r="A425" s="83"/>
      <c r="B425" s="94"/>
      <c r="C425" s="83"/>
      <c r="D425" s="95"/>
      <c r="E425" s="95"/>
      <c r="F425" s="96"/>
      <c r="G425" s="152"/>
      <c r="H425" s="97"/>
      <c r="I425" s="97"/>
      <c r="J425" s="95"/>
      <c r="K425" s="98"/>
      <c r="L425" s="95"/>
      <c r="M425" s="99"/>
      <c r="N425" s="95"/>
      <c r="O425" s="95"/>
      <c r="P425" s="100"/>
      <c r="Q425" s="100"/>
      <c r="R425" s="81"/>
      <c r="S425" s="81"/>
      <c r="T425" s="81"/>
      <c r="U425" s="81"/>
      <c r="V425" s="81"/>
      <c r="W425" s="81"/>
      <c r="X425" s="81"/>
      <c r="Y425" s="81"/>
      <c r="Z425" s="81"/>
    </row>
    <row r="426">
      <c r="G426" s="17"/>
    </row>
    <row r="427">
      <c r="G427" s="17"/>
    </row>
    <row r="428">
      <c r="G428" s="17"/>
    </row>
    <row r="429">
      <c r="G429" s="17"/>
    </row>
    <row r="430">
      <c r="G430" s="17"/>
    </row>
    <row r="431">
      <c r="G431" s="17"/>
    </row>
    <row r="432">
      <c r="G432" s="17"/>
    </row>
    <row r="433">
      <c r="G433" s="17"/>
    </row>
    <row r="434">
      <c r="G434" s="17"/>
    </row>
    <row r="435">
      <c r="G435" s="17"/>
    </row>
    <row r="436">
      <c r="G436" s="17"/>
    </row>
    <row r="437">
      <c r="G437" s="17"/>
    </row>
    <row r="438">
      <c r="G438" s="17"/>
    </row>
    <row r="439">
      <c r="G439" s="17"/>
    </row>
    <row r="440">
      <c r="G440" s="17"/>
    </row>
    <row r="441">
      <c r="G441" s="17"/>
    </row>
    <row r="442">
      <c r="G442" s="17"/>
    </row>
    <row r="443">
      <c r="G443" s="17"/>
    </row>
    <row r="444">
      <c r="G444" s="17"/>
    </row>
    <row r="445">
      <c r="G445" s="17"/>
    </row>
    <row r="446">
      <c r="G446" s="17"/>
    </row>
    <row r="447">
      <c r="G447" s="17"/>
    </row>
    <row r="448">
      <c r="G448" s="17"/>
    </row>
    <row r="449">
      <c r="G449" s="17"/>
    </row>
    <row r="450">
      <c r="G450" s="17"/>
    </row>
    <row r="451">
      <c r="G451" s="17"/>
    </row>
    <row r="452">
      <c r="G452" s="17"/>
    </row>
    <row r="453">
      <c r="G453" s="17"/>
    </row>
    <row r="454">
      <c r="G454" s="17"/>
    </row>
    <row r="455">
      <c r="G455" s="17"/>
    </row>
    <row r="456">
      <c r="G456" s="17"/>
    </row>
    <row r="457">
      <c r="G457" s="17"/>
    </row>
    <row r="458">
      <c r="G458" s="17"/>
    </row>
    <row r="459">
      <c r="G459" s="17"/>
    </row>
    <row r="460">
      <c r="G460" s="17"/>
    </row>
    <row r="461">
      <c r="G461" s="17"/>
    </row>
    <row r="462">
      <c r="G462" s="17"/>
    </row>
    <row r="463">
      <c r="G463" s="17"/>
    </row>
    <row r="464">
      <c r="G464" s="17"/>
    </row>
    <row r="465">
      <c r="G465" s="17"/>
    </row>
    <row r="466">
      <c r="G466" s="17"/>
    </row>
    <row r="467">
      <c r="G467" s="17"/>
    </row>
    <row r="468">
      <c r="G468" s="17"/>
    </row>
    <row r="469">
      <c r="G469" s="17"/>
    </row>
    <row r="470">
      <c r="G470" s="17"/>
    </row>
    <row r="471">
      <c r="G471" s="17"/>
    </row>
    <row r="472">
      <c r="G472" s="17"/>
    </row>
    <row r="473">
      <c r="G473" s="17"/>
    </row>
    <row r="474">
      <c r="G474" s="17"/>
    </row>
    <row r="475">
      <c r="G475" s="17"/>
    </row>
    <row r="476">
      <c r="G476" s="17"/>
    </row>
    <row r="477">
      <c r="G477" s="17"/>
    </row>
    <row r="478">
      <c r="G478" s="17"/>
    </row>
    <row r="479">
      <c r="G479" s="17"/>
    </row>
    <row r="480">
      <c r="G480" s="17"/>
    </row>
    <row r="481">
      <c r="G481" s="17"/>
    </row>
    <row r="482">
      <c r="G482" s="17"/>
    </row>
    <row r="483">
      <c r="G483" s="17"/>
    </row>
    <row r="484">
      <c r="G484" s="17"/>
    </row>
    <row r="485">
      <c r="G485" s="17"/>
    </row>
    <row r="486">
      <c r="G486" s="17"/>
    </row>
    <row r="487">
      <c r="G487" s="17"/>
    </row>
    <row r="488">
      <c r="G488" s="17"/>
    </row>
    <row r="489">
      <c r="G489" s="17"/>
    </row>
    <row r="490">
      <c r="G490" s="17"/>
    </row>
    <row r="491">
      <c r="G491" s="17"/>
    </row>
    <row r="492">
      <c r="G492" s="17"/>
    </row>
    <row r="493">
      <c r="G493" s="17"/>
    </row>
    <row r="494">
      <c r="G494" s="17"/>
    </row>
    <row r="495">
      <c r="G495" s="17"/>
    </row>
    <row r="496">
      <c r="G496" s="17"/>
    </row>
    <row r="497">
      <c r="G497" s="17"/>
    </row>
    <row r="498">
      <c r="G498" s="17"/>
    </row>
    <row r="499">
      <c r="G499" s="17"/>
    </row>
    <row r="500">
      <c r="G500" s="17"/>
    </row>
    <row r="501">
      <c r="G501" s="17"/>
    </row>
    <row r="502">
      <c r="G502" s="17"/>
    </row>
    <row r="503">
      <c r="G503" s="17"/>
    </row>
    <row r="504">
      <c r="G504" s="17"/>
    </row>
    <row r="505">
      <c r="G505" s="17"/>
    </row>
    <row r="506">
      <c r="G506" s="17"/>
    </row>
    <row r="507">
      <c r="G507" s="17"/>
    </row>
    <row r="508">
      <c r="G508" s="17"/>
    </row>
    <row r="509">
      <c r="G509" s="17"/>
    </row>
    <row r="510">
      <c r="G510" s="17"/>
    </row>
    <row r="511">
      <c r="G511" s="17"/>
    </row>
    <row r="512">
      <c r="G512" s="17"/>
    </row>
    <row r="513">
      <c r="G513" s="17"/>
    </row>
    <row r="514">
      <c r="G514" s="17"/>
    </row>
    <row r="515">
      <c r="G515" s="17"/>
    </row>
    <row r="516">
      <c r="G516" s="17"/>
    </row>
    <row r="517">
      <c r="G517" s="17"/>
    </row>
    <row r="518">
      <c r="G518" s="17"/>
    </row>
    <row r="519">
      <c r="G519" s="17"/>
    </row>
    <row r="520">
      <c r="G520" s="17"/>
    </row>
    <row r="521">
      <c r="G521" s="17"/>
    </row>
    <row r="522">
      <c r="G522" s="17"/>
    </row>
    <row r="523">
      <c r="G523" s="17"/>
    </row>
    <row r="524">
      <c r="G524" s="17"/>
    </row>
    <row r="525">
      <c r="G525" s="17"/>
    </row>
    <row r="526">
      <c r="G526" s="17"/>
    </row>
    <row r="527">
      <c r="G527" s="17"/>
    </row>
    <row r="528">
      <c r="G528" s="17"/>
    </row>
    <row r="529">
      <c r="G529" s="17"/>
    </row>
    <row r="530">
      <c r="G530" s="17"/>
    </row>
    <row r="531">
      <c r="G531" s="17"/>
    </row>
    <row r="532">
      <c r="G532" s="17"/>
    </row>
    <row r="533">
      <c r="G533" s="17"/>
    </row>
    <row r="534">
      <c r="G534" s="17"/>
    </row>
    <row r="535">
      <c r="G535" s="17"/>
    </row>
    <row r="536">
      <c r="G536" s="17"/>
    </row>
    <row r="537">
      <c r="G537" s="17"/>
    </row>
    <row r="538">
      <c r="G538" s="17"/>
    </row>
    <row r="539">
      <c r="G539" s="17"/>
    </row>
    <row r="540">
      <c r="G540" s="17"/>
    </row>
    <row r="541">
      <c r="G541" s="17"/>
    </row>
    <row r="542">
      <c r="G542" s="17"/>
    </row>
    <row r="543">
      <c r="G543" s="17"/>
    </row>
    <row r="544">
      <c r="G544" s="17"/>
    </row>
    <row r="545">
      <c r="G545" s="17"/>
    </row>
    <row r="546">
      <c r="G546" s="17"/>
    </row>
    <row r="547">
      <c r="G547" s="17"/>
    </row>
    <row r="548">
      <c r="G548" s="17"/>
    </row>
    <row r="549">
      <c r="G549" s="17"/>
    </row>
    <row r="550">
      <c r="G550" s="17"/>
    </row>
    <row r="551">
      <c r="G551" s="17"/>
    </row>
    <row r="552">
      <c r="G552" s="17"/>
    </row>
    <row r="553">
      <c r="G553" s="17"/>
    </row>
    <row r="554">
      <c r="G554" s="17"/>
    </row>
    <row r="555">
      <c r="G555" s="17"/>
    </row>
    <row r="556">
      <c r="G556" s="17"/>
    </row>
    <row r="557">
      <c r="G557" s="17"/>
    </row>
    <row r="558">
      <c r="G558" s="17"/>
    </row>
    <row r="559">
      <c r="G559" s="17"/>
    </row>
    <row r="560">
      <c r="G560" s="17"/>
    </row>
    <row r="561">
      <c r="G561" s="17"/>
    </row>
    <row r="562">
      <c r="G562" s="17"/>
    </row>
    <row r="563">
      <c r="G563" s="17"/>
    </row>
    <row r="564">
      <c r="G564" s="17"/>
    </row>
    <row r="565">
      <c r="G565" s="17"/>
    </row>
    <row r="566">
      <c r="G566" s="17"/>
    </row>
    <row r="567">
      <c r="G567" s="17"/>
    </row>
    <row r="568">
      <c r="G568" s="17"/>
    </row>
    <row r="569">
      <c r="G569" s="17"/>
    </row>
    <row r="570">
      <c r="G570" s="17"/>
    </row>
    <row r="571">
      <c r="G571" s="17"/>
    </row>
    <row r="572">
      <c r="G572" s="17"/>
    </row>
    <row r="573">
      <c r="G573" s="17"/>
    </row>
    <row r="574">
      <c r="G574" s="17"/>
    </row>
    <row r="575">
      <c r="G575" s="17"/>
    </row>
    <row r="576">
      <c r="G576" s="17"/>
    </row>
    <row r="577">
      <c r="G577" s="17"/>
    </row>
    <row r="578">
      <c r="G578" s="17"/>
    </row>
    <row r="579">
      <c r="G579" s="17"/>
    </row>
    <row r="580">
      <c r="G580" s="17"/>
    </row>
    <row r="581">
      <c r="G581" s="17"/>
    </row>
    <row r="582">
      <c r="G582" s="17"/>
    </row>
    <row r="583">
      <c r="G583" s="17"/>
    </row>
    <row r="584">
      <c r="G584" s="17"/>
    </row>
    <row r="585">
      <c r="G585" s="17"/>
    </row>
    <row r="586">
      <c r="G586" s="17"/>
    </row>
    <row r="587">
      <c r="G587" s="17"/>
    </row>
    <row r="588">
      <c r="G588" s="17"/>
    </row>
    <row r="589">
      <c r="G589" s="17"/>
    </row>
    <row r="590">
      <c r="G590" s="17"/>
    </row>
    <row r="591">
      <c r="G591" s="17"/>
    </row>
    <row r="592">
      <c r="G592" s="17"/>
    </row>
    <row r="593">
      <c r="G593" s="17"/>
    </row>
    <row r="594">
      <c r="G594" s="17"/>
    </row>
    <row r="595">
      <c r="G595" s="17"/>
    </row>
    <row r="596">
      <c r="G596" s="17"/>
    </row>
    <row r="597">
      <c r="G597" s="17"/>
    </row>
    <row r="598">
      <c r="G598" s="17"/>
    </row>
    <row r="599">
      <c r="G599" s="17"/>
    </row>
    <row r="600">
      <c r="G600" s="17"/>
    </row>
    <row r="601">
      <c r="G601" s="17"/>
    </row>
    <row r="602">
      <c r="G602" s="17"/>
    </row>
    <row r="603">
      <c r="G603" s="17"/>
    </row>
    <row r="604">
      <c r="G604" s="17"/>
    </row>
    <row r="605">
      <c r="G605" s="17"/>
    </row>
    <row r="606">
      <c r="G606" s="17"/>
    </row>
    <row r="607">
      <c r="G607" s="17"/>
    </row>
    <row r="608">
      <c r="G608" s="17"/>
    </row>
    <row r="609">
      <c r="G609" s="17"/>
    </row>
    <row r="610">
      <c r="G610" s="17"/>
    </row>
    <row r="611">
      <c r="G611" s="17"/>
    </row>
    <row r="612">
      <c r="G612" s="17"/>
    </row>
    <row r="613">
      <c r="G613" s="17"/>
    </row>
    <row r="614">
      <c r="G614" s="17"/>
    </row>
    <row r="615">
      <c r="G615" s="17"/>
    </row>
    <row r="616">
      <c r="G616" s="17"/>
    </row>
    <row r="617">
      <c r="G617" s="17"/>
    </row>
    <row r="618">
      <c r="G618" s="17"/>
    </row>
    <row r="619">
      <c r="G619" s="17"/>
    </row>
    <row r="620">
      <c r="G620" s="17"/>
    </row>
    <row r="621">
      <c r="G621" s="17"/>
    </row>
    <row r="622">
      <c r="G622" s="17"/>
    </row>
    <row r="623">
      <c r="G623" s="17"/>
    </row>
    <row r="624">
      <c r="G624" s="17"/>
    </row>
    <row r="625">
      <c r="G625" s="17"/>
    </row>
    <row r="626">
      <c r="G626" s="17"/>
    </row>
    <row r="627">
      <c r="G627" s="17"/>
    </row>
    <row r="628">
      <c r="G628" s="17"/>
    </row>
    <row r="629">
      <c r="G629" s="17"/>
    </row>
    <row r="630">
      <c r="G630" s="17"/>
    </row>
    <row r="631">
      <c r="G631" s="17"/>
    </row>
    <row r="632">
      <c r="G632" s="17"/>
    </row>
    <row r="633">
      <c r="G633" s="17"/>
    </row>
    <row r="634">
      <c r="G634" s="17"/>
    </row>
    <row r="635">
      <c r="G635" s="17"/>
    </row>
    <row r="636">
      <c r="G636" s="17"/>
    </row>
    <row r="637">
      <c r="G637" s="17"/>
    </row>
    <row r="638">
      <c r="G638" s="17"/>
    </row>
    <row r="639">
      <c r="G639" s="17"/>
    </row>
    <row r="640">
      <c r="G640" s="17"/>
    </row>
    <row r="641">
      <c r="G641" s="17"/>
    </row>
    <row r="642">
      <c r="G642" s="17"/>
    </row>
    <row r="643">
      <c r="G643" s="17"/>
    </row>
    <row r="644">
      <c r="G644" s="17"/>
    </row>
    <row r="645">
      <c r="G645" s="17"/>
    </row>
    <row r="646">
      <c r="G646" s="17"/>
    </row>
    <row r="647">
      <c r="G647" s="17"/>
    </row>
    <row r="648">
      <c r="G648" s="17"/>
    </row>
    <row r="649">
      <c r="G649" s="17"/>
    </row>
    <row r="650">
      <c r="G650" s="17"/>
    </row>
    <row r="651">
      <c r="G651" s="17"/>
    </row>
    <row r="652">
      <c r="G652" s="17"/>
    </row>
    <row r="653">
      <c r="G653" s="17"/>
    </row>
    <row r="654">
      <c r="G654" s="17"/>
    </row>
    <row r="655">
      <c r="G655" s="17"/>
    </row>
    <row r="656">
      <c r="G656" s="17"/>
    </row>
    <row r="657">
      <c r="G657" s="17"/>
    </row>
    <row r="658">
      <c r="G658" s="17"/>
    </row>
    <row r="659">
      <c r="G659" s="17"/>
    </row>
    <row r="660">
      <c r="G660" s="17"/>
    </row>
    <row r="661">
      <c r="G661" s="17"/>
    </row>
    <row r="662">
      <c r="G662" s="17"/>
    </row>
    <row r="663">
      <c r="G663" s="17"/>
    </row>
    <row r="664">
      <c r="G664" s="17"/>
    </row>
    <row r="665">
      <c r="G665" s="17"/>
    </row>
    <row r="666">
      <c r="G666" s="17"/>
    </row>
    <row r="667">
      <c r="G667" s="17"/>
    </row>
    <row r="668">
      <c r="G668" s="17"/>
    </row>
    <row r="669">
      <c r="G669" s="17"/>
    </row>
    <row r="670">
      <c r="G670" s="17"/>
    </row>
    <row r="671">
      <c r="G671" s="17"/>
    </row>
    <row r="672">
      <c r="G672" s="17"/>
    </row>
    <row r="673">
      <c r="G673" s="17"/>
    </row>
    <row r="674">
      <c r="G674" s="17"/>
    </row>
    <row r="675">
      <c r="G675" s="17"/>
    </row>
    <row r="676">
      <c r="G676" s="17"/>
    </row>
    <row r="677">
      <c r="G677" s="17"/>
    </row>
    <row r="678">
      <c r="G678" s="17"/>
    </row>
    <row r="679">
      <c r="G679" s="17"/>
    </row>
    <row r="680">
      <c r="G680" s="17"/>
    </row>
    <row r="681">
      <c r="G681" s="17"/>
    </row>
    <row r="682">
      <c r="G682" s="17"/>
    </row>
    <row r="683">
      <c r="G683" s="17"/>
    </row>
    <row r="684">
      <c r="G684" s="17"/>
    </row>
    <row r="685">
      <c r="G685" s="17"/>
    </row>
    <row r="686">
      <c r="G686" s="17"/>
    </row>
    <row r="687">
      <c r="G687" s="17"/>
    </row>
    <row r="688">
      <c r="G688" s="17"/>
    </row>
    <row r="689">
      <c r="G689" s="17"/>
    </row>
    <row r="690">
      <c r="G690" s="17"/>
    </row>
    <row r="691">
      <c r="G691" s="17"/>
    </row>
    <row r="692">
      <c r="G692" s="17"/>
    </row>
    <row r="693">
      <c r="G693" s="17"/>
    </row>
    <row r="694">
      <c r="G694" s="17"/>
    </row>
    <row r="695">
      <c r="G695" s="17"/>
    </row>
    <row r="696">
      <c r="G696" s="17"/>
    </row>
    <row r="697">
      <c r="G697" s="17"/>
    </row>
    <row r="698">
      <c r="G698" s="17"/>
    </row>
    <row r="699">
      <c r="G699" s="17"/>
    </row>
    <row r="700">
      <c r="G700" s="17"/>
    </row>
    <row r="701">
      <c r="G701" s="17"/>
    </row>
    <row r="702">
      <c r="G702" s="17"/>
    </row>
    <row r="703">
      <c r="G703" s="17"/>
    </row>
    <row r="704">
      <c r="G704" s="17"/>
    </row>
    <row r="705">
      <c r="G705" s="17"/>
    </row>
    <row r="706">
      <c r="G706" s="17"/>
    </row>
    <row r="707">
      <c r="G707" s="17"/>
    </row>
    <row r="708">
      <c r="G708" s="17"/>
    </row>
    <row r="709">
      <c r="G709" s="17"/>
    </row>
    <row r="710">
      <c r="G710" s="17"/>
    </row>
    <row r="711">
      <c r="G711" s="17"/>
    </row>
    <row r="712">
      <c r="G712" s="17"/>
    </row>
    <row r="713">
      <c r="G713" s="17"/>
    </row>
    <row r="714">
      <c r="G714" s="17"/>
    </row>
    <row r="715">
      <c r="G715" s="17"/>
    </row>
    <row r="716">
      <c r="G716" s="17"/>
    </row>
    <row r="717">
      <c r="G717" s="17"/>
    </row>
    <row r="718">
      <c r="G718" s="17"/>
    </row>
    <row r="719">
      <c r="G719" s="17"/>
    </row>
    <row r="720">
      <c r="G720" s="17"/>
    </row>
    <row r="721">
      <c r="G721" s="17"/>
    </row>
    <row r="722">
      <c r="G722" s="17"/>
    </row>
    <row r="723">
      <c r="G723" s="17"/>
    </row>
    <row r="724">
      <c r="G724" s="17"/>
    </row>
    <row r="725">
      <c r="G725" s="17"/>
    </row>
    <row r="726">
      <c r="G726" s="17"/>
    </row>
    <row r="727">
      <c r="G727" s="17"/>
    </row>
    <row r="728">
      <c r="G728" s="17"/>
    </row>
    <row r="729">
      <c r="G729" s="17"/>
    </row>
    <row r="730">
      <c r="G730" s="17"/>
    </row>
    <row r="731">
      <c r="G731" s="17"/>
    </row>
    <row r="732">
      <c r="G732" s="17"/>
    </row>
    <row r="733">
      <c r="G733" s="17"/>
    </row>
    <row r="734">
      <c r="G734" s="17"/>
    </row>
    <row r="735">
      <c r="G735" s="17"/>
    </row>
    <row r="736">
      <c r="G736" s="17"/>
    </row>
    <row r="737">
      <c r="G737" s="17"/>
    </row>
    <row r="738">
      <c r="G738" s="17"/>
    </row>
    <row r="739">
      <c r="G739" s="17"/>
    </row>
    <row r="740">
      <c r="G740" s="17"/>
    </row>
    <row r="741">
      <c r="G741" s="17"/>
    </row>
    <row r="742">
      <c r="G742" s="17"/>
    </row>
    <row r="743">
      <c r="G743" s="17"/>
    </row>
    <row r="744">
      <c r="G744" s="17"/>
    </row>
    <row r="745">
      <c r="G745" s="17"/>
    </row>
    <row r="746">
      <c r="G746" s="17"/>
    </row>
    <row r="747">
      <c r="G747" s="17"/>
    </row>
    <row r="748">
      <c r="G748" s="17"/>
    </row>
    <row r="749">
      <c r="G749" s="17"/>
    </row>
    <row r="750">
      <c r="G750" s="17"/>
    </row>
    <row r="751">
      <c r="G751" s="17"/>
    </row>
    <row r="752">
      <c r="G752" s="17"/>
    </row>
    <row r="753">
      <c r="G753" s="17"/>
    </row>
    <row r="754">
      <c r="G754" s="17"/>
    </row>
    <row r="755">
      <c r="G755" s="17"/>
    </row>
    <row r="756">
      <c r="G756" s="17"/>
    </row>
    <row r="757">
      <c r="G757" s="17"/>
    </row>
    <row r="758">
      <c r="G758" s="17"/>
    </row>
    <row r="759">
      <c r="G759" s="17"/>
    </row>
    <row r="760">
      <c r="G760" s="17"/>
    </row>
    <row r="761">
      <c r="G761" s="17"/>
    </row>
    <row r="762">
      <c r="G762" s="17"/>
    </row>
    <row r="763">
      <c r="G763" s="17"/>
    </row>
    <row r="764">
      <c r="G764" s="17"/>
    </row>
    <row r="765">
      <c r="G765" s="17"/>
    </row>
    <row r="766">
      <c r="G766" s="17"/>
    </row>
    <row r="767">
      <c r="G767" s="17"/>
    </row>
    <row r="768">
      <c r="G768" s="17"/>
    </row>
    <row r="769">
      <c r="G769" s="17"/>
    </row>
    <row r="770">
      <c r="G770" s="17"/>
    </row>
    <row r="771">
      <c r="G771" s="17"/>
    </row>
    <row r="772">
      <c r="G772" s="17"/>
    </row>
    <row r="773">
      <c r="G773" s="17"/>
    </row>
    <row r="774">
      <c r="G774" s="17"/>
    </row>
    <row r="775">
      <c r="G775" s="17"/>
    </row>
    <row r="776">
      <c r="G776" s="17"/>
    </row>
    <row r="777">
      <c r="G777" s="17"/>
    </row>
    <row r="778">
      <c r="G778" s="17"/>
    </row>
    <row r="779">
      <c r="G779" s="17"/>
    </row>
    <row r="780">
      <c r="G780" s="17"/>
    </row>
    <row r="781">
      <c r="G781" s="17"/>
    </row>
    <row r="782">
      <c r="G782" s="17"/>
    </row>
    <row r="783">
      <c r="G783" s="17"/>
    </row>
    <row r="784">
      <c r="G784" s="17"/>
    </row>
    <row r="785">
      <c r="G785" s="17"/>
    </row>
    <row r="786">
      <c r="G786" s="17"/>
    </row>
    <row r="787">
      <c r="G787" s="17"/>
    </row>
    <row r="788">
      <c r="G788" s="17"/>
    </row>
    <row r="789">
      <c r="G789" s="17"/>
    </row>
    <row r="790">
      <c r="G790" s="17"/>
    </row>
    <row r="791">
      <c r="G791" s="17"/>
    </row>
    <row r="792">
      <c r="G792" s="17"/>
    </row>
    <row r="793">
      <c r="G793" s="17"/>
    </row>
    <row r="794">
      <c r="G794" s="17"/>
    </row>
    <row r="795">
      <c r="G795" s="17"/>
    </row>
    <row r="796">
      <c r="G796" s="17"/>
    </row>
    <row r="797">
      <c r="G797" s="17"/>
    </row>
    <row r="798">
      <c r="G798" s="17"/>
    </row>
    <row r="799">
      <c r="G799" s="17"/>
    </row>
    <row r="800">
      <c r="G800" s="17"/>
    </row>
    <row r="801">
      <c r="G801" s="17"/>
    </row>
    <row r="802">
      <c r="G802" s="17"/>
    </row>
    <row r="803">
      <c r="G803" s="17"/>
    </row>
    <row r="804">
      <c r="G804" s="17"/>
    </row>
    <row r="805">
      <c r="G805" s="17"/>
    </row>
    <row r="806">
      <c r="G806" s="17"/>
    </row>
    <row r="807">
      <c r="G807" s="17"/>
    </row>
    <row r="808">
      <c r="G808" s="17"/>
    </row>
    <row r="809">
      <c r="G809" s="17"/>
    </row>
    <row r="810">
      <c r="G810" s="17"/>
    </row>
    <row r="811">
      <c r="G811" s="17"/>
    </row>
    <row r="812">
      <c r="G812" s="17"/>
    </row>
    <row r="813">
      <c r="G813" s="17"/>
    </row>
    <row r="814">
      <c r="G814" s="17"/>
    </row>
    <row r="815">
      <c r="G815" s="17"/>
    </row>
    <row r="816">
      <c r="G816" s="17"/>
    </row>
    <row r="817">
      <c r="G817" s="17"/>
    </row>
    <row r="818">
      <c r="G818" s="17"/>
    </row>
    <row r="819">
      <c r="G819" s="17"/>
    </row>
    <row r="820">
      <c r="G820" s="17"/>
    </row>
    <row r="821">
      <c r="G821" s="17"/>
    </row>
    <row r="822">
      <c r="G822" s="17"/>
    </row>
    <row r="823">
      <c r="G823" s="17"/>
    </row>
    <row r="824">
      <c r="G824" s="17"/>
    </row>
    <row r="825">
      <c r="G825" s="17"/>
    </row>
    <row r="826">
      <c r="G826" s="17"/>
    </row>
    <row r="827">
      <c r="G827" s="17"/>
    </row>
    <row r="828">
      <c r="G828" s="17"/>
    </row>
    <row r="829">
      <c r="G829" s="17"/>
    </row>
    <row r="830">
      <c r="G830" s="17"/>
    </row>
    <row r="831">
      <c r="G831" s="17"/>
    </row>
    <row r="832">
      <c r="G832" s="17"/>
    </row>
    <row r="833">
      <c r="G833" s="17"/>
    </row>
    <row r="834">
      <c r="G834" s="17"/>
    </row>
    <row r="835">
      <c r="G835" s="17"/>
    </row>
    <row r="836">
      <c r="G836" s="17"/>
    </row>
    <row r="837">
      <c r="G837" s="17"/>
    </row>
    <row r="838">
      <c r="G838" s="17"/>
    </row>
    <row r="839">
      <c r="G839" s="17"/>
    </row>
    <row r="840">
      <c r="G840" s="17"/>
    </row>
    <row r="841">
      <c r="G841" s="17"/>
    </row>
    <row r="842">
      <c r="G842" s="17"/>
    </row>
    <row r="843">
      <c r="G843" s="17"/>
    </row>
    <row r="844">
      <c r="G844" s="17"/>
    </row>
    <row r="845">
      <c r="G845" s="17"/>
    </row>
    <row r="846">
      <c r="G846" s="17"/>
    </row>
    <row r="847">
      <c r="G847" s="17"/>
    </row>
    <row r="848">
      <c r="G848" s="17"/>
    </row>
    <row r="849">
      <c r="G849" s="17"/>
    </row>
    <row r="850">
      <c r="G850" s="17"/>
    </row>
    <row r="851">
      <c r="G851" s="17"/>
    </row>
    <row r="852">
      <c r="G852" s="17"/>
    </row>
    <row r="853">
      <c r="G853" s="17"/>
    </row>
    <row r="854">
      <c r="G854" s="17"/>
    </row>
    <row r="855">
      <c r="G855" s="17"/>
    </row>
    <row r="856">
      <c r="G856" s="17"/>
    </row>
    <row r="857">
      <c r="G857" s="17"/>
    </row>
    <row r="858">
      <c r="G858" s="17"/>
    </row>
    <row r="859">
      <c r="G859" s="17"/>
    </row>
    <row r="860">
      <c r="G860" s="17"/>
    </row>
    <row r="861">
      <c r="G861" s="17"/>
    </row>
    <row r="862">
      <c r="G862" s="17"/>
    </row>
    <row r="863">
      <c r="G863" s="17"/>
    </row>
    <row r="864">
      <c r="G864" s="17"/>
    </row>
    <row r="865">
      <c r="G865" s="17"/>
    </row>
    <row r="866">
      <c r="G866" s="17"/>
    </row>
    <row r="867">
      <c r="G867" s="17"/>
    </row>
    <row r="868">
      <c r="G868" s="17"/>
    </row>
    <row r="869">
      <c r="G869" s="17"/>
    </row>
    <row r="870">
      <c r="G870" s="17"/>
    </row>
    <row r="871">
      <c r="G871" s="17"/>
    </row>
    <row r="872">
      <c r="G872" s="17"/>
    </row>
    <row r="873">
      <c r="G873" s="17"/>
    </row>
    <row r="874">
      <c r="G874" s="17"/>
    </row>
    <row r="875">
      <c r="G875" s="17"/>
    </row>
    <row r="876">
      <c r="G876" s="17"/>
    </row>
    <row r="877">
      <c r="G877" s="17"/>
    </row>
    <row r="878">
      <c r="G878" s="17"/>
    </row>
    <row r="879">
      <c r="G879" s="17"/>
    </row>
    <row r="880">
      <c r="G880" s="17"/>
    </row>
    <row r="881">
      <c r="G881" s="17"/>
    </row>
    <row r="882">
      <c r="G882" s="17"/>
    </row>
    <row r="883">
      <c r="G883" s="17"/>
    </row>
    <row r="884">
      <c r="G884" s="17"/>
    </row>
    <row r="885">
      <c r="G885" s="17"/>
    </row>
    <row r="886">
      <c r="G886" s="17"/>
    </row>
    <row r="887">
      <c r="G887" s="17"/>
    </row>
    <row r="888">
      <c r="G888" s="17"/>
    </row>
    <row r="889">
      <c r="G889" s="17"/>
    </row>
    <row r="890">
      <c r="G890" s="17"/>
    </row>
    <row r="891">
      <c r="G891" s="17"/>
    </row>
    <row r="892">
      <c r="G892" s="17"/>
    </row>
    <row r="893">
      <c r="G893" s="17"/>
    </row>
    <row r="894">
      <c r="G894" s="17"/>
    </row>
    <row r="895">
      <c r="G895" s="17"/>
    </row>
    <row r="896">
      <c r="G896" s="17"/>
    </row>
    <row r="897">
      <c r="G897" s="17"/>
    </row>
    <row r="898">
      <c r="G898" s="17"/>
    </row>
    <row r="899">
      <c r="G899" s="17"/>
    </row>
    <row r="900">
      <c r="G900" s="17"/>
    </row>
    <row r="901">
      <c r="G901" s="17"/>
    </row>
    <row r="902">
      <c r="G902" s="17"/>
    </row>
    <row r="903">
      <c r="G903" s="17"/>
    </row>
    <row r="904">
      <c r="G904" s="17"/>
    </row>
    <row r="905">
      <c r="G905" s="17"/>
    </row>
    <row r="906">
      <c r="G906" s="17"/>
    </row>
    <row r="907">
      <c r="G907" s="17"/>
    </row>
    <row r="908">
      <c r="G908" s="17"/>
    </row>
    <row r="909">
      <c r="G909" s="17"/>
    </row>
    <row r="910">
      <c r="G910" s="17"/>
    </row>
    <row r="911">
      <c r="G911" s="17"/>
    </row>
    <row r="912">
      <c r="G912" s="17"/>
    </row>
    <row r="913">
      <c r="G913" s="17"/>
    </row>
    <row r="914">
      <c r="G914" s="17"/>
    </row>
    <row r="915">
      <c r="G915" s="17"/>
    </row>
    <row r="916">
      <c r="G916" s="17"/>
    </row>
    <row r="917">
      <c r="G917" s="17"/>
    </row>
    <row r="918">
      <c r="G918" s="17"/>
    </row>
    <row r="919">
      <c r="G919" s="17"/>
    </row>
    <row r="920">
      <c r="G920" s="17"/>
    </row>
    <row r="921">
      <c r="G921" s="17"/>
    </row>
    <row r="922">
      <c r="G922" s="17"/>
    </row>
    <row r="923">
      <c r="G923" s="17"/>
    </row>
    <row r="924">
      <c r="G924" s="17"/>
    </row>
    <row r="925">
      <c r="G925" s="17"/>
    </row>
    <row r="926">
      <c r="G926" s="17"/>
    </row>
    <row r="927">
      <c r="G927" s="17"/>
    </row>
    <row r="928">
      <c r="G928" s="17"/>
    </row>
    <row r="929">
      <c r="G929" s="17"/>
    </row>
    <row r="930">
      <c r="G930" s="17"/>
    </row>
    <row r="931">
      <c r="G931" s="17"/>
    </row>
    <row r="932">
      <c r="G932" s="17"/>
    </row>
    <row r="933">
      <c r="G933" s="17"/>
    </row>
    <row r="934">
      <c r="G934" s="17"/>
    </row>
    <row r="935">
      <c r="G935" s="17"/>
    </row>
    <row r="936">
      <c r="G936" s="17"/>
    </row>
    <row r="937">
      <c r="G937" s="17"/>
    </row>
    <row r="938">
      <c r="G938" s="17"/>
    </row>
    <row r="939">
      <c r="G939" s="17"/>
    </row>
    <row r="940">
      <c r="G940" s="17"/>
    </row>
    <row r="941">
      <c r="G941" s="17"/>
    </row>
    <row r="942">
      <c r="G942" s="17"/>
    </row>
    <row r="943">
      <c r="G943" s="17"/>
    </row>
    <row r="944">
      <c r="G944" s="17"/>
    </row>
    <row r="945">
      <c r="G945" s="17"/>
    </row>
    <row r="946">
      <c r="G946" s="17"/>
    </row>
    <row r="947">
      <c r="G947" s="17"/>
    </row>
    <row r="948">
      <c r="G948" s="17"/>
    </row>
    <row r="949">
      <c r="G949" s="17"/>
    </row>
    <row r="950">
      <c r="G950" s="17"/>
    </row>
    <row r="951">
      <c r="G951" s="17"/>
    </row>
    <row r="952">
      <c r="G952" s="17"/>
    </row>
    <row r="953">
      <c r="G953" s="17"/>
    </row>
    <row r="954">
      <c r="G954" s="17"/>
    </row>
    <row r="955">
      <c r="G955" s="17"/>
    </row>
    <row r="956">
      <c r="G956" s="17"/>
    </row>
    <row r="957">
      <c r="G957" s="17"/>
    </row>
    <row r="958">
      <c r="G958" s="17"/>
    </row>
    <row r="959">
      <c r="G959" s="17"/>
    </row>
    <row r="960">
      <c r="G960" s="17"/>
    </row>
  </sheetData>
  <autoFilter ref="$A$1:$Q$376"/>
  <customSheetViews>
    <customSheetView guid="{59C0E738-1DB3-4C16-9509-25842C0188FC}" filter="1" showAutoFilter="1">
      <autoFilter ref="$A$1:$Q$960"/>
    </customSheetView>
    <customSheetView guid="{F263A3AC-1237-40A8-82F2-25CFE72B494B}" filter="1" showAutoFilter="1">
      <autoFilter ref="$A$1:$Q$960">
        <filterColumn colId="1">
          <filters blank="1">
            <filter val="Profitability"/>
            <filter val="Affluence"/>
            <filter val="Globe ID"/>
          </filters>
        </filterColumn>
      </autoFilter>
    </customSheetView>
    <customSheetView guid="{7114D13A-8790-4B2D-8534-441FDE4A663B}" filter="1" showAutoFilter="1">
      <autoFilter ref="$A$1:$Q$960">
        <filterColumn colId="1">
          <filters blank="1">
            <filter val="Globe ID"/>
          </filters>
        </filterColumn>
      </autoFilter>
    </customSheetView>
    <customSheetView guid="{112B2F37-635A-4F63-81FB-4A2B7385E434}" filter="1" showAutoFilter="1">
      <autoFilter ref="$A$1:$Q$960"/>
    </customSheetView>
  </customSheetViews>
  <conditionalFormatting sqref="A1:A425">
    <cfRule type="expression" dxfId="0" priority="1">
      <formula>if(countif(A:A,A1)&gt;1,1,0)</formula>
    </cfRule>
  </conditionalFormatting>
  <dataValidations>
    <dataValidation type="list" allowBlank="1" sqref="N2:N297 N300 N323:N324 N326:N328 N331:N334 N365 N373 M374:N374 N375:N376">
      <formula1>Reference!$B$1:$B$13</formula1>
    </dataValidation>
  </dataValidations>
  <hyperlinks>
    <hyperlink r:id="rId2" ref="F350"/>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47.86"/>
    <col customWidth="1" min="2" max="2" width="17.71"/>
    <col customWidth="1" min="3" max="3" width="66.29"/>
    <col customWidth="1" min="4" max="4" width="20.57"/>
    <col customWidth="1" min="5" max="5" width="14.0"/>
    <col customWidth="1" min="6" max="6" width="22.14"/>
    <col customWidth="1" min="7" max="7" width="15.29"/>
    <col customWidth="1" min="8" max="8" width="18.43"/>
    <col customWidth="1" min="9" max="9" width="19.29"/>
    <col customWidth="1" min="10" max="10" width="20.57"/>
    <col customWidth="1" min="11" max="11" width="21.86"/>
    <col customWidth="1" hidden="1" min="12" max="12" width="13.57"/>
    <col customWidth="1" min="13" max="13" width="20.86"/>
    <col customWidth="1" min="14" max="14" width="20.71"/>
    <col customWidth="1" min="15" max="15" width="24.0"/>
    <col customWidth="1" min="16" max="16" width="23.29"/>
    <col customWidth="1" min="17" max="17" width="21.57"/>
  </cols>
  <sheetData>
    <row r="1">
      <c r="A1" s="101" t="s">
        <v>69</v>
      </c>
      <c r="B1" s="101" t="s">
        <v>63</v>
      </c>
      <c r="C1" s="102" t="s">
        <v>71</v>
      </c>
      <c r="D1" s="102" t="s">
        <v>679</v>
      </c>
      <c r="E1" s="101" t="s">
        <v>680</v>
      </c>
      <c r="F1" s="102" t="s">
        <v>73</v>
      </c>
      <c r="G1" s="102" t="s">
        <v>74</v>
      </c>
      <c r="H1" s="102" t="s">
        <v>76</v>
      </c>
      <c r="I1" s="102" t="s">
        <v>77</v>
      </c>
      <c r="J1" s="102" t="s">
        <v>75</v>
      </c>
      <c r="K1" s="101" t="s">
        <v>681</v>
      </c>
      <c r="L1" s="102" t="s">
        <v>682</v>
      </c>
      <c r="M1" s="101" t="s">
        <v>78</v>
      </c>
      <c r="N1" s="102" t="s">
        <v>683</v>
      </c>
      <c r="O1" s="103" t="s">
        <v>36</v>
      </c>
      <c r="P1" s="104" t="s">
        <v>38</v>
      </c>
      <c r="Q1" s="104" t="s">
        <v>40</v>
      </c>
      <c r="R1" s="51"/>
      <c r="S1" s="51"/>
      <c r="T1" s="51"/>
      <c r="U1" s="51"/>
      <c r="V1" s="51"/>
      <c r="W1" s="51"/>
      <c r="X1" s="51"/>
      <c r="Y1" s="51"/>
      <c r="Z1" s="51"/>
    </row>
    <row r="2">
      <c r="A2" s="105" t="s">
        <v>88</v>
      </c>
      <c r="B2" s="153" t="s">
        <v>696</v>
      </c>
      <c r="C2" s="106" t="s">
        <v>684</v>
      </c>
      <c r="D2" s="107" t="s">
        <v>83</v>
      </c>
      <c r="E2" s="106" t="s">
        <v>1313</v>
      </c>
      <c r="F2" s="107">
        <v>5123.0</v>
      </c>
      <c r="G2" s="105" t="s">
        <v>686</v>
      </c>
      <c r="H2" s="107" t="s">
        <v>91</v>
      </c>
      <c r="I2" s="107" t="s">
        <v>91</v>
      </c>
      <c r="J2" s="107" t="s">
        <v>85</v>
      </c>
      <c r="K2" s="106" t="s">
        <v>687</v>
      </c>
      <c r="L2" s="107" t="s">
        <v>688</v>
      </c>
      <c r="M2" s="108">
        <v>44142.0</v>
      </c>
      <c r="N2" s="106" t="s">
        <v>1314</v>
      </c>
      <c r="O2" s="109" t="s">
        <v>690</v>
      </c>
      <c r="P2" s="107" t="s">
        <v>691</v>
      </c>
      <c r="Q2" s="107" t="s">
        <v>691</v>
      </c>
      <c r="R2" s="110"/>
      <c r="S2" s="110"/>
      <c r="T2" s="110"/>
      <c r="U2" s="110"/>
      <c r="V2" s="110"/>
      <c r="W2" s="110"/>
      <c r="X2" s="110"/>
      <c r="Y2" s="110"/>
      <c r="Z2" s="110"/>
    </row>
    <row r="3">
      <c r="A3" s="105" t="s">
        <v>79</v>
      </c>
      <c r="B3" s="154" t="s">
        <v>44</v>
      </c>
      <c r="C3" s="106" t="s">
        <v>82</v>
      </c>
      <c r="D3" s="107" t="s">
        <v>185</v>
      </c>
      <c r="E3" s="106" t="s">
        <v>685</v>
      </c>
      <c r="F3" s="106">
        <v>9.123456789E9</v>
      </c>
      <c r="G3" s="107" t="s">
        <v>84</v>
      </c>
      <c r="H3" s="107" t="s">
        <v>91</v>
      </c>
      <c r="I3" s="107" t="s">
        <v>91</v>
      </c>
      <c r="J3" s="107" t="s">
        <v>85</v>
      </c>
      <c r="K3" s="106" t="s">
        <v>687</v>
      </c>
      <c r="L3" s="107" t="s">
        <v>688</v>
      </c>
      <c r="M3" s="108">
        <v>44142.0</v>
      </c>
      <c r="N3" s="106" t="s">
        <v>692</v>
      </c>
      <c r="O3" s="109" t="s">
        <v>690</v>
      </c>
      <c r="P3" s="107" t="s">
        <v>691</v>
      </c>
      <c r="Q3" s="107" t="s">
        <v>691</v>
      </c>
      <c r="R3" s="110"/>
      <c r="S3" s="110"/>
      <c r="T3" s="110"/>
      <c r="U3" s="110"/>
      <c r="V3" s="110"/>
      <c r="W3" s="110"/>
      <c r="X3" s="110"/>
      <c r="Y3" s="110"/>
      <c r="Z3" s="110"/>
    </row>
    <row r="4">
      <c r="A4" s="105" t="s">
        <v>693</v>
      </c>
      <c r="B4" s="154" t="s">
        <v>44</v>
      </c>
      <c r="C4" s="106" t="s">
        <v>444</v>
      </c>
      <c r="D4" s="107" t="s">
        <v>83</v>
      </c>
      <c r="E4" s="106" t="s">
        <v>694</v>
      </c>
      <c r="F4" s="111" t="s">
        <v>695</v>
      </c>
      <c r="G4" s="112" t="s">
        <v>445</v>
      </c>
      <c r="H4" s="107" t="s">
        <v>91</v>
      </c>
      <c r="I4" s="107" t="s">
        <v>91</v>
      </c>
      <c r="J4" s="107" t="s">
        <v>85</v>
      </c>
      <c r="K4" s="106" t="s">
        <v>687</v>
      </c>
      <c r="L4" s="107" t="s">
        <v>688</v>
      </c>
      <c r="M4" s="108">
        <v>44142.0</v>
      </c>
      <c r="N4" s="106" t="s">
        <v>692</v>
      </c>
      <c r="O4" s="109" t="s">
        <v>690</v>
      </c>
      <c r="P4" s="107" t="s">
        <v>691</v>
      </c>
      <c r="Q4" s="107" t="s">
        <v>691</v>
      </c>
      <c r="R4" s="110"/>
      <c r="S4" s="110"/>
      <c r="T4" s="110"/>
      <c r="U4" s="110"/>
      <c r="V4" s="110"/>
      <c r="W4" s="110"/>
      <c r="X4" s="110"/>
      <c r="Y4" s="110"/>
      <c r="Z4" s="110"/>
    </row>
    <row r="5">
      <c r="A5" s="105" t="s">
        <v>113</v>
      </c>
      <c r="B5" s="154" t="s">
        <v>696</v>
      </c>
      <c r="C5" s="106" t="s">
        <v>697</v>
      </c>
      <c r="D5" s="107" t="s">
        <v>83</v>
      </c>
      <c r="E5" s="106" t="s">
        <v>698</v>
      </c>
      <c r="F5" s="113">
        <v>43709.0</v>
      </c>
      <c r="G5" s="105" t="s">
        <v>686</v>
      </c>
      <c r="H5" s="107" t="s">
        <v>91</v>
      </c>
      <c r="I5" s="107" t="s">
        <v>91</v>
      </c>
      <c r="J5" s="107" t="s">
        <v>85</v>
      </c>
      <c r="K5" s="106" t="s">
        <v>687</v>
      </c>
      <c r="L5" s="107" t="s">
        <v>688</v>
      </c>
      <c r="M5" s="108">
        <v>44142.0</v>
      </c>
      <c r="N5" s="106" t="s">
        <v>1315</v>
      </c>
      <c r="O5" s="109" t="s">
        <v>1316</v>
      </c>
      <c r="P5" s="107" t="s">
        <v>691</v>
      </c>
      <c r="Q5" s="107" t="s">
        <v>691</v>
      </c>
      <c r="R5" s="110"/>
      <c r="S5" s="110"/>
      <c r="T5" s="110"/>
      <c r="U5" s="110"/>
      <c r="V5" s="110"/>
      <c r="W5" s="110"/>
      <c r="X5" s="110"/>
      <c r="Y5" s="110"/>
      <c r="Z5" s="110"/>
    </row>
    <row r="6">
      <c r="A6" s="105" t="s">
        <v>699</v>
      </c>
      <c r="B6" s="153" t="s">
        <v>696</v>
      </c>
      <c r="C6" s="106" t="s">
        <v>1317</v>
      </c>
      <c r="D6" s="107" t="s">
        <v>83</v>
      </c>
      <c r="E6" s="106" t="s">
        <v>1313</v>
      </c>
      <c r="F6" s="107">
        <v>1.2072423E7</v>
      </c>
      <c r="G6" s="105" t="s">
        <v>686</v>
      </c>
      <c r="H6" s="107" t="s">
        <v>91</v>
      </c>
      <c r="I6" s="107" t="s">
        <v>91</v>
      </c>
      <c r="J6" s="107" t="s">
        <v>85</v>
      </c>
      <c r="K6" s="106" t="s">
        <v>687</v>
      </c>
      <c r="L6" s="107" t="s">
        <v>688</v>
      </c>
      <c r="M6" s="108">
        <v>44142.0</v>
      </c>
      <c r="N6" s="106" t="s">
        <v>1318</v>
      </c>
      <c r="O6" s="109" t="s">
        <v>690</v>
      </c>
      <c r="P6" s="107" t="s">
        <v>702</v>
      </c>
      <c r="Q6" s="107" t="s">
        <v>702</v>
      </c>
      <c r="R6" s="110"/>
      <c r="S6" s="110"/>
      <c r="T6" s="110"/>
      <c r="U6" s="110"/>
      <c r="V6" s="110"/>
      <c r="W6" s="110"/>
      <c r="X6" s="110"/>
      <c r="Y6" s="110"/>
      <c r="Z6" s="110"/>
    </row>
    <row r="7">
      <c r="A7" s="105" t="s">
        <v>703</v>
      </c>
      <c r="B7" s="154" t="s">
        <v>696</v>
      </c>
      <c r="C7" s="106" t="s">
        <v>704</v>
      </c>
      <c r="D7" s="107" t="s">
        <v>83</v>
      </c>
      <c r="E7" s="106" t="s">
        <v>685</v>
      </c>
      <c r="F7" s="107" t="s">
        <v>466</v>
      </c>
      <c r="G7" s="105" t="s">
        <v>686</v>
      </c>
      <c r="H7" s="107" t="s">
        <v>91</v>
      </c>
      <c r="I7" s="107" t="s">
        <v>91</v>
      </c>
      <c r="J7" s="107" t="s">
        <v>85</v>
      </c>
      <c r="K7" s="106" t="s">
        <v>687</v>
      </c>
      <c r="L7" s="107" t="s">
        <v>688</v>
      </c>
      <c r="M7" s="108">
        <v>44142.0</v>
      </c>
      <c r="N7" s="106" t="s">
        <v>692</v>
      </c>
      <c r="O7" s="109" t="s">
        <v>690</v>
      </c>
      <c r="P7" s="107" t="s">
        <v>705</v>
      </c>
      <c r="Q7" s="107" t="s">
        <v>705</v>
      </c>
      <c r="R7" s="110"/>
      <c r="S7" s="110"/>
      <c r="T7" s="110"/>
      <c r="U7" s="110"/>
      <c r="V7" s="110"/>
      <c r="W7" s="110"/>
      <c r="X7" s="110"/>
      <c r="Y7" s="110"/>
      <c r="Z7" s="110"/>
    </row>
    <row r="8" ht="102.0" customHeight="1">
      <c r="A8" s="105" t="s">
        <v>706</v>
      </c>
      <c r="B8" s="153" t="s">
        <v>696</v>
      </c>
      <c r="C8" s="106" t="s">
        <v>707</v>
      </c>
      <c r="D8" s="107" t="s">
        <v>185</v>
      </c>
      <c r="E8" s="106" t="s">
        <v>685</v>
      </c>
      <c r="F8" s="107" t="s">
        <v>471</v>
      </c>
      <c r="G8" s="114" t="s">
        <v>686</v>
      </c>
      <c r="H8" s="107" t="s">
        <v>91</v>
      </c>
      <c r="I8" s="107" t="s">
        <v>91</v>
      </c>
      <c r="J8" s="107" t="s">
        <v>85</v>
      </c>
      <c r="K8" s="106" t="s">
        <v>687</v>
      </c>
      <c r="L8" s="107" t="s">
        <v>688</v>
      </c>
      <c r="M8" s="108">
        <v>44142.0</v>
      </c>
      <c r="N8" s="106" t="s">
        <v>689</v>
      </c>
      <c r="O8" s="109" t="s">
        <v>690</v>
      </c>
      <c r="P8" s="107" t="s">
        <v>691</v>
      </c>
      <c r="Q8" s="107" t="s">
        <v>691</v>
      </c>
      <c r="R8" s="110"/>
      <c r="S8" s="110"/>
      <c r="T8" s="110"/>
      <c r="U8" s="110"/>
      <c r="V8" s="110"/>
      <c r="W8" s="110"/>
      <c r="X8" s="110"/>
      <c r="Y8" s="110"/>
      <c r="Z8" s="110"/>
    </row>
    <row r="9">
      <c r="A9" s="105" t="s">
        <v>708</v>
      </c>
      <c r="B9" s="153" t="s">
        <v>696</v>
      </c>
      <c r="C9" s="106" t="s">
        <v>447</v>
      </c>
      <c r="D9" s="107" t="s">
        <v>83</v>
      </c>
      <c r="E9" s="106" t="s">
        <v>685</v>
      </c>
      <c r="F9" s="107" t="s">
        <v>448</v>
      </c>
      <c r="G9" s="105" t="s">
        <v>686</v>
      </c>
      <c r="H9" s="107" t="s">
        <v>91</v>
      </c>
      <c r="I9" s="107" t="s">
        <v>91</v>
      </c>
      <c r="J9" s="107" t="s">
        <v>85</v>
      </c>
      <c r="K9" s="106" t="s">
        <v>687</v>
      </c>
      <c r="L9" s="107" t="s">
        <v>688</v>
      </c>
      <c r="M9" s="108">
        <v>44142.0</v>
      </c>
      <c r="N9" s="106" t="s">
        <v>701</v>
      </c>
      <c r="O9" s="109" t="s">
        <v>690</v>
      </c>
      <c r="P9" s="107" t="s">
        <v>691</v>
      </c>
      <c r="Q9" s="107" t="s">
        <v>691</v>
      </c>
      <c r="R9" s="110"/>
      <c r="S9" s="110"/>
      <c r="T9" s="110"/>
      <c r="U9" s="110"/>
      <c r="V9" s="110"/>
      <c r="W9" s="110"/>
      <c r="X9" s="110"/>
      <c r="Y9" s="110"/>
      <c r="Z9" s="110"/>
    </row>
    <row r="10" ht="15.0" customHeight="1">
      <c r="A10" s="105" t="s">
        <v>709</v>
      </c>
      <c r="B10" s="153" t="s">
        <v>696</v>
      </c>
      <c r="C10" s="106" t="s">
        <v>450</v>
      </c>
      <c r="D10" s="107" t="s">
        <v>83</v>
      </c>
      <c r="E10" s="106" t="s">
        <v>685</v>
      </c>
      <c r="F10" s="107">
        <v>3.99253942E8</v>
      </c>
      <c r="G10" s="114" t="s">
        <v>686</v>
      </c>
      <c r="H10" s="107" t="s">
        <v>91</v>
      </c>
      <c r="I10" s="107" t="s">
        <v>91</v>
      </c>
      <c r="J10" s="107" t="s">
        <v>85</v>
      </c>
      <c r="K10" s="106" t="s">
        <v>687</v>
      </c>
      <c r="L10" s="107" t="s">
        <v>688</v>
      </c>
      <c r="M10" s="108">
        <v>44142.0</v>
      </c>
      <c r="N10" s="106" t="s">
        <v>701</v>
      </c>
      <c r="O10" s="109" t="s">
        <v>690</v>
      </c>
      <c r="P10" s="107" t="s">
        <v>691</v>
      </c>
      <c r="Q10" s="107" t="s">
        <v>691</v>
      </c>
      <c r="R10" s="110"/>
      <c r="S10" s="110"/>
      <c r="T10" s="110"/>
      <c r="U10" s="110"/>
      <c r="V10" s="110"/>
      <c r="W10" s="110"/>
      <c r="X10" s="110"/>
      <c r="Y10" s="110"/>
      <c r="Z10" s="110"/>
    </row>
    <row r="11">
      <c r="A11" s="105" t="s">
        <v>710</v>
      </c>
      <c r="B11" s="153" t="s">
        <v>696</v>
      </c>
      <c r="C11" s="106" t="s">
        <v>105</v>
      </c>
      <c r="D11" s="107" t="s">
        <v>83</v>
      </c>
      <c r="E11" s="106" t="s">
        <v>685</v>
      </c>
      <c r="F11" s="107" t="s">
        <v>106</v>
      </c>
      <c r="G11" s="105" t="s">
        <v>686</v>
      </c>
      <c r="H11" s="107" t="s">
        <v>91</v>
      </c>
      <c r="I11" s="107" t="s">
        <v>91</v>
      </c>
      <c r="J11" s="107" t="s">
        <v>85</v>
      </c>
      <c r="K11" s="106" t="s">
        <v>687</v>
      </c>
      <c r="L11" s="107" t="s">
        <v>688</v>
      </c>
      <c r="M11" s="108">
        <v>44142.0</v>
      </c>
      <c r="N11" s="106" t="s">
        <v>689</v>
      </c>
      <c r="O11" s="109" t="s">
        <v>690</v>
      </c>
      <c r="P11" s="107" t="s">
        <v>691</v>
      </c>
      <c r="Q11" s="107" t="s">
        <v>691</v>
      </c>
      <c r="R11" s="110"/>
      <c r="S11" s="110"/>
      <c r="T11" s="110"/>
      <c r="U11" s="110"/>
      <c r="V11" s="110"/>
      <c r="W11" s="110"/>
      <c r="X11" s="110"/>
      <c r="Y11" s="110"/>
      <c r="Z11" s="110"/>
    </row>
    <row r="12">
      <c r="A12" s="105" t="s">
        <v>94</v>
      </c>
      <c r="B12" s="154" t="s">
        <v>696</v>
      </c>
      <c r="C12" s="106" t="s">
        <v>711</v>
      </c>
      <c r="D12" s="107" t="s">
        <v>83</v>
      </c>
      <c r="E12" s="106" t="s">
        <v>685</v>
      </c>
      <c r="F12" s="107" t="s">
        <v>96</v>
      </c>
      <c r="G12" s="105" t="s">
        <v>686</v>
      </c>
      <c r="H12" s="107" t="s">
        <v>91</v>
      </c>
      <c r="I12" s="107" t="s">
        <v>91</v>
      </c>
      <c r="J12" s="107" t="s">
        <v>85</v>
      </c>
      <c r="K12" s="106" t="s">
        <v>687</v>
      </c>
      <c r="L12" s="107" t="s">
        <v>688</v>
      </c>
      <c r="M12" s="108">
        <v>44142.0</v>
      </c>
      <c r="N12" s="106" t="s">
        <v>689</v>
      </c>
      <c r="O12" s="109" t="s">
        <v>690</v>
      </c>
      <c r="P12" s="107" t="s">
        <v>691</v>
      </c>
      <c r="Q12" s="107" t="s">
        <v>691</v>
      </c>
      <c r="R12" s="110"/>
      <c r="S12" s="110"/>
      <c r="T12" s="110"/>
      <c r="U12" s="110"/>
      <c r="V12" s="110"/>
      <c r="W12" s="110"/>
      <c r="X12" s="110"/>
      <c r="Y12" s="110"/>
      <c r="Z12" s="110"/>
    </row>
    <row r="13">
      <c r="A13" s="105" t="s">
        <v>379</v>
      </c>
      <c r="B13" s="154" t="s">
        <v>696</v>
      </c>
      <c r="C13" s="106" t="s">
        <v>712</v>
      </c>
      <c r="D13" s="107" t="s">
        <v>83</v>
      </c>
      <c r="E13" s="106" t="s">
        <v>713</v>
      </c>
      <c r="F13" s="107">
        <v>1.0</v>
      </c>
      <c r="G13" s="112" t="s">
        <v>91</v>
      </c>
      <c r="H13" s="107" t="s">
        <v>91</v>
      </c>
      <c r="I13" s="107" t="s">
        <v>91</v>
      </c>
      <c r="J13" s="107" t="s">
        <v>85</v>
      </c>
      <c r="K13" s="106" t="s">
        <v>687</v>
      </c>
      <c r="L13" s="107" t="s">
        <v>714</v>
      </c>
      <c r="M13" s="108">
        <v>44142.0</v>
      </c>
      <c r="N13" s="106" t="s">
        <v>689</v>
      </c>
      <c r="O13" s="109" t="s">
        <v>690</v>
      </c>
      <c r="P13" s="107" t="s">
        <v>691</v>
      </c>
      <c r="Q13" s="107" t="s">
        <v>691</v>
      </c>
      <c r="R13" s="110"/>
      <c r="S13" s="110"/>
      <c r="T13" s="110"/>
      <c r="U13" s="110"/>
      <c r="V13" s="110"/>
      <c r="W13" s="110"/>
      <c r="X13" s="110"/>
      <c r="Y13" s="110"/>
      <c r="Z13" s="110"/>
    </row>
    <row r="14">
      <c r="A14" s="105" t="s">
        <v>715</v>
      </c>
      <c r="B14" s="153" t="s">
        <v>696</v>
      </c>
      <c r="C14" s="106" t="s">
        <v>716</v>
      </c>
      <c r="D14" s="107" t="s">
        <v>83</v>
      </c>
      <c r="E14" s="106" t="s">
        <v>685</v>
      </c>
      <c r="F14" s="107" t="s">
        <v>109</v>
      </c>
      <c r="G14" s="105" t="s">
        <v>686</v>
      </c>
      <c r="H14" s="107" t="s">
        <v>91</v>
      </c>
      <c r="I14" s="107" t="s">
        <v>91</v>
      </c>
      <c r="J14" s="107" t="s">
        <v>85</v>
      </c>
      <c r="K14" s="106" t="s">
        <v>687</v>
      </c>
      <c r="L14" s="107" t="s">
        <v>688</v>
      </c>
      <c r="M14" s="108">
        <v>44142.0</v>
      </c>
      <c r="N14" s="106" t="s">
        <v>692</v>
      </c>
      <c r="O14" s="109" t="s">
        <v>690</v>
      </c>
      <c r="P14" s="107" t="s">
        <v>702</v>
      </c>
      <c r="Q14" s="107" t="s">
        <v>702</v>
      </c>
      <c r="R14" s="110"/>
      <c r="S14" s="110"/>
      <c r="T14" s="110"/>
      <c r="U14" s="110"/>
      <c r="V14" s="110"/>
      <c r="W14" s="110"/>
      <c r="X14" s="110"/>
      <c r="Y14" s="110"/>
      <c r="Z14" s="110"/>
    </row>
    <row r="15">
      <c r="A15" s="105" t="s">
        <v>717</v>
      </c>
      <c r="B15" s="153" t="s">
        <v>696</v>
      </c>
      <c r="C15" s="106" t="s">
        <v>1319</v>
      </c>
      <c r="D15" s="107" t="s">
        <v>83</v>
      </c>
      <c r="E15" s="106" t="s">
        <v>1313</v>
      </c>
      <c r="F15" s="107" t="s">
        <v>112</v>
      </c>
      <c r="G15" s="105" t="s">
        <v>686</v>
      </c>
      <c r="H15" s="107" t="s">
        <v>91</v>
      </c>
      <c r="I15" s="107" t="s">
        <v>91</v>
      </c>
      <c r="J15" s="107" t="s">
        <v>85</v>
      </c>
      <c r="K15" s="106" t="s">
        <v>687</v>
      </c>
      <c r="L15" s="107" t="s">
        <v>688</v>
      </c>
      <c r="M15" s="108">
        <v>44142.0</v>
      </c>
      <c r="N15" s="106" t="s">
        <v>1314</v>
      </c>
      <c r="O15" s="109" t="s">
        <v>690</v>
      </c>
      <c r="P15" s="107" t="s">
        <v>691</v>
      </c>
      <c r="Q15" s="107" t="s">
        <v>691</v>
      </c>
      <c r="R15" s="110"/>
      <c r="S15" s="110"/>
      <c r="T15" s="110"/>
      <c r="U15" s="110"/>
      <c r="V15" s="110"/>
      <c r="W15" s="110"/>
      <c r="X15" s="110"/>
      <c r="Y15" s="110"/>
      <c r="Z15" s="110"/>
    </row>
    <row r="16">
      <c r="A16" s="105" t="s">
        <v>365</v>
      </c>
      <c r="B16" s="154" t="s">
        <v>197</v>
      </c>
      <c r="C16" s="106" t="s">
        <v>719</v>
      </c>
      <c r="D16" s="107" t="s">
        <v>185</v>
      </c>
      <c r="E16" s="106" t="s">
        <v>720</v>
      </c>
      <c r="F16" s="115" t="b">
        <v>1</v>
      </c>
      <c r="G16" s="112" t="s">
        <v>91</v>
      </c>
      <c r="H16" s="107" t="s">
        <v>91</v>
      </c>
      <c r="I16" s="107" t="s">
        <v>91</v>
      </c>
      <c r="J16" s="107" t="s">
        <v>85</v>
      </c>
      <c r="K16" s="106" t="s">
        <v>687</v>
      </c>
      <c r="L16" s="107" t="s">
        <v>688</v>
      </c>
      <c r="M16" s="108">
        <v>44142.0</v>
      </c>
      <c r="N16" s="106" t="s">
        <v>692</v>
      </c>
      <c r="O16" s="109" t="s">
        <v>690</v>
      </c>
      <c r="P16" s="107" t="s">
        <v>721</v>
      </c>
      <c r="Q16" s="107" t="s">
        <v>721</v>
      </c>
      <c r="R16" s="110"/>
      <c r="S16" s="110"/>
      <c r="T16" s="110"/>
      <c r="U16" s="110"/>
      <c r="V16" s="110"/>
      <c r="W16" s="110"/>
      <c r="X16" s="110"/>
      <c r="Y16" s="110"/>
      <c r="Z16" s="110"/>
    </row>
    <row r="17">
      <c r="A17" s="105" t="s">
        <v>513</v>
      </c>
      <c r="B17" s="154" t="s">
        <v>197</v>
      </c>
      <c r="C17" s="106" t="s">
        <v>722</v>
      </c>
      <c r="D17" s="107" t="s">
        <v>185</v>
      </c>
      <c r="E17" s="106" t="s">
        <v>720</v>
      </c>
      <c r="F17" s="115" t="b">
        <v>1</v>
      </c>
      <c r="G17" s="106" t="s">
        <v>723</v>
      </c>
      <c r="H17" s="107" t="s">
        <v>91</v>
      </c>
      <c r="I17" s="106" t="s">
        <v>723</v>
      </c>
      <c r="J17" s="107" t="s">
        <v>85</v>
      </c>
      <c r="K17" s="106" t="s">
        <v>687</v>
      </c>
      <c r="L17" s="107" t="s">
        <v>688</v>
      </c>
      <c r="M17" s="108">
        <v>44142.0</v>
      </c>
      <c r="N17" s="106" t="s">
        <v>692</v>
      </c>
      <c r="O17" s="109" t="s">
        <v>690</v>
      </c>
      <c r="P17" s="107" t="s">
        <v>724</v>
      </c>
      <c r="Q17" s="107" t="s">
        <v>724</v>
      </c>
      <c r="R17" s="110"/>
      <c r="S17" s="110"/>
      <c r="T17" s="110"/>
      <c r="U17" s="110"/>
      <c r="V17" s="110"/>
      <c r="W17" s="110"/>
      <c r="X17" s="110"/>
      <c r="Y17" s="110"/>
      <c r="Z17" s="110"/>
    </row>
    <row r="18">
      <c r="A18" s="105" t="s">
        <v>725</v>
      </c>
      <c r="B18" s="154" t="s">
        <v>52</v>
      </c>
      <c r="C18" s="106" t="s">
        <v>726</v>
      </c>
      <c r="D18" s="107" t="s">
        <v>185</v>
      </c>
      <c r="E18" s="106" t="s">
        <v>698</v>
      </c>
      <c r="F18" s="113">
        <v>43695.0</v>
      </c>
      <c r="G18" s="106" t="s">
        <v>723</v>
      </c>
      <c r="H18" s="107" t="s">
        <v>91</v>
      </c>
      <c r="I18" s="106" t="s">
        <v>723</v>
      </c>
      <c r="J18" s="107" t="s">
        <v>85</v>
      </c>
      <c r="K18" s="106" t="s">
        <v>687</v>
      </c>
      <c r="L18" s="107" t="s">
        <v>688</v>
      </c>
      <c r="M18" s="108">
        <v>44142.0</v>
      </c>
      <c r="N18" s="106" t="s">
        <v>727</v>
      </c>
      <c r="O18" s="109" t="s">
        <v>690</v>
      </c>
      <c r="P18" s="107" t="s">
        <v>721</v>
      </c>
      <c r="Q18" s="107" t="s">
        <v>721</v>
      </c>
      <c r="R18" s="110"/>
      <c r="S18" s="110"/>
      <c r="T18" s="110"/>
      <c r="U18" s="110"/>
      <c r="V18" s="110"/>
      <c r="W18" s="110"/>
      <c r="X18" s="110"/>
      <c r="Y18" s="110"/>
      <c r="Z18" s="110"/>
    </row>
    <row r="19">
      <c r="A19" s="105" t="s">
        <v>728</v>
      </c>
      <c r="B19" s="154" t="s">
        <v>52</v>
      </c>
      <c r="C19" s="106" t="s">
        <v>729</v>
      </c>
      <c r="D19" s="107" t="s">
        <v>185</v>
      </c>
      <c r="E19" s="106" t="s">
        <v>720</v>
      </c>
      <c r="F19" s="115" t="b">
        <v>1</v>
      </c>
      <c r="G19" s="106" t="s">
        <v>723</v>
      </c>
      <c r="H19" s="107" t="s">
        <v>91</v>
      </c>
      <c r="I19" s="106" t="s">
        <v>723</v>
      </c>
      <c r="J19" s="107" t="s">
        <v>85</v>
      </c>
      <c r="K19" s="106" t="s">
        <v>687</v>
      </c>
      <c r="L19" s="107" t="s">
        <v>688</v>
      </c>
      <c r="M19" s="108">
        <v>44142.0</v>
      </c>
      <c r="N19" s="106" t="s">
        <v>701</v>
      </c>
      <c r="O19" s="109" t="s">
        <v>690</v>
      </c>
      <c r="P19" s="107" t="s">
        <v>721</v>
      </c>
      <c r="Q19" s="107" t="s">
        <v>721</v>
      </c>
      <c r="R19" s="110"/>
      <c r="S19" s="110"/>
      <c r="T19" s="110"/>
      <c r="U19" s="110"/>
      <c r="V19" s="110"/>
      <c r="W19" s="110"/>
      <c r="X19" s="110"/>
      <c r="Y19" s="110"/>
      <c r="Z19" s="110"/>
    </row>
    <row r="20">
      <c r="A20" s="105" t="s">
        <v>730</v>
      </c>
      <c r="B20" s="154" t="s">
        <v>52</v>
      </c>
      <c r="C20" s="106" t="s">
        <v>731</v>
      </c>
      <c r="D20" s="107" t="s">
        <v>185</v>
      </c>
      <c r="E20" s="106" t="s">
        <v>698</v>
      </c>
      <c r="F20" s="113">
        <v>43763.0</v>
      </c>
      <c r="G20" s="106" t="s">
        <v>723</v>
      </c>
      <c r="H20" s="107" t="s">
        <v>91</v>
      </c>
      <c r="I20" s="106" t="s">
        <v>723</v>
      </c>
      <c r="J20" s="107" t="s">
        <v>85</v>
      </c>
      <c r="K20" s="106" t="s">
        <v>687</v>
      </c>
      <c r="L20" s="107" t="s">
        <v>688</v>
      </c>
      <c r="M20" s="108">
        <v>44142.0</v>
      </c>
      <c r="N20" s="106" t="s">
        <v>701</v>
      </c>
      <c r="O20" s="109" t="s">
        <v>732</v>
      </c>
      <c r="P20" s="107" t="s">
        <v>721</v>
      </c>
      <c r="Q20" s="107" t="s">
        <v>721</v>
      </c>
      <c r="R20" s="110"/>
      <c r="S20" s="110"/>
      <c r="T20" s="110"/>
      <c r="U20" s="110"/>
      <c r="V20" s="110"/>
      <c r="W20" s="110"/>
      <c r="X20" s="110"/>
      <c r="Y20" s="110"/>
      <c r="Z20" s="110"/>
    </row>
    <row r="21" ht="38.25" customHeight="1">
      <c r="A21" s="105" t="s">
        <v>733</v>
      </c>
      <c r="B21" s="154" t="s">
        <v>52</v>
      </c>
      <c r="C21" s="106" t="s">
        <v>734</v>
      </c>
      <c r="D21" s="107" t="s">
        <v>185</v>
      </c>
      <c r="E21" s="106" t="s">
        <v>720</v>
      </c>
      <c r="F21" s="115" t="b">
        <v>1</v>
      </c>
      <c r="G21" s="106" t="s">
        <v>723</v>
      </c>
      <c r="H21" s="107" t="s">
        <v>91</v>
      </c>
      <c r="I21" s="106" t="s">
        <v>723</v>
      </c>
      <c r="J21" s="107" t="s">
        <v>85</v>
      </c>
      <c r="K21" s="106" t="s">
        <v>687</v>
      </c>
      <c r="L21" s="107" t="s">
        <v>688</v>
      </c>
      <c r="M21" s="108">
        <v>44142.0</v>
      </c>
      <c r="N21" s="106" t="s">
        <v>735</v>
      </c>
      <c r="O21" s="116" t="s">
        <v>736</v>
      </c>
      <c r="P21" s="107" t="s">
        <v>721</v>
      </c>
      <c r="Q21" s="107" t="s">
        <v>721</v>
      </c>
      <c r="R21" s="110"/>
      <c r="S21" s="110"/>
      <c r="T21" s="110"/>
      <c r="U21" s="110"/>
      <c r="V21" s="110"/>
      <c r="W21" s="110"/>
      <c r="X21" s="110"/>
      <c r="Y21" s="110"/>
      <c r="Z21" s="110"/>
    </row>
    <row r="22">
      <c r="A22" s="105" t="s">
        <v>737</v>
      </c>
      <c r="B22" s="154" t="s">
        <v>52</v>
      </c>
      <c r="C22" s="106" t="s">
        <v>738</v>
      </c>
      <c r="D22" s="107" t="s">
        <v>185</v>
      </c>
      <c r="E22" s="106" t="s">
        <v>685</v>
      </c>
      <c r="F22" s="107" t="s">
        <v>318</v>
      </c>
      <c r="G22" s="106" t="s">
        <v>723</v>
      </c>
      <c r="H22" s="107" t="s">
        <v>91</v>
      </c>
      <c r="I22" s="106" t="s">
        <v>723</v>
      </c>
      <c r="J22" s="107" t="s">
        <v>85</v>
      </c>
      <c r="K22" s="106" t="s">
        <v>687</v>
      </c>
      <c r="L22" s="107" t="s">
        <v>688</v>
      </c>
      <c r="M22" s="108">
        <v>44142.0</v>
      </c>
      <c r="N22" s="106" t="s">
        <v>727</v>
      </c>
      <c r="O22" s="109" t="s">
        <v>690</v>
      </c>
      <c r="P22" s="107" t="s">
        <v>721</v>
      </c>
      <c r="Q22" s="107" t="s">
        <v>721</v>
      </c>
      <c r="R22" s="110"/>
      <c r="S22" s="110"/>
      <c r="T22" s="110"/>
      <c r="U22" s="110"/>
      <c r="V22" s="110"/>
      <c r="W22" s="110"/>
      <c r="X22" s="110"/>
      <c r="Y22" s="110"/>
      <c r="Z22" s="110"/>
    </row>
    <row r="23">
      <c r="A23" s="105" t="s">
        <v>739</v>
      </c>
      <c r="B23" s="154" t="s">
        <v>197</v>
      </c>
      <c r="C23" s="106" t="s">
        <v>740</v>
      </c>
      <c r="D23" s="107" t="s">
        <v>83</v>
      </c>
      <c r="E23" s="106" t="s">
        <v>720</v>
      </c>
      <c r="F23" s="115" t="b">
        <v>1</v>
      </c>
      <c r="G23" s="117" t="s">
        <v>86</v>
      </c>
      <c r="H23" s="107" t="s">
        <v>91</v>
      </c>
      <c r="I23" s="107" t="s">
        <v>91</v>
      </c>
      <c r="J23" s="117" t="s">
        <v>85</v>
      </c>
      <c r="K23" s="106" t="s">
        <v>687</v>
      </c>
      <c r="L23" s="107" t="s">
        <v>688</v>
      </c>
      <c r="M23" s="108">
        <v>44142.0</v>
      </c>
      <c r="N23" s="106" t="s">
        <v>741</v>
      </c>
      <c r="O23" s="109" t="s">
        <v>690</v>
      </c>
      <c r="P23" s="107" t="s">
        <v>702</v>
      </c>
      <c r="Q23" s="107" t="s">
        <v>702</v>
      </c>
      <c r="R23" s="110"/>
      <c r="S23" s="110"/>
      <c r="T23" s="110"/>
      <c r="U23" s="110"/>
      <c r="V23" s="110"/>
      <c r="W23" s="110"/>
      <c r="X23" s="110"/>
      <c r="Y23" s="110"/>
      <c r="Z23" s="110"/>
    </row>
    <row r="24">
      <c r="A24" s="105" t="s">
        <v>742</v>
      </c>
      <c r="B24" s="154" t="s">
        <v>696</v>
      </c>
      <c r="C24" s="106" t="s">
        <v>743</v>
      </c>
      <c r="D24" s="107" t="s">
        <v>83</v>
      </c>
      <c r="E24" s="106" t="s">
        <v>698</v>
      </c>
      <c r="F24" s="118">
        <v>44229.0</v>
      </c>
      <c r="G24" s="105" t="s">
        <v>686</v>
      </c>
      <c r="H24" s="107" t="s">
        <v>91</v>
      </c>
      <c r="I24" s="107" t="s">
        <v>91</v>
      </c>
      <c r="J24" s="107" t="s">
        <v>85</v>
      </c>
      <c r="K24" s="106" t="s">
        <v>687</v>
      </c>
      <c r="L24" s="107" t="s">
        <v>688</v>
      </c>
      <c r="M24" s="108">
        <v>44142.0</v>
      </c>
      <c r="N24" s="106" t="s">
        <v>701</v>
      </c>
      <c r="O24" s="109" t="s">
        <v>690</v>
      </c>
      <c r="P24" s="107" t="s">
        <v>744</v>
      </c>
      <c r="Q24" s="107" t="s">
        <v>744</v>
      </c>
      <c r="R24" s="110"/>
      <c r="S24" s="110"/>
      <c r="T24" s="110"/>
      <c r="U24" s="110"/>
      <c r="V24" s="110"/>
      <c r="W24" s="110"/>
      <c r="X24" s="110"/>
      <c r="Y24" s="110"/>
      <c r="Z24" s="110"/>
    </row>
    <row r="25">
      <c r="A25" s="105" t="s">
        <v>377</v>
      </c>
      <c r="B25" s="154" t="s">
        <v>197</v>
      </c>
      <c r="C25" s="106" t="s">
        <v>378</v>
      </c>
      <c r="D25" s="107" t="s">
        <v>185</v>
      </c>
      <c r="E25" s="106" t="s">
        <v>720</v>
      </c>
      <c r="F25" s="115" t="b">
        <v>1</v>
      </c>
      <c r="G25" s="112" t="s">
        <v>91</v>
      </c>
      <c r="H25" s="107" t="s">
        <v>91</v>
      </c>
      <c r="I25" s="107" t="s">
        <v>91</v>
      </c>
      <c r="J25" s="107" t="s">
        <v>85</v>
      </c>
      <c r="K25" s="106" t="s">
        <v>687</v>
      </c>
      <c r="L25" s="107" t="s">
        <v>688</v>
      </c>
      <c r="M25" s="108">
        <v>44142.0</v>
      </c>
      <c r="N25" s="106" t="s">
        <v>741</v>
      </c>
      <c r="O25" s="109" t="s">
        <v>690</v>
      </c>
      <c r="P25" s="107" t="s">
        <v>745</v>
      </c>
      <c r="Q25" s="107" t="s">
        <v>745</v>
      </c>
      <c r="R25" s="110"/>
      <c r="S25" s="110"/>
      <c r="T25" s="110"/>
      <c r="U25" s="110"/>
      <c r="V25" s="110"/>
      <c r="W25" s="110"/>
      <c r="X25" s="110"/>
      <c r="Y25" s="110"/>
      <c r="Z25" s="110"/>
    </row>
    <row r="26">
      <c r="A26" s="105" t="s">
        <v>746</v>
      </c>
      <c r="B26" s="154" t="s">
        <v>197</v>
      </c>
      <c r="C26" s="106" t="s">
        <v>747</v>
      </c>
      <c r="D26" s="107" t="s">
        <v>185</v>
      </c>
      <c r="E26" s="106" t="s">
        <v>698</v>
      </c>
      <c r="F26" s="113">
        <v>43704.0</v>
      </c>
      <c r="G26" s="106" t="s">
        <v>723</v>
      </c>
      <c r="H26" s="107" t="s">
        <v>91</v>
      </c>
      <c r="I26" s="106" t="s">
        <v>723</v>
      </c>
      <c r="J26" s="107" t="s">
        <v>85</v>
      </c>
      <c r="K26" s="106" t="s">
        <v>687</v>
      </c>
      <c r="L26" s="107" t="s">
        <v>688</v>
      </c>
      <c r="M26" s="108">
        <v>44142.0</v>
      </c>
      <c r="N26" s="106" t="s">
        <v>692</v>
      </c>
      <c r="O26" s="109" t="s">
        <v>690</v>
      </c>
      <c r="P26" s="107" t="s">
        <v>724</v>
      </c>
      <c r="Q26" s="107" t="s">
        <v>724</v>
      </c>
      <c r="R26" s="110"/>
      <c r="S26" s="110"/>
      <c r="T26" s="110"/>
      <c r="U26" s="110"/>
      <c r="V26" s="110"/>
      <c r="W26" s="110"/>
      <c r="X26" s="110"/>
      <c r="Y26" s="110"/>
      <c r="Z26" s="110"/>
    </row>
    <row r="27" ht="192.0" customHeight="1">
      <c r="A27" s="105" t="s">
        <v>395</v>
      </c>
      <c r="B27" s="154" t="s">
        <v>58</v>
      </c>
      <c r="C27" s="106" t="s">
        <v>748</v>
      </c>
      <c r="D27" s="107" t="s">
        <v>185</v>
      </c>
      <c r="E27" s="106" t="s">
        <v>685</v>
      </c>
      <c r="F27" s="107" t="s">
        <v>96</v>
      </c>
      <c r="G27" s="112" t="s">
        <v>86</v>
      </c>
      <c r="H27" s="107" t="s">
        <v>91</v>
      </c>
      <c r="I27" s="107" t="s">
        <v>91</v>
      </c>
      <c r="J27" s="107" t="s">
        <v>85</v>
      </c>
      <c r="K27" s="106" t="s">
        <v>749</v>
      </c>
      <c r="L27" s="107" t="s">
        <v>749</v>
      </c>
      <c r="M27" s="108">
        <v>44075.0</v>
      </c>
      <c r="N27" s="106" t="s">
        <v>692</v>
      </c>
      <c r="O27" s="109" t="s">
        <v>690</v>
      </c>
      <c r="P27" s="107" t="s">
        <v>750</v>
      </c>
      <c r="Q27" s="107" t="s">
        <v>750</v>
      </c>
      <c r="R27" s="110"/>
      <c r="S27" s="110"/>
      <c r="T27" s="110"/>
      <c r="U27" s="110"/>
      <c r="V27" s="110"/>
      <c r="W27" s="110"/>
      <c r="X27" s="110"/>
      <c r="Y27" s="110"/>
      <c r="Z27" s="110"/>
    </row>
    <row r="28" ht="15.75" customHeight="1">
      <c r="A28" s="105" t="s">
        <v>751</v>
      </c>
      <c r="B28" s="154" t="s">
        <v>197</v>
      </c>
      <c r="C28" s="106" t="s">
        <v>752</v>
      </c>
      <c r="D28" s="107" t="s">
        <v>185</v>
      </c>
      <c r="E28" s="106" t="s">
        <v>698</v>
      </c>
      <c r="F28" s="113">
        <v>43673.0</v>
      </c>
      <c r="G28" s="106" t="s">
        <v>723</v>
      </c>
      <c r="H28" s="107" t="s">
        <v>91</v>
      </c>
      <c r="I28" s="106" t="s">
        <v>723</v>
      </c>
      <c r="J28" s="107" t="s">
        <v>85</v>
      </c>
      <c r="K28" s="106" t="s">
        <v>687</v>
      </c>
      <c r="L28" s="107" t="s">
        <v>688</v>
      </c>
      <c r="M28" s="108">
        <v>44142.0</v>
      </c>
      <c r="N28" s="106" t="s">
        <v>692</v>
      </c>
      <c r="O28" s="109" t="s">
        <v>690</v>
      </c>
      <c r="P28" s="107" t="s">
        <v>724</v>
      </c>
      <c r="Q28" s="107" t="s">
        <v>724</v>
      </c>
      <c r="R28" s="110"/>
      <c r="S28" s="110"/>
      <c r="T28" s="110"/>
      <c r="U28" s="110"/>
      <c r="V28" s="110"/>
      <c r="W28" s="110"/>
      <c r="X28" s="110"/>
      <c r="Y28" s="110"/>
      <c r="Z28" s="110"/>
    </row>
    <row r="29" ht="15.75" customHeight="1">
      <c r="A29" s="105" t="s">
        <v>753</v>
      </c>
      <c r="B29" s="154" t="s">
        <v>52</v>
      </c>
      <c r="C29" s="106" t="s">
        <v>754</v>
      </c>
      <c r="D29" s="107" t="s">
        <v>185</v>
      </c>
      <c r="E29" s="106" t="s">
        <v>698</v>
      </c>
      <c r="F29" s="113">
        <v>43763.0</v>
      </c>
      <c r="G29" s="106" t="s">
        <v>723</v>
      </c>
      <c r="H29" s="112" t="s">
        <v>91</v>
      </c>
      <c r="I29" s="106" t="s">
        <v>723</v>
      </c>
      <c r="J29" s="107" t="s">
        <v>85</v>
      </c>
      <c r="K29" s="106" t="s">
        <v>687</v>
      </c>
      <c r="L29" s="107" t="s">
        <v>688</v>
      </c>
      <c r="M29" s="108">
        <v>44142.0</v>
      </c>
      <c r="N29" s="106" t="s">
        <v>735</v>
      </c>
      <c r="O29" s="116" t="s">
        <v>736</v>
      </c>
      <c r="P29" s="107" t="s">
        <v>721</v>
      </c>
      <c r="Q29" s="107" t="s">
        <v>721</v>
      </c>
      <c r="R29" s="110"/>
      <c r="S29" s="110"/>
      <c r="T29" s="110"/>
      <c r="U29" s="110"/>
      <c r="V29" s="110"/>
      <c r="W29" s="110"/>
      <c r="X29" s="110"/>
      <c r="Y29" s="110"/>
      <c r="Z29" s="110"/>
    </row>
    <row r="30" ht="15.75" customHeight="1">
      <c r="A30" s="105" t="s">
        <v>755</v>
      </c>
      <c r="B30" s="154" t="s">
        <v>52</v>
      </c>
      <c r="C30" s="106" t="s">
        <v>756</v>
      </c>
      <c r="D30" s="107" t="s">
        <v>185</v>
      </c>
      <c r="E30" s="106" t="s">
        <v>685</v>
      </c>
      <c r="F30" s="107" t="s">
        <v>757</v>
      </c>
      <c r="G30" s="106" t="s">
        <v>723</v>
      </c>
      <c r="H30" s="112" t="s">
        <v>91</v>
      </c>
      <c r="I30" s="106" t="s">
        <v>723</v>
      </c>
      <c r="J30" s="107" t="s">
        <v>85</v>
      </c>
      <c r="K30" s="106" t="s">
        <v>687</v>
      </c>
      <c r="L30" s="107" t="s">
        <v>688</v>
      </c>
      <c r="M30" s="108">
        <v>44142.0</v>
      </c>
      <c r="N30" s="106" t="s">
        <v>735</v>
      </c>
      <c r="O30" s="116" t="s">
        <v>736</v>
      </c>
      <c r="P30" s="107" t="s">
        <v>721</v>
      </c>
      <c r="Q30" s="107" t="s">
        <v>721</v>
      </c>
      <c r="R30" s="110"/>
      <c r="S30" s="110"/>
      <c r="T30" s="110"/>
      <c r="U30" s="110"/>
      <c r="V30" s="110"/>
      <c r="W30" s="110"/>
      <c r="X30" s="110"/>
      <c r="Y30" s="110"/>
      <c r="Z30" s="110"/>
    </row>
    <row r="31" ht="15.75" customHeight="1">
      <c r="A31" s="105" t="s">
        <v>758</v>
      </c>
      <c r="B31" s="154" t="s">
        <v>197</v>
      </c>
      <c r="C31" s="106" t="s">
        <v>759</v>
      </c>
      <c r="D31" s="107" t="s">
        <v>185</v>
      </c>
      <c r="E31" s="106" t="s">
        <v>713</v>
      </c>
      <c r="F31" s="107">
        <v>9.0</v>
      </c>
      <c r="G31" s="106" t="s">
        <v>723</v>
      </c>
      <c r="H31" s="112" t="s">
        <v>91</v>
      </c>
      <c r="I31" s="106" t="s">
        <v>723</v>
      </c>
      <c r="J31" s="107" t="s">
        <v>85</v>
      </c>
      <c r="K31" s="106" t="s">
        <v>687</v>
      </c>
      <c r="L31" s="107" t="s">
        <v>760</v>
      </c>
      <c r="M31" s="108">
        <v>44141.0</v>
      </c>
      <c r="N31" s="106" t="s">
        <v>735</v>
      </c>
      <c r="O31" s="116" t="s">
        <v>736</v>
      </c>
      <c r="P31" s="107" t="s">
        <v>761</v>
      </c>
      <c r="Q31" s="107" t="s">
        <v>761</v>
      </c>
      <c r="R31" s="110"/>
      <c r="S31" s="110"/>
      <c r="T31" s="110"/>
      <c r="U31" s="110"/>
      <c r="V31" s="110"/>
      <c r="W31" s="110"/>
      <c r="X31" s="110"/>
      <c r="Y31" s="110"/>
      <c r="Z31" s="110"/>
    </row>
    <row r="32">
      <c r="A32" s="105" t="s">
        <v>233</v>
      </c>
      <c r="B32" s="154" t="s">
        <v>197</v>
      </c>
      <c r="C32" s="106" t="s">
        <v>762</v>
      </c>
      <c r="D32" s="107" t="s">
        <v>135</v>
      </c>
      <c r="E32" s="106" t="s">
        <v>713</v>
      </c>
      <c r="F32" s="107">
        <v>1.0</v>
      </c>
      <c r="G32" s="107" t="s">
        <v>136</v>
      </c>
      <c r="H32" s="107" t="s">
        <v>91</v>
      </c>
      <c r="I32" s="107" t="s">
        <v>91</v>
      </c>
      <c r="J32" s="107" t="s">
        <v>85</v>
      </c>
      <c r="K32" s="105" t="s">
        <v>749</v>
      </c>
      <c r="L32" s="112" t="s">
        <v>763</v>
      </c>
      <c r="M32" s="108">
        <v>44075.0</v>
      </c>
      <c r="N32" s="106" t="s">
        <v>764</v>
      </c>
      <c r="O32" s="116" t="s">
        <v>736</v>
      </c>
      <c r="P32" s="107" t="s">
        <v>761</v>
      </c>
      <c r="Q32" s="107" t="s">
        <v>761</v>
      </c>
      <c r="R32" s="110"/>
      <c r="S32" s="110"/>
      <c r="T32" s="110"/>
      <c r="U32" s="110"/>
      <c r="V32" s="110"/>
      <c r="W32" s="110"/>
      <c r="X32" s="110"/>
      <c r="Y32" s="110"/>
      <c r="Z32" s="110"/>
    </row>
    <row r="33" ht="15.75" customHeight="1">
      <c r="A33" s="105" t="s">
        <v>461</v>
      </c>
      <c r="B33" s="153" t="s">
        <v>696</v>
      </c>
      <c r="C33" s="106" t="s">
        <v>462</v>
      </c>
      <c r="D33" s="107" t="s">
        <v>83</v>
      </c>
      <c r="E33" s="106" t="s">
        <v>685</v>
      </c>
      <c r="F33" s="107" t="s">
        <v>463</v>
      </c>
      <c r="G33" s="105" t="s">
        <v>686</v>
      </c>
      <c r="H33" s="107" t="s">
        <v>91</v>
      </c>
      <c r="I33" s="112" t="s">
        <v>87</v>
      </c>
      <c r="J33" s="107" t="s">
        <v>85</v>
      </c>
      <c r="K33" s="106" t="s">
        <v>687</v>
      </c>
      <c r="L33" s="107" t="s">
        <v>688</v>
      </c>
      <c r="M33" s="108">
        <v>44142.0</v>
      </c>
      <c r="N33" s="106" t="s">
        <v>692</v>
      </c>
      <c r="O33" s="109" t="s">
        <v>690</v>
      </c>
      <c r="P33" s="107" t="s">
        <v>705</v>
      </c>
      <c r="Q33" s="107" t="s">
        <v>705</v>
      </c>
      <c r="R33" s="110"/>
      <c r="S33" s="110"/>
      <c r="T33" s="110"/>
      <c r="U33" s="110"/>
      <c r="V33" s="110"/>
      <c r="W33" s="110"/>
      <c r="X33" s="110"/>
      <c r="Y33" s="110"/>
      <c r="Z33" s="110"/>
    </row>
    <row r="34" ht="15.75" customHeight="1">
      <c r="A34" s="105" t="s">
        <v>467</v>
      </c>
      <c r="B34" s="154" t="s">
        <v>696</v>
      </c>
      <c r="C34" s="106" t="s">
        <v>468</v>
      </c>
      <c r="D34" s="107" t="s">
        <v>83</v>
      </c>
      <c r="E34" s="106" t="s">
        <v>685</v>
      </c>
      <c r="F34" s="107">
        <v>9.40904151E8</v>
      </c>
      <c r="G34" s="114" t="s">
        <v>686</v>
      </c>
      <c r="H34" s="107" t="s">
        <v>91</v>
      </c>
      <c r="I34" s="114" t="s">
        <v>91</v>
      </c>
      <c r="J34" s="107" t="s">
        <v>85</v>
      </c>
      <c r="K34" s="106" t="s">
        <v>687</v>
      </c>
      <c r="L34" s="107" t="s">
        <v>688</v>
      </c>
      <c r="M34" s="108">
        <v>44142.0</v>
      </c>
      <c r="N34" s="106" t="s">
        <v>692</v>
      </c>
      <c r="O34" s="109" t="s">
        <v>690</v>
      </c>
      <c r="P34" s="107" t="s">
        <v>691</v>
      </c>
      <c r="Q34" s="107" t="s">
        <v>691</v>
      </c>
      <c r="R34" s="110"/>
      <c r="S34" s="110"/>
      <c r="T34" s="110"/>
      <c r="U34" s="110"/>
      <c r="V34" s="110"/>
      <c r="W34" s="110"/>
      <c r="X34" s="110"/>
      <c r="Y34" s="110"/>
      <c r="Z34" s="110"/>
    </row>
    <row r="35" ht="15.75" customHeight="1">
      <c r="A35" s="105" t="s">
        <v>469</v>
      </c>
      <c r="B35" s="154" t="s">
        <v>696</v>
      </c>
      <c r="C35" s="106" t="s">
        <v>765</v>
      </c>
      <c r="D35" s="107" t="s">
        <v>83</v>
      </c>
      <c r="E35" s="106" t="s">
        <v>685</v>
      </c>
      <c r="F35" s="107" t="s">
        <v>471</v>
      </c>
      <c r="G35" s="114" t="s">
        <v>686</v>
      </c>
      <c r="H35" s="107" t="s">
        <v>91</v>
      </c>
      <c r="I35" s="114" t="s">
        <v>91</v>
      </c>
      <c r="J35" s="107" t="s">
        <v>85</v>
      </c>
      <c r="K35" s="106" t="s">
        <v>687</v>
      </c>
      <c r="L35" s="107" t="s">
        <v>688</v>
      </c>
      <c r="M35" s="108">
        <v>44142.0</v>
      </c>
      <c r="N35" s="106" t="s">
        <v>692</v>
      </c>
      <c r="O35" s="109" t="s">
        <v>690</v>
      </c>
      <c r="P35" s="107" t="s">
        <v>691</v>
      </c>
      <c r="Q35" s="107" t="s">
        <v>691</v>
      </c>
      <c r="R35" s="110"/>
      <c r="S35" s="110"/>
      <c r="T35" s="110"/>
      <c r="U35" s="110"/>
      <c r="V35" s="110"/>
      <c r="W35" s="110"/>
      <c r="X35" s="110"/>
      <c r="Y35" s="110"/>
      <c r="Z35" s="110"/>
    </row>
    <row r="36" ht="15.75" customHeight="1">
      <c r="A36" s="105" t="s">
        <v>100</v>
      </c>
      <c r="B36" s="154" t="s">
        <v>696</v>
      </c>
      <c r="C36" s="106" t="s">
        <v>101</v>
      </c>
      <c r="D36" s="107" t="s">
        <v>83</v>
      </c>
      <c r="E36" s="106" t="s">
        <v>685</v>
      </c>
      <c r="F36" s="107" t="s">
        <v>103</v>
      </c>
      <c r="G36" s="112" t="s">
        <v>91</v>
      </c>
      <c r="H36" s="107" t="s">
        <v>91</v>
      </c>
      <c r="I36" s="107" t="s">
        <v>91</v>
      </c>
      <c r="J36" s="107" t="s">
        <v>85</v>
      </c>
      <c r="K36" s="106" t="s">
        <v>687</v>
      </c>
      <c r="L36" s="107" t="s">
        <v>688</v>
      </c>
      <c r="M36" s="108">
        <v>44142.0</v>
      </c>
      <c r="N36" s="106" t="s">
        <v>692</v>
      </c>
      <c r="O36" s="109" t="s">
        <v>690</v>
      </c>
      <c r="P36" s="107" t="s">
        <v>691</v>
      </c>
      <c r="Q36" s="107" t="s">
        <v>691</v>
      </c>
      <c r="R36" s="110"/>
      <c r="S36" s="110"/>
      <c r="T36" s="110"/>
      <c r="U36" s="110"/>
      <c r="V36" s="110"/>
      <c r="W36" s="110"/>
      <c r="X36" s="110"/>
      <c r="Y36" s="110"/>
      <c r="Z36" s="110"/>
    </row>
    <row r="37" ht="15.75" customHeight="1">
      <c r="A37" s="105" t="s">
        <v>766</v>
      </c>
      <c r="B37" s="154" t="s">
        <v>197</v>
      </c>
      <c r="C37" s="106" t="s">
        <v>767</v>
      </c>
      <c r="D37" s="107" t="s">
        <v>185</v>
      </c>
      <c r="E37" s="106" t="s">
        <v>768</v>
      </c>
      <c r="F37" s="107">
        <v>8.89</v>
      </c>
      <c r="G37" s="106" t="s">
        <v>723</v>
      </c>
      <c r="H37" s="107" t="s">
        <v>91</v>
      </c>
      <c r="I37" s="106" t="s">
        <v>723</v>
      </c>
      <c r="J37" s="107" t="s">
        <v>85</v>
      </c>
      <c r="K37" s="106" t="s">
        <v>687</v>
      </c>
      <c r="L37" s="107" t="s">
        <v>760</v>
      </c>
      <c r="M37" s="108">
        <v>44141.0</v>
      </c>
      <c r="N37" s="106" t="s">
        <v>735</v>
      </c>
      <c r="O37" s="116" t="s">
        <v>736</v>
      </c>
      <c r="P37" s="107" t="s">
        <v>761</v>
      </c>
      <c r="Q37" s="107" t="s">
        <v>761</v>
      </c>
      <c r="R37" s="110"/>
      <c r="S37" s="110"/>
      <c r="T37" s="110"/>
      <c r="U37" s="110"/>
      <c r="V37" s="110"/>
      <c r="W37" s="110"/>
      <c r="X37" s="110"/>
      <c r="Y37" s="110"/>
      <c r="Z37" s="110"/>
    </row>
    <row r="38" ht="15.75" customHeight="1">
      <c r="A38" s="105" t="s">
        <v>769</v>
      </c>
      <c r="B38" s="154" t="s">
        <v>44</v>
      </c>
      <c r="C38" s="106" t="s">
        <v>1320</v>
      </c>
      <c r="D38" s="107" t="s">
        <v>83</v>
      </c>
      <c r="E38" s="106" t="s">
        <v>698</v>
      </c>
      <c r="F38" s="119">
        <v>44023.666666666664</v>
      </c>
      <c r="G38" s="105" t="s">
        <v>1051</v>
      </c>
      <c r="H38" s="106" t="s">
        <v>1321</v>
      </c>
      <c r="I38" s="106" t="s">
        <v>1051</v>
      </c>
      <c r="J38" s="107" t="s">
        <v>85</v>
      </c>
      <c r="K38" s="106" t="s">
        <v>749</v>
      </c>
      <c r="L38" s="107" t="s">
        <v>688</v>
      </c>
      <c r="M38" s="108">
        <v>44130.0</v>
      </c>
      <c r="N38" s="106" t="s">
        <v>701</v>
      </c>
      <c r="O38" s="109" t="s">
        <v>690</v>
      </c>
      <c r="P38" s="107" t="s">
        <v>771</v>
      </c>
      <c r="Q38" s="107" t="s">
        <v>771</v>
      </c>
      <c r="R38" s="110"/>
      <c r="S38" s="110"/>
      <c r="T38" s="110"/>
      <c r="U38" s="110"/>
      <c r="V38" s="110"/>
      <c r="W38" s="110"/>
      <c r="X38" s="110"/>
      <c r="Y38" s="110"/>
      <c r="Z38" s="110"/>
    </row>
    <row r="39" ht="15.75" customHeight="1">
      <c r="A39" s="105" t="s">
        <v>435</v>
      </c>
      <c r="B39" s="154" t="s">
        <v>44</v>
      </c>
      <c r="C39" s="106" t="s">
        <v>772</v>
      </c>
      <c r="D39" s="107" t="s">
        <v>83</v>
      </c>
      <c r="E39" s="106" t="s">
        <v>1191</v>
      </c>
      <c r="F39" s="119">
        <v>44023.666666666664</v>
      </c>
      <c r="G39" s="105" t="s">
        <v>1051</v>
      </c>
      <c r="H39" s="106" t="s">
        <v>1321</v>
      </c>
      <c r="I39" s="106" t="s">
        <v>1051</v>
      </c>
      <c r="J39" s="107" t="s">
        <v>85</v>
      </c>
      <c r="K39" s="106" t="s">
        <v>749</v>
      </c>
      <c r="L39" s="107" t="s">
        <v>688</v>
      </c>
      <c r="M39" s="108">
        <v>44130.0</v>
      </c>
      <c r="N39" s="106" t="s">
        <v>701</v>
      </c>
      <c r="O39" s="109" t="s">
        <v>690</v>
      </c>
      <c r="P39" s="107" t="s">
        <v>771</v>
      </c>
      <c r="Q39" s="107" t="s">
        <v>771</v>
      </c>
      <c r="R39" s="110"/>
      <c r="S39" s="110"/>
      <c r="T39" s="110"/>
      <c r="U39" s="110"/>
      <c r="V39" s="110"/>
      <c r="W39" s="110"/>
      <c r="X39" s="110"/>
      <c r="Y39" s="110"/>
      <c r="Z39" s="110"/>
    </row>
    <row r="40" ht="15.75" customHeight="1">
      <c r="A40" s="105" t="s">
        <v>441</v>
      </c>
      <c r="B40" s="154" t="s">
        <v>44</v>
      </c>
      <c r="C40" s="106" t="s">
        <v>773</v>
      </c>
      <c r="D40" s="107" t="s">
        <v>83</v>
      </c>
      <c r="E40" s="106" t="s">
        <v>774</v>
      </c>
      <c r="F40" s="107">
        <v>50.0</v>
      </c>
      <c r="G40" s="112" t="s">
        <v>335</v>
      </c>
      <c r="H40" s="107" t="s">
        <v>91</v>
      </c>
      <c r="I40" s="107" t="s">
        <v>91</v>
      </c>
      <c r="J40" s="107" t="s">
        <v>85</v>
      </c>
      <c r="K40" s="106" t="s">
        <v>749</v>
      </c>
      <c r="L40" s="107" t="s">
        <v>688</v>
      </c>
      <c r="M40" s="108">
        <v>44130.0</v>
      </c>
      <c r="N40" s="106" t="s">
        <v>701</v>
      </c>
      <c r="O40" s="109" t="s">
        <v>690</v>
      </c>
      <c r="P40" s="107" t="s">
        <v>771</v>
      </c>
      <c r="Q40" s="107" t="s">
        <v>771</v>
      </c>
      <c r="R40" s="110"/>
      <c r="S40" s="110"/>
      <c r="T40" s="110"/>
      <c r="U40" s="110"/>
      <c r="V40" s="110"/>
      <c r="W40" s="110"/>
      <c r="X40" s="110"/>
      <c r="Y40" s="110"/>
      <c r="Z40" s="110"/>
    </row>
    <row r="41" ht="15.75" customHeight="1">
      <c r="A41" s="105" t="s">
        <v>372</v>
      </c>
      <c r="B41" s="154" t="s">
        <v>44</v>
      </c>
      <c r="C41" s="106" t="s">
        <v>374</v>
      </c>
      <c r="D41" s="107" t="s">
        <v>83</v>
      </c>
      <c r="E41" s="106" t="s">
        <v>774</v>
      </c>
      <c r="F41" s="107">
        <v>2265.61</v>
      </c>
      <c r="G41" s="105" t="s">
        <v>686</v>
      </c>
      <c r="H41" s="107" t="s">
        <v>91</v>
      </c>
      <c r="I41" s="107" t="s">
        <v>91</v>
      </c>
      <c r="J41" s="112" t="s">
        <v>85</v>
      </c>
      <c r="K41" s="106" t="s">
        <v>749</v>
      </c>
      <c r="L41" s="107" t="s">
        <v>688</v>
      </c>
      <c r="M41" s="108">
        <v>44130.0</v>
      </c>
      <c r="N41" s="106" t="s">
        <v>701</v>
      </c>
      <c r="O41" s="109" t="s">
        <v>690</v>
      </c>
      <c r="P41" s="107" t="s">
        <v>771</v>
      </c>
      <c r="Q41" s="107" t="s">
        <v>771</v>
      </c>
      <c r="R41" s="110"/>
      <c r="S41" s="110"/>
      <c r="T41" s="110"/>
      <c r="U41" s="110"/>
      <c r="V41" s="110"/>
      <c r="W41" s="110"/>
      <c r="X41" s="110"/>
      <c r="Y41" s="110"/>
      <c r="Z41" s="110"/>
    </row>
    <row r="42" ht="15.75" customHeight="1">
      <c r="A42" s="105" t="s">
        <v>431</v>
      </c>
      <c r="B42" s="154" t="s">
        <v>44</v>
      </c>
      <c r="C42" s="106" t="s">
        <v>432</v>
      </c>
      <c r="D42" s="107" t="s">
        <v>83</v>
      </c>
      <c r="E42" s="106" t="s">
        <v>774</v>
      </c>
      <c r="F42" s="107">
        <v>1499.0</v>
      </c>
      <c r="G42" s="112" t="s">
        <v>335</v>
      </c>
      <c r="H42" s="107" t="s">
        <v>91</v>
      </c>
      <c r="I42" s="107" t="s">
        <v>91</v>
      </c>
      <c r="J42" s="107" t="s">
        <v>85</v>
      </c>
      <c r="K42" s="106" t="s">
        <v>749</v>
      </c>
      <c r="L42" s="107" t="s">
        <v>688</v>
      </c>
      <c r="M42" s="108">
        <v>44130.0</v>
      </c>
      <c r="N42" s="106" t="s">
        <v>701</v>
      </c>
      <c r="O42" s="109" t="s">
        <v>690</v>
      </c>
      <c r="P42" s="107" t="s">
        <v>771</v>
      </c>
      <c r="Q42" s="107" t="s">
        <v>771</v>
      </c>
      <c r="R42" s="110"/>
      <c r="S42" s="110"/>
      <c r="T42" s="110"/>
      <c r="U42" s="110"/>
      <c r="V42" s="110"/>
      <c r="W42" s="110"/>
      <c r="X42" s="110"/>
      <c r="Y42" s="110"/>
      <c r="Z42" s="110"/>
    </row>
    <row r="43" ht="15.75" customHeight="1">
      <c r="A43" s="105" t="s">
        <v>437</v>
      </c>
      <c r="B43" s="154" t="s">
        <v>44</v>
      </c>
      <c r="C43" s="106" t="s">
        <v>438</v>
      </c>
      <c r="D43" s="107" t="s">
        <v>83</v>
      </c>
      <c r="E43" s="106" t="s">
        <v>774</v>
      </c>
      <c r="F43" s="107">
        <v>1498.61</v>
      </c>
      <c r="G43" s="112" t="s">
        <v>335</v>
      </c>
      <c r="H43" s="107" t="s">
        <v>91</v>
      </c>
      <c r="I43" s="107" t="s">
        <v>91</v>
      </c>
      <c r="J43" s="107" t="s">
        <v>85</v>
      </c>
      <c r="K43" s="106" t="s">
        <v>749</v>
      </c>
      <c r="L43" s="107" t="s">
        <v>688</v>
      </c>
      <c r="M43" s="108">
        <v>44130.0</v>
      </c>
      <c r="N43" s="106" t="s">
        <v>701</v>
      </c>
      <c r="O43" s="109" t="s">
        <v>690</v>
      </c>
      <c r="P43" s="107" t="s">
        <v>771</v>
      </c>
      <c r="Q43" s="107" t="s">
        <v>771</v>
      </c>
      <c r="R43" s="110"/>
      <c r="S43" s="110"/>
      <c r="T43" s="110"/>
      <c r="U43" s="110"/>
      <c r="V43" s="110"/>
      <c r="W43" s="110"/>
      <c r="X43" s="110"/>
      <c r="Y43" s="110"/>
      <c r="Z43" s="110"/>
    </row>
    <row r="44" ht="39.75" customHeight="1">
      <c r="A44" s="105" t="s">
        <v>405</v>
      </c>
      <c r="B44" s="154" t="s">
        <v>696</v>
      </c>
      <c r="C44" s="106" t="s">
        <v>406</v>
      </c>
      <c r="D44" s="107" t="s">
        <v>83</v>
      </c>
      <c r="E44" s="106" t="s">
        <v>685</v>
      </c>
      <c r="F44" s="106" t="s">
        <v>1478</v>
      </c>
      <c r="G44" s="112" t="s">
        <v>335</v>
      </c>
      <c r="H44" s="107" t="s">
        <v>91</v>
      </c>
      <c r="I44" s="107" t="s">
        <v>91</v>
      </c>
      <c r="J44" s="107" t="s">
        <v>85</v>
      </c>
      <c r="K44" s="106" t="s">
        <v>687</v>
      </c>
      <c r="L44" s="107" t="s">
        <v>688</v>
      </c>
      <c r="M44" s="108">
        <v>44142.0</v>
      </c>
      <c r="N44" s="106" t="s">
        <v>701</v>
      </c>
      <c r="O44" s="109" t="s">
        <v>690</v>
      </c>
      <c r="P44" s="107" t="s">
        <v>702</v>
      </c>
      <c r="Q44" s="107" t="s">
        <v>702</v>
      </c>
      <c r="R44" s="110"/>
      <c r="S44" s="110"/>
      <c r="T44" s="110"/>
      <c r="U44" s="110"/>
      <c r="V44" s="110"/>
      <c r="W44" s="110"/>
      <c r="X44" s="110"/>
      <c r="Y44" s="110"/>
      <c r="Z44" s="110"/>
    </row>
    <row r="45" ht="15.75" customHeight="1">
      <c r="A45" s="105" t="s">
        <v>775</v>
      </c>
      <c r="B45" s="153" t="s">
        <v>696</v>
      </c>
      <c r="C45" s="106" t="s">
        <v>1322</v>
      </c>
      <c r="D45" s="107" t="s">
        <v>83</v>
      </c>
      <c r="E45" s="106" t="s">
        <v>1323</v>
      </c>
      <c r="F45" s="107">
        <v>133.1008</v>
      </c>
      <c r="G45" s="106" t="s">
        <v>723</v>
      </c>
      <c r="H45" s="107" t="s">
        <v>91</v>
      </c>
      <c r="I45" s="106" t="s">
        <v>723</v>
      </c>
      <c r="J45" s="107" t="s">
        <v>85</v>
      </c>
      <c r="K45" s="106" t="s">
        <v>687</v>
      </c>
      <c r="L45" s="107" t="s">
        <v>688</v>
      </c>
      <c r="M45" s="108">
        <v>44142.0</v>
      </c>
      <c r="N45" s="106" t="s">
        <v>1324</v>
      </c>
      <c r="O45" s="109" t="s">
        <v>690</v>
      </c>
      <c r="P45" s="107" t="s">
        <v>744</v>
      </c>
      <c r="Q45" s="107" t="s">
        <v>744</v>
      </c>
      <c r="R45" s="110"/>
      <c r="S45" s="110"/>
      <c r="T45" s="110"/>
      <c r="U45" s="110"/>
      <c r="V45" s="110"/>
      <c r="W45" s="110"/>
      <c r="X45" s="110"/>
      <c r="Y45" s="110"/>
      <c r="Z45" s="110"/>
    </row>
    <row r="46" ht="15.75" customHeight="1">
      <c r="A46" s="105" t="s">
        <v>778</v>
      </c>
      <c r="B46" s="153" t="s">
        <v>44</v>
      </c>
      <c r="C46" s="106" t="s">
        <v>779</v>
      </c>
      <c r="D46" s="107" t="s">
        <v>83</v>
      </c>
      <c r="E46" s="106" t="s">
        <v>774</v>
      </c>
      <c r="F46" s="107">
        <v>800.0</v>
      </c>
      <c r="G46" s="112" t="s">
        <v>335</v>
      </c>
      <c r="H46" s="107" t="s">
        <v>91</v>
      </c>
      <c r="I46" s="107" t="s">
        <v>91</v>
      </c>
      <c r="J46" s="107" t="s">
        <v>85</v>
      </c>
      <c r="K46" s="106" t="s">
        <v>687</v>
      </c>
      <c r="L46" s="107" t="s">
        <v>688</v>
      </c>
      <c r="M46" s="108">
        <v>44142.0</v>
      </c>
      <c r="N46" s="106" t="s">
        <v>701</v>
      </c>
      <c r="O46" s="109" t="s">
        <v>690</v>
      </c>
      <c r="P46" s="107" t="s">
        <v>691</v>
      </c>
      <c r="Q46" s="107" t="s">
        <v>691</v>
      </c>
      <c r="R46" s="110"/>
      <c r="S46" s="110"/>
      <c r="T46" s="110"/>
      <c r="U46" s="110"/>
      <c r="V46" s="110"/>
      <c r="W46" s="110"/>
      <c r="X46" s="110"/>
      <c r="Y46" s="110"/>
      <c r="Z46" s="110"/>
    </row>
    <row r="47" ht="15.75" customHeight="1">
      <c r="A47" s="105" t="s">
        <v>780</v>
      </c>
      <c r="B47" s="154" t="s">
        <v>197</v>
      </c>
      <c r="C47" s="106" t="s">
        <v>384</v>
      </c>
      <c r="D47" s="107" t="s">
        <v>185</v>
      </c>
      <c r="E47" s="106" t="s">
        <v>768</v>
      </c>
      <c r="F47" s="107">
        <v>460.0</v>
      </c>
      <c r="G47" s="106" t="s">
        <v>723</v>
      </c>
      <c r="H47" s="107" t="s">
        <v>91</v>
      </c>
      <c r="I47" s="106" t="s">
        <v>723</v>
      </c>
      <c r="J47" s="107" t="s">
        <v>85</v>
      </c>
      <c r="K47" s="106" t="s">
        <v>687</v>
      </c>
      <c r="L47" s="107" t="s">
        <v>760</v>
      </c>
      <c r="M47" s="108">
        <v>44141.0</v>
      </c>
      <c r="N47" s="106" t="s">
        <v>735</v>
      </c>
      <c r="O47" s="116" t="s">
        <v>736</v>
      </c>
      <c r="P47" s="107" t="s">
        <v>761</v>
      </c>
      <c r="Q47" s="107" t="s">
        <v>761</v>
      </c>
      <c r="R47" s="110"/>
      <c r="S47" s="110"/>
      <c r="T47" s="110"/>
      <c r="U47" s="110"/>
      <c r="V47" s="110"/>
      <c r="W47" s="110"/>
      <c r="X47" s="110"/>
      <c r="Y47" s="110"/>
      <c r="Z47" s="110"/>
    </row>
    <row r="48" ht="15.75" customHeight="1">
      <c r="A48" s="105" t="s">
        <v>304</v>
      </c>
      <c r="B48" s="154" t="s">
        <v>46</v>
      </c>
      <c r="C48" s="106" t="s">
        <v>305</v>
      </c>
      <c r="D48" s="107" t="s">
        <v>135</v>
      </c>
      <c r="E48" s="106" t="s">
        <v>685</v>
      </c>
      <c r="F48" s="107" t="s">
        <v>781</v>
      </c>
      <c r="G48" s="112" t="s">
        <v>136</v>
      </c>
      <c r="H48" s="107" t="s">
        <v>91</v>
      </c>
      <c r="I48" s="112" t="s">
        <v>91</v>
      </c>
      <c r="J48" s="112" t="s">
        <v>307</v>
      </c>
      <c r="K48" s="105" t="s">
        <v>749</v>
      </c>
      <c r="L48" s="112" t="s">
        <v>763</v>
      </c>
      <c r="M48" s="108">
        <v>44075.0</v>
      </c>
      <c r="N48" s="106" t="s">
        <v>741</v>
      </c>
      <c r="O48" s="109" t="s">
        <v>732</v>
      </c>
      <c r="P48" s="107" t="s">
        <v>782</v>
      </c>
      <c r="Q48" s="107" t="s">
        <v>782</v>
      </c>
      <c r="R48" s="110"/>
      <c r="S48" s="110"/>
      <c r="T48" s="110"/>
      <c r="U48" s="110"/>
      <c r="V48" s="110"/>
      <c r="W48" s="110"/>
      <c r="X48" s="110"/>
      <c r="Y48" s="110"/>
      <c r="Z48" s="110"/>
    </row>
    <row r="49" ht="15.75" customHeight="1">
      <c r="A49" s="105" t="s">
        <v>228</v>
      </c>
      <c r="B49" s="154" t="s">
        <v>58</v>
      </c>
      <c r="C49" s="106" t="s">
        <v>783</v>
      </c>
      <c r="D49" s="107" t="s">
        <v>135</v>
      </c>
      <c r="E49" s="106" t="s">
        <v>685</v>
      </c>
      <c r="F49" s="107" t="s">
        <v>230</v>
      </c>
      <c r="G49" s="112" t="s">
        <v>136</v>
      </c>
      <c r="H49" s="112" t="s">
        <v>91</v>
      </c>
      <c r="I49" s="112" t="s">
        <v>91</v>
      </c>
      <c r="J49" s="107" t="s">
        <v>90</v>
      </c>
      <c r="K49" s="105" t="s">
        <v>749</v>
      </c>
      <c r="L49" s="112" t="s">
        <v>763</v>
      </c>
      <c r="M49" s="108">
        <v>44075.0</v>
      </c>
      <c r="N49" s="106" t="s">
        <v>701</v>
      </c>
      <c r="O49" s="109" t="s">
        <v>732</v>
      </c>
      <c r="P49" s="107" t="s">
        <v>750</v>
      </c>
      <c r="Q49" s="107" t="s">
        <v>750</v>
      </c>
      <c r="R49" s="110"/>
      <c r="S49" s="110"/>
      <c r="T49" s="110"/>
      <c r="U49" s="110"/>
      <c r="V49" s="110"/>
      <c r="W49" s="110"/>
      <c r="X49" s="110"/>
      <c r="Y49" s="110"/>
      <c r="Z49" s="110"/>
    </row>
    <row r="50" ht="15.75" customHeight="1">
      <c r="A50" s="105" t="s">
        <v>319</v>
      </c>
      <c r="B50" s="154" t="s">
        <v>60</v>
      </c>
      <c r="C50" s="106" t="s">
        <v>320</v>
      </c>
      <c r="D50" s="107" t="s">
        <v>135</v>
      </c>
      <c r="E50" s="106" t="s">
        <v>713</v>
      </c>
      <c r="F50" s="107">
        <v>1.0</v>
      </c>
      <c r="G50" s="112" t="s">
        <v>136</v>
      </c>
      <c r="H50" s="107" t="s">
        <v>91</v>
      </c>
      <c r="I50" s="112" t="s">
        <v>91</v>
      </c>
      <c r="J50" s="107" t="s">
        <v>90</v>
      </c>
      <c r="K50" s="105" t="s">
        <v>749</v>
      </c>
      <c r="L50" s="112" t="s">
        <v>763</v>
      </c>
      <c r="M50" s="108">
        <v>44075.0</v>
      </c>
      <c r="N50" s="106" t="s">
        <v>735</v>
      </c>
      <c r="O50" s="109" t="s">
        <v>732</v>
      </c>
      <c r="P50" s="107" t="s">
        <v>750</v>
      </c>
      <c r="Q50" s="107" t="s">
        <v>750</v>
      </c>
      <c r="R50" s="110"/>
      <c r="S50" s="110"/>
      <c r="T50" s="110"/>
      <c r="U50" s="110"/>
      <c r="V50" s="110"/>
      <c r="W50" s="110"/>
      <c r="X50" s="110"/>
      <c r="Y50" s="110"/>
      <c r="Z50" s="110"/>
    </row>
    <row r="51" ht="15.75" customHeight="1">
      <c r="A51" s="105" t="s">
        <v>321</v>
      </c>
      <c r="B51" s="154" t="s">
        <v>60</v>
      </c>
      <c r="C51" s="106" t="s">
        <v>322</v>
      </c>
      <c r="D51" s="107" t="s">
        <v>135</v>
      </c>
      <c r="E51" s="106" t="s">
        <v>784</v>
      </c>
      <c r="F51" s="120">
        <v>0.6448</v>
      </c>
      <c r="G51" s="112" t="s">
        <v>136</v>
      </c>
      <c r="H51" s="107" t="s">
        <v>91</v>
      </c>
      <c r="I51" s="112" t="s">
        <v>91</v>
      </c>
      <c r="J51" s="107" t="s">
        <v>90</v>
      </c>
      <c r="K51" s="105" t="s">
        <v>749</v>
      </c>
      <c r="L51" s="112" t="s">
        <v>763</v>
      </c>
      <c r="M51" s="108">
        <v>44075.0</v>
      </c>
      <c r="N51" s="106" t="s">
        <v>735</v>
      </c>
      <c r="O51" s="109" t="s">
        <v>732</v>
      </c>
      <c r="P51" s="107" t="s">
        <v>750</v>
      </c>
      <c r="Q51" s="107" t="s">
        <v>750</v>
      </c>
      <c r="R51" s="110"/>
      <c r="S51" s="110"/>
      <c r="T51" s="110"/>
      <c r="U51" s="110"/>
      <c r="V51" s="110"/>
      <c r="W51" s="110"/>
      <c r="X51" s="110"/>
      <c r="Y51" s="110"/>
      <c r="Z51" s="110"/>
    </row>
    <row r="52" ht="15.75" customHeight="1">
      <c r="A52" s="105" t="s">
        <v>248</v>
      </c>
      <c r="B52" s="154" t="s">
        <v>60</v>
      </c>
      <c r="C52" s="106" t="s">
        <v>249</v>
      </c>
      <c r="D52" s="107" t="s">
        <v>135</v>
      </c>
      <c r="E52" s="106" t="s">
        <v>784</v>
      </c>
      <c r="F52" s="121" t="s">
        <v>1325</v>
      </c>
      <c r="G52" s="112" t="s">
        <v>136</v>
      </c>
      <c r="H52" s="107" t="s">
        <v>91</v>
      </c>
      <c r="I52" s="112" t="s">
        <v>91</v>
      </c>
      <c r="J52" s="107" t="s">
        <v>90</v>
      </c>
      <c r="K52" s="105" t="s">
        <v>749</v>
      </c>
      <c r="L52" s="112" t="s">
        <v>763</v>
      </c>
      <c r="M52" s="108">
        <v>44075.0</v>
      </c>
      <c r="N52" s="106" t="s">
        <v>701</v>
      </c>
      <c r="O52" s="109" t="s">
        <v>732</v>
      </c>
      <c r="P52" s="107" t="s">
        <v>750</v>
      </c>
      <c r="Q52" s="107" t="s">
        <v>750</v>
      </c>
      <c r="R52" s="110"/>
      <c r="S52" s="110"/>
      <c r="T52" s="110"/>
      <c r="U52" s="110"/>
      <c r="V52" s="110"/>
      <c r="W52" s="110"/>
      <c r="X52" s="110"/>
      <c r="Y52" s="110"/>
      <c r="Z52" s="110"/>
    </row>
    <row r="53" ht="15.75" customHeight="1">
      <c r="A53" s="105" t="s">
        <v>245</v>
      </c>
      <c r="B53" s="154" t="s">
        <v>60</v>
      </c>
      <c r="C53" s="106" t="s">
        <v>247</v>
      </c>
      <c r="D53" s="107" t="s">
        <v>135</v>
      </c>
      <c r="E53" s="106" t="s">
        <v>713</v>
      </c>
      <c r="F53" s="107">
        <v>1.0</v>
      </c>
      <c r="G53" s="112" t="s">
        <v>136</v>
      </c>
      <c r="H53" s="107" t="s">
        <v>91</v>
      </c>
      <c r="I53" s="112" t="s">
        <v>91</v>
      </c>
      <c r="J53" s="107" t="s">
        <v>90</v>
      </c>
      <c r="K53" s="105" t="s">
        <v>749</v>
      </c>
      <c r="L53" s="112" t="s">
        <v>763</v>
      </c>
      <c r="M53" s="108">
        <v>44075.0</v>
      </c>
      <c r="N53" s="106" t="s">
        <v>701</v>
      </c>
      <c r="O53" s="109" t="s">
        <v>732</v>
      </c>
      <c r="P53" s="107" t="s">
        <v>750</v>
      </c>
      <c r="Q53" s="107" t="s">
        <v>750</v>
      </c>
      <c r="R53" s="110"/>
      <c r="S53" s="110"/>
      <c r="T53" s="110"/>
      <c r="U53" s="110"/>
      <c r="V53" s="110"/>
      <c r="W53" s="110"/>
      <c r="X53" s="110"/>
      <c r="Y53" s="110"/>
      <c r="Z53" s="110"/>
    </row>
    <row r="54" ht="15.75" customHeight="1">
      <c r="A54" s="105" t="s">
        <v>342</v>
      </c>
      <c r="B54" s="154" t="s">
        <v>197</v>
      </c>
      <c r="C54" s="106" t="s">
        <v>343</v>
      </c>
      <c r="D54" s="107" t="s">
        <v>185</v>
      </c>
      <c r="E54" s="106" t="s">
        <v>720</v>
      </c>
      <c r="F54" s="115" t="b">
        <v>1</v>
      </c>
      <c r="G54" s="106" t="s">
        <v>686</v>
      </c>
      <c r="H54" s="107" t="s">
        <v>91</v>
      </c>
      <c r="I54" s="107" t="s">
        <v>91</v>
      </c>
      <c r="J54" s="107" t="s">
        <v>85</v>
      </c>
      <c r="K54" s="106" t="s">
        <v>687</v>
      </c>
      <c r="L54" s="107" t="s">
        <v>688</v>
      </c>
      <c r="M54" s="108">
        <v>44142.0</v>
      </c>
      <c r="N54" s="106" t="s">
        <v>692</v>
      </c>
      <c r="O54" s="109" t="s">
        <v>690</v>
      </c>
      <c r="P54" s="107" t="s">
        <v>702</v>
      </c>
      <c r="Q54" s="107" t="s">
        <v>702</v>
      </c>
      <c r="R54" s="110"/>
      <c r="S54" s="110"/>
      <c r="T54" s="110"/>
      <c r="U54" s="110"/>
      <c r="V54" s="110"/>
      <c r="W54" s="110"/>
      <c r="X54" s="110"/>
      <c r="Y54" s="110"/>
      <c r="Z54" s="110"/>
    </row>
    <row r="55" ht="15.75" customHeight="1">
      <c r="A55" s="105" t="s">
        <v>786</v>
      </c>
      <c r="B55" s="154" t="s">
        <v>696</v>
      </c>
      <c r="C55" s="106" t="s">
        <v>787</v>
      </c>
      <c r="D55" s="107" t="s">
        <v>185</v>
      </c>
      <c r="E55" s="106" t="s">
        <v>685</v>
      </c>
      <c r="F55" s="107" t="s">
        <v>299</v>
      </c>
      <c r="G55" s="105" t="s">
        <v>686</v>
      </c>
      <c r="H55" s="107" t="s">
        <v>91</v>
      </c>
      <c r="I55" s="112" t="s">
        <v>91</v>
      </c>
      <c r="J55" s="107" t="s">
        <v>90</v>
      </c>
      <c r="K55" s="106" t="s">
        <v>687</v>
      </c>
      <c r="L55" s="107" t="s">
        <v>688</v>
      </c>
      <c r="M55" s="108">
        <v>44142.0</v>
      </c>
      <c r="N55" s="106" t="s">
        <v>701</v>
      </c>
      <c r="O55" s="109" t="s">
        <v>690</v>
      </c>
      <c r="P55" s="107" t="s">
        <v>744</v>
      </c>
      <c r="Q55" s="107" t="s">
        <v>744</v>
      </c>
      <c r="R55" s="110"/>
      <c r="S55" s="110"/>
      <c r="T55" s="110"/>
      <c r="U55" s="110"/>
      <c r="V55" s="110"/>
      <c r="W55" s="110"/>
      <c r="X55" s="110"/>
      <c r="Y55" s="110"/>
      <c r="Z55" s="110"/>
    </row>
    <row r="56" ht="15.75" customHeight="1">
      <c r="A56" s="105" t="s">
        <v>418</v>
      </c>
      <c r="B56" s="154" t="s">
        <v>44</v>
      </c>
      <c r="C56" s="106" t="s">
        <v>419</v>
      </c>
      <c r="D56" s="107" t="s">
        <v>83</v>
      </c>
      <c r="E56" s="106" t="s">
        <v>774</v>
      </c>
      <c r="F56" s="107">
        <v>1796.0</v>
      </c>
      <c r="G56" s="112" t="s">
        <v>335</v>
      </c>
      <c r="H56" s="107" t="s">
        <v>91</v>
      </c>
      <c r="I56" s="107" t="s">
        <v>91</v>
      </c>
      <c r="J56" s="107" t="s">
        <v>85</v>
      </c>
      <c r="K56" s="106" t="s">
        <v>687</v>
      </c>
      <c r="L56" s="107" t="s">
        <v>688</v>
      </c>
      <c r="M56" s="108">
        <v>44142.0</v>
      </c>
      <c r="N56" s="106" t="s">
        <v>701</v>
      </c>
      <c r="O56" s="109" t="s">
        <v>690</v>
      </c>
      <c r="P56" s="107" t="s">
        <v>788</v>
      </c>
      <c r="Q56" s="107" t="s">
        <v>788</v>
      </c>
      <c r="R56" s="110"/>
      <c r="S56" s="110"/>
      <c r="T56" s="110"/>
      <c r="U56" s="110"/>
      <c r="V56" s="110"/>
      <c r="W56" s="110"/>
      <c r="X56" s="110"/>
      <c r="Y56" s="110"/>
      <c r="Z56" s="110"/>
    </row>
    <row r="57" ht="15.75" customHeight="1">
      <c r="A57" s="105" t="s">
        <v>416</v>
      </c>
      <c r="B57" s="154" t="s">
        <v>44</v>
      </c>
      <c r="C57" s="106" t="s">
        <v>415</v>
      </c>
      <c r="D57" s="107" t="s">
        <v>83</v>
      </c>
      <c r="E57" s="106" t="s">
        <v>1326</v>
      </c>
      <c r="F57" s="106">
        <v>343.33</v>
      </c>
      <c r="G57" s="112" t="s">
        <v>335</v>
      </c>
      <c r="H57" s="107" t="s">
        <v>91</v>
      </c>
      <c r="I57" s="107" t="s">
        <v>91</v>
      </c>
      <c r="J57" s="107" t="s">
        <v>85</v>
      </c>
      <c r="K57" s="106" t="s">
        <v>687</v>
      </c>
      <c r="L57" s="107" t="s">
        <v>688</v>
      </c>
      <c r="M57" s="108">
        <v>44142.0</v>
      </c>
      <c r="N57" s="106" t="s">
        <v>1318</v>
      </c>
      <c r="O57" s="109" t="s">
        <v>690</v>
      </c>
      <c r="P57" s="107" t="s">
        <v>691</v>
      </c>
      <c r="Q57" s="107" t="s">
        <v>691</v>
      </c>
      <c r="R57" s="110"/>
      <c r="S57" s="110"/>
      <c r="T57" s="110"/>
      <c r="U57" s="110"/>
      <c r="V57" s="110"/>
      <c r="W57" s="110"/>
      <c r="X57" s="110"/>
      <c r="Y57" s="110"/>
      <c r="Z57" s="110"/>
    </row>
    <row r="58" ht="15.75" customHeight="1">
      <c r="A58" s="105" t="s">
        <v>789</v>
      </c>
      <c r="B58" s="153" t="s">
        <v>696</v>
      </c>
      <c r="C58" s="106" t="s">
        <v>790</v>
      </c>
      <c r="D58" s="107" t="s">
        <v>185</v>
      </c>
      <c r="E58" s="106" t="s">
        <v>777</v>
      </c>
      <c r="F58" s="107">
        <v>3023.0</v>
      </c>
      <c r="G58" s="106" t="s">
        <v>723</v>
      </c>
      <c r="H58" s="107" t="s">
        <v>91</v>
      </c>
      <c r="I58" s="106" t="s">
        <v>723</v>
      </c>
      <c r="J58" s="107" t="s">
        <v>85</v>
      </c>
      <c r="K58" s="106" t="s">
        <v>749</v>
      </c>
      <c r="L58" s="107" t="s">
        <v>688</v>
      </c>
      <c r="M58" s="108">
        <v>44124.0</v>
      </c>
      <c r="N58" s="106" t="s">
        <v>701</v>
      </c>
      <c r="O58" s="109" t="s">
        <v>690</v>
      </c>
      <c r="P58" s="107" t="s">
        <v>771</v>
      </c>
      <c r="Q58" s="107" t="s">
        <v>771</v>
      </c>
      <c r="R58" s="110"/>
      <c r="S58" s="110"/>
      <c r="T58" s="110"/>
      <c r="U58" s="110"/>
      <c r="V58" s="110"/>
      <c r="W58" s="110"/>
      <c r="X58" s="110"/>
      <c r="Y58" s="110"/>
      <c r="Z58" s="110"/>
    </row>
    <row r="59" ht="15.75" customHeight="1">
      <c r="A59" s="105" t="s">
        <v>180</v>
      </c>
      <c r="B59" s="154" t="s">
        <v>197</v>
      </c>
      <c r="C59" s="106" t="s">
        <v>791</v>
      </c>
      <c r="D59" s="107" t="s">
        <v>185</v>
      </c>
      <c r="E59" s="106" t="s">
        <v>720</v>
      </c>
      <c r="F59" s="115" t="b">
        <v>1</v>
      </c>
      <c r="G59" s="112" t="s">
        <v>91</v>
      </c>
      <c r="H59" s="107" t="s">
        <v>91</v>
      </c>
      <c r="I59" s="107" t="s">
        <v>91</v>
      </c>
      <c r="J59" s="107" t="s">
        <v>85</v>
      </c>
      <c r="K59" s="106" t="s">
        <v>687</v>
      </c>
      <c r="L59" s="107" t="s">
        <v>687</v>
      </c>
      <c r="M59" s="108">
        <v>44140.0</v>
      </c>
      <c r="N59" s="106" t="s">
        <v>741</v>
      </c>
      <c r="O59" s="109" t="s">
        <v>690</v>
      </c>
      <c r="P59" s="107" t="s">
        <v>782</v>
      </c>
      <c r="Q59" s="107" t="s">
        <v>782</v>
      </c>
      <c r="R59" s="110"/>
      <c r="S59" s="110"/>
      <c r="T59" s="110"/>
      <c r="U59" s="110"/>
      <c r="V59" s="110"/>
      <c r="W59" s="110"/>
      <c r="X59" s="110"/>
      <c r="Y59" s="110"/>
      <c r="Z59" s="110"/>
    </row>
    <row r="60" ht="15.75" customHeight="1">
      <c r="A60" s="105" t="s">
        <v>139</v>
      </c>
      <c r="B60" s="154" t="s">
        <v>44</v>
      </c>
      <c r="C60" s="106" t="s">
        <v>140</v>
      </c>
      <c r="D60" s="107" t="s">
        <v>135</v>
      </c>
      <c r="E60" s="106" t="s">
        <v>685</v>
      </c>
      <c r="F60" s="112" t="s">
        <v>142</v>
      </c>
      <c r="G60" s="112" t="s">
        <v>136</v>
      </c>
      <c r="H60" s="112" t="s">
        <v>91</v>
      </c>
      <c r="I60" s="112" t="s">
        <v>91</v>
      </c>
      <c r="J60" s="122">
        <v>0.625</v>
      </c>
      <c r="K60" s="105" t="s">
        <v>1479</v>
      </c>
      <c r="L60" s="112" t="s">
        <v>793</v>
      </c>
      <c r="M60" s="108">
        <v>44075.0</v>
      </c>
      <c r="N60" s="106" t="s">
        <v>741</v>
      </c>
      <c r="O60" s="109" t="s">
        <v>690</v>
      </c>
      <c r="P60" s="107" t="s">
        <v>691</v>
      </c>
      <c r="Q60" s="107" t="s">
        <v>691</v>
      </c>
      <c r="R60" s="110"/>
      <c r="S60" s="110"/>
      <c r="T60" s="110"/>
      <c r="U60" s="110"/>
      <c r="V60" s="110"/>
      <c r="W60" s="110"/>
      <c r="X60" s="110"/>
      <c r="Y60" s="110"/>
      <c r="Z60" s="110"/>
    </row>
    <row r="61" ht="15.75" customHeight="1">
      <c r="A61" s="105" t="s">
        <v>794</v>
      </c>
      <c r="B61" s="154" t="s">
        <v>44</v>
      </c>
      <c r="C61" s="106" t="s">
        <v>334</v>
      </c>
      <c r="D61" s="107" t="s">
        <v>83</v>
      </c>
      <c r="E61" s="106" t="s">
        <v>774</v>
      </c>
      <c r="F61" s="107">
        <v>20000.0</v>
      </c>
      <c r="G61" s="112" t="s">
        <v>335</v>
      </c>
      <c r="H61" s="107" t="s">
        <v>91</v>
      </c>
      <c r="I61" s="107" t="s">
        <v>91</v>
      </c>
      <c r="J61" s="107" t="s">
        <v>85</v>
      </c>
      <c r="K61" s="106" t="s">
        <v>687</v>
      </c>
      <c r="L61" s="107" t="s">
        <v>688</v>
      </c>
      <c r="M61" s="108">
        <v>44142.0</v>
      </c>
      <c r="N61" s="106" t="s">
        <v>701</v>
      </c>
      <c r="O61" s="109" t="s">
        <v>690</v>
      </c>
      <c r="P61" s="107" t="s">
        <v>691</v>
      </c>
      <c r="Q61" s="107" t="s">
        <v>691</v>
      </c>
      <c r="R61" s="110"/>
      <c r="S61" s="110"/>
      <c r="T61" s="110"/>
      <c r="U61" s="110"/>
      <c r="V61" s="110"/>
      <c r="W61" s="110"/>
      <c r="X61" s="110"/>
      <c r="Y61" s="110"/>
      <c r="Z61" s="110"/>
    </row>
    <row r="62" ht="15.75" customHeight="1">
      <c r="A62" s="105" t="s">
        <v>403</v>
      </c>
      <c r="B62" s="154" t="s">
        <v>197</v>
      </c>
      <c r="C62" s="106" t="s">
        <v>404</v>
      </c>
      <c r="D62" s="107" t="s">
        <v>83</v>
      </c>
      <c r="E62" s="106" t="s">
        <v>685</v>
      </c>
      <c r="F62" s="105">
        <v>5.25641638E8</v>
      </c>
      <c r="G62" s="105" t="s">
        <v>686</v>
      </c>
      <c r="H62" s="107" t="s">
        <v>91</v>
      </c>
      <c r="I62" s="107" t="s">
        <v>91</v>
      </c>
      <c r="J62" s="107" t="s">
        <v>85</v>
      </c>
      <c r="K62" s="106" t="s">
        <v>749</v>
      </c>
      <c r="L62" s="107" t="s">
        <v>688</v>
      </c>
      <c r="M62" s="108">
        <v>44130.0</v>
      </c>
      <c r="N62" s="106" t="s">
        <v>701</v>
      </c>
      <c r="O62" s="109" t="s">
        <v>690</v>
      </c>
      <c r="P62" s="107" t="s">
        <v>771</v>
      </c>
      <c r="Q62" s="107" t="s">
        <v>771</v>
      </c>
      <c r="R62" s="110"/>
      <c r="S62" s="110"/>
      <c r="T62" s="110"/>
      <c r="U62" s="110"/>
      <c r="V62" s="110"/>
      <c r="W62" s="110"/>
      <c r="X62" s="110"/>
      <c r="Y62" s="110"/>
      <c r="Z62" s="110"/>
    </row>
    <row r="63" ht="15.75" customHeight="1">
      <c r="A63" s="105" t="s">
        <v>420</v>
      </c>
      <c r="B63" s="154" t="s">
        <v>696</v>
      </c>
      <c r="C63" s="106" t="s">
        <v>795</v>
      </c>
      <c r="D63" s="107" t="s">
        <v>185</v>
      </c>
      <c r="E63" s="106" t="s">
        <v>685</v>
      </c>
      <c r="F63" s="107" t="s">
        <v>732</v>
      </c>
      <c r="G63" s="105" t="s">
        <v>686</v>
      </c>
      <c r="H63" s="107" t="s">
        <v>91</v>
      </c>
      <c r="I63" s="107" t="s">
        <v>91</v>
      </c>
      <c r="J63" s="107" t="s">
        <v>85</v>
      </c>
      <c r="K63" s="106" t="s">
        <v>687</v>
      </c>
      <c r="L63" s="107" t="s">
        <v>688</v>
      </c>
      <c r="M63" s="108">
        <v>44142.0</v>
      </c>
      <c r="N63" s="106" t="s">
        <v>692</v>
      </c>
      <c r="O63" s="109" t="s">
        <v>690</v>
      </c>
      <c r="P63" s="107" t="s">
        <v>691</v>
      </c>
      <c r="Q63" s="107" t="s">
        <v>691</v>
      </c>
      <c r="R63" s="110"/>
      <c r="S63" s="110"/>
      <c r="T63" s="110"/>
      <c r="U63" s="110"/>
      <c r="V63" s="110"/>
      <c r="W63" s="110"/>
      <c r="X63" s="110"/>
      <c r="Y63" s="110"/>
      <c r="Z63" s="110"/>
    </row>
    <row r="64">
      <c r="A64" s="105" t="s">
        <v>423</v>
      </c>
      <c r="B64" s="154" t="s">
        <v>696</v>
      </c>
      <c r="C64" s="106" t="s">
        <v>796</v>
      </c>
      <c r="D64" s="107" t="s">
        <v>83</v>
      </c>
      <c r="E64" s="106" t="s">
        <v>685</v>
      </c>
      <c r="F64" s="107" t="s">
        <v>797</v>
      </c>
      <c r="G64" s="105" t="s">
        <v>686</v>
      </c>
      <c r="H64" s="107" t="s">
        <v>91</v>
      </c>
      <c r="I64" s="107" t="s">
        <v>91</v>
      </c>
      <c r="J64" s="107" t="s">
        <v>85</v>
      </c>
      <c r="K64" s="106" t="s">
        <v>687</v>
      </c>
      <c r="L64" s="107" t="s">
        <v>688</v>
      </c>
      <c r="M64" s="108">
        <v>44142.0</v>
      </c>
      <c r="N64" s="106" t="s">
        <v>692</v>
      </c>
      <c r="O64" s="109" t="s">
        <v>690</v>
      </c>
      <c r="P64" s="107" t="s">
        <v>691</v>
      </c>
      <c r="Q64" s="107" t="s">
        <v>691</v>
      </c>
      <c r="R64" s="110"/>
      <c r="S64" s="110"/>
      <c r="T64" s="110"/>
      <c r="U64" s="110"/>
      <c r="V64" s="110"/>
      <c r="W64" s="110"/>
      <c r="X64" s="110"/>
      <c r="Y64" s="110"/>
      <c r="Z64" s="110"/>
    </row>
    <row r="65" ht="15.75" customHeight="1">
      <c r="A65" s="105" t="s">
        <v>439</v>
      </c>
      <c r="B65" s="154" t="s">
        <v>44</v>
      </c>
      <c r="C65" s="106" t="s">
        <v>798</v>
      </c>
      <c r="D65" s="107" t="s">
        <v>185</v>
      </c>
      <c r="E65" s="106" t="s">
        <v>698</v>
      </c>
      <c r="F65" s="113">
        <v>43425.0</v>
      </c>
      <c r="G65" s="105" t="s">
        <v>686</v>
      </c>
      <c r="H65" s="107" t="s">
        <v>91</v>
      </c>
      <c r="I65" s="107" t="s">
        <v>91</v>
      </c>
      <c r="J65" s="107" t="s">
        <v>85</v>
      </c>
      <c r="K65" s="106" t="s">
        <v>749</v>
      </c>
      <c r="L65" s="107" t="s">
        <v>688</v>
      </c>
      <c r="M65" s="108">
        <v>44142.0</v>
      </c>
      <c r="N65" s="106" t="s">
        <v>701</v>
      </c>
      <c r="O65" s="109" t="s">
        <v>690</v>
      </c>
      <c r="P65" s="107" t="s">
        <v>705</v>
      </c>
      <c r="Q65" s="107" t="s">
        <v>705</v>
      </c>
      <c r="R65" s="110"/>
      <c r="S65" s="110"/>
      <c r="T65" s="110"/>
      <c r="U65" s="110"/>
      <c r="V65" s="110"/>
      <c r="W65" s="110"/>
      <c r="X65" s="110"/>
      <c r="Y65" s="110"/>
      <c r="Z65" s="110"/>
    </row>
    <row r="66" ht="15.75" customHeight="1">
      <c r="A66" s="105" t="s">
        <v>146</v>
      </c>
      <c r="B66" s="154" t="s">
        <v>44</v>
      </c>
      <c r="C66" s="106" t="s">
        <v>800</v>
      </c>
      <c r="D66" s="107" t="s">
        <v>83</v>
      </c>
      <c r="E66" s="106" t="s">
        <v>685</v>
      </c>
      <c r="F66" s="107" t="s">
        <v>148</v>
      </c>
      <c r="G66" s="105" t="s">
        <v>686</v>
      </c>
      <c r="H66" s="107" t="s">
        <v>91</v>
      </c>
      <c r="I66" s="107" t="s">
        <v>91</v>
      </c>
      <c r="J66" s="117" t="s">
        <v>90</v>
      </c>
      <c r="K66" s="105" t="s">
        <v>687</v>
      </c>
      <c r="L66" s="112" t="s">
        <v>802</v>
      </c>
      <c r="M66" s="108">
        <v>44142.0</v>
      </c>
      <c r="N66" s="106" t="s">
        <v>701</v>
      </c>
      <c r="O66" s="109" t="s">
        <v>690</v>
      </c>
      <c r="P66" s="107" t="s">
        <v>691</v>
      </c>
      <c r="Q66" s="107" t="s">
        <v>691</v>
      </c>
      <c r="R66" s="110"/>
      <c r="S66" s="110"/>
      <c r="T66" s="110"/>
      <c r="U66" s="110"/>
      <c r="V66" s="110"/>
      <c r="W66" s="110"/>
      <c r="X66" s="110"/>
      <c r="Y66" s="110"/>
      <c r="Z66" s="110"/>
    </row>
    <row r="67" ht="15.75" customHeight="1">
      <c r="A67" s="105" t="s">
        <v>397</v>
      </c>
      <c r="B67" s="154" t="s">
        <v>44</v>
      </c>
      <c r="C67" s="106" t="s">
        <v>398</v>
      </c>
      <c r="D67" s="107" t="s">
        <v>83</v>
      </c>
      <c r="E67" s="106" t="s">
        <v>685</v>
      </c>
      <c r="F67" s="107" t="s">
        <v>399</v>
      </c>
      <c r="G67" s="112" t="s">
        <v>335</v>
      </c>
      <c r="H67" s="107" t="s">
        <v>91</v>
      </c>
      <c r="I67" s="107" t="s">
        <v>91</v>
      </c>
      <c r="J67" s="107" t="s">
        <v>85</v>
      </c>
      <c r="K67" s="106" t="s">
        <v>687</v>
      </c>
      <c r="L67" s="107" t="s">
        <v>688</v>
      </c>
      <c r="M67" s="108">
        <v>44142.0</v>
      </c>
      <c r="N67" s="106" t="s">
        <v>701</v>
      </c>
      <c r="O67" s="109" t="s">
        <v>690</v>
      </c>
      <c r="P67" s="107" t="s">
        <v>788</v>
      </c>
      <c r="Q67" s="107" t="s">
        <v>788</v>
      </c>
      <c r="R67" s="110"/>
      <c r="S67" s="110"/>
      <c r="T67" s="110"/>
      <c r="U67" s="110"/>
      <c r="V67" s="110"/>
      <c r="W67" s="110"/>
      <c r="X67" s="110"/>
      <c r="Y67" s="110"/>
      <c r="Z67" s="110"/>
    </row>
    <row r="68">
      <c r="A68" s="105" t="s">
        <v>803</v>
      </c>
      <c r="B68" s="153" t="s">
        <v>696</v>
      </c>
      <c r="C68" s="106" t="s">
        <v>804</v>
      </c>
      <c r="D68" s="107" t="s">
        <v>83</v>
      </c>
      <c r="E68" s="106" t="s">
        <v>685</v>
      </c>
      <c r="F68" s="107" t="s">
        <v>428</v>
      </c>
      <c r="G68" s="105" t="s">
        <v>686</v>
      </c>
      <c r="H68" s="107" t="s">
        <v>91</v>
      </c>
      <c r="I68" s="107" t="s">
        <v>91</v>
      </c>
      <c r="J68" s="107" t="s">
        <v>85</v>
      </c>
      <c r="K68" s="106" t="s">
        <v>687</v>
      </c>
      <c r="L68" s="107" t="s">
        <v>688</v>
      </c>
      <c r="M68" s="108">
        <v>44142.0</v>
      </c>
      <c r="N68" s="106" t="s">
        <v>692</v>
      </c>
      <c r="O68" s="109" t="s">
        <v>690</v>
      </c>
      <c r="P68" s="107" t="s">
        <v>691</v>
      </c>
      <c r="Q68" s="107" t="s">
        <v>691</v>
      </c>
      <c r="R68" s="110"/>
      <c r="S68" s="110"/>
      <c r="T68" s="110"/>
      <c r="U68" s="110"/>
      <c r="V68" s="110"/>
      <c r="W68" s="110"/>
      <c r="X68" s="110"/>
      <c r="Y68" s="110"/>
      <c r="Z68" s="110"/>
    </row>
    <row r="69" ht="15.75" customHeight="1">
      <c r="A69" s="105" t="s">
        <v>97</v>
      </c>
      <c r="B69" s="154" t="s">
        <v>696</v>
      </c>
      <c r="C69" s="106" t="s">
        <v>98</v>
      </c>
      <c r="D69" s="107" t="s">
        <v>83</v>
      </c>
      <c r="E69" s="106" t="s">
        <v>698</v>
      </c>
      <c r="F69" s="123">
        <v>42715.0</v>
      </c>
      <c r="G69" s="105" t="s">
        <v>686</v>
      </c>
      <c r="H69" s="107" t="s">
        <v>91</v>
      </c>
      <c r="I69" s="107" t="s">
        <v>91</v>
      </c>
      <c r="J69" s="107" t="s">
        <v>85</v>
      </c>
      <c r="K69" s="106" t="s">
        <v>687</v>
      </c>
      <c r="L69" s="107" t="s">
        <v>688</v>
      </c>
      <c r="M69" s="108">
        <v>44142.0</v>
      </c>
      <c r="N69" s="106" t="s">
        <v>692</v>
      </c>
      <c r="O69" s="109" t="s">
        <v>690</v>
      </c>
      <c r="P69" s="107" t="s">
        <v>691</v>
      </c>
      <c r="Q69" s="107" t="s">
        <v>691</v>
      </c>
      <c r="R69" s="110"/>
      <c r="S69" s="110"/>
      <c r="T69" s="110"/>
      <c r="U69" s="110"/>
      <c r="V69" s="110"/>
      <c r="W69" s="110"/>
      <c r="X69" s="110"/>
      <c r="Y69" s="110"/>
      <c r="Z69" s="110"/>
    </row>
    <row r="70" ht="15.75" customHeight="1">
      <c r="A70" s="105" t="s">
        <v>805</v>
      </c>
      <c r="B70" s="154" t="s">
        <v>197</v>
      </c>
      <c r="C70" s="106" t="s">
        <v>382</v>
      </c>
      <c r="D70" s="107" t="s">
        <v>185</v>
      </c>
      <c r="E70" s="106" t="s">
        <v>768</v>
      </c>
      <c r="F70" s="107">
        <v>9630.0</v>
      </c>
      <c r="G70" s="106" t="s">
        <v>723</v>
      </c>
      <c r="H70" s="107" t="s">
        <v>91</v>
      </c>
      <c r="I70" s="106" t="s">
        <v>723</v>
      </c>
      <c r="J70" s="107" t="s">
        <v>85</v>
      </c>
      <c r="K70" s="105" t="s">
        <v>687</v>
      </c>
      <c r="L70" s="112" t="s">
        <v>760</v>
      </c>
      <c r="M70" s="108">
        <v>44141.0</v>
      </c>
      <c r="N70" s="106" t="s">
        <v>735</v>
      </c>
      <c r="O70" s="116" t="s">
        <v>736</v>
      </c>
      <c r="P70" s="107" t="s">
        <v>761</v>
      </c>
      <c r="Q70" s="107" t="s">
        <v>761</v>
      </c>
      <c r="R70" s="110"/>
      <c r="S70" s="110"/>
      <c r="T70" s="110"/>
      <c r="U70" s="110"/>
      <c r="V70" s="110"/>
      <c r="W70" s="110"/>
      <c r="X70" s="110"/>
      <c r="Y70" s="110"/>
      <c r="Z70" s="110"/>
    </row>
    <row r="71" ht="15.75" customHeight="1">
      <c r="A71" s="105" t="s">
        <v>806</v>
      </c>
      <c r="B71" s="153" t="s">
        <v>696</v>
      </c>
      <c r="C71" s="106" t="s">
        <v>401</v>
      </c>
      <c r="D71" s="107" t="s">
        <v>83</v>
      </c>
      <c r="E71" s="106" t="s">
        <v>685</v>
      </c>
      <c r="F71" s="107" t="s">
        <v>402</v>
      </c>
      <c r="G71" s="112" t="s">
        <v>335</v>
      </c>
      <c r="H71" s="107" t="s">
        <v>91</v>
      </c>
      <c r="I71" s="107" t="s">
        <v>91</v>
      </c>
      <c r="J71" s="107" t="s">
        <v>85</v>
      </c>
      <c r="K71" s="106" t="s">
        <v>687</v>
      </c>
      <c r="L71" s="107" t="s">
        <v>688</v>
      </c>
      <c r="M71" s="108">
        <v>44142.0</v>
      </c>
      <c r="N71" s="106" t="s">
        <v>701</v>
      </c>
      <c r="O71" s="109" t="s">
        <v>690</v>
      </c>
      <c r="P71" s="107" t="s">
        <v>788</v>
      </c>
      <c r="Q71" s="107" t="s">
        <v>788</v>
      </c>
      <c r="R71" s="110"/>
      <c r="S71" s="110"/>
      <c r="T71" s="110"/>
      <c r="U71" s="110"/>
      <c r="V71" s="110"/>
      <c r="W71" s="110"/>
      <c r="X71" s="110"/>
      <c r="Y71" s="110"/>
      <c r="Z71" s="110"/>
    </row>
    <row r="72" ht="15.75" customHeight="1">
      <c r="A72" s="105" t="s">
        <v>807</v>
      </c>
      <c r="B72" s="154" t="s">
        <v>197</v>
      </c>
      <c r="C72" s="106" t="s">
        <v>808</v>
      </c>
      <c r="D72" s="107" t="s">
        <v>185</v>
      </c>
      <c r="E72" s="106" t="s">
        <v>698</v>
      </c>
      <c r="F72" s="113">
        <v>43733.0</v>
      </c>
      <c r="G72" s="106" t="s">
        <v>723</v>
      </c>
      <c r="H72" s="107" t="s">
        <v>91</v>
      </c>
      <c r="I72" s="106" t="s">
        <v>723</v>
      </c>
      <c r="J72" s="107" t="s">
        <v>85</v>
      </c>
      <c r="K72" s="105" t="s">
        <v>687</v>
      </c>
      <c r="L72" s="112" t="s">
        <v>760</v>
      </c>
      <c r="M72" s="108">
        <v>44141.0</v>
      </c>
      <c r="N72" s="106" t="s">
        <v>735</v>
      </c>
      <c r="O72" s="116" t="s">
        <v>736</v>
      </c>
      <c r="P72" s="107" t="s">
        <v>761</v>
      </c>
      <c r="Q72" s="107" t="s">
        <v>761</v>
      </c>
      <c r="R72" s="110"/>
      <c r="S72" s="110"/>
      <c r="T72" s="110"/>
      <c r="U72" s="110"/>
      <c r="V72" s="110"/>
      <c r="W72" s="110"/>
      <c r="X72" s="110"/>
      <c r="Y72" s="110"/>
      <c r="Z72" s="110"/>
    </row>
    <row r="73">
      <c r="A73" s="105" t="s">
        <v>410</v>
      </c>
      <c r="B73" s="154" t="s">
        <v>696</v>
      </c>
      <c r="C73" s="106" t="s">
        <v>411</v>
      </c>
      <c r="D73" s="107" t="s">
        <v>83</v>
      </c>
      <c r="E73" s="106" t="s">
        <v>698</v>
      </c>
      <c r="F73" s="113">
        <v>40598.0</v>
      </c>
      <c r="G73" s="114" t="s">
        <v>686</v>
      </c>
      <c r="H73" s="107" t="s">
        <v>91</v>
      </c>
      <c r="I73" s="107" t="s">
        <v>91</v>
      </c>
      <c r="J73" s="107" t="s">
        <v>85</v>
      </c>
      <c r="K73" s="106" t="s">
        <v>687</v>
      </c>
      <c r="L73" s="107" t="s">
        <v>688</v>
      </c>
      <c r="M73" s="108">
        <v>44142.0</v>
      </c>
      <c r="N73" s="106" t="s">
        <v>1327</v>
      </c>
      <c r="O73" s="109" t="s">
        <v>690</v>
      </c>
      <c r="P73" s="107" t="s">
        <v>744</v>
      </c>
      <c r="Q73" s="107" t="s">
        <v>744</v>
      </c>
      <c r="R73" s="110"/>
      <c r="S73" s="110"/>
      <c r="T73" s="110"/>
      <c r="U73" s="110"/>
      <c r="V73" s="110"/>
      <c r="W73" s="110"/>
      <c r="X73" s="110"/>
      <c r="Y73" s="110"/>
      <c r="Z73" s="110"/>
    </row>
    <row r="74" ht="15.75" customHeight="1">
      <c r="A74" s="105" t="s">
        <v>811</v>
      </c>
      <c r="B74" s="154" t="s">
        <v>197</v>
      </c>
      <c r="C74" s="106" t="s">
        <v>812</v>
      </c>
      <c r="D74" s="107" t="s">
        <v>185</v>
      </c>
      <c r="E74" s="106" t="s">
        <v>768</v>
      </c>
      <c r="F74" s="112">
        <v>100.0</v>
      </c>
      <c r="G74" s="106" t="s">
        <v>723</v>
      </c>
      <c r="H74" s="112" t="s">
        <v>91</v>
      </c>
      <c r="I74" s="106" t="s">
        <v>723</v>
      </c>
      <c r="J74" s="112" t="s">
        <v>85</v>
      </c>
      <c r="K74" s="105" t="s">
        <v>687</v>
      </c>
      <c r="L74" s="112" t="s">
        <v>760</v>
      </c>
      <c r="M74" s="108">
        <v>44141.0</v>
      </c>
      <c r="N74" s="106" t="s">
        <v>735</v>
      </c>
      <c r="O74" s="116" t="s">
        <v>736</v>
      </c>
      <c r="P74" s="107" t="s">
        <v>761</v>
      </c>
      <c r="Q74" s="107" t="s">
        <v>761</v>
      </c>
      <c r="R74" s="110"/>
      <c r="S74" s="110"/>
      <c r="T74" s="110"/>
      <c r="U74" s="110"/>
      <c r="V74" s="110"/>
      <c r="W74" s="110"/>
      <c r="X74" s="110"/>
      <c r="Y74" s="110"/>
      <c r="Z74" s="110"/>
    </row>
    <row r="75" ht="15.75" customHeight="1">
      <c r="A75" s="105" t="s">
        <v>813</v>
      </c>
      <c r="B75" s="154" t="s">
        <v>197</v>
      </c>
      <c r="C75" s="106" t="s">
        <v>814</v>
      </c>
      <c r="D75" s="107" t="s">
        <v>185</v>
      </c>
      <c r="E75" s="106" t="s">
        <v>768</v>
      </c>
      <c r="F75" s="107">
        <v>100.0</v>
      </c>
      <c r="G75" s="106" t="s">
        <v>723</v>
      </c>
      <c r="H75" s="107" t="s">
        <v>91</v>
      </c>
      <c r="I75" s="106" t="s">
        <v>723</v>
      </c>
      <c r="J75" s="107" t="s">
        <v>85</v>
      </c>
      <c r="K75" s="105" t="s">
        <v>687</v>
      </c>
      <c r="L75" s="112" t="s">
        <v>760</v>
      </c>
      <c r="M75" s="108">
        <v>44141.0</v>
      </c>
      <c r="N75" s="106" t="s">
        <v>735</v>
      </c>
      <c r="O75" s="116" t="s">
        <v>736</v>
      </c>
      <c r="P75" s="107" t="s">
        <v>761</v>
      </c>
      <c r="Q75" s="107" t="s">
        <v>761</v>
      </c>
      <c r="R75" s="110"/>
      <c r="S75" s="110"/>
      <c r="T75" s="110"/>
      <c r="U75" s="110"/>
      <c r="V75" s="110"/>
      <c r="W75" s="110"/>
      <c r="X75" s="110"/>
      <c r="Y75" s="110"/>
      <c r="Z75" s="110"/>
    </row>
    <row r="76" ht="15.75" customHeight="1">
      <c r="A76" s="105" t="s">
        <v>815</v>
      </c>
      <c r="B76" s="154" t="s">
        <v>197</v>
      </c>
      <c r="C76" s="106" t="s">
        <v>816</v>
      </c>
      <c r="D76" s="107" t="s">
        <v>185</v>
      </c>
      <c r="E76" s="106" t="s">
        <v>768</v>
      </c>
      <c r="F76" s="107">
        <v>15.0</v>
      </c>
      <c r="G76" s="106" t="s">
        <v>723</v>
      </c>
      <c r="H76" s="112" t="s">
        <v>91</v>
      </c>
      <c r="I76" s="106" t="s">
        <v>723</v>
      </c>
      <c r="J76" s="107" t="s">
        <v>85</v>
      </c>
      <c r="K76" s="105" t="s">
        <v>687</v>
      </c>
      <c r="L76" s="112" t="s">
        <v>760</v>
      </c>
      <c r="M76" s="108">
        <v>44141.0</v>
      </c>
      <c r="N76" s="106" t="s">
        <v>735</v>
      </c>
      <c r="O76" s="116" t="s">
        <v>736</v>
      </c>
      <c r="P76" s="107" t="s">
        <v>761</v>
      </c>
      <c r="Q76" s="107" t="s">
        <v>761</v>
      </c>
      <c r="R76" s="110"/>
      <c r="S76" s="110"/>
      <c r="T76" s="110"/>
      <c r="U76" s="110"/>
      <c r="V76" s="110"/>
      <c r="W76" s="110"/>
      <c r="X76" s="110"/>
      <c r="Y76" s="110"/>
      <c r="Z76" s="110"/>
    </row>
    <row r="77" ht="15.75" customHeight="1">
      <c r="A77" s="105" t="s">
        <v>817</v>
      </c>
      <c r="B77" s="154" t="s">
        <v>197</v>
      </c>
      <c r="C77" s="106" t="s">
        <v>818</v>
      </c>
      <c r="D77" s="107" t="s">
        <v>185</v>
      </c>
      <c r="E77" s="106" t="s">
        <v>768</v>
      </c>
      <c r="F77" s="107">
        <v>25.0</v>
      </c>
      <c r="G77" s="106" t="s">
        <v>723</v>
      </c>
      <c r="H77" s="107" t="s">
        <v>91</v>
      </c>
      <c r="I77" s="106" t="s">
        <v>723</v>
      </c>
      <c r="J77" s="107" t="s">
        <v>85</v>
      </c>
      <c r="K77" s="105" t="s">
        <v>687</v>
      </c>
      <c r="L77" s="112" t="s">
        <v>760</v>
      </c>
      <c r="M77" s="108">
        <v>44141.0</v>
      </c>
      <c r="N77" s="106" t="s">
        <v>735</v>
      </c>
      <c r="O77" s="116" t="s">
        <v>736</v>
      </c>
      <c r="P77" s="107" t="s">
        <v>761</v>
      </c>
      <c r="Q77" s="107" t="s">
        <v>761</v>
      </c>
      <c r="R77" s="110"/>
      <c r="S77" s="110"/>
      <c r="T77" s="110"/>
      <c r="U77" s="110"/>
      <c r="V77" s="110"/>
      <c r="W77" s="110"/>
      <c r="X77" s="110"/>
      <c r="Y77" s="110"/>
      <c r="Z77" s="110"/>
    </row>
    <row r="78" ht="15.75" customHeight="1">
      <c r="A78" s="105" t="s">
        <v>819</v>
      </c>
      <c r="B78" s="154" t="s">
        <v>197</v>
      </c>
      <c r="C78" s="106" t="s">
        <v>820</v>
      </c>
      <c r="D78" s="107" t="s">
        <v>185</v>
      </c>
      <c r="E78" s="106" t="s">
        <v>768</v>
      </c>
      <c r="F78" s="107">
        <v>289425.0</v>
      </c>
      <c r="G78" s="106" t="s">
        <v>723</v>
      </c>
      <c r="H78" s="107" t="s">
        <v>91</v>
      </c>
      <c r="I78" s="106" t="s">
        <v>723</v>
      </c>
      <c r="J78" s="107" t="s">
        <v>85</v>
      </c>
      <c r="K78" s="105" t="s">
        <v>687</v>
      </c>
      <c r="L78" s="112" t="s">
        <v>760</v>
      </c>
      <c r="M78" s="108">
        <v>44141.0</v>
      </c>
      <c r="N78" s="106" t="s">
        <v>735</v>
      </c>
      <c r="O78" s="116" t="s">
        <v>736</v>
      </c>
      <c r="P78" s="107" t="s">
        <v>761</v>
      </c>
      <c r="Q78" s="107" t="s">
        <v>761</v>
      </c>
      <c r="R78" s="110"/>
      <c r="S78" s="110"/>
      <c r="T78" s="110"/>
      <c r="U78" s="110"/>
      <c r="V78" s="110"/>
      <c r="W78" s="110"/>
      <c r="X78" s="110"/>
      <c r="Y78" s="110"/>
      <c r="Z78" s="110"/>
    </row>
    <row r="79" ht="15.75" customHeight="1">
      <c r="A79" s="105" t="s">
        <v>821</v>
      </c>
      <c r="B79" s="154" t="s">
        <v>197</v>
      </c>
      <c r="C79" s="106" t="s">
        <v>371</v>
      </c>
      <c r="D79" s="107" t="s">
        <v>185</v>
      </c>
      <c r="E79" s="106" t="s">
        <v>768</v>
      </c>
      <c r="F79" s="107">
        <v>370.0</v>
      </c>
      <c r="G79" s="106" t="s">
        <v>723</v>
      </c>
      <c r="H79" s="107" t="s">
        <v>91</v>
      </c>
      <c r="I79" s="106" t="s">
        <v>723</v>
      </c>
      <c r="J79" s="107" t="s">
        <v>85</v>
      </c>
      <c r="K79" s="105" t="s">
        <v>687</v>
      </c>
      <c r="L79" s="112" t="s">
        <v>760</v>
      </c>
      <c r="M79" s="108">
        <v>44141.0</v>
      </c>
      <c r="N79" s="106" t="s">
        <v>735</v>
      </c>
      <c r="O79" s="116" t="s">
        <v>736</v>
      </c>
      <c r="P79" s="107" t="s">
        <v>761</v>
      </c>
      <c r="Q79" s="107" t="s">
        <v>761</v>
      </c>
      <c r="R79" s="110"/>
      <c r="S79" s="110"/>
      <c r="T79" s="110"/>
      <c r="U79" s="110"/>
      <c r="V79" s="110"/>
      <c r="W79" s="110"/>
      <c r="X79" s="110"/>
      <c r="Y79" s="110"/>
      <c r="Z79" s="110"/>
    </row>
    <row r="80" ht="15.75" customHeight="1">
      <c r="A80" s="105" t="s">
        <v>151</v>
      </c>
      <c r="B80" s="155" t="s">
        <v>44</v>
      </c>
      <c r="C80" s="106" t="s">
        <v>822</v>
      </c>
      <c r="D80" s="107" t="s">
        <v>135</v>
      </c>
      <c r="E80" s="106" t="s">
        <v>685</v>
      </c>
      <c r="F80" s="107" t="s">
        <v>154</v>
      </c>
      <c r="G80" s="112" t="s">
        <v>136</v>
      </c>
      <c r="H80" s="107" t="s">
        <v>91</v>
      </c>
      <c r="I80" s="107" t="s">
        <v>91</v>
      </c>
      <c r="J80" s="122">
        <v>1.0</v>
      </c>
      <c r="K80" s="105" t="s">
        <v>749</v>
      </c>
      <c r="L80" s="112" t="s">
        <v>763</v>
      </c>
      <c r="M80" s="108">
        <v>44075.0</v>
      </c>
      <c r="N80" s="106" t="s">
        <v>692</v>
      </c>
      <c r="O80" s="109" t="s">
        <v>690</v>
      </c>
      <c r="P80" s="107" t="s">
        <v>782</v>
      </c>
      <c r="Q80" s="107" t="s">
        <v>782</v>
      </c>
      <c r="R80" s="110"/>
      <c r="S80" s="110"/>
      <c r="T80" s="110"/>
      <c r="U80" s="110"/>
      <c r="V80" s="110"/>
      <c r="W80" s="110"/>
      <c r="X80" s="110"/>
      <c r="Y80" s="110"/>
      <c r="Z80" s="110"/>
    </row>
    <row r="81" ht="15.75" customHeight="1">
      <c r="A81" s="105" t="s">
        <v>155</v>
      </c>
      <c r="B81" s="155" t="s">
        <v>44</v>
      </c>
      <c r="C81" s="106" t="s">
        <v>823</v>
      </c>
      <c r="D81" s="107" t="s">
        <v>135</v>
      </c>
      <c r="E81" s="106" t="s">
        <v>685</v>
      </c>
      <c r="F81" s="107" t="s">
        <v>157</v>
      </c>
      <c r="G81" s="112" t="s">
        <v>136</v>
      </c>
      <c r="H81" s="107" t="s">
        <v>91</v>
      </c>
      <c r="I81" s="107" t="s">
        <v>91</v>
      </c>
      <c r="J81" s="122">
        <v>1.0</v>
      </c>
      <c r="K81" s="105" t="s">
        <v>749</v>
      </c>
      <c r="L81" s="112" t="s">
        <v>763</v>
      </c>
      <c r="M81" s="108">
        <v>44075.0</v>
      </c>
      <c r="N81" s="106" t="s">
        <v>692</v>
      </c>
      <c r="O81" s="109" t="s">
        <v>690</v>
      </c>
      <c r="P81" s="107" t="s">
        <v>782</v>
      </c>
      <c r="Q81" s="107" t="s">
        <v>782</v>
      </c>
      <c r="R81" s="110"/>
      <c r="S81" s="110"/>
      <c r="T81" s="110"/>
      <c r="U81" s="110"/>
      <c r="V81" s="110"/>
      <c r="W81" s="110"/>
      <c r="X81" s="110"/>
      <c r="Y81" s="110"/>
      <c r="Z81" s="110"/>
    </row>
    <row r="82" ht="15.75" customHeight="1">
      <c r="A82" s="105" t="s">
        <v>158</v>
      </c>
      <c r="B82" s="155" t="s">
        <v>44</v>
      </c>
      <c r="C82" s="106" t="s">
        <v>824</v>
      </c>
      <c r="D82" s="107" t="s">
        <v>135</v>
      </c>
      <c r="E82" s="106" t="s">
        <v>685</v>
      </c>
      <c r="F82" s="107" t="s">
        <v>160</v>
      </c>
      <c r="G82" s="112" t="s">
        <v>136</v>
      </c>
      <c r="H82" s="107" t="s">
        <v>91</v>
      </c>
      <c r="I82" s="107" t="s">
        <v>91</v>
      </c>
      <c r="J82" s="122">
        <v>1.0</v>
      </c>
      <c r="K82" s="105" t="s">
        <v>749</v>
      </c>
      <c r="L82" s="112" t="s">
        <v>763</v>
      </c>
      <c r="M82" s="108">
        <v>44075.0</v>
      </c>
      <c r="N82" s="106" t="s">
        <v>692</v>
      </c>
      <c r="O82" s="109" t="s">
        <v>690</v>
      </c>
      <c r="P82" s="107" t="s">
        <v>782</v>
      </c>
      <c r="Q82" s="107" t="s">
        <v>782</v>
      </c>
      <c r="R82" s="110"/>
      <c r="S82" s="110"/>
      <c r="T82" s="110"/>
      <c r="U82" s="110"/>
      <c r="V82" s="110"/>
      <c r="W82" s="110"/>
      <c r="X82" s="110"/>
      <c r="Y82" s="110"/>
      <c r="Z82" s="110"/>
    </row>
    <row r="83" ht="15.75" customHeight="1">
      <c r="A83" s="105" t="s">
        <v>161</v>
      </c>
      <c r="B83" s="155" t="s">
        <v>44</v>
      </c>
      <c r="C83" s="106" t="s">
        <v>825</v>
      </c>
      <c r="D83" s="107" t="s">
        <v>135</v>
      </c>
      <c r="E83" s="106" t="s">
        <v>685</v>
      </c>
      <c r="F83" s="107" t="s">
        <v>163</v>
      </c>
      <c r="G83" s="112" t="s">
        <v>136</v>
      </c>
      <c r="H83" s="107" t="s">
        <v>91</v>
      </c>
      <c r="I83" s="107" t="s">
        <v>91</v>
      </c>
      <c r="J83" s="122">
        <v>1.0</v>
      </c>
      <c r="K83" s="105" t="s">
        <v>749</v>
      </c>
      <c r="L83" s="112" t="s">
        <v>763</v>
      </c>
      <c r="M83" s="108">
        <v>44075.0</v>
      </c>
      <c r="N83" s="106" t="s">
        <v>692</v>
      </c>
      <c r="O83" s="109" t="s">
        <v>690</v>
      </c>
      <c r="P83" s="107" t="s">
        <v>782</v>
      </c>
      <c r="Q83" s="107" t="s">
        <v>782</v>
      </c>
      <c r="R83" s="110"/>
      <c r="S83" s="110"/>
      <c r="T83" s="110"/>
      <c r="U83" s="110"/>
      <c r="V83" s="110"/>
      <c r="W83" s="110"/>
      <c r="X83" s="110"/>
      <c r="Y83" s="110"/>
      <c r="Z83" s="110"/>
    </row>
    <row r="84" ht="15.75" customHeight="1">
      <c r="A84" s="105" t="s">
        <v>164</v>
      </c>
      <c r="B84" s="155" t="s">
        <v>44</v>
      </c>
      <c r="C84" s="106" t="s">
        <v>826</v>
      </c>
      <c r="D84" s="107" t="s">
        <v>135</v>
      </c>
      <c r="E84" s="106" t="s">
        <v>685</v>
      </c>
      <c r="F84" s="107" t="s">
        <v>154</v>
      </c>
      <c r="G84" s="112" t="s">
        <v>136</v>
      </c>
      <c r="H84" s="107" t="s">
        <v>91</v>
      </c>
      <c r="I84" s="107" t="s">
        <v>91</v>
      </c>
      <c r="J84" s="122">
        <v>0.6765</v>
      </c>
      <c r="K84" s="105" t="s">
        <v>749</v>
      </c>
      <c r="L84" s="112" t="s">
        <v>763</v>
      </c>
      <c r="M84" s="108">
        <v>44075.0</v>
      </c>
      <c r="N84" s="106" t="s">
        <v>692</v>
      </c>
      <c r="O84" s="109" t="s">
        <v>690</v>
      </c>
      <c r="P84" s="107" t="s">
        <v>782</v>
      </c>
      <c r="Q84" s="107" t="s">
        <v>782</v>
      </c>
      <c r="R84" s="110"/>
      <c r="S84" s="110"/>
      <c r="T84" s="110"/>
      <c r="U84" s="110"/>
      <c r="V84" s="110"/>
      <c r="W84" s="110"/>
      <c r="X84" s="110"/>
      <c r="Y84" s="110"/>
      <c r="Z84" s="110"/>
    </row>
    <row r="85" ht="15.75" customHeight="1">
      <c r="A85" s="105" t="s">
        <v>166</v>
      </c>
      <c r="B85" s="155" t="s">
        <v>44</v>
      </c>
      <c r="C85" s="106" t="s">
        <v>827</v>
      </c>
      <c r="D85" s="107" t="s">
        <v>135</v>
      </c>
      <c r="E85" s="106" t="s">
        <v>685</v>
      </c>
      <c r="F85" s="107" t="s">
        <v>157</v>
      </c>
      <c r="G85" s="112" t="s">
        <v>136</v>
      </c>
      <c r="H85" s="107" t="s">
        <v>91</v>
      </c>
      <c r="I85" s="107" t="s">
        <v>91</v>
      </c>
      <c r="J85" s="122">
        <v>0.6765</v>
      </c>
      <c r="K85" s="105" t="s">
        <v>749</v>
      </c>
      <c r="L85" s="112" t="s">
        <v>763</v>
      </c>
      <c r="M85" s="108">
        <v>44075.0</v>
      </c>
      <c r="N85" s="106" t="s">
        <v>692</v>
      </c>
      <c r="O85" s="109" t="s">
        <v>690</v>
      </c>
      <c r="P85" s="107" t="s">
        <v>782</v>
      </c>
      <c r="Q85" s="107" t="s">
        <v>782</v>
      </c>
      <c r="R85" s="110"/>
      <c r="S85" s="110"/>
      <c r="T85" s="110"/>
      <c r="U85" s="110"/>
      <c r="V85" s="110"/>
      <c r="W85" s="110"/>
      <c r="X85" s="110"/>
      <c r="Y85" s="110"/>
      <c r="Z85" s="110"/>
    </row>
    <row r="86" ht="15.75" customHeight="1">
      <c r="A86" s="105" t="s">
        <v>168</v>
      </c>
      <c r="B86" s="155" t="s">
        <v>44</v>
      </c>
      <c r="C86" s="106" t="s">
        <v>828</v>
      </c>
      <c r="D86" s="107" t="s">
        <v>135</v>
      </c>
      <c r="E86" s="106" t="s">
        <v>685</v>
      </c>
      <c r="F86" s="107" t="s">
        <v>160</v>
      </c>
      <c r="G86" s="112" t="s">
        <v>136</v>
      </c>
      <c r="H86" s="107" t="s">
        <v>91</v>
      </c>
      <c r="I86" s="107" t="s">
        <v>91</v>
      </c>
      <c r="J86" s="122">
        <v>0.6765</v>
      </c>
      <c r="K86" s="105" t="s">
        <v>749</v>
      </c>
      <c r="L86" s="112" t="s">
        <v>763</v>
      </c>
      <c r="M86" s="108">
        <v>44075.0</v>
      </c>
      <c r="N86" s="106" t="s">
        <v>692</v>
      </c>
      <c r="O86" s="109" t="s">
        <v>690</v>
      </c>
      <c r="P86" s="107" t="s">
        <v>782</v>
      </c>
      <c r="Q86" s="107" t="s">
        <v>782</v>
      </c>
      <c r="R86" s="110"/>
      <c r="S86" s="110"/>
      <c r="T86" s="110"/>
      <c r="U86" s="110"/>
      <c r="V86" s="110"/>
      <c r="W86" s="110"/>
      <c r="X86" s="110"/>
      <c r="Y86" s="110"/>
      <c r="Z86" s="110"/>
    </row>
    <row r="87" ht="15.75" customHeight="1">
      <c r="A87" s="105" t="s">
        <v>170</v>
      </c>
      <c r="B87" s="155" t="s">
        <v>44</v>
      </c>
      <c r="C87" s="106" t="s">
        <v>829</v>
      </c>
      <c r="D87" s="107" t="s">
        <v>135</v>
      </c>
      <c r="E87" s="106" t="s">
        <v>685</v>
      </c>
      <c r="F87" s="107" t="s">
        <v>163</v>
      </c>
      <c r="G87" s="112" t="s">
        <v>136</v>
      </c>
      <c r="H87" s="107" t="s">
        <v>91</v>
      </c>
      <c r="I87" s="107" t="s">
        <v>91</v>
      </c>
      <c r="J87" s="122">
        <v>0.6765</v>
      </c>
      <c r="K87" s="105" t="s">
        <v>749</v>
      </c>
      <c r="L87" s="112" t="s">
        <v>763</v>
      </c>
      <c r="M87" s="108">
        <v>44075.0</v>
      </c>
      <c r="N87" s="106" t="s">
        <v>692</v>
      </c>
      <c r="O87" s="109" t="s">
        <v>690</v>
      </c>
      <c r="P87" s="107" t="s">
        <v>782</v>
      </c>
      <c r="Q87" s="107" t="s">
        <v>782</v>
      </c>
      <c r="R87" s="110"/>
      <c r="S87" s="110"/>
      <c r="T87" s="110"/>
      <c r="U87" s="110"/>
      <c r="V87" s="110"/>
      <c r="W87" s="110"/>
      <c r="X87" s="110"/>
      <c r="Y87" s="110"/>
      <c r="Z87" s="110"/>
    </row>
    <row r="88" ht="15.75" customHeight="1">
      <c r="A88" s="105" t="s">
        <v>116</v>
      </c>
      <c r="B88" s="154" t="s">
        <v>60</v>
      </c>
      <c r="C88" s="106" t="s">
        <v>830</v>
      </c>
      <c r="D88" s="107" t="s">
        <v>185</v>
      </c>
      <c r="E88" s="106" t="s">
        <v>694</v>
      </c>
      <c r="F88" s="107">
        <v>12.0</v>
      </c>
      <c r="G88" s="112" t="s">
        <v>86</v>
      </c>
      <c r="H88" s="107" t="s">
        <v>91</v>
      </c>
      <c r="I88" s="107" t="s">
        <v>91</v>
      </c>
      <c r="J88" s="107" t="s">
        <v>85</v>
      </c>
      <c r="K88" s="106" t="s">
        <v>687</v>
      </c>
      <c r="L88" s="107" t="s">
        <v>688</v>
      </c>
      <c r="M88" s="108">
        <v>44142.0</v>
      </c>
      <c r="N88" s="106" t="s">
        <v>692</v>
      </c>
      <c r="O88" s="109" t="s">
        <v>690</v>
      </c>
      <c r="P88" s="107" t="s">
        <v>691</v>
      </c>
      <c r="Q88" s="107" t="s">
        <v>691</v>
      </c>
      <c r="R88" s="110"/>
      <c r="S88" s="110"/>
      <c r="T88" s="110"/>
      <c r="U88" s="110"/>
      <c r="V88" s="110"/>
      <c r="W88" s="110"/>
      <c r="X88" s="110"/>
      <c r="Y88" s="110"/>
      <c r="Z88" s="110"/>
    </row>
    <row r="89" ht="15.75" customHeight="1">
      <c r="A89" s="105" t="s">
        <v>261</v>
      </c>
      <c r="B89" s="154" t="s">
        <v>197</v>
      </c>
      <c r="C89" s="106" t="s">
        <v>831</v>
      </c>
      <c r="D89" s="107" t="s">
        <v>185</v>
      </c>
      <c r="E89" s="106" t="s">
        <v>720</v>
      </c>
      <c r="F89" s="115" t="b">
        <v>1</v>
      </c>
      <c r="G89" s="105" t="s">
        <v>686</v>
      </c>
      <c r="H89" s="107" t="s">
        <v>91</v>
      </c>
      <c r="I89" s="107" t="s">
        <v>91</v>
      </c>
      <c r="J89" s="107" t="s">
        <v>85</v>
      </c>
      <c r="K89" s="106" t="s">
        <v>687</v>
      </c>
      <c r="L89" s="107" t="s">
        <v>688</v>
      </c>
      <c r="M89" s="108">
        <v>44142.0</v>
      </c>
      <c r="N89" s="106" t="s">
        <v>1327</v>
      </c>
      <c r="O89" s="116" t="s">
        <v>690</v>
      </c>
      <c r="P89" s="107" t="s">
        <v>705</v>
      </c>
      <c r="Q89" s="107" t="s">
        <v>705</v>
      </c>
      <c r="R89" s="110"/>
      <c r="S89" s="110"/>
      <c r="T89" s="110"/>
      <c r="U89" s="110"/>
      <c r="V89" s="110"/>
      <c r="W89" s="110"/>
      <c r="X89" s="110"/>
      <c r="Y89" s="110"/>
      <c r="Z89" s="110"/>
    </row>
    <row r="90" ht="15.75" customHeight="1">
      <c r="A90" s="105" t="s">
        <v>363</v>
      </c>
      <c r="B90" s="154" t="s">
        <v>197</v>
      </c>
      <c r="C90" s="106" t="s">
        <v>832</v>
      </c>
      <c r="D90" s="107" t="s">
        <v>185</v>
      </c>
      <c r="E90" s="106" t="s">
        <v>720</v>
      </c>
      <c r="F90" s="115" t="b">
        <v>1</v>
      </c>
      <c r="G90" s="105" t="s">
        <v>686</v>
      </c>
      <c r="H90" s="117" t="s">
        <v>91</v>
      </c>
      <c r="I90" s="117" t="s">
        <v>91</v>
      </c>
      <c r="J90" s="117" t="s">
        <v>85</v>
      </c>
      <c r="K90" s="106" t="s">
        <v>687</v>
      </c>
      <c r="L90" s="107" t="s">
        <v>688</v>
      </c>
      <c r="M90" s="108">
        <v>44142.0</v>
      </c>
      <c r="N90" s="106" t="s">
        <v>741</v>
      </c>
      <c r="O90" s="116"/>
      <c r="P90" s="107" t="s">
        <v>702</v>
      </c>
      <c r="Q90" s="107" t="s">
        <v>702</v>
      </c>
      <c r="R90" s="110"/>
      <c r="S90" s="110"/>
      <c r="T90" s="110"/>
      <c r="U90" s="110"/>
      <c r="V90" s="110"/>
      <c r="W90" s="110"/>
      <c r="X90" s="110"/>
      <c r="Y90" s="110"/>
      <c r="Z90" s="110"/>
    </row>
    <row r="91" ht="15.75" customHeight="1">
      <c r="A91" s="105" t="s">
        <v>833</v>
      </c>
      <c r="B91" s="154" t="s">
        <v>44</v>
      </c>
      <c r="C91" s="106" t="s">
        <v>834</v>
      </c>
      <c r="D91" s="107" t="s">
        <v>83</v>
      </c>
      <c r="E91" s="106" t="s">
        <v>685</v>
      </c>
      <c r="F91" s="120" t="s">
        <v>346</v>
      </c>
      <c r="G91" s="114" t="s">
        <v>686</v>
      </c>
      <c r="H91" s="107" t="s">
        <v>91</v>
      </c>
      <c r="I91" s="107" t="s">
        <v>91</v>
      </c>
      <c r="J91" s="107" t="s">
        <v>85</v>
      </c>
      <c r="K91" s="106" t="s">
        <v>687</v>
      </c>
      <c r="L91" s="107" t="s">
        <v>688</v>
      </c>
      <c r="M91" s="108">
        <v>44142.0</v>
      </c>
      <c r="N91" s="106" t="s">
        <v>701</v>
      </c>
      <c r="O91" s="116" t="s">
        <v>732</v>
      </c>
      <c r="P91" s="107" t="s">
        <v>691</v>
      </c>
      <c r="Q91" s="107" t="s">
        <v>691</v>
      </c>
      <c r="R91" s="110"/>
      <c r="S91" s="110"/>
      <c r="T91" s="110"/>
      <c r="U91" s="110"/>
      <c r="V91" s="110"/>
      <c r="W91" s="110"/>
      <c r="X91" s="110"/>
      <c r="Y91" s="110"/>
      <c r="Z91" s="110"/>
    </row>
    <row r="92" ht="15.75" customHeight="1">
      <c r="A92" s="105" t="s">
        <v>347</v>
      </c>
      <c r="B92" s="153" t="s">
        <v>126</v>
      </c>
      <c r="C92" s="106" t="s">
        <v>348</v>
      </c>
      <c r="D92" s="107" t="s">
        <v>83</v>
      </c>
      <c r="E92" s="106" t="s">
        <v>685</v>
      </c>
      <c r="F92" s="107" t="s">
        <v>349</v>
      </c>
      <c r="G92" s="114" t="s">
        <v>835</v>
      </c>
      <c r="H92" s="107" t="s">
        <v>91</v>
      </c>
      <c r="I92" s="107" t="s">
        <v>91</v>
      </c>
      <c r="J92" s="107" t="s">
        <v>85</v>
      </c>
      <c r="K92" s="106" t="s">
        <v>687</v>
      </c>
      <c r="L92" s="107" t="s">
        <v>688</v>
      </c>
      <c r="M92" s="108">
        <v>44142.0</v>
      </c>
      <c r="N92" s="106" t="s">
        <v>701</v>
      </c>
      <c r="O92" s="109" t="s">
        <v>690</v>
      </c>
      <c r="P92" s="107" t="s">
        <v>691</v>
      </c>
      <c r="Q92" s="107" t="s">
        <v>691</v>
      </c>
      <c r="R92" s="110"/>
      <c r="S92" s="110"/>
      <c r="T92" s="110"/>
      <c r="U92" s="110"/>
      <c r="V92" s="110"/>
      <c r="W92" s="110"/>
      <c r="X92" s="110"/>
      <c r="Y92" s="110"/>
      <c r="Z92" s="110"/>
    </row>
    <row r="93" ht="15.75" customHeight="1">
      <c r="A93" s="105" t="s">
        <v>149</v>
      </c>
      <c r="B93" s="154" t="s">
        <v>44</v>
      </c>
      <c r="C93" s="106" t="s">
        <v>150</v>
      </c>
      <c r="D93" s="107" t="s">
        <v>83</v>
      </c>
      <c r="E93" s="106" t="s">
        <v>698</v>
      </c>
      <c r="F93" s="123">
        <v>29250.0</v>
      </c>
      <c r="G93" s="114" t="s">
        <v>835</v>
      </c>
      <c r="H93" s="107" t="s">
        <v>91</v>
      </c>
      <c r="I93" s="107" t="s">
        <v>91</v>
      </c>
      <c r="J93" s="107" t="s">
        <v>85</v>
      </c>
      <c r="K93" s="106" t="s">
        <v>687</v>
      </c>
      <c r="L93" s="107" t="s">
        <v>688</v>
      </c>
      <c r="M93" s="108">
        <v>44142.0</v>
      </c>
      <c r="N93" s="106" t="s">
        <v>1318</v>
      </c>
      <c r="O93" s="109" t="s">
        <v>690</v>
      </c>
      <c r="P93" s="107" t="s">
        <v>691</v>
      </c>
      <c r="Q93" s="107" t="s">
        <v>691</v>
      </c>
      <c r="R93" s="110"/>
      <c r="S93" s="110"/>
      <c r="T93" s="110"/>
      <c r="U93" s="110"/>
      <c r="V93" s="110"/>
      <c r="W93" s="110"/>
      <c r="X93" s="110"/>
      <c r="Y93" s="110"/>
      <c r="Z93" s="110"/>
    </row>
    <row r="94" ht="15.75" customHeight="1">
      <c r="A94" s="105" t="s">
        <v>92</v>
      </c>
      <c r="B94" s="153" t="s">
        <v>696</v>
      </c>
      <c r="C94" s="106" t="s">
        <v>1328</v>
      </c>
      <c r="D94" s="107" t="s">
        <v>83</v>
      </c>
      <c r="E94" s="106" t="s">
        <v>1313</v>
      </c>
      <c r="F94" s="107">
        <v>1024.0</v>
      </c>
      <c r="G94" s="105" t="s">
        <v>686</v>
      </c>
      <c r="H94" s="107" t="s">
        <v>91</v>
      </c>
      <c r="I94" s="107" t="s">
        <v>91</v>
      </c>
      <c r="J94" s="107" t="s">
        <v>85</v>
      </c>
      <c r="K94" s="106" t="s">
        <v>687</v>
      </c>
      <c r="L94" s="107" t="s">
        <v>688</v>
      </c>
      <c r="M94" s="108">
        <v>44142.0</v>
      </c>
      <c r="N94" s="106" t="s">
        <v>1314</v>
      </c>
      <c r="O94" s="109" t="s">
        <v>690</v>
      </c>
      <c r="P94" s="107" t="s">
        <v>691</v>
      </c>
      <c r="Q94" s="107" t="s">
        <v>691</v>
      </c>
      <c r="R94" s="110"/>
      <c r="S94" s="110"/>
      <c r="T94" s="110"/>
      <c r="U94" s="110"/>
      <c r="V94" s="110"/>
      <c r="W94" s="110"/>
      <c r="X94" s="110"/>
      <c r="Y94" s="110"/>
      <c r="Z94" s="110"/>
    </row>
    <row r="95" ht="15.75" customHeight="1">
      <c r="A95" s="105" t="s">
        <v>125</v>
      </c>
      <c r="B95" s="154" t="s">
        <v>44</v>
      </c>
      <c r="C95" s="106" t="s">
        <v>128</v>
      </c>
      <c r="D95" s="107" t="s">
        <v>83</v>
      </c>
      <c r="E95" s="106" t="s">
        <v>1313</v>
      </c>
      <c r="F95" s="107" t="s">
        <v>129</v>
      </c>
      <c r="G95" s="114" t="s">
        <v>835</v>
      </c>
      <c r="H95" s="107" t="s">
        <v>91</v>
      </c>
      <c r="I95" s="107" t="s">
        <v>91</v>
      </c>
      <c r="J95" s="107" t="s">
        <v>85</v>
      </c>
      <c r="K95" s="106" t="s">
        <v>687</v>
      </c>
      <c r="L95" s="107" t="s">
        <v>688</v>
      </c>
      <c r="M95" s="108">
        <v>44142.0</v>
      </c>
      <c r="N95" s="106" t="s">
        <v>1314</v>
      </c>
      <c r="O95" s="109" t="s">
        <v>690</v>
      </c>
      <c r="P95" s="107" t="s">
        <v>691</v>
      </c>
      <c r="Q95" s="107" t="s">
        <v>691</v>
      </c>
      <c r="R95" s="110"/>
      <c r="S95" s="110"/>
      <c r="T95" s="110"/>
      <c r="U95" s="110"/>
      <c r="V95" s="110"/>
      <c r="W95" s="110"/>
      <c r="X95" s="110"/>
      <c r="Y95" s="110"/>
      <c r="Z95" s="110"/>
    </row>
    <row r="96" ht="15.75" customHeight="1">
      <c r="A96" s="105" t="s">
        <v>130</v>
      </c>
      <c r="B96" s="154" t="s">
        <v>44</v>
      </c>
      <c r="C96" s="106" t="s">
        <v>131</v>
      </c>
      <c r="D96" s="107" t="s">
        <v>83</v>
      </c>
      <c r="E96" s="106" t="s">
        <v>1313</v>
      </c>
      <c r="F96" s="107" t="s">
        <v>132</v>
      </c>
      <c r="G96" s="114" t="s">
        <v>835</v>
      </c>
      <c r="H96" s="107" t="s">
        <v>91</v>
      </c>
      <c r="I96" s="107" t="s">
        <v>91</v>
      </c>
      <c r="J96" s="107" t="s">
        <v>85</v>
      </c>
      <c r="K96" s="106" t="s">
        <v>687</v>
      </c>
      <c r="L96" s="107" t="s">
        <v>688</v>
      </c>
      <c r="M96" s="108">
        <v>44142.0</v>
      </c>
      <c r="N96" s="106" t="s">
        <v>1318</v>
      </c>
      <c r="O96" s="109" t="s">
        <v>690</v>
      </c>
      <c r="P96" s="107" t="s">
        <v>691</v>
      </c>
      <c r="Q96" s="107" t="s">
        <v>691</v>
      </c>
      <c r="R96" s="110"/>
      <c r="S96" s="110"/>
      <c r="T96" s="110"/>
      <c r="U96" s="110"/>
      <c r="V96" s="110"/>
      <c r="W96" s="110"/>
      <c r="X96" s="110"/>
      <c r="Y96" s="110"/>
      <c r="Z96" s="110"/>
    </row>
    <row r="97" ht="15.75" customHeight="1">
      <c r="A97" s="105" t="s">
        <v>143</v>
      </c>
      <c r="B97" s="154" t="s">
        <v>44</v>
      </c>
      <c r="C97" s="106" t="s">
        <v>144</v>
      </c>
      <c r="D97" s="107" t="s">
        <v>83</v>
      </c>
      <c r="E97" s="106" t="s">
        <v>685</v>
      </c>
      <c r="F97" s="107" t="s">
        <v>145</v>
      </c>
      <c r="G97" s="114" t="s">
        <v>835</v>
      </c>
      <c r="H97" s="107" t="s">
        <v>91</v>
      </c>
      <c r="I97" s="107" t="s">
        <v>91</v>
      </c>
      <c r="J97" s="107" t="s">
        <v>85</v>
      </c>
      <c r="K97" s="106" t="s">
        <v>687</v>
      </c>
      <c r="L97" s="107" t="s">
        <v>688</v>
      </c>
      <c r="M97" s="108">
        <v>44142.0</v>
      </c>
      <c r="N97" s="106" t="s">
        <v>701</v>
      </c>
      <c r="O97" s="109" t="s">
        <v>690</v>
      </c>
      <c r="P97" s="107" t="s">
        <v>691</v>
      </c>
      <c r="Q97" s="107" t="s">
        <v>691</v>
      </c>
      <c r="R97" s="110"/>
      <c r="S97" s="110"/>
      <c r="T97" s="110"/>
      <c r="U97" s="110"/>
      <c r="V97" s="110"/>
      <c r="W97" s="110"/>
      <c r="X97" s="110"/>
      <c r="Y97" s="110"/>
      <c r="Z97" s="110"/>
    </row>
    <row r="98" ht="15.75" customHeight="1">
      <c r="A98" s="105" t="s">
        <v>458</v>
      </c>
      <c r="B98" s="154" t="s">
        <v>197</v>
      </c>
      <c r="C98" s="106" t="s">
        <v>1480</v>
      </c>
      <c r="D98" s="107" t="s">
        <v>83</v>
      </c>
      <c r="E98" s="106" t="s">
        <v>685</v>
      </c>
      <c r="F98" s="107" t="s">
        <v>460</v>
      </c>
      <c r="G98" s="114" t="s">
        <v>686</v>
      </c>
      <c r="H98" s="107" t="s">
        <v>91</v>
      </c>
      <c r="I98" s="107" t="s">
        <v>91</v>
      </c>
      <c r="J98" s="112" t="s">
        <v>85</v>
      </c>
      <c r="K98" s="106" t="s">
        <v>687</v>
      </c>
      <c r="L98" s="107" t="s">
        <v>688</v>
      </c>
      <c r="M98" s="108">
        <v>44142.0</v>
      </c>
      <c r="N98" s="106" t="s">
        <v>735</v>
      </c>
      <c r="O98" s="116" t="s">
        <v>736</v>
      </c>
      <c r="P98" s="107" t="s">
        <v>761</v>
      </c>
      <c r="Q98" s="107" t="s">
        <v>761</v>
      </c>
      <c r="R98" s="110"/>
      <c r="S98" s="110"/>
      <c r="T98" s="110"/>
      <c r="U98" s="110"/>
      <c r="V98" s="110"/>
      <c r="W98" s="110"/>
      <c r="X98" s="110"/>
      <c r="Y98" s="110"/>
      <c r="Z98" s="110"/>
    </row>
    <row r="99" ht="15.75" customHeight="1">
      <c r="A99" s="105" t="s">
        <v>258</v>
      </c>
      <c r="B99" s="154" t="s">
        <v>197</v>
      </c>
      <c r="C99" s="106" t="s">
        <v>838</v>
      </c>
      <c r="D99" s="107" t="s">
        <v>185</v>
      </c>
      <c r="E99" s="106" t="s">
        <v>685</v>
      </c>
      <c r="F99" s="107" t="s">
        <v>839</v>
      </c>
      <c r="G99" s="105" t="s">
        <v>686</v>
      </c>
      <c r="H99" s="107" t="s">
        <v>91</v>
      </c>
      <c r="I99" s="107" t="s">
        <v>91</v>
      </c>
      <c r="J99" s="107" t="s">
        <v>85</v>
      </c>
      <c r="K99" s="106" t="s">
        <v>687</v>
      </c>
      <c r="L99" s="107" t="s">
        <v>688</v>
      </c>
      <c r="M99" s="108">
        <v>44142.0</v>
      </c>
      <c r="N99" s="106" t="s">
        <v>701</v>
      </c>
      <c r="O99" s="109" t="s">
        <v>690</v>
      </c>
      <c r="P99" s="107" t="s">
        <v>691</v>
      </c>
      <c r="Q99" s="107" t="s">
        <v>691</v>
      </c>
      <c r="R99" s="110"/>
      <c r="S99" s="110"/>
      <c r="T99" s="110"/>
      <c r="U99" s="110"/>
      <c r="V99" s="110"/>
      <c r="W99" s="110"/>
      <c r="X99" s="110"/>
      <c r="Y99" s="110"/>
      <c r="Z99" s="110"/>
    </row>
    <row r="100" ht="15.75" customHeight="1">
      <c r="A100" s="105" t="s">
        <v>840</v>
      </c>
      <c r="B100" s="154" t="s">
        <v>197</v>
      </c>
      <c r="C100" s="106" t="s">
        <v>331</v>
      </c>
      <c r="D100" s="107" t="s">
        <v>185</v>
      </c>
      <c r="E100" s="106" t="s">
        <v>685</v>
      </c>
      <c r="F100" s="107" t="s">
        <v>332</v>
      </c>
      <c r="G100" s="106" t="s">
        <v>723</v>
      </c>
      <c r="H100" s="107" t="s">
        <v>91</v>
      </c>
      <c r="I100" s="106" t="s">
        <v>723</v>
      </c>
      <c r="J100" s="112" t="s">
        <v>85</v>
      </c>
      <c r="K100" s="106" t="s">
        <v>687</v>
      </c>
      <c r="L100" s="107" t="s">
        <v>688</v>
      </c>
      <c r="M100" s="108">
        <v>44142.0</v>
      </c>
      <c r="N100" s="106" t="s">
        <v>741</v>
      </c>
      <c r="O100" s="109" t="s">
        <v>690</v>
      </c>
      <c r="P100" s="107" t="s">
        <v>745</v>
      </c>
      <c r="Q100" s="107" t="s">
        <v>745</v>
      </c>
      <c r="R100" s="110"/>
      <c r="S100" s="110"/>
      <c r="T100" s="110"/>
      <c r="U100" s="110"/>
      <c r="V100" s="110"/>
      <c r="W100" s="110"/>
      <c r="X100" s="110"/>
      <c r="Y100" s="110"/>
      <c r="Z100" s="110"/>
    </row>
    <row r="101" ht="15.75" customHeight="1">
      <c r="A101" s="105" t="s">
        <v>841</v>
      </c>
      <c r="B101" s="154" t="s">
        <v>842</v>
      </c>
      <c r="C101" s="106" t="s">
        <v>199</v>
      </c>
      <c r="D101" s="107" t="s">
        <v>83</v>
      </c>
      <c r="E101" s="106" t="s">
        <v>685</v>
      </c>
      <c r="F101" s="107" t="s">
        <v>200</v>
      </c>
      <c r="G101" s="106" t="s">
        <v>394</v>
      </c>
      <c r="H101" s="106" t="s">
        <v>394</v>
      </c>
      <c r="I101" s="106" t="s">
        <v>394</v>
      </c>
      <c r="J101" s="107" t="s">
        <v>85</v>
      </c>
      <c r="K101" s="106" t="s">
        <v>749</v>
      </c>
      <c r="L101" s="107" t="s">
        <v>749</v>
      </c>
      <c r="M101" s="108">
        <v>44075.0</v>
      </c>
      <c r="N101" s="106" t="s">
        <v>741</v>
      </c>
      <c r="O101" s="109" t="s">
        <v>732</v>
      </c>
      <c r="P101" s="107" t="s">
        <v>691</v>
      </c>
      <c r="Q101" s="107" t="s">
        <v>691</v>
      </c>
      <c r="R101" s="110"/>
      <c r="S101" s="110"/>
      <c r="T101" s="110"/>
      <c r="U101" s="110"/>
      <c r="V101" s="110"/>
      <c r="W101" s="110"/>
      <c r="X101" s="110"/>
      <c r="Y101" s="110"/>
      <c r="Z101" s="110"/>
    </row>
    <row r="102" ht="15.75" customHeight="1">
      <c r="A102" s="105" t="s">
        <v>205</v>
      </c>
      <c r="B102" s="154" t="s">
        <v>46</v>
      </c>
      <c r="C102" s="106" t="s">
        <v>843</v>
      </c>
      <c r="D102" s="107" t="s">
        <v>83</v>
      </c>
      <c r="E102" s="106" t="s">
        <v>685</v>
      </c>
      <c r="F102" s="107" t="s">
        <v>209</v>
      </c>
      <c r="G102" s="106" t="s">
        <v>394</v>
      </c>
      <c r="H102" s="106" t="s">
        <v>394</v>
      </c>
      <c r="I102" s="106" t="s">
        <v>394</v>
      </c>
      <c r="J102" s="107" t="s">
        <v>85</v>
      </c>
      <c r="K102" s="106" t="s">
        <v>749</v>
      </c>
      <c r="L102" s="107" t="s">
        <v>749</v>
      </c>
      <c r="M102" s="108">
        <v>44075.0</v>
      </c>
      <c r="N102" s="106" t="s">
        <v>741</v>
      </c>
      <c r="O102" s="109" t="s">
        <v>732</v>
      </c>
      <c r="P102" s="107" t="s">
        <v>691</v>
      </c>
      <c r="Q102" s="107" t="s">
        <v>691</v>
      </c>
      <c r="R102" s="110"/>
      <c r="S102" s="110"/>
      <c r="T102" s="110"/>
      <c r="U102" s="110"/>
      <c r="V102" s="110"/>
      <c r="W102" s="110"/>
      <c r="X102" s="110"/>
      <c r="Y102" s="110"/>
      <c r="Z102" s="110"/>
    </row>
    <row r="103" ht="15.75" customHeight="1">
      <c r="A103" s="105" t="s">
        <v>202</v>
      </c>
      <c r="B103" s="154" t="s">
        <v>197</v>
      </c>
      <c r="C103" s="106" t="s">
        <v>844</v>
      </c>
      <c r="D103" s="107" t="s">
        <v>83</v>
      </c>
      <c r="E103" s="106" t="s">
        <v>685</v>
      </c>
      <c r="F103" s="107" t="s">
        <v>845</v>
      </c>
      <c r="G103" s="106" t="s">
        <v>394</v>
      </c>
      <c r="H103" s="106" t="s">
        <v>394</v>
      </c>
      <c r="I103" s="106" t="s">
        <v>394</v>
      </c>
      <c r="J103" s="107" t="s">
        <v>85</v>
      </c>
      <c r="K103" s="106" t="s">
        <v>749</v>
      </c>
      <c r="L103" s="107" t="s">
        <v>749</v>
      </c>
      <c r="M103" s="108">
        <v>44075.0</v>
      </c>
      <c r="N103" s="106" t="s">
        <v>741</v>
      </c>
      <c r="O103" s="109" t="s">
        <v>732</v>
      </c>
      <c r="P103" s="107" t="s">
        <v>724</v>
      </c>
      <c r="Q103" s="107" t="s">
        <v>724</v>
      </c>
      <c r="R103" s="110"/>
      <c r="S103" s="110"/>
      <c r="T103" s="110"/>
      <c r="U103" s="110"/>
      <c r="V103" s="110"/>
      <c r="W103" s="110"/>
      <c r="X103" s="110"/>
      <c r="Y103" s="110"/>
      <c r="Z103" s="110"/>
    </row>
    <row r="104" ht="15.75" customHeight="1">
      <c r="A104" s="105" t="s">
        <v>175</v>
      </c>
      <c r="B104" s="154" t="s">
        <v>842</v>
      </c>
      <c r="C104" s="106" t="s">
        <v>177</v>
      </c>
      <c r="D104" s="107" t="s">
        <v>83</v>
      </c>
      <c r="E104" s="106" t="s">
        <v>685</v>
      </c>
      <c r="F104" s="107" t="s">
        <v>178</v>
      </c>
      <c r="G104" s="105" t="s">
        <v>686</v>
      </c>
      <c r="H104" s="107" t="s">
        <v>91</v>
      </c>
      <c r="I104" s="107" t="s">
        <v>91</v>
      </c>
      <c r="J104" s="107" t="s">
        <v>85</v>
      </c>
      <c r="K104" s="105" t="s">
        <v>687</v>
      </c>
      <c r="L104" s="105" t="s">
        <v>688</v>
      </c>
      <c r="M104" s="108">
        <v>44142.0</v>
      </c>
      <c r="N104" s="106" t="s">
        <v>701</v>
      </c>
      <c r="O104" s="109" t="s">
        <v>690</v>
      </c>
      <c r="P104" s="107" t="s">
        <v>691</v>
      </c>
      <c r="Q104" s="107" t="s">
        <v>691</v>
      </c>
      <c r="R104" s="110"/>
      <c r="S104" s="110"/>
      <c r="T104" s="110"/>
      <c r="U104" s="110"/>
      <c r="V104" s="110"/>
      <c r="W104" s="110"/>
      <c r="X104" s="110"/>
      <c r="Y104" s="110"/>
      <c r="Z104" s="110"/>
    </row>
    <row r="105" ht="15.75" customHeight="1">
      <c r="A105" s="105" t="s">
        <v>847</v>
      </c>
      <c r="B105" s="153" t="s">
        <v>126</v>
      </c>
      <c r="C105" s="106" t="s">
        <v>848</v>
      </c>
      <c r="D105" s="107" t="s">
        <v>83</v>
      </c>
      <c r="E105" s="106" t="s">
        <v>685</v>
      </c>
      <c r="F105" s="107" t="s">
        <v>352</v>
      </c>
      <c r="G105" s="105" t="s">
        <v>686</v>
      </c>
      <c r="H105" s="107" t="s">
        <v>91</v>
      </c>
      <c r="I105" s="107" t="s">
        <v>91</v>
      </c>
      <c r="J105" s="107" t="s">
        <v>85</v>
      </c>
      <c r="K105" s="106" t="s">
        <v>687</v>
      </c>
      <c r="L105" s="107" t="s">
        <v>688</v>
      </c>
      <c r="M105" s="108">
        <v>44142.0</v>
      </c>
      <c r="N105" s="106" t="s">
        <v>701</v>
      </c>
      <c r="O105" s="109" t="s">
        <v>690</v>
      </c>
      <c r="P105" s="107" t="s">
        <v>691</v>
      </c>
      <c r="Q105" s="107" t="s">
        <v>691</v>
      </c>
      <c r="R105" s="110"/>
      <c r="S105" s="110"/>
      <c r="T105" s="110"/>
      <c r="U105" s="110"/>
      <c r="V105" s="110"/>
      <c r="W105" s="110"/>
      <c r="X105" s="110"/>
      <c r="Y105" s="110"/>
      <c r="Z105" s="110"/>
    </row>
    <row r="106" ht="15.75" customHeight="1">
      <c r="A106" s="105" t="s">
        <v>389</v>
      </c>
      <c r="B106" s="154" t="s">
        <v>44</v>
      </c>
      <c r="C106" s="106" t="s">
        <v>390</v>
      </c>
      <c r="D106" s="107" t="s">
        <v>185</v>
      </c>
      <c r="E106" s="106" t="s">
        <v>1326</v>
      </c>
      <c r="F106" s="106">
        <v>20.25</v>
      </c>
      <c r="G106" s="105" t="s">
        <v>913</v>
      </c>
      <c r="H106" s="106" t="s">
        <v>1321</v>
      </c>
      <c r="I106" s="106" t="s">
        <v>913</v>
      </c>
      <c r="J106" s="107" t="s">
        <v>85</v>
      </c>
      <c r="K106" s="106" t="s">
        <v>749</v>
      </c>
      <c r="L106" s="107" t="s">
        <v>688</v>
      </c>
      <c r="M106" s="108">
        <v>44130.0</v>
      </c>
      <c r="N106" s="106" t="s">
        <v>701</v>
      </c>
      <c r="O106" s="109" t="s">
        <v>690</v>
      </c>
      <c r="P106" s="107" t="s">
        <v>771</v>
      </c>
      <c r="Q106" s="107" t="s">
        <v>771</v>
      </c>
      <c r="R106" s="110"/>
      <c r="S106" s="110"/>
      <c r="T106" s="110"/>
      <c r="U106" s="110"/>
      <c r="V106" s="110"/>
      <c r="W106" s="110"/>
      <c r="X106" s="110"/>
      <c r="Y106" s="110"/>
      <c r="Z106" s="110"/>
    </row>
    <row r="107" ht="15.75" customHeight="1">
      <c r="A107" s="105" t="s">
        <v>120</v>
      </c>
      <c r="B107" s="154" t="s">
        <v>197</v>
      </c>
      <c r="C107" s="106" t="s">
        <v>849</v>
      </c>
      <c r="D107" s="107" t="s">
        <v>185</v>
      </c>
      <c r="E107" s="106" t="s">
        <v>720</v>
      </c>
      <c r="F107" s="115" t="b">
        <v>1</v>
      </c>
      <c r="G107" s="105" t="s">
        <v>686</v>
      </c>
      <c r="H107" s="107" t="s">
        <v>91</v>
      </c>
      <c r="I107" s="107" t="s">
        <v>91</v>
      </c>
      <c r="J107" s="107" t="s">
        <v>85</v>
      </c>
      <c r="K107" s="106" t="s">
        <v>687</v>
      </c>
      <c r="L107" s="107" t="s">
        <v>688</v>
      </c>
      <c r="M107" s="108">
        <v>44142.0</v>
      </c>
      <c r="N107" s="106" t="s">
        <v>692</v>
      </c>
      <c r="O107" s="109" t="s">
        <v>690</v>
      </c>
      <c r="P107" s="107" t="s">
        <v>724</v>
      </c>
      <c r="Q107" s="107" t="s">
        <v>724</v>
      </c>
      <c r="R107" s="110"/>
      <c r="S107" s="110"/>
      <c r="T107" s="110"/>
      <c r="U107" s="110"/>
      <c r="V107" s="110"/>
      <c r="W107" s="110"/>
      <c r="X107" s="110"/>
      <c r="Y107" s="110"/>
      <c r="Z107" s="110"/>
    </row>
    <row r="108" ht="15.75" customHeight="1">
      <c r="A108" s="105" t="s">
        <v>850</v>
      </c>
      <c r="B108" s="154" t="s">
        <v>197</v>
      </c>
      <c r="C108" s="106" t="s">
        <v>851</v>
      </c>
      <c r="D108" s="107" t="s">
        <v>185</v>
      </c>
      <c r="E108" s="106" t="s">
        <v>694</v>
      </c>
      <c r="F108" s="107">
        <v>1844641.0</v>
      </c>
      <c r="G108" s="106" t="s">
        <v>723</v>
      </c>
      <c r="H108" s="107" t="s">
        <v>91</v>
      </c>
      <c r="I108" s="106" t="s">
        <v>723</v>
      </c>
      <c r="J108" s="107" t="s">
        <v>85</v>
      </c>
      <c r="K108" s="105" t="s">
        <v>687</v>
      </c>
      <c r="L108" s="112" t="s">
        <v>688</v>
      </c>
      <c r="M108" s="108">
        <v>44142.0</v>
      </c>
      <c r="N108" s="106" t="s">
        <v>692</v>
      </c>
      <c r="O108" s="109" t="s">
        <v>690</v>
      </c>
      <c r="P108" s="107" t="s">
        <v>724</v>
      </c>
      <c r="Q108" s="107" t="s">
        <v>724</v>
      </c>
      <c r="R108" s="110"/>
      <c r="S108" s="110"/>
      <c r="T108" s="110"/>
      <c r="U108" s="110"/>
      <c r="V108" s="110"/>
      <c r="W108" s="110"/>
      <c r="X108" s="110"/>
      <c r="Y108" s="110"/>
      <c r="Z108" s="110"/>
    </row>
    <row r="109" ht="15.75" customHeight="1">
      <c r="A109" s="105" t="s">
        <v>190</v>
      </c>
      <c r="B109" s="154" t="s">
        <v>696</v>
      </c>
      <c r="C109" s="106" t="s">
        <v>191</v>
      </c>
      <c r="D109" s="107" t="s">
        <v>185</v>
      </c>
      <c r="E109" s="106" t="s">
        <v>685</v>
      </c>
      <c r="F109" s="107" t="s">
        <v>192</v>
      </c>
      <c r="G109" s="105" t="s">
        <v>686</v>
      </c>
      <c r="H109" s="107" t="s">
        <v>91</v>
      </c>
      <c r="I109" s="107" t="s">
        <v>91</v>
      </c>
      <c r="J109" s="107" t="s">
        <v>85</v>
      </c>
      <c r="K109" s="106" t="s">
        <v>687</v>
      </c>
      <c r="L109" s="107" t="s">
        <v>687</v>
      </c>
      <c r="M109" s="108">
        <v>44140.0</v>
      </c>
      <c r="N109" s="106" t="s">
        <v>741</v>
      </c>
      <c r="O109" s="109" t="s">
        <v>690</v>
      </c>
      <c r="P109" s="107" t="s">
        <v>782</v>
      </c>
      <c r="Q109" s="107" t="s">
        <v>782</v>
      </c>
      <c r="R109" s="110"/>
      <c r="S109" s="110"/>
      <c r="T109" s="110"/>
      <c r="U109" s="110"/>
      <c r="V109" s="110"/>
      <c r="W109" s="110"/>
      <c r="X109" s="110"/>
      <c r="Y109" s="110"/>
      <c r="Z109" s="110"/>
    </row>
    <row r="110" ht="15.75" customHeight="1">
      <c r="A110" s="105" t="s">
        <v>183</v>
      </c>
      <c r="B110" s="154" t="s">
        <v>696</v>
      </c>
      <c r="C110" s="106" t="s">
        <v>184</v>
      </c>
      <c r="D110" s="107" t="s">
        <v>185</v>
      </c>
      <c r="E110" s="106" t="s">
        <v>685</v>
      </c>
      <c r="F110" s="107" t="s">
        <v>186</v>
      </c>
      <c r="G110" s="105" t="s">
        <v>686</v>
      </c>
      <c r="H110" s="107" t="s">
        <v>91</v>
      </c>
      <c r="I110" s="107" t="s">
        <v>91</v>
      </c>
      <c r="J110" s="107" t="s">
        <v>85</v>
      </c>
      <c r="K110" s="106" t="s">
        <v>687</v>
      </c>
      <c r="L110" s="107" t="s">
        <v>687</v>
      </c>
      <c r="M110" s="108">
        <v>44140.0</v>
      </c>
      <c r="N110" s="106" t="s">
        <v>741</v>
      </c>
      <c r="O110" s="109" t="s">
        <v>690</v>
      </c>
      <c r="P110" s="107" t="s">
        <v>782</v>
      </c>
      <c r="Q110" s="107" t="s">
        <v>782</v>
      </c>
      <c r="R110" s="110"/>
      <c r="S110" s="110"/>
      <c r="T110" s="110"/>
      <c r="U110" s="110"/>
      <c r="V110" s="110"/>
      <c r="W110" s="110"/>
      <c r="X110" s="110"/>
      <c r="Y110" s="110"/>
      <c r="Z110" s="110"/>
    </row>
    <row r="111" ht="15.75" customHeight="1">
      <c r="A111" s="105" t="s">
        <v>187</v>
      </c>
      <c r="B111" s="154" t="s">
        <v>696</v>
      </c>
      <c r="C111" s="106" t="s">
        <v>188</v>
      </c>
      <c r="D111" s="107" t="s">
        <v>185</v>
      </c>
      <c r="E111" s="106" t="s">
        <v>685</v>
      </c>
      <c r="F111" s="107" t="s">
        <v>189</v>
      </c>
      <c r="G111" s="105" t="s">
        <v>686</v>
      </c>
      <c r="H111" s="107" t="s">
        <v>91</v>
      </c>
      <c r="I111" s="107" t="s">
        <v>91</v>
      </c>
      <c r="J111" s="107" t="s">
        <v>85</v>
      </c>
      <c r="K111" s="106" t="s">
        <v>687</v>
      </c>
      <c r="L111" s="107" t="s">
        <v>687</v>
      </c>
      <c r="M111" s="108">
        <v>44140.0</v>
      </c>
      <c r="N111" s="106" t="s">
        <v>741</v>
      </c>
      <c r="O111" s="109" t="s">
        <v>690</v>
      </c>
      <c r="P111" s="107" t="s">
        <v>782</v>
      </c>
      <c r="Q111" s="107" t="s">
        <v>782</v>
      </c>
      <c r="R111" s="110"/>
      <c r="S111" s="110"/>
      <c r="T111" s="110"/>
      <c r="U111" s="110"/>
      <c r="V111" s="110"/>
      <c r="W111" s="110"/>
      <c r="X111" s="110"/>
      <c r="Y111" s="110"/>
      <c r="Z111" s="110"/>
    </row>
    <row r="112" ht="15.75" customHeight="1">
      <c r="A112" s="105" t="s">
        <v>336</v>
      </c>
      <c r="B112" s="154" t="s">
        <v>197</v>
      </c>
      <c r="C112" s="106" t="s">
        <v>852</v>
      </c>
      <c r="D112" s="107" t="s">
        <v>135</v>
      </c>
      <c r="E112" s="106" t="s">
        <v>685</v>
      </c>
      <c r="F112" s="107">
        <v>1.0</v>
      </c>
      <c r="G112" s="112" t="s">
        <v>136</v>
      </c>
      <c r="H112" s="107" t="s">
        <v>91</v>
      </c>
      <c r="I112" s="124" t="s">
        <v>91</v>
      </c>
      <c r="J112" s="112" t="s">
        <v>853</v>
      </c>
      <c r="K112" s="105" t="s">
        <v>749</v>
      </c>
      <c r="L112" s="112" t="s">
        <v>763</v>
      </c>
      <c r="M112" s="108">
        <v>44075.0</v>
      </c>
      <c r="N112" s="106" t="s">
        <v>741</v>
      </c>
      <c r="O112" s="116" t="s">
        <v>732</v>
      </c>
      <c r="P112" s="107" t="s">
        <v>724</v>
      </c>
      <c r="Q112" s="107" t="s">
        <v>724</v>
      </c>
      <c r="R112" s="110"/>
      <c r="S112" s="110"/>
      <c r="T112" s="110"/>
      <c r="U112" s="110"/>
      <c r="V112" s="110"/>
      <c r="W112" s="110"/>
      <c r="X112" s="110"/>
      <c r="Y112" s="110"/>
      <c r="Z112" s="110"/>
    </row>
    <row r="113" ht="15.75" customHeight="1">
      <c r="A113" s="105" t="s">
        <v>263</v>
      </c>
      <c r="B113" s="154" t="s">
        <v>197</v>
      </c>
      <c r="C113" s="106" t="s">
        <v>854</v>
      </c>
      <c r="D113" s="107" t="s">
        <v>185</v>
      </c>
      <c r="E113" s="106" t="s">
        <v>720</v>
      </c>
      <c r="F113" s="115" t="b">
        <v>1</v>
      </c>
      <c r="G113" s="105" t="s">
        <v>686</v>
      </c>
      <c r="H113" s="107" t="s">
        <v>91</v>
      </c>
      <c r="I113" s="107" t="s">
        <v>91</v>
      </c>
      <c r="J113" s="107" t="s">
        <v>85</v>
      </c>
      <c r="K113" s="106" t="s">
        <v>687</v>
      </c>
      <c r="L113" s="107" t="s">
        <v>688</v>
      </c>
      <c r="M113" s="108">
        <v>44142.0</v>
      </c>
      <c r="N113" s="106" t="s">
        <v>701</v>
      </c>
      <c r="O113" s="109" t="s">
        <v>690</v>
      </c>
      <c r="P113" s="107" t="s">
        <v>691</v>
      </c>
      <c r="Q113" s="107" t="s">
        <v>691</v>
      </c>
      <c r="R113" s="110"/>
      <c r="S113" s="110"/>
      <c r="T113" s="110"/>
      <c r="U113" s="110"/>
      <c r="V113" s="110"/>
      <c r="W113" s="110"/>
      <c r="X113" s="110"/>
      <c r="Y113" s="110"/>
      <c r="Z113" s="110"/>
    </row>
    <row r="114" ht="15.75" customHeight="1">
      <c r="A114" s="105" t="s">
        <v>455</v>
      </c>
      <c r="B114" s="153" t="s">
        <v>696</v>
      </c>
      <c r="C114" s="106" t="s">
        <v>456</v>
      </c>
      <c r="D114" s="107" t="s">
        <v>83</v>
      </c>
      <c r="E114" s="106" t="s">
        <v>685</v>
      </c>
      <c r="F114" s="112" t="s">
        <v>457</v>
      </c>
      <c r="G114" s="112" t="s">
        <v>335</v>
      </c>
      <c r="H114" s="107" t="s">
        <v>91</v>
      </c>
      <c r="I114" s="107" t="s">
        <v>91</v>
      </c>
      <c r="J114" s="107" t="s">
        <v>85</v>
      </c>
      <c r="K114" s="106" t="s">
        <v>687</v>
      </c>
      <c r="L114" s="107" t="s">
        <v>688</v>
      </c>
      <c r="M114" s="108">
        <v>44142.0</v>
      </c>
      <c r="N114" s="106" t="s">
        <v>692</v>
      </c>
      <c r="O114" s="109" t="s">
        <v>690</v>
      </c>
      <c r="P114" s="107" t="s">
        <v>705</v>
      </c>
      <c r="Q114" s="107" t="s">
        <v>705</v>
      </c>
      <c r="R114" s="110"/>
      <c r="S114" s="110"/>
      <c r="T114" s="110"/>
      <c r="U114" s="110"/>
      <c r="V114" s="110"/>
      <c r="W114" s="110"/>
      <c r="X114" s="110"/>
      <c r="Y114" s="110"/>
      <c r="Z114" s="110"/>
    </row>
    <row r="115" ht="15.75" customHeight="1">
      <c r="A115" s="105" t="s">
        <v>339</v>
      </c>
      <c r="B115" s="154" t="s">
        <v>197</v>
      </c>
      <c r="C115" s="106" t="s">
        <v>340</v>
      </c>
      <c r="D115" s="107" t="s">
        <v>135</v>
      </c>
      <c r="E115" s="106" t="s">
        <v>685</v>
      </c>
      <c r="F115" s="107">
        <v>0.123</v>
      </c>
      <c r="G115" s="112" t="s">
        <v>136</v>
      </c>
      <c r="H115" s="107" t="s">
        <v>91</v>
      </c>
      <c r="I115" s="124" t="s">
        <v>91</v>
      </c>
      <c r="J115" s="112" t="s">
        <v>855</v>
      </c>
      <c r="K115" s="105" t="s">
        <v>749</v>
      </c>
      <c r="L115" s="112" t="s">
        <v>763</v>
      </c>
      <c r="M115" s="108">
        <v>44075.0</v>
      </c>
      <c r="N115" s="106" t="s">
        <v>692</v>
      </c>
      <c r="O115" s="109" t="s">
        <v>690</v>
      </c>
      <c r="P115" s="107" t="s">
        <v>724</v>
      </c>
      <c r="Q115" s="107" t="s">
        <v>724</v>
      </c>
      <c r="R115" s="110"/>
      <c r="S115" s="110"/>
      <c r="T115" s="110"/>
      <c r="U115" s="110"/>
      <c r="V115" s="110"/>
      <c r="W115" s="110"/>
      <c r="X115" s="110"/>
      <c r="Y115" s="110"/>
      <c r="Z115" s="110"/>
    </row>
    <row r="116" ht="15.75" customHeight="1">
      <c r="A116" s="105" t="s">
        <v>856</v>
      </c>
      <c r="B116" s="154" t="s">
        <v>197</v>
      </c>
      <c r="C116" s="106" t="s">
        <v>857</v>
      </c>
      <c r="D116" s="107" t="s">
        <v>185</v>
      </c>
      <c r="E116" s="106" t="s">
        <v>777</v>
      </c>
      <c r="F116" s="107">
        <v>1024.0</v>
      </c>
      <c r="G116" s="106" t="s">
        <v>723</v>
      </c>
      <c r="H116" s="112" t="s">
        <v>91</v>
      </c>
      <c r="I116" s="106" t="s">
        <v>723</v>
      </c>
      <c r="J116" s="107" t="e">
        <v>#N/A</v>
      </c>
      <c r="K116" s="106" t="s">
        <v>687</v>
      </c>
      <c r="L116" s="107" t="s">
        <v>688</v>
      </c>
      <c r="M116" s="108">
        <v>44142.0</v>
      </c>
      <c r="N116" s="106" t="s">
        <v>692</v>
      </c>
      <c r="O116" s="109" t="s">
        <v>690</v>
      </c>
      <c r="P116" s="107" t="s">
        <v>724</v>
      </c>
      <c r="Q116" s="107" t="s">
        <v>724</v>
      </c>
      <c r="R116" s="110"/>
      <c r="S116" s="110"/>
      <c r="T116" s="110"/>
      <c r="U116" s="110"/>
      <c r="V116" s="110"/>
      <c r="W116" s="110"/>
      <c r="X116" s="110"/>
      <c r="Y116" s="110"/>
      <c r="Z116" s="110"/>
    </row>
    <row r="117" ht="15.75" customHeight="1">
      <c r="A117" s="105" t="s">
        <v>858</v>
      </c>
      <c r="B117" s="154" t="s">
        <v>197</v>
      </c>
      <c r="C117" s="106" t="s">
        <v>859</v>
      </c>
      <c r="D117" s="107" t="s">
        <v>135</v>
      </c>
      <c r="E117" s="106" t="s">
        <v>698</v>
      </c>
      <c r="F117" s="125">
        <v>43709.0</v>
      </c>
      <c r="G117" s="107" t="s">
        <v>136</v>
      </c>
      <c r="H117" s="112" t="s">
        <v>359</v>
      </c>
      <c r="I117" s="112" t="s">
        <v>359</v>
      </c>
      <c r="J117" s="117" t="s">
        <v>90</v>
      </c>
      <c r="K117" s="106" t="s">
        <v>749</v>
      </c>
      <c r="L117" s="107" t="s">
        <v>749</v>
      </c>
      <c r="M117" s="108">
        <v>44075.0</v>
      </c>
      <c r="N117" s="106" t="s">
        <v>764</v>
      </c>
      <c r="O117" s="116" t="s">
        <v>732</v>
      </c>
      <c r="P117" s="107" t="s">
        <v>761</v>
      </c>
      <c r="Q117" s="107" t="s">
        <v>761</v>
      </c>
      <c r="R117" s="110"/>
      <c r="S117" s="110"/>
      <c r="T117" s="110"/>
      <c r="U117" s="110"/>
      <c r="V117" s="110"/>
      <c r="W117" s="110"/>
      <c r="X117" s="110"/>
      <c r="Y117" s="110"/>
      <c r="Z117" s="110"/>
    </row>
    <row r="118" ht="15.75" customHeight="1">
      <c r="A118" s="105" t="s">
        <v>860</v>
      </c>
      <c r="B118" s="153" t="s">
        <v>197</v>
      </c>
      <c r="C118" s="106" t="s">
        <v>861</v>
      </c>
      <c r="D118" s="107" t="s">
        <v>135</v>
      </c>
      <c r="E118" s="106" t="s">
        <v>713</v>
      </c>
      <c r="F118" s="107">
        <v>50.0</v>
      </c>
      <c r="G118" s="107" t="s">
        <v>136</v>
      </c>
      <c r="H118" s="112" t="s">
        <v>359</v>
      </c>
      <c r="I118" s="112" t="s">
        <v>359</v>
      </c>
      <c r="J118" s="117" t="s">
        <v>90</v>
      </c>
      <c r="K118" s="106" t="s">
        <v>749</v>
      </c>
      <c r="L118" s="107" t="s">
        <v>749</v>
      </c>
      <c r="M118" s="108">
        <v>44075.0</v>
      </c>
      <c r="N118" s="106" t="s">
        <v>764</v>
      </c>
      <c r="O118" s="116" t="s">
        <v>732</v>
      </c>
      <c r="P118" s="107" t="s">
        <v>761</v>
      </c>
      <c r="Q118" s="107" t="s">
        <v>761</v>
      </c>
      <c r="R118" s="110"/>
      <c r="S118" s="110"/>
      <c r="T118" s="110"/>
      <c r="U118" s="110"/>
      <c r="V118" s="110"/>
      <c r="W118" s="110"/>
      <c r="X118" s="110"/>
      <c r="Y118" s="110"/>
      <c r="Z118" s="110"/>
    </row>
    <row r="119" ht="15.75" customHeight="1">
      <c r="A119" s="105" t="s">
        <v>862</v>
      </c>
      <c r="B119" s="154" t="s">
        <v>197</v>
      </c>
      <c r="C119" s="106" t="s">
        <v>863</v>
      </c>
      <c r="D119" s="107" t="s">
        <v>135</v>
      </c>
      <c r="E119" s="106" t="s">
        <v>864</v>
      </c>
      <c r="F119" s="107">
        <v>0.18</v>
      </c>
      <c r="G119" s="107" t="s">
        <v>136</v>
      </c>
      <c r="H119" s="117" t="s">
        <v>311</v>
      </c>
      <c r="I119" s="117" t="s">
        <v>311</v>
      </c>
      <c r="J119" s="117" t="s">
        <v>90</v>
      </c>
      <c r="K119" s="106" t="s">
        <v>749</v>
      </c>
      <c r="L119" s="107" t="s">
        <v>749</v>
      </c>
      <c r="M119" s="108">
        <v>44075.0</v>
      </c>
      <c r="N119" s="106" t="s">
        <v>764</v>
      </c>
      <c r="O119" s="116" t="s">
        <v>732</v>
      </c>
      <c r="P119" s="107" t="s">
        <v>761</v>
      </c>
      <c r="Q119" s="107" t="s">
        <v>761</v>
      </c>
      <c r="R119" s="110"/>
      <c r="S119" s="110"/>
      <c r="T119" s="110"/>
      <c r="U119" s="110"/>
      <c r="V119" s="110"/>
      <c r="W119" s="110"/>
      <c r="X119" s="110"/>
      <c r="Y119" s="110"/>
      <c r="Z119" s="110"/>
    </row>
    <row r="120" ht="15.75" customHeight="1">
      <c r="A120" s="105" t="s">
        <v>865</v>
      </c>
      <c r="B120" s="154" t="s">
        <v>197</v>
      </c>
      <c r="C120" s="106" t="s">
        <v>866</v>
      </c>
      <c r="D120" s="107" t="s">
        <v>135</v>
      </c>
      <c r="E120" s="106" t="s">
        <v>685</v>
      </c>
      <c r="F120" s="106" t="s">
        <v>1481</v>
      </c>
      <c r="G120" s="107" t="s">
        <v>136</v>
      </c>
      <c r="H120" s="117" t="s">
        <v>311</v>
      </c>
      <c r="I120" s="117" t="s">
        <v>311</v>
      </c>
      <c r="J120" s="117" t="s">
        <v>90</v>
      </c>
      <c r="K120" s="106" t="s">
        <v>749</v>
      </c>
      <c r="L120" s="107" t="s">
        <v>749</v>
      </c>
      <c r="M120" s="108">
        <v>44075.0</v>
      </c>
      <c r="N120" s="106" t="s">
        <v>764</v>
      </c>
      <c r="O120" s="116" t="s">
        <v>732</v>
      </c>
      <c r="P120" s="107" t="s">
        <v>761</v>
      </c>
      <c r="Q120" s="107" t="s">
        <v>761</v>
      </c>
      <c r="R120" s="110"/>
      <c r="S120" s="110"/>
      <c r="T120" s="110"/>
      <c r="U120" s="110"/>
      <c r="V120" s="110"/>
      <c r="W120" s="110"/>
      <c r="X120" s="110"/>
      <c r="Y120" s="110"/>
      <c r="Z120" s="110"/>
    </row>
    <row r="121" ht="15.75" customHeight="1">
      <c r="A121" s="105" t="s">
        <v>868</v>
      </c>
      <c r="B121" s="154" t="s">
        <v>197</v>
      </c>
      <c r="C121" s="106" t="s">
        <v>869</v>
      </c>
      <c r="D121" s="107" t="s">
        <v>135</v>
      </c>
      <c r="E121" s="106" t="s">
        <v>685</v>
      </c>
      <c r="F121" s="106" t="s">
        <v>870</v>
      </c>
      <c r="G121" s="106" t="s">
        <v>723</v>
      </c>
      <c r="H121" s="107" t="s">
        <v>91</v>
      </c>
      <c r="I121" s="106" t="s">
        <v>723</v>
      </c>
      <c r="J121" s="107" t="s">
        <v>90</v>
      </c>
      <c r="K121" s="105" t="s">
        <v>749</v>
      </c>
      <c r="L121" s="112" t="s">
        <v>763</v>
      </c>
      <c r="M121" s="108">
        <v>44075.0</v>
      </c>
      <c r="N121" s="106" t="s">
        <v>741</v>
      </c>
      <c r="O121" s="116" t="s">
        <v>736</v>
      </c>
      <c r="P121" s="107" t="s">
        <v>745</v>
      </c>
      <c r="Q121" s="107" t="s">
        <v>745</v>
      </c>
      <c r="R121" s="110"/>
      <c r="S121" s="110"/>
      <c r="T121" s="110"/>
      <c r="U121" s="110"/>
      <c r="V121" s="110"/>
      <c r="W121" s="110"/>
      <c r="X121" s="110"/>
      <c r="Y121" s="110"/>
      <c r="Z121" s="110"/>
    </row>
    <row r="122" ht="15.75" customHeight="1">
      <c r="A122" s="105" t="s">
        <v>871</v>
      </c>
      <c r="B122" s="154" t="s">
        <v>197</v>
      </c>
      <c r="C122" s="106" t="s">
        <v>872</v>
      </c>
      <c r="D122" s="107" t="s">
        <v>185</v>
      </c>
      <c r="E122" s="106" t="s">
        <v>768</v>
      </c>
      <c r="F122" s="107">
        <v>50.0</v>
      </c>
      <c r="G122" s="126" t="s">
        <v>723</v>
      </c>
      <c r="H122" s="105" t="s">
        <v>723</v>
      </c>
      <c r="I122" s="106" t="s">
        <v>723</v>
      </c>
      <c r="J122" s="107" t="s">
        <v>85</v>
      </c>
      <c r="K122" s="106" t="s">
        <v>687</v>
      </c>
      <c r="L122" s="107" t="s">
        <v>760</v>
      </c>
      <c r="M122" s="108">
        <v>44141.0</v>
      </c>
      <c r="N122" s="106" t="s">
        <v>735</v>
      </c>
      <c r="O122" s="116" t="s">
        <v>736</v>
      </c>
      <c r="P122" s="107" t="s">
        <v>761</v>
      </c>
      <c r="Q122" s="107" t="s">
        <v>761</v>
      </c>
      <c r="R122" s="110"/>
      <c r="S122" s="110"/>
      <c r="T122" s="110"/>
      <c r="U122" s="110"/>
      <c r="V122" s="110"/>
      <c r="W122" s="110"/>
      <c r="X122" s="110"/>
      <c r="Y122" s="110"/>
      <c r="Z122" s="110"/>
    </row>
    <row r="123" ht="15.75" customHeight="1">
      <c r="A123" s="105" t="s">
        <v>873</v>
      </c>
      <c r="B123" s="154" t="s">
        <v>197</v>
      </c>
      <c r="C123" s="106" t="s">
        <v>874</v>
      </c>
      <c r="D123" s="107" t="s">
        <v>185</v>
      </c>
      <c r="E123" s="106" t="s">
        <v>713</v>
      </c>
      <c r="F123" s="107">
        <v>23.0</v>
      </c>
      <c r="G123" s="126" t="s">
        <v>723</v>
      </c>
      <c r="H123" s="105" t="s">
        <v>723</v>
      </c>
      <c r="I123" s="106" t="s">
        <v>723</v>
      </c>
      <c r="J123" s="107" t="s">
        <v>85</v>
      </c>
      <c r="K123" s="106" t="s">
        <v>687</v>
      </c>
      <c r="L123" s="107" t="s">
        <v>760</v>
      </c>
      <c r="M123" s="108">
        <v>44141.0</v>
      </c>
      <c r="N123" s="106" t="s">
        <v>735</v>
      </c>
      <c r="O123" s="116" t="s">
        <v>736</v>
      </c>
      <c r="P123" s="107" t="s">
        <v>761</v>
      </c>
      <c r="Q123" s="107" t="s">
        <v>761</v>
      </c>
      <c r="R123" s="110"/>
      <c r="S123" s="110"/>
      <c r="T123" s="110"/>
      <c r="U123" s="110"/>
      <c r="V123" s="110"/>
      <c r="W123" s="110"/>
      <c r="X123" s="110"/>
      <c r="Y123" s="110"/>
      <c r="Z123" s="110"/>
    </row>
    <row r="124" ht="15.75" customHeight="1">
      <c r="A124" s="105" t="s">
        <v>875</v>
      </c>
      <c r="B124" s="154" t="s">
        <v>197</v>
      </c>
      <c r="C124" s="106" t="s">
        <v>876</v>
      </c>
      <c r="D124" s="107" t="s">
        <v>185</v>
      </c>
      <c r="E124" s="106" t="s">
        <v>768</v>
      </c>
      <c r="F124" s="111" t="s">
        <v>877</v>
      </c>
      <c r="G124" s="126" t="s">
        <v>723</v>
      </c>
      <c r="H124" s="105" t="s">
        <v>723</v>
      </c>
      <c r="I124" s="106" t="s">
        <v>723</v>
      </c>
      <c r="J124" s="107" t="s">
        <v>85</v>
      </c>
      <c r="K124" s="106" t="s">
        <v>687</v>
      </c>
      <c r="L124" s="107" t="s">
        <v>760</v>
      </c>
      <c r="M124" s="108">
        <v>44141.0</v>
      </c>
      <c r="N124" s="106" t="s">
        <v>735</v>
      </c>
      <c r="O124" s="116" t="s">
        <v>736</v>
      </c>
      <c r="P124" s="107" t="s">
        <v>761</v>
      </c>
      <c r="Q124" s="107" t="s">
        <v>761</v>
      </c>
      <c r="R124" s="110"/>
      <c r="S124" s="110"/>
      <c r="T124" s="110"/>
      <c r="U124" s="110"/>
      <c r="V124" s="110"/>
      <c r="W124" s="110"/>
      <c r="X124" s="110"/>
      <c r="Y124" s="110"/>
      <c r="Z124" s="110"/>
    </row>
    <row r="125" ht="15.75" customHeight="1">
      <c r="A125" s="105" t="s">
        <v>878</v>
      </c>
      <c r="B125" s="154" t="s">
        <v>197</v>
      </c>
      <c r="C125" s="106" t="s">
        <v>879</v>
      </c>
      <c r="D125" s="107" t="s">
        <v>185</v>
      </c>
      <c r="E125" s="106" t="s">
        <v>768</v>
      </c>
      <c r="F125" s="111" t="s">
        <v>877</v>
      </c>
      <c r="G125" s="126" t="s">
        <v>723</v>
      </c>
      <c r="H125" s="105" t="s">
        <v>723</v>
      </c>
      <c r="I125" s="106" t="s">
        <v>723</v>
      </c>
      <c r="J125" s="107" t="s">
        <v>85</v>
      </c>
      <c r="K125" s="106" t="s">
        <v>687</v>
      </c>
      <c r="L125" s="107" t="s">
        <v>760</v>
      </c>
      <c r="M125" s="108">
        <v>44141.0</v>
      </c>
      <c r="N125" s="106" t="s">
        <v>735</v>
      </c>
      <c r="O125" s="116" t="s">
        <v>736</v>
      </c>
      <c r="P125" s="107" t="s">
        <v>761</v>
      </c>
      <c r="Q125" s="107" t="s">
        <v>761</v>
      </c>
      <c r="R125" s="110"/>
      <c r="S125" s="110"/>
      <c r="T125" s="110"/>
      <c r="U125" s="110"/>
      <c r="V125" s="110"/>
      <c r="W125" s="110"/>
      <c r="X125" s="110"/>
      <c r="Y125" s="110"/>
      <c r="Z125" s="110"/>
    </row>
    <row r="126" ht="15.75" customHeight="1">
      <c r="A126" s="105" t="s">
        <v>880</v>
      </c>
      <c r="B126" s="154" t="s">
        <v>197</v>
      </c>
      <c r="C126" s="106" t="s">
        <v>881</v>
      </c>
      <c r="D126" s="107" t="s">
        <v>185</v>
      </c>
      <c r="E126" s="106" t="s">
        <v>713</v>
      </c>
      <c r="F126" s="111" t="s">
        <v>877</v>
      </c>
      <c r="G126" s="126" t="s">
        <v>723</v>
      </c>
      <c r="H126" s="105" t="s">
        <v>723</v>
      </c>
      <c r="I126" s="106" t="s">
        <v>723</v>
      </c>
      <c r="J126" s="107" t="s">
        <v>85</v>
      </c>
      <c r="K126" s="106" t="s">
        <v>687</v>
      </c>
      <c r="L126" s="107" t="s">
        <v>760</v>
      </c>
      <c r="M126" s="108">
        <v>44141.0</v>
      </c>
      <c r="N126" s="106" t="s">
        <v>735</v>
      </c>
      <c r="O126" s="116" t="s">
        <v>736</v>
      </c>
      <c r="P126" s="107" t="s">
        <v>761</v>
      </c>
      <c r="Q126" s="107" t="s">
        <v>761</v>
      </c>
      <c r="R126" s="110"/>
      <c r="S126" s="110"/>
      <c r="T126" s="110"/>
      <c r="U126" s="110"/>
      <c r="V126" s="110"/>
      <c r="W126" s="110"/>
      <c r="X126" s="110"/>
      <c r="Y126" s="110"/>
      <c r="Z126" s="110"/>
    </row>
    <row r="127" ht="15.75" customHeight="1">
      <c r="A127" s="105" t="s">
        <v>882</v>
      </c>
      <c r="B127" s="154" t="s">
        <v>197</v>
      </c>
      <c r="C127" s="106" t="s">
        <v>883</v>
      </c>
      <c r="D127" s="107" t="s">
        <v>185</v>
      </c>
      <c r="E127" s="106" t="s">
        <v>768</v>
      </c>
      <c r="F127" s="111" t="s">
        <v>877</v>
      </c>
      <c r="G127" s="126" t="s">
        <v>723</v>
      </c>
      <c r="H127" s="105" t="s">
        <v>723</v>
      </c>
      <c r="I127" s="106" t="s">
        <v>723</v>
      </c>
      <c r="J127" s="107" t="s">
        <v>85</v>
      </c>
      <c r="K127" s="106" t="s">
        <v>687</v>
      </c>
      <c r="L127" s="107" t="s">
        <v>760</v>
      </c>
      <c r="M127" s="108">
        <v>44141.0</v>
      </c>
      <c r="N127" s="106" t="s">
        <v>735</v>
      </c>
      <c r="O127" s="116" t="s">
        <v>736</v>
      </c>
      <c r="P127" s="107" t="s">
        <v>761</v>
      </c>
      <c r="Q127" s="107" t="s">
        <v>761</v>
      </c>
      <c r="R127" s="110"/>
      <c r="S127" s="110"/>
      <c r="T127" s="110"/>
      <c r="U127" s="110"/>
      <c r="V127" s="110"/>
      <c r="W127" s="110"/>
      <c r="X127" s="110"/>
      <c r="Y127" s="110"/>
      <c r="Z127" s="110"/>
    </row>
    <row r="128" ht="15.75" customHeight="1">
      <c r="A128" s="105" t="s">
        <v>884</v>
      </c>
      <c r="B128" s="154" t="s">
        <v>197</v>
      </c>
      <c r="C128" s="106" t="s">
        <v>885</v>
      </c>
      <c r="D128" s="107" t="s">
        <v>185</v>
      </c>
      <c r="E128" s="106" t="s">
        <v>713</v>
      </c>
      <c r="F128" s="107">
        <v>8.0</v>
      </c>
      <c r="G128" s="126" t="s">
        <v>723</v>
      </c>
      <c r="H128" s="105" t="s">
        <v>723</v>
      </c>
      <c r="I128" s="106" t="s">
        <v>723</v>
      </c>
      <c r="J128" s="107" t="s">
        <v>85</v>
      </c>
      <c r="K128" s="106" t="s">
        <v>687</v>
      </c>
      <c r="L128" s="107" t="s">
        <v>760</v>
      </c>
      <c r="M128" s="108">
        <v>44142.0</v>
      </c>
      <c r="N128" s="106" t="s">
        <v>692</v>
      </c>
      <c r="O128" s="109" t="s">
        <v>690</v>
      </c>
      <c r="P128" s="107" t="s">
        <v>745</v>
      </c>
      <c r="Q128" s="107" t="s">
        <v>745</v>
      </c>
      <c r="R128" s="110"/>
      <c r="S128" s="110"/>
      <c r="T128" s="110"/>
      <c r="U128" s="110"/>
      <c r="V128" s="110"/>
      <c r="W128" s="110"/>
      <c r="X128" s="110"/>
      <c r="Y128" s="110"/>
      <c r="Z128" s="110"/>
    </row>
    <row r="129" ht="15.75" customHeight="1">
      <c r="A129" s="105" t="s">
        <v>886</v>
      </c>
      <c r="B129" s="154" t="s">
        <v>197</v>
      </c>
      <c r="C129" s="106" t="s">
        <v>887</v>
      </c>
      <c r="D129" s="107" t="s">
        <v>185</v>
      </c>
      <c r="E129" s="106" t="s">
        <v>698</v>
      </c>
      <c r="F129" s="113">
        <v>43733.0</v>
      </c>
      <c r="G129" s="126" t="s">
        <v>723</v>
      </c>
      <c r="H129" s="105" t="s">
        <v>723</v>
      </c>
      <c r="I129" s="106" t="s">
        <v>723</v>
      </c>
      <c r="J129" s="107" t="s">
        <v>85</v>
      </c>
      <c r="K129" s="106" t="s">
        <v>687</v>
      </c>
      <c r="L129" s="107" t="s">
        <v>760</v>
      </c>
      <c r="M129" s="108">
        <v>44142.0</v>
      </c>
      <c r="N129" s="106" t="s">
        <v>692</v>
      </c>
      <c r="O129" s="109" t="s">
        <v>690</v>
      </c>
      <c r="P129" s="107" t="s">
        <v>745</v>
      </c>
      <c r="Q129" s="107" t="s">
        <v>745</v>
      </c>
      <c r="R129" s="110"/>
      <c r="S129" s="110"/>
      <c r="T129" s="110"/>
      <c r="U129" s="110"/>
      <c r="V129" s="110"/>
      <c r="W129" s="110"/>
      <c r="X129" s="110"/>
      <c r="Y129" s="110"/>
      <c r="Z129" s="110"/>
    </row>
    <row r="130" ht="15.75" customHeight="1">
      <c r="A130" s="105" t="s">
        <v>888</v>
      </c>
      <c r="B130" s="154" t="s">
        <v>197</v>
      </c>
      <c r="C130" s="106" t="s">
        <v>889</v>
      </c>
      <c r="D130" s="107" t="s">
        <v>185</v>
      </c>
      <c r="E130" s="106" t="s">
        <v>777</v>
      </c>
      <c r="F130" s="107">
        <v>100.0</v>
      </c>
      <c r="G130" s="106" t="s">
        <v>723</v>
      </c>
      <c r="H130" s="112" t="s">
        <v>91</v>
      </c>
      <c r="I130" s="106" t="s">
        <v>723</v>
      </c>
      <c r="J130" s="107" t="s">
        <v>85</v>
      </c>
      <c r="K130" s="106" t="s">
        <v>687</v>
      </c>
      <c r="L130" s="107" t="s">
        <v>688</v>
      </c>
      <c r="M130" s="108">
        <v>44142.0</v>
      </c>
      <c r="N130" s="106" t="s">
        <v>692</v>
      </c>
      <c r="O130" s="109" t="s">
        <v>690</v>
      </c>
      <c r="P130" s="107" t="s">
        <v>724</v>
      </c>
      <c r="Q130" s="107" t="s">
        <v>724</v>
      </c>
      <c r="R130" s="110"/>
      <c r="S130" s="110"/>
      <c r="T130" s="110"/>
      <c r="U130" s="110"/>
      <c r="V130" s="110"/>
      <c r="W130" s="110"/>
      <c r="X130" s="110"/>
      <c r="Y130" s="110"/>
      <c r="Z130" s="110"/>
    </row>
    <row r="131" ht="15.75" customHeight="1">
      <c r="A131" s="105" t="s">
        <v>890</v>
      </c>
      <c r="B131" s="154" t="s">
        <v>197</v>
      </c>
      <c r="C131" s="106" t="s">
        <v>891</v>
      </c>
      <c r="D131" s="107" t="s">
        <v>185</v>
      </c>
      <c r="E131" s="106" t="s">
        <v>713</v>
      </c>
      <c r="F131" s="107">
        <v>62220.0</v>
      </c>
      <c r="G131" s="106" t="s">
        <v>723</v>
      </c>
      <c r="H131" s="107" t="s">
        <v>91</v>
      </c>
      <c r="I131" s="106" t="s">
        <v>723</v>
      </c>
      <c r="J131" s="107" t="s">
        <v>85</v>
      </c>
      <c r="K131" s="106" t="s">
        <v>687</v>
      </c>
      <c r="L131" s="107" t="s">
        <v>688</v>
      </c>
      <c r="M131" s="108">
        <v>44142.0</v>
      </c>
      <c r="N131" s="106" t="s">
        <v>692</v>
      </c>
      <c r="O131" s="109" t="s">
        <v>690</v>
      </c>
      <c r="P131" s="107" t="s">
        <v>724</v>
      </c>
      <c r="Q131" s="107" t="s">
        <v>724</v>
      </c>
      <c r="R131" s="110"/>
      <c r="S131" s="110"/>
      <c r="T131" s="110"/>
      <c r="U131" s="110"/>
      <c r="V131" s="110"/>
      <c r="W131" s="110"/>
      <c r="X131" s="110"/>
      <c r="Y131" s="110"/>
      <c r="Z131" s="110"/>
    </row>
    <row r="132" ht="15.75" customHeight="1">
      <c r="A132" s="105" t="s">
        <v>892</v>
      </c>
      <c r="B132" s="154" t="s">
        <v>52</v>
      </c>
      <c r="C132" s="106" t="s">
        <v>893</v>
      </c>
      <c r="D132" s="107" t="s">
        <v>185</v>
      </c>
      <c r="E132" s="106" t="s">
        <v>768</v>
      </c>
      <c r="F132" s="111" t="s">
        <v>894</v>
      </c>
      <c r="G132" s="126" t="s">
        <v>723</v>
      </c>
      <c r="H132" s="105" t="s">
        <v>723</v>
      </c>
      <c r="I132" s="106" t="s">
        <v>723</v>
      </c>
      <c r="J132" s="107" t="s">
        <v>85</v>
      </c>
      <c r="K132" s="106" t="s">
        <v>687</v>
      </c>
      <c r="L132" s="107" t="s">
        <v>688</v>
      </c>
      <c r="M132" s="108">
        <v>44142.0</v>
      </c>
      <c r="N132" s="106" t="s">
        <v>735</v>
      </c>
      <c r="O132" s="116" t="s">
        <v>736</v>
      </c>
      <c r="P132" s="107" t="s">
        <v>721</v>
      </c>
      <c r="Q132" s="107" t="s">
        <v>721</v>
      </c>
      <c r="R132" s="110"/>
      <c r="S132" s="110"/>
      <c r="T132" s="110"/>
      <c r="U132" s="110"/>
      <c r="V132" s="110"/>
      <c r="W132" s="110"/>
      <c r="X132" s="110"/>
      <c r="Y132" s="110"/>
      <c r="Z132" s="110"/>
    </row>
    <row r="133" ht="15.75" customHeight="1">
      <c r="A133" s="105" t="s">
        <v>895</v>
      </c>
      <c r="B133" s="154" t="s">
        <v>52</v>
      </c>
      <c r="C133" s="106" t="s">
        <v>896</v>
      </c>
      <c r="D133" s="107" t="s">
        <v>185</v>
      </c>
      <c r="E133" s="106" t="s">
        <v>768</v>
      </c>
      <c r="F133" s="111" t="s">
        <v>894</v>
      </c>
      <c r="G133" s="126" t="s">
        <v>723</v>
      </c>
      <c r="H133" s="105" t="s">
        <v>723</v>
      </c>
      <c r="I133" s="106" t="s">
        <v>723</v>
      </c>
      <c r="J133" s="107" t="s">
        <v>85</v>
      </c>
      <c r="K133" s="106" t="s">
        <v>687</v>
      </c>
      <c r="L133" s="107" t="s">
        <v>688</v>
      </c>
      <c r="M133" s="108">
        <v>44142.0</v>
      </c>
      <c r="N133" s="106" t="s">
        <v>735</v>
      </c>
      <c r="O133" s="116" t="s">
        <v>736</v>
      </c>
      <c r="P133" s="107" t="s">
        <v>721</v>
      </c>
      <c r="Q133" s="107" t="s">
        <v>721</v>
      </c>
      <c r="R133" s="110"/>
      <c r="S133" s="110"/>
      <c r="T133" s="110"/>
      <c r="U133" s="110"/>
      <c r="V133" s="110"/>
      <c r="W133" s="110"/>
      <c r="X133" s="110"/>
      <c r="Y133" s="110"/>
      <c r="Z133" s="110"/>
    </row>
    <row r="134" ht="15.75" customHeight="1">
      <c r="A134" s="105" t="s">
        <v>897</v>
      </c>
      <c r="B134" s="154" t="s">
        <v>52</v>
      </c>
      <c r="C134" s="106" t="s">
        <v>898</v>
      </c>
      <c r="D134" s="107" t="s">
        <v>185</v>
      </c>
      <c r="E134" s="106" t="s">
        <v>713</v>
      </c>
      <c r="F134" s="107">
        <v>12.0</v>
      </c>
      <c r="G134" s="126" t="s">
        <v>723</v>
      </c>
      <c r="H134" s="105" t="s">
        <v>723</v>
      </c>
      <c r="I134" s="106" t="s">
        <v>723</v>
      </c>
      <c r="J134" s="107" t="s">
        <v>85</v>
      </c>
      <c r="K134" s="106" t="s">
        <v>687</v>
      </c>
      <c r="L134" s="107" t="s">
        <v>688</v>
      </c>
      <c r="M134" s="108">
        <v>44142.0</v>
      </c>
      <c r="N134" s="106" t="s">
        <v>735</v>
      </c>
      <c r="O134" s="116" t="s">
        <v>736</v>
      </c>
      <c r="P134" s="107" t="s">
        <v>721</v>
      </c>
      <c r="Q134" s="107" t="s">
        <v>721</v>
      </c>
      <c r="R134" s="110"/>
      <c r="S134" s="110"/>
      <c r="T134" s="110"/>
      <c r="U134" s="110"/>
      <c r="V134" s="110"/>
      <c r="W134" s="110"/>
      <c r="X134" s="110"/>
      <c r="Y134" s="110"/>
      <c r="Z134" s="110"/>
    </row>
    <row r="135" ht="15.75" customHeight="1">
      <c r="A135" s="105" t="s">
        <v>899</v>
      </c>
      <c r="B135" s="154" t="s">
        <v>52</v>
      </c>
      <c r="C135" s="106" t="s">
        <v>900</v>
      </c>
      <c r="D135" s="107" t="s">
        <v>185</v>
      </c>
      <c r="E135" s="106" t="s">
        <v>713</v>
      </c>
      <c r="F135" s="107">
        <v>49.0</v>
      </c>
      <c r="G135" s="126" t="s">
        <v>723</v>
      </c>
      <c r="H135" s="105" t="s">
        <v>723</v>
      </c>
      <c r="I135" s="106" t="s">
        <v>723</v>
      </c>
      <c r="J135" s="107" t="s">
        <v>85</v>
      </c>
      <c r="K135" s="106" t="s">
        <v>687</v>
      </c>
      <c r="L135" s="107" t="s">
        <v>688</v>
      </c>
      <c r="M135" s="108">
        <v>44142.0</v>
      </c>
      <c r="N135" s="106" t="s">
        <v>735</v>
      </c>
      <c r="O135" s="116" t="s">
        <v>736</v>
      </c>
      <c r="P135" s="107" t="s">
        <v>721</v>
      </c>
      <c r="Q135" s="107" t="s">
        <v>721</v>
      </c>
      <c r="R135" s="110"/>
      <c r="S135" s="110"/>
      <c r="T135" s="110"/>
      <c r="U135" s="110"/>
      <c r="V135" s="110"/>
      <c r="W135" s="110"/>
      <c r="X135" s="110"/>
      <c r="Y135" s="110"/>
      <c r="Z135" s="110"/>
    </row>
    <row r="136" ht="15.75" customHeight="1">
      <c r="A136" s="105" t="s">
        <v>901</v>
      </c>
      <c r="B136" s="154" t="s">
        <v>52</v>
      </c>
      <c r="C136" s="106" t="s">
        <v>902</v>
      </c>
      <c r="D136" s="107" t="s">
        <v>185</v>
      </c>
      <c r="E136" s="106" t="s">
        <v>768</v>
      </c>
      <c r="F136" s="111" t="s">
        <v>894</v>
      </c>
      <c r="G136" s="126" t="s">
        <v>723</v>
      </c>
      <c r="H136" s="105" t="s">
        <v>723</v>
      </c>
      <c r="I136" s="106" t="s">
        <v>723</v>
      </c>
      <c r="J136" s="107" t="s">
        <v>85</v>
      </c>
      <c r="K136" s="106" t="s">
        <v>687</v>
      </c>
      <c r="L136" s="107" t="s">
        <v>688</v>
      </c>
      <c r="M136" s="108">
        <v>44142.0</v>
      </c>
      <c r="N136" s="106" t="s">
        <v>735</v>
      </c>
      <c r="O136" s="116" t="s">
        <v>736</v>
      </c>
      <c r="P136" s="107" t="s">
        <v>721</v>
      </c>
      <c r="Q136" s="107" t="s">
        <v>721</v>
      </c>
      <c r="R136" s="110"/>
      <c r="S136" s="110"/>
      <c r="T136" s="110"/>
      <c r="U136" s="110"/>
      <c r="V136" s="110"/>
      <c r="W136" s="110"/>
      <c r="X136" s="110"/>
      <c r="Y136" s="110"/>
      <c r="Z136" s="110"/>
    </row>
    <row r="137" ht="15.75" customHeight="1">
      <c r="A137" s="105" t="s">
        <v>903</v>
      </c>
      <c r="B137" s="154" t="s">
        <v>52</v>
      </c>
      <c r="C137" s="106" t="s">
        <v>904</v>
      </c>
      <c r="D137" s="107" t="s">
        <v>185</v>
      </c>
      <c r="E137" s="106" t="s">
        <v>768</v>
      </c>
      <c r="F137" s="127" t="s">
        <v>894</v>
      </c>
      <c r="G137" s="126" t="s">
        <v>723</v>
      </c>
      <c r="H137" s="105" t="s">
        <v>723</v>
      </c>
      <c r="I137" s="106" t="s">
        <v>723</v>
      </c>
      <c r="J137" s="112" t="s">
        <v>85</v>
      </c>
      <c r="K137" s="106" t="s">
        <v>687</v>
      </c>
      <c r="L137" s="107" t="s">
        <v>688</v>
      </c>
      <c r="M137" s="108">
        <v>44142.0</v>
      </c>
      <c r="N137" s="106" t="s">
        <v>735</v>
      </c>
      <c r="O137" s="116" t="s">
        <v>736</v>
      </c>
      <c r="P137" s="107" t="s">
        <v>721</v>
      </c>
      <c r="Q137" s="107" t="s">
        <v>721</v>
      </c>
      <c r="R137" s="110"/>
      <c r="S137" s="110"/>
      <c r="T137" s="110"/>
      <c r="U137" s="110"/>
      <c r="V137" s="110"/>
      <c r="W137" s="110"/>
      <c r="X137" s="110"/>
      <c r="Y137" s="110"/>
      <c r="Z137" s="110"/>
    </row>
    <row r="138" ht="15.75" customHeight="1">
      <c r="A138" s="105" t="s">
        <v>905</v>
      </c>
      <c r="B138" s="154" t="s">
        <v>197</v>
      </c>
      <c r="C138" s="106" t="s">
        <v>906</v>
      </c>
      <c r="D138" s="107" t="s">
        <v>185</v>
      </c>
      <c r="E138" s="106" t="s">
        <v>713</v>
      </c>
      <c r="F138" s="112">
        <v>9.0</v>
      </c>
      <c r="G138" s="126" t="s">
        <v>723</v>
      </c>
      <c r="H138" s="105" t="s">
        <v>723</v>
      </c>
      <c r="I138" s="106" t="s">
        <v>723</v>
      </c>
      <c r="J138" s="112" t="s">
        <v>85</v>
      </c>
      <c r="K138" s="106" t="s">
        <v>687</v>
      </c>
      <c r="L138" s="107" t="s">
        <v>760</v>
      </c>
      <c r="M138" s="108">
        <v>44142.0</v>
      </c>
      <c r="N138" s="106" t="s">
        <v>692</v>
      </c>
      <c r="O138" s="109" t="s">
        <v>690</v>
      </c>
      <c r="P138" s="107" t="s">
        <v>724</v>
      </c>
      <c r="Q138" s="107" t="s">
        <v>724</v>
      </c>
      <c r="R138" s="110"/>
      <c r="S138" s="110"/>
      <c r="T138" s="110"/>
      <c r="U138" s="110"/>
      <c r="V138" s="110"/>
      <c r="W138" s="110"/>
      <c r="X138" s="110"/>
      <c r="Y138" s="110"/>
      <c r="Z138" s="110"/>
    </row>
    <row r="139" ht="15.75" customHeight="1">
      <c r="A139" s="105" t="s">
        <v>907</v>
      </c>
      <c r="B139" s="154" t="s">
        <v>197</v>
      </c>
      <c r="C139" s="106" t="s">
        <v>908</v>
      </c>
      <c r="D139" s="107" t="s">
        <v>185</v>
      </c>
      <c r="E139" s="106" t="s">
        <v>713</v>
      </c>
      <c r="F139" s="112">
        <v>10.0</v>
      </c>
      <c r="G139" s="126" t="s">
        <v>723</v>
      </c>
      <c r="H139" s="105" t="s">
        <v>723</v>
      </c>
      <c r="I139" s="106" t="s">
        <v>723</v>
      </c>
      <c r="J139" s="112" t="s">
        <v>85</v>
      </c>
      <c r="K139" s="106" t="s">
        <v>687</v>
      </c>
      <c r="L139" s="107" t="s">
        <v>760</v>
      </c>
      <c r="M139" s="108">
        <v>44142.0</v>
      </c>
      <c r="N139" s="106" t="s">
        <v>692</v>
      </c>
      <c r="O139" s="109" t="s">
        <v>690</v>
      </c>
      <c r="P139" s="107" t="s">
        <v>724</v>
      </c>
      <c r="Q139" s="107" t="s">
        <v>724</v>
      </c>
      <c r="R139" s="110"/>
      <c r="S139" s="110"/>
      <c r="T139" s="110"/>
      <c r="U139" s="110"/>
      <c r="V139" s="110"/>
      <c r="W139" s="110"/>
      <c r="X139" s="110"/>
      <c r="Y139" s="110"/>
      <c r="Z139" s="110"/>
    </row>
    <row r="140" ht="15.75" customHeight="1">
      <c r="A140" s="105" t="s">
        <v>909</v>
      </c>
      <c r="B140" s="154" t="s">
        <v>197</v>
      </c>
      <c r="C140" s="106" t="s">
        <v>910</v>
      </c>
      <c r="D140" s="107" t="s">
        <v>185</v>
      </c>
      <c r="E140" s="106" t="s">
        <v>694</v>
      </c>
      <c r="F140" s="112">
        <v>41.0</v>
      </c>
      <c r="G140" s="126" t="s">
        <v>723</v>
      </c>
      <c r="H140" s="105" t="s">
        <v>723</v>
      </c>
      <c r="I140" s="106" t="s">
        <v>723</v>
      </c>
      <c r="J140" s="112" t="s">
        <v>85</v>
      </c>
      <c r="K140" s="106" t="s">
        <v>687</v>
      </c>
      <c r="L140" s="107" t="s">
        <v>760</v>
      </c>
      <c r="M140" s="108">
        <v>44142.0</v>
      </c>
      <c r="N140" s="106" t="s">
        <v>692</v>
      </c>
      <c r="O140" s="109" t="s">
        <v>690</v>
      </c>
      <c r="P140" s="107" t="s">
        <v>724</v>
      </c>
      <c r="Q140" s="107" t="s">
        <v>724</v>
      </c>
      <c r="R140" s="110"/>
      <c r="S140" s="110"/>
      <c r="T140" s="110"/>
      <c r="U140" s="110"/>
      <c r="V140" s="110"/>
      <c r="W140" s="110"/>
      <c r="X140" s="110"/>
      <c r="Y140" s="110"/>
      <c r="Z140" s="110"/>
    </row>
    <row r="141" ht="15.75" customHeight="1">
      <c r="A141" s="105" t="s">
        <v>481</v>
      </c>
      <c r="B141" s="154" t="s">
        <v>197</v>
      </c>
      <c r="C141" s="106" t="s">
        <v>918</v>
      </c>
      <c r="D141" s="107" t="s">
        <v>185</v>
      </c>
      <c r="E141" s="106" t="s">
        <v>768</v>
      </c>
      <c r="F141" s="112">
        <v>36.0</v>
      </c>
      <c r="G141" s="126" t="s">
        <v>723</v>
      </c>
      <c r="H141" s="105" t="s">
        <v>723</v>
      </c>
      <c r="I141" s="106" t="s">
        <v>723</v>
      </c>
      <c r="J141" s="112" t="s">
        <v>85</v>
      </c>
      <c r="K141" s="106" t="s">
        <v>687</v>
      </c>
      <c r="L141" s="107" t="s">
        <v>760</v>
      </c>
      <c r="M141" s="108">
        <v>44142.0</v>
      </c>
      <c r="N141" s="106" t="s">
        <v>692</v>
      </c>
      <c r="O141" s="109" t="s">
        <v>690</v>
      </c>
      <c r="P141" s="107" t="s">
        <v>724</v>
      </c>
      <c r="Q141" s="107" t="s">
        <v>724</v>
      </c>
      <c r="R141" s="110"/>
      <c r="S141" s="110"/>
      <c r="T141" s="110"/>
      <c r="U141" s="110"/>
      <c r="V141" s="110"/>
      <c r="W141" s="110"/>
      <c r="X141" s="110"/>
      <c r="Y141" s="110"/>
      <c r="Z141" s="110"/>
    </row>
    <row r="142" ht="15.75" customHeight="1">
      <c r="A142" s="105" t="s">
        <v>483</v>
      </c>
      <c r="B142" s="154" t="s">
        <v>197</v>
      </c>
      <c r="C142" s="106" t="s">
        <v>919</v>
      </c>
      <c r="D142" s="107" t="s">
        <v>185</v>
      </c>
      <c r="E142" s="106" t="s">
        <v>768</v>
      </c>
      <c r="F142" s="112">
        <v>24.0</v>
      </c>
      <c r="G142" s="126" t="s">
        <v>723</v>
      </c>
      <c r="H142" s="105" t="s">
        <v>723</v>
      </c>
      <c r="I142" s="106" t="s">
        <v>723</v>
      </c>
      <c r="J142" s="112" t="s">
        <v>85</v>
      </c>
      <c r="K142" s="106" t="s">
        <v>687</v>
      </c>
      <c r="L142" s="107" t="s">
        <v>760</v>
      </c>
      <c r="M142" s="108">
        <v>44142.0</v>
      </c>
      <c r="N142" s="106" t="s">
        <v>692</v>
      </c>
      <c r="O142" s="109" t="s">
        <v>690</v>
      </c>
      <c r="P142" s="107" t="s">
        <v>724</v>
      </c>
      <c r="Q142" s="107" t="s">
        <v>724</v>
      </c>
      <c r="R142" s="110"/>
      <c r="S142" s="110"/>
      <c r="T142" s="110"/>
      <c r="U142" s="110"/>
      <c r="V142" s="110"/>
      <c r="W142" s="110"/>
      <c r="X142" s="110"/>
      <c r="Y142" s="110"/>
      <c r="Z142" s="110"/>
    </row>
    <row r="143" ht="15.75" customHeight="1">
      <c r="A143" s="105" t="s">
        <v>485</v>
      </c>
      <c r="B143" s="154" t="s">
        <v>197</v>
      </c>
      <c r="C143" s="106" t="s">
        <v>920</v>
      </c>
      <c r="D143" s="107" t="s">
        <v>185</v>
      </c>
      <c r="E143" s="106" t="s">
        <v>713</v>
      </c>
      <c r="F143" s="112">
        <v>19.0</v>
      </c>
      <c r="G143" s="126" t="s">
        <v>723</v>
      </c>
      <c r="H143" s="105" t="s">
        <v>723</v>
      </c>
      <c r="I143" s="106" t="s">
        <v>723</v>
      </c>
      <c r="J143" s="112" t="s">
        <v>85</v>
      </c>
      <c r="K143" s="106" t="s">
        <v>687</v>
      </c>
      <c r="L143" s="107" t="s">
        <v>760</v>
      </c>
      <c r="M143" s="108">
        <v>44142.0</v>
      </c>
      <c r="N143" s="105" t="s">
        <v>692</v>
      </c>
      <c r="O143" s="116" t="s">
        <v>736</v>
      </c>
      <c r="P143" s="107" t="s">
        <v>724</v>
      </c>
      <c r="Q143" s="107" t="s">
        <v>724</v>
      </c>
      <c r="R143" s="110"/>
      <c r="S143" s="110"/>
      <c r="T143" s="110"/>
      <c r="U143" s="110"/>
      <c r="V143" s="110"/>
      <c r="W143" s="110"/>
      <c r="X143" s="110"/>
      <c r="Y143" s="110"/>
      <c r="Z143" s="110"/>
    </row>
    <row r="144" ht="15.75" customHeight="1">
      <c r="A144" s="105" t="s">
        <v>487</v>
      </c>
      <c r="B144" s="154" t="s">
        <v>197</v>
      </c>
      <c r="C144" s="106" t="s">
        <v>488</v>
      </c>
      <c r="D144" s="107" t="s">
        <v>185</v>
      </c>
      <c r="E144" s="106" t="s">
        <v>768</v>
      </c>
      <c r="F144" s="112">
        <v>23.0</v>
      </c>
      <c r="G144" s="126" t="s">
        <v>723</v>
      </c>
      <c r="H144" s="105" t="s">
        <v>723</v>
      </c>
      <c r="I144" s="106" t="s">
        <v>723</v>
      </c>
      <c r="J144" s="112" t="s">
        <v>85</v>
      </c>
      <c r="K144" s="106" t="s">
        <v>687</v>
      </c>
      <c r="L144" s="107" t="s">
        <v>760</v>
      </c>
      <c r="M144" s="108">
        <v>44142.0</v>
      </c>
      <c r="N144" s="106" t="s">
        <v>692</v>
      </c>
      <c r="O144" s="109" t="s">
        <v>690</v>
      </c>
      <c r="P144" s="107" t="s">
        <v>724</v>
      </c>
      <c r="Q144" s="107" t="s">
        <v>724</v>
      </c>
      <c r="R144" s="110"/>
      <c r="S144" s="110"/>
      <c r="T144" s="110"/>
      <c r="U144" s="110"/>
      <c r="V144" s="110"/>
      <c r="W144" s="110"/>
      <c r="X144" s="110"/>
      <c r="Y144" s="110"/>
      <c r="Z144" s="110"/>
    </row>
    <row r="145" ht="15.75" customHeight="1">
      <c r="A145" s="105" t="s">
        <v>489</v>
      </c>
      <c r="B145" s="155" t="s">
        <v>44</v>
      </c>
      <c r="C145" s="106" t="s">
        <v>490</v>
      </c>
      <c r="D145" s="107" t="s">
        <v>185</v>
      </c>
      <c r="E145" s="106" t="s">
        <v>685</v>
      </c>
      <c r="F145" s="107" t="s">
        <v>921</v>
      </c>
      <c r="G145" s="107" t="s">
        <v>476</v>
      </c>
      <c r="H145" s="107" t="s">
        <v>476</v>
      </c>
      <c r="I145" s="107" t="s">
        <v>476</v>
      </c>
      <c r="J145" s="107" t="s">
        <v>85</v>
      </c>
      <c r="K145" s="106" t="s">
        <v>749</v>
      </c>
      <c r="L145" s="107" t="s">
        <v>749</v>
      </c>
      <c r="M145" s="108">
        <v>44105.0</v>
      </c>
      <c r="N145" s="106" t="s">
        <v>692</v>
      </c>
      <c r="O145" s="109" t="s">
        <v>690</v>
      </c>
      <c r="P145" s="107" t="s">
        <v>782</v>
      </c>
      <c r="Q145" s="107" t="s">
        <v>782</v>
      </c>
      <c r="R145" s="110"/>
      <c r="S145" s="110"/>
      <c r="T145" s="110"/>
      <c r="U145" s="110"/>
      <c r="V145" s="110"/>
      <c r="W145" s="110"/>
      <c r="X145" s="110"/>
      <c r="Y145" s="110"/>
      <c r="Z145" s="110"/>
    </row>
    <row r="146" ht="15.75" customHeight="1">
      <c r="A146" s="105" t="s">
        <v>491</v>
      </c>
      <c r="B146" s="155" t="s">
        <v>44</v>
      </c>
      <c r="C146" s="106" t="s">
        <v>492</v>
      </c>
      <c r="D146" s="107" t="s">
        <v>185</v>
      </c>
      <c r="E146" s="106" t="s">
        <v>685</v>
      </c>
      <c r="F146" s="107" t="s">
        <v>922</v>
      </c>
      <c r="G146" s="107" t="s">
        <v>476</v>
      </c>
      <c r="H146" s="107" t="s">
        <v>476</v>
      </c>
      <c r="I146" s="107" t="s">
        <v>476</v>
      </c>
      <c r="J146" s="107" t="s">
        <v>85</v>
      </c>
      <c r="K146" s="106" t="s">
        <v>749</v>
      </c>
      <c r="L146" s="107" t="s">
        <v>749</v>
      </c>
      <c r="M146" s="108">
        <v>44105.0</v>
      </c>
      <c r="N146" s="106" t="s">
        <v>692</v>
      </c>
      <c r="O146" s="109" t="s">
        <v>690</v>
      </c>
      <c r="P146" s="107" t="s">
        <v>782</v>
      </c>
      <c r="Q146" s="107" t="s">
        <v>782</v>
      </c>
      <c r="R146" s="110"/>
      <c r="S146" s="110"/>
      <c r="T146" s="110"/>
      <c r="U146" s="110"/>
      <c r="V146" s="110"/>
      <c r="W146" s="110"/>
      <c r="X146" s="110"/>
      <c r="Y146" s="110"/>
      <c r="Z146" s="110"/>
    </row>
    <row r="147" ht="15.75" customHeight="1">
      <c r="A147" s="105" t="s">
        <v>493</v>
      </c>
      <c r="B147" s="155" t="s">
        <v>44</v>
      </c>
      <c r="C147" s="106" t="s">
        <v>494</v>
      </c>
      <c r="D147" s="107" t="s">
        <v>185</v>
      </c>
      <c r="E147" s="106" t="s">
        <v>685</v>
      </c>
      <c r="F147" s="107" t="s">
        <v>923</v>
      </c>
      <c r="G147" s="107" t="s">
        <v>476</v>
      </c>
      <c r="H147" s="107" t="s">
        <v>476</v>
      </c>
      <c r="I147" s="107" t="s">
        <v>476</v>
      </c>
      <c r="J147" s="107" t="s">
        <v>85</v>
      </c>
      <c r="K147" s="106" t="s">
        <v>749</v>
      </c>
      <c r="L147" s="107" t="s">
        <v>749</v>
      </c>
      <c r="M147" s="108">
        <v>44105.0</v>
      </c>
      <c r="N147" s="106" t="s">
        <v>692</v>
      </c>
      <c r="O147" s="109" t="s">
        <v>690</v>
      </c>
      <c r="P147" s="107" t="s">
        <v>782</v>
      </c>
      <c r="Q147" s="107" t="s">
        <v>782</v>
      </c>
      <c r="R147" s="110"/>
      <c r="S147" s="110"/>
      <c r="T147" s="110"/>
      <c r="U147" s="110"/>
      <c r="V147" s="110"/>
      <c r="W147" s="110"/>
      <c r="X147" s="110"/>
      <c r="Y147" s="110"/>
      <c r="Z147" s="110"/>
    </row>
    <row r="148" ht="15.75" customHeight="1">
      <c r="A148" s="105" t="s">
        <v>495</v>
      </c>
      <c r="B148" s="155" t="s">
        <v>44</v>
      </c>
      <c r="C148" s="106" t="s">
        <v>496</v>
      </c>
      <c r="D148" s="107" t="s">
        <v>185</v>
      </c>
      <c r="E148" s="106" t="s">
        <v>685</v>
      </c>
      <c r="F148" s="107" t="s">
        <v>924</v>
      </c>
      <c r="G148" s="107" t="s">
        <v>476</v>
      </c>
      <c r="H148" s="107" t="s">
        <v>476</v>
      </c>
      <c r="I148" s="107" t="s">
        <v>476</v>
      </c>
      <c r="J148" s="107" t="s">
        <v>85</v>
      </c>
      <c r="K148" s="106" t="s">
        <v>749</v>
      </c>
      <c r="L148" s="107" t="s">
        <v>749</v>
      </c>
      <c r="M148" s="108">
        <v>44105.0</v>
      </c>
      <c r="N148" s="106" t="s">
        <v>692</v>
      </c>
      <c r="O148" s="109" t="s">
        <v>690</v>
      </c>
      <c r="P148" s="107" t="s">
        <v>782</v>
      </c>
      <c r="Q148" s="107" t="s">
        <v>782</v>
      </c>
      <c r="R148" s="110"/>
      <c r="S148" s="110"/>
      <c r="T148" s="110"/>
      <c r="U148" s="110"/>
      <c r="V148" s="110"/>
      <c r="W148" s="110"/>
      <c r="X148" s="110"/>
      <c r="Y148" s="110"/>
      <c r="Z148" s="110"/>
    </row>
    <row r="149" ht="15.75" customHeight="1">
      <c r="A149" s="105" t="s">
        <v>497</v>
      </c>
      <c r="B149" s="155" t="s">
        <v>44</v>
      </c>
      <c r="C149" s="106" t="s">
        <v>498</v>
      </c>
      <c r="D149" s="107" t="s">
        <v>185</v>
      </c>
      <c r="E149" s="106" t="s">
        <v>685</v>
      </c>
      <c r="F149" s="107" t="s">
        <v>925</v>
      </c>
      <c r="G149" s="107" t="s">
        <v>476</v>
      </c>
      <c r="H149" s="107" t="s">
        <v>476</v>
      </c>
      <c r="I149" s="107" t="s">
        <v>476</v>
      </c>
      <c r="J149" s="107" t="s">
        <v>85</v>
      </c>
      <c r="K149" s="106" t="s">
        <v>749</v>
      </c>
      <c r="L149" s="107" t="s">
        <v>749</v>
      </c>
      <c r="M149" s="108">
        <v>44105.0</v>
      </c>
      <c r="N149" s="106" t="s">
        <v>692</v>
      </c>
      <c r="O149" s="109" t="s">
        <v>690</v>
      </c>
      <c r="P149" s="107" t="s">
        <v>782</v>
      </c>
      <c r="Q149" s="107" t="s">
        <v>782</v>
      </c>
      <c r="R149" s="110"/>
      <c r="S149" s="110"/>
      <c r="T149" s="110"/>
      <c r="U149" s="110"/>
      <c r="V149" s="110"/>
      <c r="W149" s="110"/>
      <c r="X149" s="110"/>
      <c r="Y149" s="110"/>
      <c r="Z149" s="110"/>
    </row>
    <row r="150" ht="15.75" customHeight="1">
      <c r="A150" s="105" t="s">
        <v>499</v>
      </c>
      <c r="B150" s="155" t="s">
        <v>44</v>
      </c>
      <c r="C150" s="106" t="s">
        <v>500</v>
      </c>
      <c r="D150" s="107" t="s">
        <v>185</v>
      </c>
      <c r="E150" s="106" t="s">
        <v>685</v>
      </c>
      <c r="F150" s="107" t="s">
        <v>926</v>
      </c>
      <c r="G150" s="107" t="s">
        <v>476</v>
      </c>
      <c r="H150" s="107" t="s">
        <v>476</v>
      </c>
      <c r="I150" s="107" t="s">
        <v>476</v>
      </c>
      <c r="J150" s="107" t="s">
        <v>85</v>
      </c>
      <c r="K150" s="106" t="s">
        <v>749</v>
      </c>
      <c r="L150" s="107" t="s">
        <v>749</v>
      </c>
      <c r="M150" s="108">
        <v>44105.0</v>
      </c>
      <c r="N150" s="106" t="s">
        <v>692</v>
      </c>
      <c r="O150" s="109" t="s">
        <v>690</v>
      </c>
      <c r="P150" s="107" t="s">
        <v>782</v>
      </c>
      <c r="Q150" s="107" t="s">
        <v>782</v>
      </c>
      <c r="R150" s="110"/>
      <c r="S150" s="110"/>
      <c r="T150" s="110"/>
      <c r="U150" s="110"/>
      <c r="V150" s="110"/>
      <c r="W150" s="110"/>
      <c r="X150" s="110"/>
      <c r="Y150" s="110"/>
      <c r="Z150" s="110"/>
    </row>
    <row r="151" ht="15.75" customHeight="1">
      <c r="A151" s="105" t="s">
        <v>501</v>
      </c>
      <c r="B151" s="155" t="s">
        <v>44</v>
      </c>
      <c r="C151" s="106" t="s">
        <v>502</v>
      </c>
      <c r="D151" s="107" t="s">
        <v>185</v>
      </c>
      <c r="E151" s="106" t="s">
        <v>685</v>
      </c>
      <c r="F151" s="107" t="s">
        <v>927</v>
      </c>
      <c r="G151" s="107" t="s">
        <v>476</v>
      </c>
      <c r="H151" s="107" t="s">
        <v>476</v>
      </c>
      <c r="I151" s="107" t="s">
        <v>476</v>
      </c>
      <c r="J151" s="107" t="s">
        <v>85</v>
      </c>
      <c r="K151" s="106" t="s">
        <v>749</v>
      </c>
      <c r="L151" s="107" t="s">
        <v>749</v>
      </c>
      <c r="M151" s="108">
        <v>44105.0</v>
      </c>
      <c r="N151" s="106" t="s">
        <v>692</v>
      </c>
      <c r="O151" s="109" t="s">
        <v>690</v>
      </c>
      <c r="P151" s="107" t="s">
        <v>782</v>
      </c>
      <c r="Q151" s="107" t="s">
        <v>782</v>
      </c>
      <c r="R151" s="110"/>
      <c r="S151" s="110"/>
      <c r="T151" s="110"/>
      <c r="U151" s="110"/>
      <c r="V151" s="110"/>
      <c r="W151" s="110"/>
      <c r="X151" s="110"/>
      <c r="Y151" s="110"/>
      <c r="Z151" s="110"/>
    </row>
    <row r="152" ht="15.75" customHeight="1">
      <c r="A152" s="105" t="s">
        <v>503</v>
      </c>
      <c r="B152" s="155" t="s">
        <v>44</v>
      </c>
      <c r="C152" s="106" t="s">
        <v>504</v>
      </c>
      <c r="D152" s="107" t="s">
        <v>185</v>
      </c>
      <c r="E152" s="106" t="s">
        <v>685</v>
      </c>
      <c r="F152" s="107" t="s">
        <v>928</v>
      </c>
      <c r="G152" s="107" t="s">
        <v>476</v>
      </c>
      <c r="H152" s="107" t="s">
        <v>476</v>
      </c>
      <c r="I152" s="107" t="s">
        <v>476</v>
      </c>
      <c r="J152" s="107" t="s">
        <v>85</v>
      </c>
      <c r="K152" s="106" t="s">
        <v>749</v>
      </c>
      <c r="L152" s="107" t="s">
        <v>749</v>
      </c>
      <c r="M152" s="108">
        <v>44105.0</v>
      </c>
      <c r="N152" s="106" t="s">
        <v>692</v>
      </c>
      <c r="O152" s="109" t="s">
        <v>690</v>
      </c>
      <c r="P152" s="107" t="s">
        <v>782</v>
      </c>
      <c r="Q152" s="107" t="s">
        <v>782</v>
      </c>
      <c r="R152" s="110"/>
      <c r="S152" s="110"/>
      <c r="T152" s="110"/>
      <c r="U152" s="110"/>
      <c r="V152" s="110"/>
      <c r="W152" s="110"/>
      <c r="X152" s="110"/>
      <c r="Y152" s="110"/>
      <c r="Z152" s="110"/>
    </row>
    <row r="153" ht="15.75" customHeight="1">
      <c r="A153" s="105" t="s">
        <v>505</v>
      </c>
      <c r="B153" s="155" t="s">
        <v>44</v>
      </c>
      <c r="C153" s="106" t="s">
        <v>506</v>
      </c>
      <c r="D153" s="107" t="s">
        <v>185</v>
      </c>
      <c r="E153" s="106" t="s">
        <v>685</v>
      </c>
      <c r="F153" s="107" t="s">
        <v>921</v>
      </c>
      <c r="G153" s="107" t="s">
        <v>476</v>
      </c>
      <c r="H153" s="107" t="s">
        <v>476</v>
      </c>
      <c r="I153" s="107" t="s">
        <v>476</v>
      </c>
      <c r="J153" s="107" t="s">
        <v>85</v>
      </c>
      <c r="K153" s="106" t="s">
        <v>749</v>
      </c>
      <c r="L153" s="107" t="s">
        <v>749</v>
      </c>
      <c r="M153" s="108">
        <v>44105.0</v>
      </c>
      <c r="N153" s="106" t="s">
        <v>692</v>
      </c>
      <c r="O153" s="109" t="s">
        <v>690</v>
      </c>
      <c r="P153" s="107" t="s">
        <v>782</v>
      </c>
      <c r="Q153" s="107" t="s">
        <v>782</v>
      </c>
      <c r="R153" s="110"/>
      <c r="S153" s="110"/>
      <c r="T153" s="110"/>
      <c r="U153" s="110"/>
      <c r="V153" s="110"/>
      <c r="W153" s="110"/>
      <c r="X153" s="110"/>
      <c r="Y153" s="110"/>
      <c r="Z153" s="110"/>
    </row>
    <row r="154" ht="15.75" customHeight="1">
      <c r="A154" s="105" t="s">
        <v>507</v>
      </c>
      <c r="B154" s="155" t="s">
        <v>44</v>
      </c>
      <c r="C154" s="106" t="s">
        <v>508</v>
      </c>
      <c r="D154" s="107" t="s">
        <v>185</v>
      </c>
      <c r="E154" s="106" t="s">
        <v>685</v>
      </c>
      <c r="F154" s="107" t="s">
        <v>929</v>
      </c>
      <c r="G154" s="107" t="s">
        <v>476</v>
      </c>
      <c r="H154" s="107" t="s">
        <v>476</v>
      </c>
      <c r="I154" s="107" t="s">
        <v>476</v>
      </c>
      <c r="J154" s="107" t="s">
        <v>85</v>
      </c>
      <c r="K154" s="106" t="s">
        <v>749</v>
      </c>
      <c r="L154" s="107" t="s">
        <v>749</v>
      </c>
      <c r="M154" s="108">
        <v>44105.0</v>
      </c>
      <c r="N154" s="106" t="s">
        <v>692</v>
      </c>
      <c r="O154" s="109" t="s">
        <v>690</v>
      </c>
      <c r="P154" s="107" t="s">
        <v>782</v>
      </c>
      <c r="Q154" s="107" t="s">
        <v>782</v>
      </c>
      <c r="R154" s="110"/>
      <c r="S154" s="110"/>
      <c r="T154" s="110"/>
      <c r="U154" s="110"/>
      <c r="V154" s="110"/>
      <c r="W154" s="110"/>
      <c r="X154" s="110"/>
      <c r="Y154" s="110"/>
      <c r="Z154" s="110"/>
    </row>
    <row r="155" ht="15.75" customHeight="1">
      <c r="A155" s="105" t="s">
        <v>509</v>
      </c>
      <c r="B155" s="155" t="s">
        <v>44</v>
      </c>
      <c r="C155" s="106" t="s">
        <v>510</v>
      </c>
      <c r="D155" s="107" t="s">
        <v>185</v>
      </c>
      <c r="E155" s="106" t="s">
        <v>685</v>
      </c>
      <c r="F155" s="107" t="s">
        <v>930</v>
      </c>
      <c r="G155" s="107" t="s">
        <v>476</v>
      </c>
      <c r="H155" s="107" t="s">
        <v>476</v>
      </c>
      <c r="I155" s="107" t="s">
        <v>476</v>
      </c>
      <c r="J155" s="107" t="s">
        <v>85</v>
      </c>
      <c r="K155" s="106" t="s">
        <v>749</v>
      </c>
      <c r="L155" s="107" t="s">
        <v>749</v>
      </c>
      <c r="M155" s="108">
        <v>44105.0</v>
      </c>
      <c r="N155" s="106" t="s">
        <v>692</v>
      </c>
      <c r="O155" s="109" t="s">
        <v>690</v>
      </c>
      <c r="P155" s="107" t="s">
        <v>782</v>
      </c>
      <c r="Q155" s="107" t="s">
        <v>782</v>
      </c>
      <c r="R155" s="110"/>
      <c r="S155" s="110"/>
      <c r="T155" s="110"/>
      <c r="U155" s="110"/>
      <c r="V155" s="110"/>
      <c r="W155" s="110"/>
      <c r="X155" s="110"/>
      <c r="Y155" s="110"/>
      <c r="Z155" s="110"/>
    </row>
    <row r="156" ht="15.75" customHeight="1">
      <c r="A156" s="105" t="s">
        <v>511</v>
      </c>
      <c r="B156" s="155" t="s">
        <v>44</v>
      </c>
      <c r="C156" s="106" t="s">
        <v>512</v>
      </c>
      <c r="D156" s="107" t="s">
        <v>185</v>
      </c>
      <c r="E156" s="106" t="s">
        <v>685</v>
      </c>
      <c r="F156" s="107" t="s">
        <v>931</v>
      </c>
      <c r="G156" s="107" t="s">
        <v>476</v>
      </c>
      <c r="H156" s="107" t="s">
        <v>476</v>
      </c>
      <c r="I156" s="107" t="s">
        <v>476</v>
      </c>
      <c r="J156" s="107" t="s">
        <v>85</v>
      </c>
      <c r="K156" s="106" t="s">
        <v>749</v>
      </c>
      <c r="L156" s="107" t="s">
        <v>749</v>
      </c>
      <c r="M156" s="108">
        <v>44105.0</v>
      </c>
      <c r="N156" s="106" t="s">
        <v>692</v>
      </c>
      <c r="O156" s="109" t="s">
        <v>690</v>
      </c>
      <c r="P156" s="107" t="s">
        <v>782</v>
      </c>
      <c r="Q156" s="107" t="s">
        <v>782</v>
      </c>
      <c r="R156" s="110"/>
      <c r="S156" s="110"/>
      <c r="T156" s="110"/>
      <c r="U156" s="110"/>
      <c r="V156" s="110"/>
      <c r="W156" s="110"/>
      <c r="X156" s="110"/>
      <c r="Y156" s="110"/>
      <c r="Z156" s="110"/>
    </row>
    <row r="157" ht="15.75" customHeight="1">
      <c r="A157" s="105" t="s">
        <v>932</v>
      </c>
      <c r="B157" s="154" t="s">
        <v>197</v>
      </c>
      <c r="C157" s="106" t="s">
        <v>933</v>
      </c>
      <c r="D157" s="107" t="s">
        <v>185</v>
      </c>
      <c r="E157" s="106" t="s">
        <v>694</v>
      </c>
      <c r="F157" s="112">
        <v>140769.0</v>
      </c>
      <c r="G157" s="106" t="s">
        <v>723</v>
      </c>
      <c r="H157" s="112" t="s">
        <v>91</v>
      </c>
      <c r="I157" s="106" t="s">
        <v>723</v>
      </c>
      <c r="J157" s="112" t="s">
        <v>85</v>
      </c>
      <c r="K157" s="106" t="s">
        <v>687</v>
      </c>
      <c r="L157" s="107" t="s">
        <v>688</v>
      </c>
      <c r="M157" s="108">
        <v>44142.0</v>
      </c>
      <c r="N157" s="105" t="s">
        <v>701</v>
      </c>
      <c r="O157" s="109" t="s">
        <v>690</v>
      </c>
      <c r="P157" s="107" t="s">
        <v>724</v>
      </c>
      <c r="Q157" s="107" t="s">
        <v>724</v>
      </c>
      <c r="R157" s="110"/>
      <c r="S157" s="110"/>
      <c r="T157" s="110"/>
      <c r="U157" s="110"/>
      <c r="V157" s="110"/>
      <c r="W157" s="110"/>
      <c r="X157" s="110"/>
      <c r="Y157" s="110"/>
      <c r="Z157" s="110"/>
    </row>
    <row r="158" ht="15.75" customHeight="1">
      <c r="A158" s="105" t="s">
        <v>1329</v>
      </c>
      <c r="B158" s="154" t="s">
        <v>46</v>
      </c>
      <c r="C158" s="106" t="s">
        <v>934</v>
      </c>
      <c r="D158" s="107" t="s">
        <v>135</v>
      </c>
      <c r="E158" s="106" t="s">
        <v>720</v>
      </c>
      <c r="F158" s="126" t="b">
        <v>1</v>
      </c>
      <c r="G158" s="117" t="s">
        <v>517</v>
      </c>
      <c r="H158" s="117" t="s">
        <v>517</v>
      </c>
      <c r="I158" s="117" t="s">
        <v>90</v>
      </c>
      <c r="J158" s="107" t="s">
        <v>85</v>
      </c>
      <c r="K158" s="106" t="s">
        <v>749</v>
      </c>
      <c r="L158" s="107" t="s">
        <v>714</v>
      </c>
      <c r="M158" s="108">
        <v>44075.0</v>
      </c>
      <c r="N158" s="106" t="s">
        <v>692</v>
      </c>
      <c r="O158" s="109" t="s">
        <v>690</v>
      </c>
      <c r="P158" s="107" t="s">
        <v>782</v>
      </c>
      <c r="Q158" s="107" t="s">
        <v>782</v>
      </c>
      <c r="R158" s="110"/>
      <c r="S158" s="110"/>
      <c r="T158" s="110"/>
      <c r="U158" s="110"/>
      <c r="V158" s="110"/>
      <c r="W158" s="110"/>
      <c r="X158" s="110"/>
      <c r="Y158" s="110"/>
      <c r="Z158" s="110"/>
    </row>
    <row r="159" ht="15.75" customHeight="1">
      <c r="A159" s="105" t="s">
        <v>1330</v>
      </c>
      <c r="B159" s="154" t="s">
        <v>46</v>
      </c>
      <c r="C159" s="106" t="s">
        <v>935</v>
      </c>
      <c r="D159" s="107" t="s">
        <v>135</v>
      </c>
      <c r="E159" s="106" t="s">
        <v>685</v>
      </c>
      <c r="F159" s="106" t="s">
        <v>936</v>
      </c>
      <c r="G159" s="117" t="s">
        <v>517</v>
      </c>
      <c r="H159" s="117" t="s">
        <v>517</v>
      </c>
      <c r="I159" s="117" t="s">
        <v>90</v>
      </c>
      <c r="J159" s="107" t="s">
        <v>85</v>
      </c>
      <c r="K159" s="106" t="s">
        <v>749</v>
      </c>
      <c r="L159" s="107" t="s">
        <v>714</v>
      </c>
      <c r="M159" s="108">
        <v>44075.0</v>
      </c>
      <c r="N159" s="106" t="s">
        <v>692</v>
      </c>
      <c r="O159" s="109" t="s">
        <v>690</v>
      </c>
      <c r="P159" s="107" t="s">
        <v>782</v>
      </c>
      <c r="Q159" s="107" t="s">
        <v>782</v>
      </c>
      <c r="R159" s="110"/>
      <c r="S159" s="110"/>
      <c r="T159" s="110"/>
      <c r="U159" s="110"/>
      <c r="V159" s="110"/>
      <c r="W159" s="110"/>
      <c r="X159" s="110"/>
      <c r="Y159" s="110"/>
      <c r="Z159" s="110"/>
    </row>
    <row r="160" ht="15.75" customHeight="1">
      <c r="A160" s="105" t="s">
        <v>1331</v>
      </c>
      <c r="B160" s="154" t="s">
        <v>46</v>
      </c>
      <c r="C160" s="106" t="s">
        <v>937</v>
      </c>
      <c r="D160" s="107" t="s">
        <v>135</v>
      </c>
      <c r="E160" s="106" t="s">
        <v>685</v>
      </c>
      <c r="F160" s="128" t="s">
        <v>938</v>
      </c>
      <c r="G160" s="117" t="s">
        <v>517</v>
      </c>
      <c r="H160" s="117" t="s">
        <v>517</v>
      </c>
      <c r="I160" s="117" t="s">
        <v>90</v>
      </c>
      <c r="J160" s="107" t="s">
        <v>85</v>
      </c>
      <c r="K160" s="106" t="s">
        <v>749</v>
      </c>
      <c r="L160" s="107" t="s">
        <v>714</v>
      </c>
      <c r="M160" s="108">
        <v>44075.0</v>
      </c>
      <c r="N160" s="106" t="s">
        <v>692</v>
      </c>
      <c r="O160" s="109" t="s">
        <v>690</v>
      </c>
      <c r="P160" s="107" t="s">
        <v>782</v>
      </c>
      <c r="Q160" s="107" t="s">
        <v>782</v>
      </c>
      <c r="R160" s="110"/>
      <c r="S160" s="110"/>
      <c r="T160" s="110"/>
      <c r="U160" s="110"/>
      <c r="V160" s="110"/>
      <c r="W160" s="110"/>
      <c r="X160" s="110"/>
      <c r="Y160" s="110"/>
      <c r="Z160" s="110"/>
    </row>
    <row r="161" ht="15.75" customHeight="1">
      <c r="A161" s="105" t="s">
        <v>531</v>
      </c>
      <c r="B161" s="154" t="s">
        <v>46</v>
      </c>
      <c r="C161" s="106" t="s">
        <v>943</v>
      </c>
      <c r="D161" s="107" t="s">
        <v>135</v>
      </c>
      <c r="E161" s="106" t="s">
        <v>720</v>
      </c>
      <c r="F161" s="126" t="b">
        <v>1</v>
      </c>
      <c r="G161" s="117" t="s">
        <v>517</v>
      </c>
      <c r="H161" s="117" t="s">
        <v>517</v>
      </c>
      <c r="I161" s="117" t="s">
        <v>90</v>
      </c>
      <c r="J161" s="107" t="s">
        <v>85</v>
      </c>
      <c r="K161" s="106" t="s">
        <v>749</v>
      </c>
      <c r="L161" s="107" t="s">
        <v>714</v>
      </c>
      <c r="M161" s="108">
        <v>44075.0</v>
      </c>
      <c r="N161" s="106" t="s">
        <v>692</v>
      </c>
      <c r="O161" s="109" t="s">
        <v>690</v>
      </c>
      <c r="P161" s="107" t="s">
        <v>782</v>
      </c>
      <c r="Q161" s="107" t="s">
        <v>782</v>
      </c>
      <c r="R161" s="110"/>
      <c r="S161" s="110"/>
      <c r="T161" s="110"/>
      <c r="U161" s="110"/>
      <c r="V161" s="110"/>
      <c r="W161" s="110"/>
      <c r="X161" s="110"/>
      <c r="Y161" s="110"/>
      <c r="Z161" s="110"/>
    </row>
    <row r="162" ht="15.75" customHeight="1">
      <c r="A162" s="105" t="s">
        <v>533</v>
      </c>
      <c r="B162" s="154" t="s">
        <v>46</v>
      </c>
      <c r="C162" s="106" t="s">
        <v>944</v>
      </c>
      <c r="D162" s="107" t="s">
        <v>135</v>
      </c>
      <c r="E162" s="106" t="s">
        <v>685</v>
      </c>
      <c r="F162" s="106" t="s">
        <v>936</v>
      </c>
      <c r="G162" s="117" t="s">
        <v>517</v>
      </c>
      <c r="H162" s="117" t="s">
        <v>517</v>
      </c>
      <c r="I162" s="117" t="s">
        <v>90</v>
      </c>
      <c r="J162" s="107" t="s">
        <v>85</v>
      </c>
      <c r="K162" s="106" t="s">
        <v>749</v>
      </c>
      <c r="L162" s="107" t="s">
        <v>714</v>
      </c>
      <c r="M162" s="108">
        <v>44075.0</v>
      </c>
      <c r="N162" s="106" t="s">
        <v>692</v>
      </c>
      <c r="O162" s="109" t="s">
        <v>690</v>
      </c>
      <c r="P162" s="107" t="s">
        <v>782</v>
      </c>
      <c r="Q162" s="107" t="s">
        <v>782</v>
      </c>
      <c r="R162" s="110"/>
      <c r="S162" s="110"/>
      <c r="T162" s="110"/>
      <c r="U162" s="110"/>
      <c r="V162" s="110"/>
      <c r="W162" s="110"/>
      <c r="X162" s="110"/>
      <c r="Y162" s="110"/>
      <c r="Z162" s="110"/>
    </row>
    <row r="163" ht="15.75" customHeight="1">
      <c r="A163" s="105" t="s">
        <v>535</v>
      </c>
      <c r="B163" s="154" t="s">
        <v>46</v>
      </c>
      <c r="C163" s="106" t="s">
        <v>945</v>
      </c>
      <c r="D163" s="107" t="s">
        <v>135</v>
      </c>
      <c r="E163" s="106" t="s">
        <v>685</v>
      </c>
      <c r="F163" s="106" t="s">
        <v>946</v>
      </c>
      <c r="G163" s="117" t="s">
        <v>517</v>
      </c>
      <c r="H163" s="117" t="s">
        <v>517</v>
      </c>
      <c r="I163" s="117" t="s">
        <v>90</v>
      </c>
      <c r="J163" s="107" t="s">
        <v>85</v>
      </c>
      <c r="K163" s="106" t="s">
        <v>749</v>
      </c>
      <c r="L163" s="107" t="s">
        <v>714</v>
      </c>
      <c r="M163" s="108">
        <v>44075.0</v>
      </c>
      <c r="N163" s="106" t="s">
        <v>692</v>
      </c>
      <c r="O163" s="109" t="s">
        <v>690</v>
      </c>
      <c r="P163" s="107" t="s">
        <v>782</v>
      </c>
      <c r="Q163" s="107" t="s">
        <v>782</v>
      </c>
      <c r="R163" s="110"/>
      <c r="S163" s="110"/>
      <c r="T163" s="110"/>
      <c r="U163" s="110"/>
      <c r="V163" s="110"/>
      <c r="W163" s="110"/>
      <c r="X163" s="110"/>
      <c r="Y163" s="110"/>
      <c r="Z163" s="110"/>
    </row>
    <row r="164" ht="15.75" customHeight="1">
      <c r="A164" s="105" t="s">
        <v>538</v>
      </c>
      <c r="B164" s="154" t="s">
        <v>46</v>
      </c>
      <c r="C164" s="106" t="s">
        <v>947</v>
      </c>
      <c r="D164" s="107" t="s">
        <v>135</v>
      </c>
      <c r="E164" s="106" t="s">
        <v>720</v>
      </c>
      <c r="F164" s="126" t="b">
        <v>1</v>
      </c>
      <c r="G164" s="117" t="s">
        <v>517</v>
      </c>
      <c r="H164" s="117" t="s">
        <v>517</v>
      </c>
      <c r="I164" s="117" t="s">
        <v>90</v>
      </c>
      <c r="J164" s="107" t="s">
        <v>85</v>
      </c>
      <c r="K164" s="106" t="s">
        <v>749</v>
      </c>
      <c r="L164" s="107" t="s">
        <v>714</v>
      </c>
      <c r="M164" s="108">
        <v>44075.0</v>
      </c>
      <c r="N164" s="106" t="s">
        <v>692</v>
      </c>
      <c r="O164" s="109" t="s">
        <v>690</v>
      </c>
      <c r="P164" s="107" t="s">
        <v>782</v>
      </c>
      <c r="Q164" s="107" t="s">
        <v>782</v>
      </c>
      <c r="R164" s="110"/>
      <c r="S164" s="110"/>
      <c r="T164" s="110"/>
      <c r="U164" s="110"/>
      <c r="V164" s="110"/>
      <c r="W164" s="110"/>
      <c r="X164" s="110"/>
      <c r="Y164" s="110"/>
      <c r="Z164" s="110"/>
    </row>
    <row r="165" ht="15.75" customHeight="1">
      <c r="A165" s="105" t="s">
        <v>540</v>
      </c>
      <c r="B165" s="154" t="s">
        <v>46</v>
      </c>
      <c r="C165" s="106" t="s">
        <v>948</v>
      </c>
      <c r="D165" s="107" t="s">
        <v>135</v>
      </c>
      <c r="E165" s="106" t="s">
        <v>685</v>
      </c>
      <c r="F165" s="106" t="s">
        <v>936</v>
      </c>
      <c r="G165" s="117" t="s">
        <v>517</v>
      </c>
      <c r="H165" s="117" t="s">
        <v>517</v>
      </c>
      <c r="I165" s="117" t="s">
        <v>90</v>
      </c>
      <c r="J165" s="107" t="s">
        <v>85</v>
      </c>
      <c r="K165" s="106" t="s">
        <v>749</v>
      </c>
      <c r="L165" s="107" t="s">
        <v>714</v>
      </c>
      <c r="M165" s="108">
        <v>44075.0</v>
      </c>
      <c r="N165" s="106" t="s">
        <v>692</v>
      </c>
      <c r="O165" s="109" t="s">
        <v>690</v>
      </c>
      <c r="P165" s="107" t="s">
        <v>782</v>
      </c>
      <c r="Q165" s="107" t="s">
        <v>782</v>
      </c>
      <c r="R165" s="110"/>
      <c r="S165" s="110"/>
      <c r="T165" s="110"/>
      <c r="U165" s="110"/>
      <c r="V165" s="110"/>
      <c r="W165" s="110"/>
      <c r="X165" s="110"/>
      <c r="Y165" s="110"/>
      <c r="Z165" s="110"/>
    </row>
    <row r="166" ht="15.75" customHeight="1">
      <c r="A166" s="105" t="s">
        <v>542</v>
      </c>
      <c r="B166" s="154" t="s">
        <v>46</v>
      </c>
      <c r="C166" s="106" t="s">
        <v>949</v>
      </c>
      <c r="D166" s="107" t="s">
        <v>135</v>
      </c>
      <c r="E166" s="106" t="s">
        <v>685</v>
      </c>
      <c r="F166" s="106" t="s">
        <v>950</v>
      </c>
      <c r="G166" s="117" t="s">
        <v>517</v>
      </c>
      <c r="H166" s="117" t="s">
        <v>517</v>
      </c>
      <c r="I166" s="117" t="s">
        <v>90</v>
      </c>
      <c r="J166" s="107" t="s">
        <v>85</v>
      </c>
      <c r="K166" s="106" t="s">
        <v>749</v>
      </c>
      <c r="L166" s="107" t="s">
        <v>714</v>
      </c>
      <c r="M166" s="108">
        <v>44075.0</v>
      </c>
      <c r="N166" s="106" t="s">
        <v>692</v>
      </c>
      <c r="O166" s="109" t="s">
        <v>690</v>
      </c>
      <c r="P166" s="107" t="s">
        <v>782</v>
      </c>
      <c r="Q166" s="107" t="s">
        <v>782</v>
      </c>
      <c r="R166" s="110"/>
      <c r="S166" s="110"/>
      <c r="T166" s="110"/>
      <c r="U166" s="110"/>
      <c r="V166" s="110"/>
      <c r="W166" s="110"/>
      <c r="X166" s="110"/>
      <c r="Y166" s="110"/>
      <c r="Z166" s="110"/>
    </row>
    <row r="167" ht="15.75" customHeight="1">
      <c r="A167" s="105" t="s">
        <v>545</v>
      </c>
      <c r="B167" s="154" t="s">
        <v>46</v>
      </c>
      <c r="C167" s="106" t="s">
        <v>951</v>
      </c>
      <c r="D167" s="107" t="s">
        <v>135</v>
      </c>
      <c r="E167" s="106" t="s">
        <v>720</v>
      </c>
      <c r="F167" s="126" t="b">
        <v>1</v>
      </c>
      <c r="G167" s="117" t="s">
        <v>517</v>
      </c>
      <c r="H167" s="117" t="s">
        <v>517</v>
      </c>
      <c r="I167" s="117" t="s">
        <v>90</v>
      </c>
      <c r="J167" s="107" t="s">
        <v>85</v>
      </c>
      <c r="K167" s="106" t="s">
        <v>749</v>
      </c>
      <c r="L167" s="107" t="s">
        <v>714</v>
      </c>
      <c r="M167" s="108">
        <v>44075.0</v>
      </c>
      <c r="N167" s="106" t="s">
        <v>692</v>
      </c>
      <c r="O167" s="109" t="s">
        <v>690</v>
      </c>
      <c r="P167" s="107" t="s">
        <v>782</v>
      </c>
      <c r="Q167" s="107" t="s">
        <v>782</v>
      </c>
      <c r="R167" s="110"/>
      <c r="S167" s="110"/>
      <c r="T167" s="110"/>
      <c r="U167" s="110"/>
      <c r="V167" s="110"/>
      <c r="W167" s="110"/>
      <c r="X167" s="110"/>
      <c r="Y167" s="110"/>
      <c r="Z167" s="110"/>
    </row>
    <row r="168" ht="15.75" customHeight="1">
      <c r="A168" s="105" t="s">
        <v>547</v>
      </c>
      <c r="B168" s="154" t="s">
        <v>46</v>
      </c>
      <c r="C168" s="106" t="s">
        <v>952</v>
      </c>
      <c r="D168" s="107" t="s">
        <v>135</v>
      </c>
      <c r="E168" s="106" t="s">
        <v>685</v>
      </c>
      <c r="F168" s="106" t="s">
        <v>936</v>
      </c>
      <c r="G168" s="117" t="s">
        <v>517</v>
      </c>
      <c r="H168" s="117" t="s">
        <v>517</v>
      </c>
      <c r="I168" s="117" t="s">
        <v>90</v>
      </c>
      <c r="J168" s="107" t="s">
        <v>85</v>
      </c>
      <c r="K168" s="106" t="s">
        <v>749</v>
      </c>
      <c r="L168" s="107" t="s">
        <v>714</v>
      </c>
      <c r="M168" s="108">
        <v>44075.0</v>
      </c>
      <c r="N168" s="106" t="s">
        <v>692</v>
      </c>
      <c r="O168" s="109" t="s">
        <v>690</v>
      </c>
      <c r="P168" s="107" t="s">
        <v>782</v>
      </c>
      <c r="Q168" s="107" t="s">
        <v>782</v>
      </c>
      <c r="R168" s="110"/>
      <c r="S168" s="110"/>
      <c r="T168" s="110"/>
      <c r="U168" s="110"/>
      <c r="V168" s="110"/>
      <c r="W168" s="110"/>
      <c r="X168" s="110"/>
      <c r="Y168" s="110"/>
      <c r="Z168" s="110"/>
    </row>
    <row r="169" ht="15.75" customHeight="1">
      <c r="A169" s="105" t="s">
        <v>550</v>
      </c>
      <c r="B169" s="154" t="s">
        <v>46</v>
      </c>
      <c r="C169" s="106" t="s">
        <v>953</v>
      </c>
      <c r="D169" s="107" t="s">
        <v>135</v>
      </c>
      <c r="E169" s="106" t="s">
        <v>685</v>
      </c>
      <c r="F169" s="106" t="s">
        <v>954</v>
      </c>
      <c r="G169" s="117" t="s">
        <v>517</v>
      </c>
      <c r="H169" s="117" t="s">
        <v>517</v>
      </c>
      <c r="I169" s="117" t="s">
        <v>90</v>
      </c>
      <c r="J169" s="107" t="s">
        <v>85</v>
      </c>
      <c r="K169" s="106" t="s">
        <v>749</v>
      </c>
      <c r="L169" s="107" t="s">
        <v>714</v>
      </c>
      <c r="M169" s="108">
        <v>44075.0</v>
      </c>
      <c r="N169" s="106" t="s">
        <v>692</v>
      </c>
      <c r="O169" s="109" t="s">
        <v>690</v>
      </c>
      <c r="P169" s="107" t="s">
        <v>782</v>
      </c>
      <c r="Q169" s="107" t="s">
        <v>782</v>
      </c>
      <c r="R169" s="110"/>
      <c r="S169" s="110"/>
      <c r="T169" s="110"/>
      <c r="U169" s="110"/>
      <c r="V169" s="110"/>
      <c r="W169" s="110"/>
      <c r="X169" s="110"/>
      <c r="Y169" s="110"/>
      <c r="Z169" s="110"/>
    </row>
    <row r="170" ht="15.75" customHeight="1">
      <c r="A170" s="105" t="s">
        <v>553</v>
      </c>
      <c r="B170" s="154" t="s">
        <v>46</v>
      </c>
      <c r="C170" s="106" t="s">
        <v>955</v>
      </c>
      <c r="D170" s="107" t="s">
        <v>135</v>
      </c>
      <c r="E170" s="106" t="s">
        <v>720</v>
      </c>
      <c r="F170" s="126" t="b">
        <v>1</v>
      </c>
      <c r="G170" s="117" t="s">
        <v>517</v>
      </c>
      <c r="H170" s="117" t="s">
        <v>517</v>
      </c>
      <c r="I170" s="117" t="s">
        <v>90</v>
      </c>
      <c r="J170" s="107" t="s">
        <v>85</v>
      </c>
      <c r="K170" s="106" t="s">
        <v>749</v>
      </c>
      <c r="L170" s="107" t="s">
        <v>714</v>
      </c>
      <c r="M170" s="108">
        <v>44075.0</v>
      </c>
      <c r="N170" s="106" t="s">
        <v>692</v>
      </c>
      <c r="O170" s="109" t="s">
        <v>690</v>
      </c>
      <c r="P170" s="107" t="s">
        <v>782</v>
      </c>
      <c r="Q170" s="107" t="s">
        <v>782</v>
      </c>
      <c r="R170" s="110"/>
      <c r="S170" s="110"/>
      <c r="T170" s="110"/>
      <c r="U170" s="110"/>
      <c r="V170" s="110"/>
      <c r="W170" s="110"/>
      <c r="X170" s="110"/>
      <c r="Y170" s="110"/>
      <c r="Z170" s="110"/>
    </row>
    <row r="171" ht="15.75" customHeight="1">
      <c r="A171" s="105" t="s">
        <v>555</v>
      </c>
      <c r="B171" s="154" t="s">
        <v>46</v>
      </c>
      <c r="C171" s="106" t="s">
        <v>956</v>
      </c>
      <c r="D171" s="107" t="s">
        <v>135</v>
      </c>
      <c r="E171" s="106" t="s">
        <v>685</v>
      </c>
      <c r="F171" s="106" t="s">
        <v>936</v>
      </c>
      <c r="G171" s="117" t="s">
        <v>517</v>
      </c>
      <c r="H171" s="117" t="s">
        <v>517</v>
      </c>
      <c r="I171" s="117" t="s">
        <v>90</v>
      </c>
      <c r="J171" s="107" t="s">
        <v>85</v>
      </c>
      <c r="K171" s="106" t="s">
        <v>749</v>
      </c>
      <c r="L171" s="107" t="s">
        <v>714</v>
      </c>
      <c r="M171" s="108">
        <v>44075.0</v>
      </c>
      <c r="N171" s="106" t="s">
        <v>692</v>
      </c>
      <c r="O171" s="109" t="s">
        <v>690</v>
      </c>
      <c r="P171" s="107" t="s">
        <v>782</v>
      </c>
      <c r="Q171" s="107" t="s">
        <v>782</v>
      </c>
      <c r="R171" s="110"/>
      <c r="S171" s="110"/>
      <c r="T171" s="110"/>
      <c r="U171" s="110"/>
      <c r="V171" s="110"/>
      <c r="W171" s="110"/>
      <c r="X171" s="110"/>
      <c r="Y171" s="110"/>
      <c r="Z171" s="110"/>
    </row>
    <row r="172" ht="15.75" customHeight="1">
      <c r="A172" s="105" t="s">
        <v>557</v>
      </c>
      <c r="B172" s="154" t="s">
        <v>46</v>
      </c>
      <c r="C172" s="106" t="s">
        <v>957</v>
      </c>
      <c r="D172" s="107" t="s">
        <v>135</v>
      </c>
      <c r="E172" s="106" t="s">
        <v>685</v>
      </c>
      <c r="F172" s="106" t="s">
        <v>958</v>
      </c>
      <c r="G172" s="117" t="s">
        <v>517</v>
      </c>
      <c r="H172" s="117" t="s">
        <v>517</v>
      </c>
      <c r="I172" s="117" t="s">
        <v>90</v>
      </c>
      <c r="J172" s="107" t="s">
        <v>85</v>
      </c>
      <c r="K172" s="106" t="s">
        <v>749</v>
      </c>
      <c r="L172" s="107" t="s">
        <v>714</v>
      </c>
      <c r="M172" s="108">
        <v>44075.0</v>
      </c>
      <c r="N172" s="106" t="s">
        <v>692</v>
      </c>
      <c r="O172" s="109" t="s">
        <v>690</v>
      </c>
      <c r="P172" s="107" t="s">
        <v>782</v>
      </c>
      <c r="Q172" s="107" t="s">
        <v>782</v>
      </c>
      <c r="R172" s="110"/>
      <c r="S172" s="110"/>
      <c r="T172" s="110"/>
      <c r="U172" s="110"/>
      <c r="V172" s="110"/>
      <c r="W172" s="110"/>
      <c r="X172" s="110"/>
      <c r="Y172" s="110"/>
      <c r="Z172" s="110"/>
    </row>
    <row r="173" ht="15.75" customHeight="1">
      <c r="A173" s="105" t="s">
        <v>560</v>
      </c>
      <c r="B173" s="154" t="s">
        <v>46</v>
      </c>
      <c r="C173" s="106" t="s">
        <v>959</v>
      </c>
      <c r="D173" s="107" t="s">
        <v>135</v>
      </c>
      <c r="E173" s="106" t="s">
        <v>720</v>
      </c>
      <c r="F173" s="126" t="b">
        <v>1</v>
      </c>
      <c r="G173" s="117" t="s">
        <v>517</v>
      </c>
      <c r="H173" s="117" t="s">
        <v>517</v>
      </c>
      <c r="I173" s="117" t="s">
        <v>90</v>
      </c>
      <c r="J173" s="107" t="s">
        <v>85</v>
      </c>
      <c r="K173" s="106" t="s">
        <v>749</v>
      </c>
      <c r="L173" s="107" t="s">
        <v>714</v>
      </c>
      <c r="M173" s="108">
        <v>44075.0</v>
      </c>
      <c r="N173" s="106" t="s">
        <v>692</v>
      </c>
      <c r="O173" s="109" t="s">
        <v>690</v>
      </c>
      <c r="P173" s="107" t="s">
        <v>782</v>
      </c>
      <c r="Q173" s="107" t="s">
        <v>782</v>
      </c>
      <c r="R173" s="110"/>
      <c r="S173" s="110"/>
      <c r="T173" s="110"/>
      <c r="U173" s="110"/>
      <c r="V173" s="110"/>
      <c r="W173" s="110"/>
      <c r="X173" s="110"/>
      <c r="Y173" s="110"/>
      <c r="Z173" s="110"/>
    </row>
    <row r="174" ht="15.75" customHeight="1">
      <c r="A174" s="105" t="s">
        <v>562</v>
      </c>
      <c r="B174" s="154" t="s">
        <v>46</v>
      </c>
      <c r="C174" s="106" t="s">
        <v>960</v>
      </c>
      <c r="D174" s="107" t="s">
        <v>135</v>
      </c>
      <c r="E174" s="106" t="s">
        <v>685</v>
      </c>
      <c r="F174" s="106" t="s">
        <v>936</v>
      </c>
      <c r="G174" s="117" t="s">
        <v>517</v>
      </c>
      <c r="H174" s="117" t="s">
        <v>517</v>
      </c>
      <c r="I174" s="117" t="s">
        <v>90</v>
      </c>
      <c r="J174" s="107" t="s">
        <v>85</v>
      </c>
      <c r="K174" s="106" t="s">
        <v>749</v>
      </c>
      <c r="L174" s="107" t="s">
        <v>714</v>
      </c>
      <c r="M174" s="108">
        <v>44075.0</v>
      </c>
      <c r="N174" s="106" t="s">
        <v>692</v>
      </c>
      <c r="O174" s="109" t="s">
        <v>690</v>
      </c>
      <c r="P174" s="107" t="s">
        <v>782</v>
      </c>
      <c r="Q174" s="107" t="s">
        <v>782</v>
      </c>
      <c r="R174" s="110"/>
      <c r="S174" s="110"/>
      <c r="T174" s="110"/>
      <c r="U174" s="110"/>
      <c r="V174" s="110"/>
      <c r="W174" s="110"/>
      <c r="X174" s="110"/>
      <c r="Y174" s="110"/>
      <c r="Z174" s="110"/>
    </row>
    <row r="175" ht="15.75" customHeight="1">
      <c r="A175" s="105" t="s">
        <v>564</v>
      </c>
      <c r="B175" s="154" t="s">
        <v>46</v>
      </c>
      <c r="C175" s="106" t="s">
        <v>961</v>
      </c>
      <c r="D175" s="107" t="s">
        <v>135</v>
      </c>
      <c r="E175" s="106" t="s">
        <v>685</v>
      </c>
      <c r="F175" s="106" t="s">
        <v>962</v>
      </c>
      <c r="G175" s="117" t="s">
        <v>517</v>
      </c>
      <c r="H175" s="117" t="s">
        <v>517</v>
      </c>
      <c r="I175" s="117" t="s">
        <v>90</v>
      </c>
      <c r="J175" s="107" t="s">
        <v>85</v>
      </c>
      <c r="K175" s="106" t="s">
        <v>749</v>
      </c>
      <c r="L175" s="107" t="s">
        <v>714</v>
      </c>
      <c r="M175" s="108">
        <v>44075.0</v>
      </c>
      <c r="N175" s="106" t="s">
        <v>692</v>
      </c>
      <c r="O175" s="109" t="s">
        <v>690</v>
      </c>
      <c r="P175" s="107" t="s">
        <v>782</v>
      </c>
      <c r="Q175" s="107" t="s">
        <v>782</v>
      </c>
      <c r="R175" s="110"/>
      <c r="S175" s="110"/>
      <c r="T175" s="110"/>
      <c r="U175" s="110"/>
      <c r="V175" s="110"/>
      <c r="W175" s="110"/>
      <c r="X175" s="110"/>
      <c r="Y175" s="110"/>
      <c r="Z175" s="110"/>
    </row>
    <row r="176" ht="15.75" customHeight="1">
      <c r="A176" s="105" t="s">
        <v>567</v>
      </c>
      <c r="B176" s="154" t="s">
        <v>46</v>
      </c>
      <c r="C176" s="106" t="s">
        <v>963</v>
      </c>
      <c r="D176" s="107" t="s">
        <v>135</v>
      </c>
      <c r="E176" s="106" t="s">
        <v>720</v>
      </c>
      <c r="F176" s="126" t="b">
        <v>1</v>
      </c>
      <c r="G176" s="117" t="s">
        <v>517</v>
      </c>
      <c r="H176" s="117" t="s">
        <v>517</v>
      </c>
      <c r="I176" s="117" t="s">
        <v>90</v>
      </c>
      <c r="J176" s="107" t="s">
        <v>85</v>
      </c>
      <c r="K176" s="106" t="s">
        <v>749</v>
      </c>
      <c r="L176" s="107" t="s">
        <v>714</v>
      </c>
      <c r="M176" s="108">
        <v>44075.0</v>
      </c>
      <c r="N176" s="106" t="s">
        <v>692</v>
      </c>
      <c r="O176" s="109" t="s">
        <v>690</v>
      </c>
      <c r="P176" s="107" t="s">
        <v>782</v>
      </c>
      <c r="Q176" s="107" t="s">
        <v>782</v>
      </c>
      <c r="R176" s="110"/>
      <c r="S176" s="110"/>
      <c r="T176" s="110"/>
      <c r="U176" s="110"/>
      <c r="V176" s="110"/>
      <c r="W176" s="110"/>
      <c r="X176" s="110"/>
      <c r="Y176" s="110"/>
      <c r="Z176" s="110"/>
    </row>
    <row r="177" ht="15.75" customHeight="1">
      <c r="A177" s="105" t="s">
        <v>569</v>
      </c>
      <c r="B177" s="154" t="s">
        <v>46</v>
      </c>
      <c r="C177" s="106" t="s">
        <v>964</v>
      </c>
      <c r="D177" s="107" t="s">
        <v>135</v>
      </c>
      <c r="E177" s="106" t="s">
        <v>685</v>
      </c>
      <c r="F177" s="106" t="s">
        <v>936</v>
      </c>
      <c r="G177" s="117" t="s">
        <v>517</v>
      </c>
      <c r="H177" s="117" t="s">
        <v>517</v>
      </c>
      <c r="I177" s="117" t="s">
        <v>90</v>
      </c>
      <c r="J177" s="107" t="s">
        <v>85</v>
      </c>
      <c r="K177" s="106" t="s">
        <v>749</v>
      </c>
      <c r="L177" s="107" t="s">
        <v>714</v>
      </c>
      <c r="M177" s="108">
        <v>44075.0</v>
      </c>
      <c r="N177" s="106" t="s">
        <v>692</v>
      </c>
      <c r="O177" s="109" t="s">
        <v>690</v>
      </c>
      <c r="P177" s="107" t="s">
        <v>782</v>
      </c>
      <c r="Q177" s="107" t="s">
        <v>782</v>
      </c>
      <c r="R177" s="110"/>
      <c r="S177" s="110"/>
      <c r="T177" s="110"/>
      <c r="U177" s="110"/>
      <c r="V177" s="110"/>
      <c r="W177" s="110"/>
      <c r="X177" s="110"/>
      <c r="Y177" s="110"/>
      <c r="Z177" s="110"/>
    </row>
    <row r="178" ht="15.75" customHeight="1">
      <c r="A178" s="105" t="s">
        <v>571</v>
      </c>
      <c r="B178" s="154" t="s">
        <v>46</v>
      </c>
      <c r="C178" s="106" t="s">
        <v>965</v>
      </c>
      <c r="D178" s="107" t="s">
        <v>135</v>
      </c>
      <c r="E178" s="106" t="s">
        <v>685</v>
      </c>
      <c r="F178" s="106" t="s">
        <v>966</v>
      </c>
      <c r="G178" s="117" t="s">
        <v>517</v>
      </c>
      <c r="H178" s="117" t="s">
        <v>517</v>
      </c>
      <c r="I178" s="117" t="s">
        <v>90</v>
      </c>
      <c r="J178" s="107" t="s">
        <v>85</v>
      </c>
      <c r="K178" s="106" t="s">
        <v>749</v>
      </c>
      <c r="L178" s="107" t="s">
        <v>714</v>
      </c>
      <c r="M178" s="108">
        <v>44075.0</v>
      </c>
      <c r="N178" s="106" t="s">
        <v>692</v>
      </c>
      <c r="O178" s="109" t="s">
        <v>690</v>
      </c>
      <c r="P178" s="107" t="s">
        <v>782</v>
      </c>
      <c r="Q178" s="107" t="s">
        <v>782</v>
      </c>
      <c r="R178" s="110"/>
      <c r="S178" s="110"/>
      <c r="T178" s="110"/>
      <c r="U178" s="110"/>
      <c r="V178" s="110"/>
      <c r="W178" s="110"/>
      <c r="X178" s="110"/>
      <c r="Y178" s="110"/>
      <c r="Z178" s="110"/>
    </row>
    <row r="179" ht="15.75" customHeight="1">
      <c r="A179" s="105" t="s">
        <v>574</v>
      </c>
      <c r="B179" s="154" t="s">
        <v>46</v>
      </c>
      <c r="C179" s="106" t="s">
        <v>967</v>
      </c>
      <c r="D179" s="107" t="s">
        <v>135</v>
      </c>
      <c r="E179" s="106" t="s">
        <v>720</v>
      </c>
      <c r="F179" s="126" t="b">
        <v>1</v>
      </c>
      <c r="G179" s="117" t="s">
        <v>517</v>
      </c>
      <c r="H179" s="117" t="s">
        <v>517</v>
      </c>
      <c r="I179" s="117" t="s">
        <v>90</v>
      </c>
      <c r="J179" s="107" t="s">
        <v>85</v>
      </c>
      <c r="K179" s="106" t="s">
        <v>749</v>
      </c>
      <c r="L179" s="107" t="s">
        <v>714</v>
      </c>
      <c r="M179" s="108">
        <v>44075.0</v>
      </c>
      <c r="N179" s="106" t="s">
        <v>692</v>
      </c>
      <c r="O179" s="109" t="s">
        <v>690</v>
      </c>
      <c r="P179" s="107" t="s">
        <v>782</v>
      </c>
      <c r="Q179" s="107" t="s">
        <v>782</v>
      </c>
      <c r="R179" s="110"/>
      <c r="S179" s="110"/>
      <c r="T179" s="110"/>
      <c r="U179" s="110"/>
      <c r="V179" s="110"/>
      <c r="W179" s="110"/>
      <c r="X179" s="110"/>
      <c r="Y179" s="110"/>
      <c r="Z179" s="110"/>
    </row>
    <row r="180" ht="15.75" customHeight="1">
      <c r="A180" s="105" t="s">
        <v>576</v>
      </c>
      <c r="B180" s="154" t="s">
        <v>46</v>
      </c>
      <c r="C180" s="106" t="s">
        <v>968</v>
      </c>
      <c r="D180" s="107" t="s">
        <v>135</v>
      </c>
      <c r="E180" s="106" t="s">
        <v>685</v>
      </c>
      <c r="F180" s="106" t="s">
        <v>936</v>
      </c>
      <c r="G180" s="117" t="s">
        <v>517</v>
      </c>
      <c r="H180" s="117" t="s">
        <v>517</v>
      </c>
      <c r="I180" s="117" t="s">
        <v>90</v>
      </c>
      <c r="J180" s="107" t="s">
        <v>85</v>
      </c>
      <c r="K180" s="106" t="s">
        <v>749</v>
      </c>
      <c r="L180" s="107" t="s">
        <v>714</v>
      </c>
      <c r="M180" s="108">
        <v>44075.0</v>
      </c>
      <c r="N180" s="106" t="s">
        <v>692</v>
      </c>
      <c r="O180" s="109" t="s">
        <v>690</v>
      </c>
      <c r="P180" s="107" t="s">
        <v>782</v>
      </c>
      <c r="Q180" s="107" t="s">
        <v>782</v>
      </c>
      <c r="R180" s="110"/>
      <c r="S180" s="110"/>
      <c r="T180" s="110"/>
      <c r="U180" s="110"/>
      <c r="V180" s="110"/>
      <c r="W180" s="110"/>
      <c r="X180" s="110"/>
      <c r="Y180" s="110"/>
      <c r="Z180" s="110"/>
    </row>
    <row r="181" ht="15.75" customHeight="1">
      <c r="A181" s="105" t="s">
        <v>578</v>
      </c>
      <c r="B181" s="154" t="s">
        <v>46</v>
      </c>
      <c r="C181" s="106" t="s">
        <v>969</v>
      </c>
      <c r="D181" s="107" t="s">
        <v>135</v>
      </c>
      <c r="E181" s="106" t="s">
        <v>685</v>
      </c>
      <c r="F181" s="106" t="s">
        <v>970</v>
      </c>
      <c r="G181" s="117" t="s">
        <v>517</v>
      </c>
      <c r="H181" s="117" t="s">
        <v>517</v>
      </c>
      <c r="I181" s="117" t="s">
        <v>90</v>
      </c>
      <c r="J181" s="107" t="s">
        <v>85</v>
      </c>
      <c r="K181" s="106" t="s">
        <v>749</v>
      </c>
      <c r="L181" s="107" t="s">
        <v>714</v>
      </c>
      <c r="M181" s="108">
        <v>44075.0</v>
      </c>
      <c r="N181" s="106" t="s">
        <v>692</v>
      </c>
      <c r="O181" s="109" t="s">
        <v>690</v>
      </c>
      <c r="P181" s="107" t="s">
        <v>782</v>
      </c>
      <c r="Q181" s="107" t="s">
        <v>782</v>
      </c>
      <c r="R181" s="110"/>
      <c r="S181" s="110"/>
      <c r="T181" s="110"/>
      <c r="U181" s="110"/>
      <c r="V181" s="110"/>
      <c r="W181" s="110"/>
      <c r="X181" s="110"/>
      <c r="Y181" s="110"/>
      <c r="Z181" s="110"/>
    </row>
    <row r="182" ht="15.75" customHeight="1">
      <c r="A182" s="105" t="s">
        <v>581</v>
      </c>
      <c r="B182" s="154" t="s">
        <v>46</v>
      </c>
      <c r="C182" s="106" t="s">
        <v>971</v>
      </c>
      <c r="D182" s="107" t="s">
        <v>135</v>
      </c>
      <c r="E182" s="106" t="s">
        <v>720</v>
      </c>
      <c r="F182" s="126" t="b">
        <v>1</v>
      </c>
      <c r="G182" s="117" t="s">
        <v>517</v>
      </c>
      <c r="H182" s="117" t="s">
        <v>517</v>
      </c>
      <c r="I182" s="117" t="s">
        <v>90</v>
      </c>
      <c r="J182" s="107" t="s">
        <v>85</v>
      </c>
      <c r="K182" s="106" t="s">
        <v>749</v>
      </c>
      <c r="L182" s="107" t="s">
        <v>714</v>
      </c>
      <c r="M182" s="108">
        <v>44075.0</v>
      </c>
      <c r="N182" s="106" t="s">
        <v>692</v>
      </c>
      <c r="O182" s="109" t="s">
        <v>690</v>
      </c>
      <c r="P182" s="107" t="s">
        <v>782</v>
      </c>
      <c r="Q182" s="107" t="s">
        <v>782</v>
      </c>
      <c r="R182" s="110"/>
      <c r="S182" s="110"/>
      <c r="T182" s="110"/>
      <c r="U182" s="110"/>
      <c r="V182" s="110"/>
      <c r="W182" s="110"/>
      <c r="X182" s="110"/>
      <c r="Y182" s="110"/>
      <c r="Z182" s="110"/>
    </row>
    <row r="183" ht="15.75" customHeight="1">
      <c r="A183" s="105" t="s">
        <v>583</v>
      </c>
      <c r="B183" s="154" t="s">
        <v>46</v>
      </c>
      <c r="C183" s="106" t="s">
        <v>972</v>
      </c>
      <c r="D183" s="107" t="s">
        <v>135</v>
      </c>
      <c r="E183" s="106" t="s">
        <v>685</v>
      </c>
      <c r="F183" s="106" t="s">
        <v>936</v>
      </c>
      <c r="G183" s="117" t="s">
        <v>517</v>
      </c>
      <c r="H183" s="117" t="s">
        <v>517</v>
      </c>
      <c r="I183" s="117" t="s">
        <v>90</v>
      </c>
      <c r="J183" s="107" t="s">
        <v>85</v>
      </c>
      <c r="K183" s="106" t="s">
        <v>749</v>
      </c>
      <c r="L183" s="107" t="s">
        <v>714</v>
      </c>
      <c r="M183" s="108">
        <v>44075.0</v>
      </c>
      <c r="N183" s="106" t="s">
        <v>692</v>
      </c>
      <c r="O183" s="109" t="s">
        <v>690</v>
      </c>
      <c r="P183" s="107" t="s">
        <v>782</v>
      </c>
      <c r="Q183" s="107" t="s">
        <v>782</v>
      </c>
      <c r="R183" s="110"/>
      <c r="S183" s="110"/>
      <c r="T183" s="110"/>
      <c r="U183" s="110"/>
      <c r="V183" s="110"/>
      <c r="W183" s="110"/>
      <c r="X183" s="110"/>
      <c r="Y183" s="110"/>
      <c r="Z183" s="110"/>
    </row>
    <row r="184" ht="15.75" customHeight="1">
      <c r="A184" s="105" t="s">
        <v>585</v>
      </c>
      <c r="B184" s="154" t="s">
        <v>46</v>
      </c>
      <c r="C184" s="106" t="s">
        <v>973</v>
      </c>
      <c r="D184" s="107" t="s">
        <v>135</v>
      </c>
      <c r="E184" s="106" t="s">
        <v>685</v>
      </c>
      <c r="F184" s="106" t="s">
        <v>974</v>
      </c>
      <c r="G184" s="117" t="s">
        <v>517</v>
      </c>
      <c r="H184" s="117" t="s">
        <v>517</v>
      </c>
      <c r="I184" s="117" t="s">
        <v>90</v>
      </c>
      <c r="J184" s="107" t="s">
        <v>85</v>
      </c>
      <c r="K184" s="106" t="s">
        <v>749</v>
      </c>
      <c r="L184" s="107" t="s">
        <v>714</v>
      </c>
      <c r="M184" s="108">
        <v>44075.0</v>
      </c>
      <c r="N184" s="106" t="s">
        <v>692</v>
      </c>
      <c r="O184" s="109" t="s">
        <v>690</v>
      </c>
      <c r="P184" s="107" t="s">
        <v>782</v>
      </c>
      <c r="Q184" s="107" t="s">
        <v>782</v>
      </c>
      <c r="R184" s="110"/>
      <c r="S184" s="110"/>
      <c r="T184" s="110"/>
      <c r="U184" s="110"/>
      <c r="V184" s="110"/>
      <c r="W184" s="110"/>
      <c r="X184" s="110"/>
      <c r="Y184" s="110"/>
      <c r="Z184" s="110"/>
    </row>
    <row r="185" ht="15.75" customHeight="1">
      <c r="A185" s="105" t="s">
        <v>588</v>
      </c>
      <c r="B185" s="154" t="s">
        <v>46</v>
      </c>
      <c r="C185" s="106" t="s">
        <v>975</v>
      </c>
      <c r="D185" s="107" t="s">
        <v>135</v>
      </c>
      <c r="E185" s="106" t="s">
        <v>720</v>
      </c>
      <c r="F185" s="126" t="b">
        <v>1</v>
      </c>
      <c r="G185" s="117" t="s">
        <v>517</v>
      </c>
      <c r="H185" s="117" t="s">
        <v>517</v>
      </c>
      <c r="I185" s="117" t="s">
        <v>90</v>
      </c>
      <c r="J185" s="107" t="s">
        <v>85</v>
      </c>
      <c r="K185" s="106" t="s">
        <v>749</v>
      </c>
      <c r="L185" s="107" t="s">
        <v>714</v>
      </c>
      <c r="M185" s="108">
        <v>44075.0</v>
      </c>
      <c r="N185" s="106" t="s">
        <v>692</v>
      </c>
      <c r="O185" s="109" t="s">
        <v>690</v>
      </c>
      <c r="P185" s="107" t="s">
        <v>782</v>
      </c>
      <c r="Q185" s="107" t="s">
        <v>782</v>
      </c>
      <c r="R185" s="110"/>
      <c r="S185" s="110"/>
      <c r="T185" s="110"/>
      <c r="U185" s="110"/>
      <c r="V185" s="110"/>
      <c r="W185" s="110"/>
      <c r="X185" s="110"/>
      <c r="Y185" s="110"/>
      <c r="Z185" s="110"/>
    </row>
    <row r="186" ht="15.75" customHeight="1">
      <c r="A186" s="105" t="s">
        <v>590</v>
      </c>
      <c r="B186" s="154" t="s">
        <v>46</v>
      </c>
      <c r="C186" s="106" t="s">
        <v>976</v>
      </c>
      <c r="D186" s="107" t="s">
        <v>135</v>
      </c>
      <c r="E186" s="106" t="s">
        <v>685</v>
      </c>
      <c r="F186" s="106" t="s">
        <v>977</v>
      </c>
      <c r="G186" s="117" t="s">
        <v>517</v>
      </c>
      <c r="H186" s="117" t="s">
        <v>517</v>
      </c>
      <c r="I186" s="117" t="s">
        <v>90</v>
      </c>
      <c r="J186" s="107" t="s">
        <v>85</v>
      </c>
      <c r="K186" s="106" t="s">
        <v>749</v>
      </c>
      <c r="L186" s="107" t="s">
        <v>714</v>
      </c>
      <c r="M186" s="108">
        <v>44075.0</v>
      </c>
      <c r="N186" s="106" t="s">
        <v>692</v>
      </c>
      <c r="O186" s="109" t="s">
        <v>690</v>
      </c>
      <c r="P186" s="107" t="s">
        <v>782</v>
      </c>
      <c r="Q186" s="107" t="s">
        <v>782</v>
      </c>
      <c r="R186" s="110"/>
      <c r="S186" s="110"/>
      <c r="T186" s="110"/>
      <c r="U186" s="110"/>
      <c r="V186" s="110"/>
      <c r="W186" s="110"/>
      <c r="X186" s="110"/>
      <c r="Y186" s="110"/>
      <c r="Z186" s="110"/>
    </row>
    <row r="187" ht="15.75" customHeight="1">
      <c r="A187" s="105" t="s">
        <v>592</v>
      </c>
      <c r="B187" s="154" t="s">
        <v>46</v>
      </c>
      <c r="C187" s="106" t="s">
        <v>978</v>
      </c>
      <c r="D187" s="107" t="s">
        <v>135</v>
      </c>
      <c r="E187" s="106" t="s">
        <v>685</v>
      </c>
      <c r="F187" s="106" t="s">
        <v>979</v>
      </c>
      <c r="G187" s="117" t="s">
        <v>517</v>
      </c>
      <c r="H187" s="117" t="s">
        <v>517</v>
      </c>
      <c r="I187" s="117" t="s">
        <v>90</v>
      </c>
      <c r="J187" s="107" t="s">
        <v>85</v>
      </c>
      <c r="K187" s="106" t="s">
        <v>749</v>
      </c>
      <c r="L187" s="107" t="s">
        <v>714</v>
      </c>
      <c r="M187" s="108">
        <v>44075.0</v>
      </c>
      <c r="N187" s="106" t="s">
        <v>692</v>
      </c>
      <c r="O187" s="109" t="s">
        <v>690</v>
      </c>
      <c r="P187" s="107" t="s">
        <v>782</v>
      </c>
      <c r="Q187" s="107" t="s">
        <v>782</v>
      </c>
      <c r="R187" s="110"/>
      <c r="S187" s="110"/>
      <c r="T187" s="110"/>
      <c r="U187" s="110"/>
      <c r="V187" s="110"/>
      <c r="W187" s="110"/>
      <c r="X187" s="110"/>
      <c r="Y187" s="110"/>
      <c r="Z187" s="110"/>
    </row>
    <row r="188" ht="15.75" customHeight="1">
      <c r="A188" s="105" t="s">
        <v>595</v>
      </c>
      <c r="B188" s="154" t="s">
        <v>46</v>
      </c>
      <c r="C188" s="106" t="s">
        <v>980</v>
      </c>
      <c r="D188" s="107" t="s">
        <v>135</v>
      </c>
      <c r="E188" s="106" t="s">
        <v>720</v>
      </c>
      <c r="F188" s="126" t="b">
        <v>1</v>
      </c>
      <c r="G188" s="117" t="s">
        <v>517</v>
      </c>
      <c r="H188" s="117" t="s">
        <v>517</v>
      </c>
      <c r="I188" s="117" t="s">
        <v>90</v>
      </c>
      <c r="J188" s="107" t="s">
        <v>85</v>
      </c>
      <c r="K188" s="106" t="s">
        <v>749</v>
      </c>
      <c r="L188" s="107" t="s">
        <v>714</v>
      </c>
      <c r="M188" s="108">
        <v>44075.0</v>
      </c>
      <c r="N188" s="106" t="s">
        <v>692</v>
      </c>
      <c r="O188" s="109" t="s">
        <v>690</v>
      </c>
      <c r="P188" s="107" t="s">
        <v>782</v>
      </c>
      <c r="Q188" s="107" t="s">
        <v>782</v>
      </c>
      <c r="R188" s="110"/>
      <c r="S188" s="110"/>
      <c r="T188" s="110"/>
      <c r="U188" s="110"/>
      <c r="V188" s="110"/>
      <c r="W188" s="110"/>
      <c r="X188" s="110"/>
      <c r="Y188" s="110"/>
      <c r="Z188" s="110"/>
    </row>
    <row r="189" ht="15.75" customHeight="1">
      <c r="A189" s="105" t="s">
        <v>597</v>
      </c>
      <c r="B189" s="154" t="s">
        <v>46</v>
      </c>
      <c r="C189" s="106" t="s">
        <v>981</v>
      </c>
      <c r="D189" s="107" t="s">
        <v>135</v>
      </c>
      <c r="E189" s="106" t="s">
        <v>685</v>
      </c>
      <c r="F189" s="106" t="s">
        <v>982</v>
      </c>
      <c r="G189" s="117" t="s">
        <v>517</v>
      </c>
      <c r="H189" s="117" t="s">
        <v>517</v>
      </c>
      <c r="I189" s="117" t="s">
        <v>90</v>
      </c>
      <c r="J189" s="107" t="s">
        <v>85</v>
      </c>
      <c r="K189" s="106" t="s">
        <v>749</v>
      </c>
      <c r="L189" s="107" t="s">
        <v>714</v>
      </c>
      <c r="M189" s="108">
        <v>44075.0</v>
      </c>
      <c r="N189" s="106" t="s">
        <v>692</v>
      </c>
      <c r="O189" s="109" t="s">
        <v>690</v>
      </c>
      <c r="P189" s="107" t="s">
        <v>782</v>
      </c>
      <c r="Q189" s="107" t="s">
        <v>782</v>
      </c>
      <c r="R189" s="110"/>
      <c r="S189" s="110"/>
      <c r="T189" s="110"/>
      <c r="U189" s="110"/>
      <c r="V189" s="110"/>
      <c r="W189" s="110"/>
      <c r="X189" s="110"/>
      <c r="Y189" s="110"/>
      <c r="Z189" s="110"/>
    </row>
    <row r="190" ht="15.75" customHeight="1">
      <c r="A190" s="105" t="s">
        <v>599</v>
      </c>
      <c r="B190" s="154" t="s">
        <v>46</v>
      </c>
      <c r="C190" s="106" t="s">
        <v>983</v>
      </c>
      <c r="D190" s="107" t="s">
        <v>135</v>
      </c>
      <c r="E190" s="106" t="s">
        <v>685</v>
      </c>
      <c r="F190" s="106" t="s">
        <v>984</v>
      </c>
      <c r="G190" s="117" t="s">
        <v>517</v>
      </c>
      <c r="H190" s="117" t="s">
        <v>517</v>
      </c>
      <c r="I190" s="117" t="s">
        <v>90</v>
      </c>
      <c r="J190" s="107" t="s">
        <v>85</v>
      </c>
      <c r="K190" s="106" t="s">
        <v>749</v>
      </c>
      <c r="L190" s="107" t="s">
        <v>714</v>
      </c>
      <c r="M190" s="108">
        <v>44075.0</v>
      </c>
      <c r="N190" s="106" t="s">
        <v>692</v>
      </c>
      <c r="O190" s="109" t="s">
        <v>690</v>
      </c>
      <c r="P190" s="107" t="s">
        <v>782</v>
      </c>
      <c r="Q190" s="107" t="s">
        <v>782</v>
      </c>
      <c r="R190" s="110"/>
      <c r="S190" s="110"/>
      <c r="T190" s="110"/>
      <c r="U190" s="110"/>
      <c r="V190" s="110"/>
      <c r="W190" s="110"/>
      <c r="X190" s="110"/>
      <c r="Y190" s="110"/>
      <c r="Z190" s="110"/>
    </row>
    <row r="191" ht="15.75" customHeight="1">
      <c r="A191" s="105" t="s">
        <v>602</v>
      </c>
      <c r="B191" s="154" t="s">
        <v>46</v>
      </c>
      <c r="C191" s="106" t="s">
        <v>985</v>
      </c>
      <c r="D191" s="107" t="s">
        <v>135</v>
      </c>
      <c r="E191" s="106" t="s">
        <v>720</v>
      </c>
      <c r="F191" s="126" t="b">
        <v>1</v>
      </c>
      <c r="G191" s="117" t="s">
        <v>517</v>
      </c>
      <c r="H191" s="117" t="s">
        <v>517</v>
      </c>
      <c r="I191" s="117" t="s">
        <v>90</v>
      </c>
      <c r="J191" s="107" t="s">
        <v>85</v>
      </c>
      <c r="K191" s="106" t="s">
        <v>749</v>
      </c>
      <c r="L191" s="107" t="s">
        <v>714</v>
      </c>
      <c r="M191" s="108">
        <v>44075.0</v>
      </c>
      <c r="N191" s="106" t="s">
        <v>692</v>
      </c>
      <c r="O191" s="109" t="s">
        <v>690</v>
      </c>
      <c r="P191" s="107" t="s">
        <v>782</v>
      </c>
      <c r="Q191" s="107" t="s">
        <v>782</v>
      </c>
      <c r="R191" s="110"/>
      <c r="S191" s="110"/>
      <c r="T191" s="110"/>
      <c r="U191" s="110"/>
      <c r="V191" s="110"/>
      <c r="W191" s="110"/>
      <c r="X191" s="110"/>
      <c r="Y191" s="110"/>
      <c r="Z191" s="110"/>
    </row>
    <row r="192" ht="15.75" customHeight="1">
      <c r="A192" s="105" t="s">
        <v>604</v>
      </c>
      <c r="B192" s="154" t="s">
        <v>46</v>
      </c>
      <c r="C192" s="106" t="s">
        <v>986</v>
      </c>
      <c r="D192" s="107" t="s">
        <v>135</v>
      </c>
      <c r="E192" s="106" t="s">
        <v>685</v>
      </c>
      <c r="F192" s="106" t="s">
        <v>936</v>
      </c>
      <c r="G192" s="117" t="s">
        <v>517</v>
      </c>
      <c r="H192" s="117" t="s">
        <v>517</v>
      </c>
      <c r="I192" s="117" t="s">
        <v>90</v>
      </c>
      <c r="J192" s="107" t="s">
        <v>85</v>
      </c>
      <c r="K192" s="106" t="s">
        <v>749</v>
      </c>
      <c r="L192" s="107" t="s">
        <v>714</v>
      </c>
      <c r="M192" s="108">
        <v>44075.0</v>
      </c>
      <c r="N192" s="106" t="s">
        <v>692</v>
      </c>
      <c r="O192" s="109" t="s">
        <v>690</v>
      </c>
      <c r="P192" s="107" t="s">
        <v>782</v>
      </c>
      <c r="Q192" s="107" t="s">
        <v>782</v>
      </c>
      <c r="R192" s="110"/>
      <c r="S192" s="110"/>
      <c r="T192" s="110"/>
      <c r="U192" s="110"/>
      <c r="V192" s="110"/>
      <c r="W192" s="110"/>
      <c r="X192" s="110"/>
      <c r="Y192" s="110"/>
      <c r="Z192" s="110"/>
    </row>
    <row r="193" ht="15.75" customHeight="1">
      <c r="A193" s="105" t="s">
        <v>606</v>
      </c>
      <c r="B193" s="154" t="s">
        <v>46</v>
      </c>
      <c r="C193" s="106" t="s">
        <v>987</v>
      </c>
      <c r="D193" s="107" t="s">
        <v>135</v>
      </c>
      <c r="E193" s="106" t="s">
        <v>685</v>
      </c>
      <c r="F193" s="106" t="s">
        <v>988</v>
      </c>
      <c r="G193" s="124" t="s">
        <v>517</v>
      </c>
      <c r="H193" s="124" t="s">
        <v>517</v>
      </c>
      <c r="I193" s="117" t="s">
        <v>90</v>
      </c>
      <c r="J193" s="112" t="s">
        <v>85</v>
      </c>
      <c r="K193" s="106" t="s">
        <v>749</v>
      </c>
      <c r="L193" s="107" t="s">
        <v>714</v>
      </c>
      <c r="M193" s="108">
        <v>44075.0</v>
      </c>
      <c r="N193" s="106" t="s">
        <v>692</v>
      </c>
      <c r="O193" s="109" t="s">
        <v>690</v>
      </c>
      <c r="P193" s="107" t="s">
        <v>782</v>
      </c>
      <c r="Q193" s="107" t="s">
        <v>782</v>
      </c>
      <c r="R193" s="110"/>
      <c r="S193" s="110"/>
      <c r="T193" s="110"/>
      <c r="U193" s="110"/>
      <c r="V193" s="110"/>
      <c r="W193" s="110"/>
      <c r="X193" s="110"/>
      <c r="Y193" s="110"/>
      <c r="Z193" s="110"/>
    </row>
    <row r="194" ht="15.75" customHeight="1">
      <c r="A194" s="105" t="s">
        <v>609</v>
      </c>
      <c r="B194" s="154" t="s">
        <v>46</v>
      </c>
      <c r="C194" s="106" t="s">
        <v>989</v>
      </c>
      <c r="D194" s="107" t="s">
        <v>135</v>
      </c>
      <c r="E194" s="106" t="s">
        <v>720</v>
      </c>
      <c r="F194" s="126" t="b">
        <v>1</v>
      </c>
      <c r="G194" s="117" t="s">
        <v>517</v>
      </c>
      <c r="H194" s="117" t="s">
        <v>517</v>
      </c>
      <c r="I194" s="117" t="s">
        <v>90</v>
      </c>
      <c r="J194" s="107" t="s">
        <v>85</v>
      </c>
      <c r="K194" s="106" t="s">
        <v>749</v>
      </c>
      <c r="L194" s="107" t="s">
        <v>714</v>
      </c>
      <c r="M194" s="108">
        <v>44075.0</v>
      </c>
      <c r="N194" s="106" t="s">
        <v>692</v>
      </c>
      <c r="O194" s="109" t="s">
        <v>690</v>
      </c>
      <c r="P194" s="107" t="s">
        <v>782</v>
      </c>
      <c r="Q194" s="107" t="s">
        <v>782</v>
      </c>
      <c r="R194" s="110"/>
      <c r="S194" s="110"/>
      <c r="T194" s="110"/>
      <c r="U194" s="110"/>
      <c r="V194" s="110"/>
      <c r="W194" s="110"/>
      <c r="X194" s="110"/>
      <c r="Y194" s="110"/>
      <c r="Z194" s="110"/>
    </row>
    <row r="195" ht="15.75" customHeight="1">
      <c r="A195" s="105" t="s">
        <v>611</v>
      </c>
      <c r="B195" s="154" t="s">
        <v>46</v>
      </c>
      <c r="C195" s="106" t="s">
        <v>990</v>
      </c>
      <c r="D195" s="107" t="s">
        <v>135</v>
      </c>
      <c r="E195" s="106" t="s">
        <v>685</v>
      </c>
      <c r="F195" s="106" t="s">
        <v>982</v>
      </c>
      <c r="G195" s="117" t="s">
        <v>517</v>
      </c>
      <c r="H195" s="117" t="s">
        <v>517</v>
      </c>
      <c r="I195" s="117" t="s">
        <v>90</v>
      </c>
      <c r="J195" s="107" t="s">
        <v>85</v>
      </c>
      <c r="K195" s="106" t="s">
        <v>749</v>
      </c>
      <c r="L195" s="107" t="s">
        <v>714</v>
      </c>
      <c r="M195" s="108">
        <v>44075.0</v>
      </c>
      <c r="N195" s="106" t="s">
        <v>692</v>
      </c>
      <c r="O195" s="109" t="s">
        <v>690</v>
      </c>
      <c r="P195" s="107" t="s">
        <v>782</v>
      </c>
      <c r="Q195" s="107" t="s">
        <v>782</v>
      </c>
      <c r="R195" s="110"/>
      <c r="S195" s="110"/>
      <c r="T195" s="110"/>
      <c r="U195" s="110"/>
      <c r="V195" s="110"/>
      <c r="W195" s="110"/>
      <c r="X195" s="110"/>
      <c r="Y195" s="110"/>
      <c r="Z195" s="110"/>
    </row>
    <row r="196" ht="15.75" customHeight="1">
      <c r="A196" s="105" t="s">
        <v>613</v>
      </c>
      <c r="B196" s="154" t="s">
        <v>46</v>
      </c>
      <c r="C196" s="106" t="s">
        <v>991</v>
      </c>
      <c r="D196" s="107" t="s">
        <v>135</v>
      </c>
      <c r="E196" s="106" t="s">
        <v>685</v>
      </c>
      <c r="F196" s="106" t="s">
        <v>992</v>
      </c>
      <c r="G196" s="117" t="s">
        <v>517</v>
      </c>
      <c r="H196" s="117" t="s">
        <v>517</v>
      </c>
      <c r="I196" s="117" t="s">
        <v>90</v>
      </c>
      <c r="J196" s="107" t="s">
        <v>85</v>
      </c>
      <c r="K196" s="106" t="s">
        <v>749</v>
      </c>
      <c r="L196" s="107" t="s">
        <v>714</v>
      </c>
      <c r="M196" s="108">
        <v>44075.0</v>
      </c>
      <c r="N196" s="106" t="s">
        <v>692</v>
      </c>
      <c r="O196" s="109" t="s">
        <v>690</v>
      </c>
      <c r="P196" s="107" t="s">
        <v>782</v>
      </c>
      <c r="Q196" s="107" t="s">
        <v>782</v>
      </c>
      <c r="R196" s="110"/>
      <c r="S196" s="110"/>
      <c r="T196" s="110"/>
      <c r="U196" s="110"/>
      <c r="V196" s="110"/>
      <c r="W196" s="110"/>
      <c r="X196" s="110"/>
      <c r="Y196" s="110"/>
      <c r="Z196" s="110"/>
    </row>
    <row r="197" ht="15.75" customHeight="1">
      <c r="A197" s="129" t="s">
        <v>1332</v>
      </c>
      <c r="B197" s="154" t="s">
        <v>46</v>
      </c>
      <c r="C197" s="106" t="s">
        <v>993</v>
      </c>
      <c r="D197" s="107" t="s">
        <v>135</v>
      </c>
      <c r="E197" s="106" t="s">
        <v>720</v>
      </c>
      <c r="F197" s="126" t="b">
        <v>1</v>
      </c>
      <c r="G197" s="117" t="s">
        <v>517</v>
      </c>
      <c r="H197" s="117" t="s">
        <v>517</v>
      </c>
      <c r="I197" s="117" t="s">
        <v>90</v>
      </c>
      <c r="J197" s="107" t="s">
        <v>85</v>
      </c>
      <c r="K197" s="106" t="s">
        <v>749</v>
      </c>
      <c r="L197" s="107" t="s">
        <v>714</v>
      </c>
      <c r="M197" s="108">
        <v>44075.0</v>
      </c>
      <c r="N197" s="106" t="s">
        <v>692</v>
      </c>
      <c r="O197" s="109" t="s">
        <v>690</v>
      </c>
      <c r="P197" s="107" t="s">
        <v>782</v>
      </c>
      <c r="Q197" s="107" t="s">
        <v>782</v>
      </c>
      <c r="R197" s="110"/>
      <c r="S197" s="110"/>
      <c r="T197" s="110"/>
      <c r="U197" s="110"/>
      <c r="V197" s="110"/>
      <c r="W197" s="110"/>
      <c r="X197" s="110"/>
      <c r="Y197" s="110"/>
      <c r="Z197" s="110"/>
    </row>
    <row r="198" ht="15.75" customHeight="1">
      <c r="A198" s="105" t="s">
        <v>1333</v>
      </c>
      <c r="B198" s="154" t="s">
        <v>46</v>
      </c>
      <c r="C198" s="106" t="s">
        <v>994</v>
      </c>
      <c r="D198" s="107" t="s">
        <v>135</v>
      </c>
      <c r="E198" s="106" t="s">
        <v>685</v>
      </c>
      <c r="F198" s="106" t="s">
        <v>977</v>
      </c>
      <c r="G198" s="117" t="s">
        <v>517</v>
      </c>
      <c r="H198" s="117" t="s">
        <v>517</v>
      </c>
      <c r="I198" s="117" t="s">
        <v>90</v>
      </c>
      <c r="J198" s="107" t="s">
        <v>85</v>
      </c>
      <c r="K198" s="106" t="s">
        <v>749</v>
      </c>
      <c r="L198" s="107" t="s">
        <v>714</v>
      </c>
      <c r="M198" s="108">
        <v>44075.0</v>
      </c>
      <c r="N198" s="106" t="s">
        <v>692</v>
      </c>
      <c r="O198" s="109" t="s">
        <v>690</v>
      </c>
      <c r="P198" s="107" t="s">
        <v>782</v>
      </c>
      <c r="Q198" s="107" t="s">
        <v>782</v>
      </c>
      <c r="R198" s="110"/>
      <c r="S198" s="110"/>
      <c r="T198" s="110"/>
      <c r="U198" s="110"/>
      <c r="V198" s="110"/>
      <c r="W198" s="110"/>
      <c r="X198" s="110"/>
      <c r="Y198" s="110"/>
      <c r="Z198" s="110"/>
    </row>
    <row r="199" ht="15.75" customHeight="1">
      <c r="A199" s="105" t="s">
        <v>1334</v>
      </c>
      <c r="B199" s="154" t="s">
        <v>46</v>
      </c>
      <c r="C199" s="106" t="s">
        <v>995</v>
      </c>
      <c r="D199" s="107" t="s">
        <v>135</v>
      </c>
      <c r="E199" s="106" t="s">
        <v>685</v>
      </c>
      <c r="F199" s="106" t="s">
        <v>996</v>
      </c>
      <c r="G199" s="117" t="s">
        <v>517</v>
      </c>
      <c r="H199" s="117" t="s">
        <v>517</v>
      </c>
      <c r="I199" s="117" t="s">
        <v>90</v>
      </c>
      <c r="J199" s="107" t="s">
        <v>85</v>
      </c>
      <c r="K199" s="106" t="s">
        <v>749</v>
      </c>
      <c r="L199" s="107" t="s">
        <v>714</v>
      </c>
      <c r="M199" s="108">
        <v>44075.0</v>
      </c>
      <c r="N199" s="106" t="s">
        <v>692</v>
      </c>
      <c r="O199" s="109" t="s">
        <v>690</v>
      </c>
      <c r="P199" s="107" t="s">
        <v>782</v>
      </c>
      <c r="Q199" s="107" t="s">
        <v>782</v>
      </c>
      <c r="R199" s="110"/>
      <c r="S199" s="110"/>
      <c r="T199" s="110"/>
      <c r="U199" s="110"/>
      <c r="V199" s="110"/>
      <c r="W199" s="110"/>
      <c r="X199" s="110"/>
      <c r="Y199" s="110"/>
      <c r="Z199" s="110"/>
    </row>
    <row r="200" ht="15.75" customHeight="1">
      <c r="A200" s="105" t="s">
        <v>630</v>
      </c>
      <c r="B200" s="154" t="s">
        <v>46</v>
      </c>
      <c r="C200" s="106" t="s">
        <v>997</v>
      </c>
      <c r="D200" s="107" t="s">
        <v>135</v>
      </c>
      <c r="E200" s="106" t="s">
        <v>720</v>
      </c>
      <c r="F200" s="126" t="b">
        <v>1</v>
      </c>
      <c r="G200" s="117" t="s">
        <v>517</v>
      </c>
      <c r="H200" s="117" t="s">
        <v>517</v>
      </c>
      <c r="I200" s="117" t="s">
        <v>90</v>
      </c>
      <c r="J200" s="107" t="s">
        <v>85</v>
      </c>
      <c r="K200" s="106" t="s">
        <v>749</v>
      </c>
      <c r="L200" s="107" t="s">
        <v>714</v>
      </c>
      <c r="M200" s="108">
        <v>44075.0</v>
      </c>
      <c r="N200" s="106" t="s">
        <v>692</v>
      </c>
      <c r="O200" s="109" t="s">
        <v>690</v>
      </c>
      <c r="P200" s="107" t="s">
        <v>782</v>
      </c>
      <c r="Q200" s="107" t="s">
        <v>782</v>
      </c>
      <c r="R200" s="110"/>
      <c r="S200" s="110"/>
      <c r="T200" s="110"/>
      <c r="U200" s="110"/>
      <c r="V200" s="110"/>
      <c r="W200" s="110"/>
      <c r="X200" s="110"/>
      <c r="Y200" s="110"/>
      <c r="Z200" s="110"/>
    </row>
    <row r="201" ht="15.75" customHeight="1">
      <c r="A201" s="105" t="s">
        <v>632</v>
      </c>
      <c r="B201" s="154" t="s">
        <v>46</v>
      </c>
      <c r="C201" s="106" t="s">
        <v>998</v>
      </c>
      <c r="D201" s="107" t="s">
        <v>135</v>
      </c>
      <c r="E201" s="106" t="s">
        <v>685</v>
      </c>
      <c r="F201" s="106" t="s">
        <v>982</v>
      </c>
      <c r="G201" s="117" t="s">
        <v>517</v>
      </c>
      <c r="H201" s="117" t="s">
        <v>517</v>
      </c>
      <c r="I201" s="117" t="s">
        <v>90</v>
      </c>
      <c r="J201" s="107" t="s">
        <v>85</v>
      </c>
      <c r="K201" s="106" t="s">
        <v>749</v>
      </c>
      <c r="L201" s="107" t="s">
        <v>714</v>
      </c>
      <c r="M201" s="108">
        <v>44075.0</v>
      </c>
      <c r="N201" s="106" t="s">
        <v>692</v>
      </c>
      <c r="O201" s="109" t="s">
        <v>690</v>
      </c>
      <c r="P201" s="107" t="s">
        <v>782</v>
      </c>
      <c r="Q201" s="107" t="s">
        <v>782</v>
      </c>
      <c r="R201" s="110"/>
      <c r="S201" s="110"/>
      <c r="T201" s="110"/>
      <c r="U201" s="110"/>
      <c r="V201" s="110"/>
      <c r="W201" s="110"/>
      <c r="X201" s="110"/>
      <c r="Y201" s="110"/>
      <c r="Z201" s="110"/>
    </row>
    <row r="202" ht="15.75" customHeight="1">
      <c r="A202" s="105" t="s">
        <v>634</v>
      </c>
      <c r="B202" s="154" t="s">
        <v>46</v>
      </c>
      <c r="C202" s="106" t="s">
        <v>999</v>
      </c>
      <c r="D202" s="107" t="s">
        <v>135</v>
      </c>
      <c r="E202" s="106" t="s">
        <v>685</v>
      </c>
      <c r="F202" s="106" t="s">
        <v>1000</v>
      </c>
      <c r="G202" s="117" t="s">
        <v>517</v>
      </c>
      <c r="H202" s="117" t="s">
        <v>517</v>
      </c>
      <c r="I202" s="117" t="s">
        <v>90</v>
      </c>
      <c r="J202" s="107" t="s">
        <v>85</v>
      </c>
      <c r="K202" s="106" t="s">
        <v>749</v>
      </c>
      <c r="L202" s="107" t="s">
        <v>714</v>
      </c>
      <c r="M202" s="108">
        <v>44075.0</v>
      </c>
      <c r="N202" s="106" t="s">
        <v>692</v>
      </c>
      <c r="O202" s="109" t="s">
        <v>690</v>
      </c>
      <c r="P202" s="107" t="s">
        <v>782</v>
      </c>
      <c r="Q202" s="107" t="s">
        <v>782</v>
      </c>
      <c r="R202" s="110"/>
      <c r="S202" s="110"/>
      <c r="T202" s="110"/>
      <c r="U202" s="110"/>
      <c r="V202" s="110"/>
      <c r="W202" s="110"/>
      <c r="X202" s="110"/>
      <c r="Y202" s="110"/>
      <c r="Z202" s="110"/>
    </row>
    <row r="203" ht="15.75" customHeight="1">
      <c r="A203" s="105" t="s">
        <v>637</v>
      </c>
      <c r="B203" s="154" t="s">
        <v>46</v>
      </c>
      <c r="C203" s="106" t="s">
        <v>1001</v>
      </c>
      <c r="D203" s="107" t="s">
        <v>135</v>
      </c>
      <c r="E203" s="106" t="s">
        <v>720</v>
      </c>
      <c r="F203" s="126" t="b">
        <v>1</v>
      </c>
      <c r="G203" s="117" t="s">
        <v>517</v>
      </c>
      <c r="H203" s="117" t="s">
        <v>517</v>
      </c>
      <c r="I203" s="117" t="s">
        <v>90</v>
      </c>
      <c r="J203" s="107" t="s">
        <v>85</v>
      </c>
      <c r="K203" s="106" t="s">
        <v>749</v>
      </c>
      <c r="L203" s="107" t="s">
        <v>714</v>
      </c>
      <c r="M203" s="108">
        <v>44075.0</v>
      </c>
      <c r="N203" s="106" t="s">
        <v>692</v>
      </c>
      <c r="O203" s="109" t="s">
        <v>690</v>
      </c>
      <c r="P203" s="107" t="s">
        <v>782</v>
      </c>
      <c r="Q203" s="107" t="s">
        <v>782</v>
      </c>
      <c r="R203" s="110"/>
      <c r="S203" s="110"/>
      <c r="T203" s="110"/>
      <c r="U203" s="110"/>
      <c r="V203" s="110"/>
      <c r="W203" s="110"/>
      <c r="X203" s="110"/>
      <c r="Y203" s="110"/>
      <c r="Z203" s="110"/>
    </row>
    <row r="204" ht="15.75" customHeight="1">
      <c r="A204" s="105" t="s">
        <v>639</v>
      </c>
      <c r="B204" s="154" t="s">
        <v>46</v>
      </c>
      <c r="C204" s="106" t="s">
        <v>1002</v>
      </c>
      <c r="D204" s="107" t="s">
        <v>135</v>
      </c>
      <c r="E204" s="106" t="s">
        <v>685</v>
      </c>
      <c r="F204" s="106" t="s">
        <v>977</v>
      </c>
      <c r="G204" s="117" t="s">
        <v>517</v>
      </c>
      <c r="H204" s="117" t="s">
        <v>517</v>
      </c>
      <c r="I204" s="117" t="s">
        <v>90</v>
      </c>
      <c r="J204" s="107" t="s">
        <v>85</v>
      </c>
      <c r="K204" s="106" t="s">
        <v>749</v>
      </c>
      <c r="L204" s="107" t="s">
        <v>714</v>
      </c>
      <c r="M204" s="108">
        <v>44075.0</v>
      </c>
      <c r="N204" s="106" t="s">
        <v>692</v>
      </c>
      <c r="O204" s="109" t="s">
        <v>690</v>
      </c>
      <c r="P204" s="107" t="s">
        <v>782</v>
      </c>
      <c r="Q204" s="107" t="s">
        <v>782</v>
      </c>
      <c r="R204" s="110"/>
      <c r="S204" s="110"/>
      <c r="T204" s="110"/>
      <c r="U204" s="110"/>
      <c r="V204" s="110"/>
      <c r="W204" s="110"/>
      <c r="X204" s="110"/>
      <c r="Y204" s="110"/>
      <c r="Z204" s="110"/>
    </row>
    <row r="205" ht="15.75" customHeight="1">
      <c r="A205" s="105" t="s">
        <v>641</v>
      </c>
      <c r="B205" s="154" t="s">
        <v>46</v>
      </c>
      <c r="C205" s="106" t="s">
        <v>1003</v>
      </c>
      <c r="D205" s="107" t="s">
        <v>135</v>
      </c>
      <c r="E205" s="106" t="s">
        <v>685</v>
      </c>
      <c r="F205" s="106" t="s">
        <v>1000</v>
      </c>
      <c r="G205" s="117" t="s">
        <v>517</v>
      </c>
      <c r="H205" s="117" t="s">
        <v>517</v>
      </c>
      <c r="I205" s="117" t="s">
        <v>90</v>
      </c>
      <c r="J205" s="107" t="s">
        <v>85</v>
      </c>
      <c r="K205" s="106" t="s">
        <v>749</v>
      </c>
      <c r="L205" s="107" t="s">
        <v>714</v>
      </c>
      <c r="M205" s="108">
        <v>44075.0</v>
      </c>
      <c r="N205" s="106" t="s">
        <v>692</v>
      </c>
      <c r="O205" s="109" t="s">
        <v>690</v>
      </c>
      <c r="P205" s="107" t="s">
        <v>782</v>
      </c>
      <c r="Q205" s="107" t="s">
        <v>782</v>
      </c>
      <c r="R205" s="110"/>
      <c r="S205" s="110"/>
      <c r="T205" s="110"/>
      <c r="U205" s="110"/>
      <c r="V205" s="110"/>
      <c r="W205" s="110"/>
      <c r="X205" s="110"/>
      <c r="Y205" s="110"/>
      <c r="Z205" s="110"/>
    </row>
    <row r="206" ht="15.75" customHeight="1">
      <c r="A206" s="105" t="s">
        <v>644</v>
      </c>
      <c r="B206" s="154" t="s">
        <v>46</v>
      </c>
      <c r="C206" s="106" t="s">
        <v>1004</v>
      </c>
      <c r="D206" s="107" t="s">
        <v>135</v>
      </c>
      <c r="E206" s="106" t="s">
        <v>720</v>
      </c>
      <c r="F206" s="126" t="b">
        <v>1</v>
      </c>
      <c r="G206" s="117" t="s">
        <v>517</v>
      </c>
      <c r="H206" s="117" t="s">
        <v>517</v>
      </c>
      <c r="I206" s="117" t="s">
        <v>90</v>
      </c>
      <c r="J206" s="107" t="s">
        <v>85</v>
      </c>
      <c r="K206" s="106" t="s">
        <v>749</v>
      </c>
      <c r="L206" s="107" t="s">
        <v>714</v>
      </c>
      <c r="M206" s="108">
        <v>44075.0</v>
      </c>
      <c r="N206" s="106" t="s">
        <v>692</v>
      </c>
      <c r="O206" s="109" t="s">
        <v>690</v>
      </c>
      <c r="P206" s="107" t="s">
        <v>782</v>
      </c>
      <c r="Q206" s="107" t="s">
        <v>782</v>
      </c>
      <c r="R206" s="110"/>
      <c r="S206" s="110"/>
      <c r="T206" s="110"/>
      <c r="U206" s="110"/>
      <c r="V206" s="110"/>
      <c r="W206" s="110"/>
      <c r="X206" s="110"/>
      <c r="Y206" s="110"/>
      <c r="Z206" s="110"/>
    </row>
    <row r="207" ht="15.75" customHeight="1">
      <c r="A207" s="105" t="s">
        <v>646</v>
      </c>
      <c r="B207" s="154" t="s">
        <v>46</v>
      </c>
      <c r="C207" s="106" t="s">
        <v>1005</v>
      </c>
      <c r="D207" s="107" t="s">
        <v>135</v>
      </c>
      <c r="E207" s="106" t="s">
        <v>685</v>
      </c>
      <c r="F207" s="106" t="s">
        <v>936</v>
      </c>
      <c r="G207" s="117" t="s">
        <v>517</v>
      </c>
      <c r="H207" s="117" t="s">
        <v>517</v>
      </c>
      <c r="I207" s="117" t="s">
        <v>90</v>
      </c>
      <c r="J207" s="107" t="s">
        <v>85</v>
      </c>
      <c r="K207" s="106" t="s">
        <v>749</v>
      </c>
      <c r="L207" s="107" t="s">
        <v>714</v>
      </c>
      <c r="M207" s="108">
        <v>44075.0</v>
      </c>
      <c r="N207" s="106" t="s">
        <v>692</v>
      </c>
      <c r="O207" s="109" t="s">
        <v>690</v>
      </c>
      <c r="P207" s="107" t="s">
        <v>782</v>
      </c>
      <c r="Q207" s="107" t="s">
        <v>782</v>
      </c>
      <c r="R207" s="110"/>
      <c r="S207" s="110"/>
      <c r="T207" s="110"/>
      <c r="U207" s="110"/>
      <c r="V207" s="110"/>
      <c r="W207" s="110"/>
      <c r="X207" s="110"/>
      <c r="Y207" s="110"/>
      <c r="Z207" s="110"/>
    </row>
    <row r="208" ht="15.75" customHeight="1">
      <c r="A208" s="105" t="s">
        <v>648</v>
      </c>
      <c r="B208" s="154" t="s">
        <v>46</v>
      </c>
      <c r="C208" s="106" t="s">
        <v>1006</v>
      </c>
      <c r="D208" s="107" t="s">
        <v>135</v>
      </c>
      <c r="E208" s="106" t="s">
        <v>685</v>
      </c>
      <c r="F208" s="106" t="s">
        <v>1007</v>
      </c>
      <c r="G208" s="117" t="s">
        <v>517</v>
      </c>
      <c r="H208" s="117" t="s">
        <v>517</v>
      </c>
      <c r="I208" s="117" t="s">
        <v>90</v>
      </c>
      <c r="J208" s="107" t="s">
        <v>85</v>
      </c>
      <c r="K208" s="106" t="s">
        <v>749</v>
      </c>
      <c r="L208" s="107" t="s">
        <v>714</v>
      </c>
      <c r="M208" s="108">
        <v>44075.0</v>
      </c>
      <c r="N208" s="106" t="s">
        <v>692</v>
      </c>
      <c r="O208" s="109" t="s">
        <v>690</v>
      </c>
      <c r="P208" s="107" t="s">
        <v>782</v>
      </c>
      <c r="Q208" s="107" t="s">
        <v>782</v>
      </c>
      <c r="R208" s="110"/>
      <c r="S208" s="110"/>
      <c r="T208" s="110"/>
      <c r="U208" s="110"/>
      <c r="V208" s="110"/>
      <c r="W208" s="110"/>
      <c r="X208" s="110"/>
      <c r="Y208" s="110"/>
      <c r="Z208" s="110"/>
    </row>
    <row r="209" ht="15.75" customHeight="1">
      <c r="A209" s="105" t="s">
        <v>651</v>
      </c>
      <c r="B209" s="154" t="s">
        <v>46</v>
      </c>
      <c r="C209" s="106" t="s">
        <v>1008</v>
      </c>
      <c r="D209" s="107" t="s">
        <v>135</v>
      </c>
      <c r="E209" s="106" t="s">
        <v>720</v>
      </c>
      <c r="F209" s="126" t="b">
        <v>1</v>
      </c>
      <c r="G209" s="117" t="s">
        <v>517</v>
      </c>
      <c r="H209" s="117" t="s">
        <v>517</v>
      </c>
      <c r="I209" s="117" t="s">
        <v>90</v>
      </c>
      <c r="J209" s="107" t="s">
        <v>85</v>
      </c>
      <c r="K209" s="106" t="s">
        <v>749</v>
      </c>
      <c r="L209" s="107" t="s">
        <v>714</v>
      </c>
      <c r="M209" s="108">
        <v>44075.0</v>
      </c>
      <c r="N209" s="106" t="s">
        <v>692</v>
      </c>
      <c r="O209" s="109" t="s">
        <v>690</v>
      </c>
      <c r="P209" s="107" t="s">
        <v>782</v>
      </c>
      <c r="Q209" s="107" t="s">
        <v>782</v>
      </c>
      <c r="R209" s="110"/>
      <c r="S209" s="110"/>
      <c r="T209" s="110"/>
      <c r="U209" s="110"/>
      <c r="V209" s="110"/>
      <c r="W209" s="110"/>
      <c r="X209" s="110"/>
      <c r="Y209" s="110"/>
      <c r="Z209" s="110"/>
    </row>
    <row r="210" ht="15.75" customHeight="1">
      <c r="A210" s="105" t="s">
        <v>653</v>
      </c>
      <c r="B210" s="154" t="s">
        <v>46</v>
      </c>
      <c r="C210" s="106" t="s">
        <v>1009</v>
      </c>
      <c r="D210" s="107" t="s">
        <v>135</v>
      </c>
      <c r="E210" s="106" t="s">
        <v>685</v>
      </c>
      <c r="F210" s="106" t="s">
        <v>936</v>
      </c>
      <c r="G210" s="117" t="s">
        <v>517</v>
      </c>
      <c r="H210" s="117" t="s">
        <v>517</v>
      </c>
      <c r="I210" s="117" t="s">
        <v>90</v>
      </c>
      <c r="J210" s="107" t="s">
        <v>85</v>
      </c>
      <c r="K210" s="106" t="s">
        <v>749</v>
      </c>
      <c r="L210" s="107" t="s">
        <v>714</v>
      </c>
      <c r="M210" s="108">
        <v>44075.0</v>
      </c>
      <c r="N210" s="106" t="s">
        <v>692</v>
      </c>
      <c r="O210" s="109" t="s">
        <v>690</v>
      </c>
      <c r="P210" s="107" t="s">
        <v>782</v>
      </c>
      <c r="Q210" s="107" t="s">
        <v>782</v>
      </c>
      <c r="R210" s="110"/>
      <c r="S210" s="110"/>
      <c r="T210" s="110"/>
      <c r="U210" s="110"/>
      <c r="V210" s="110"/>
      <c r="W210" s="110"/>
      <c r="X210" s="110"/>
      <c r="Y210" s="110"/>
      <c r="Z210" s="110"/>
    </row>
    <row r="211" ht="15.75" customHeight="1">
      <c r="A211" s="105" t="s">
        <v>655</v>
      </c>
      <c r="B211" s="154" t="s">
        <v>46</v>
      </c>
      <c r="C211" s="106" t="s">
        <v>1010</v>
      </c>
      <c r="D211" s="107" t="s">
        <v>135</v>
      </c>
      <c r="E211" s="106" t="s">
        <v>685</v>
      </c>
      <c r="F211" s="106" t="s">
        <v>1011</v>
      </c>
      <c r="G211" s="117" t="s">
        <v>517</v>
      </c>
      <c r="H211" s="117" t="s">
        <v>517</v>
      </c>
      <c r="I211" s="117" t="s">
        <v>90</v>
      </c>
      <c r="J211" s="107" t="s">
        <v>85</v>
      </c>
      <c r="K211" s="106" t="s">
        <v>749</v>
      </c>
      <c r="L211" s="107" t="s">
        <v>714</v>
      </c>
      <c r="M211" s="108">
        <v>44075.0</v>
      </c>
      <c r="N211" s="106" t="s">
        <v>692</v>
      </c>
      <c r="O211" s="109" t="s">
        <v>690</v>
      </c>
      <c r="P211" s="107" t="s">
        <v>782</v>
      </c>
      <c r="Q211" s="107" t="s">
        <v>782</v>
      </c>
      <c r="R211" s="110"/>
      <c r="S211" s="110"/>
      <c r="T211" s="110"/>
      <c r="U211" s="110"/>
      <c r="V211" s="110"/>
      <c r="W211" s="110"/>
      <c r="X211" s="110"/>
      <c r="Y211" s="110"/>
      <c r="Z211" s="110"/>
    </row>
    <row r="212" ht="15.75" customHeight="1">
      <c r="A212" s="105" t="s">
        <v>658</v>
      </c>
      <c r="B212" s="154" t="s">
        <v>46</v>
      </c>
      <c r="C212" s="106" t="s">
        <v>1012</v>
      </c>
      <c r="D212" s="107" t="s">
        <v>135</v>
      </c>
      <c r="E212" s="106" t="s">
        <v>720</v>
      </c>
      <c r="F212" s="126" t="b">
        <v>1</v>
      </c>
      <c r="G212" s="117" t="s">
        <v>517</v>
      </c>
      <c r="H212" s="117" t="s">
        <v>517</v>
      </c>
      <c r="I212" s="117" t="s">
        <v>90</v>
      </c>
      <c r="J212" s="107" t="s">
        <v>85</v>
      </c>
      <c r="K212" s="106" t="s">
        <v>749</v>
      </c>
      <c r="L212" s="107" t="s">
        <v>714</v>
      </c>
      <c r="M212" s="108">
        <v>44075.0</v>
      </c>
      <c r="N212" s="106" t="s">
        <v>692</v>
      </c>
      <c r="O212" s="109" t="s">
        <v>690</v>
      </c>
      <c r="P212" s="107" t="s">
        <v>782</v>
      </c>
      <c r="Q212" s="107" t="s">
        <v>782</v>
      </c>
      <c r="R212" s="110"/>
      <c r="S212" s="110"/>
      <c r="T212" s="110"/>
      <c r="U212" s="110"/>
      <c r="V212" s="110"/>
      <c r="W212" s="110"/>
      <c r="X212" s="110"/>
      <c r="Y212" s="110"/>
      <c r="Z212" s="110"/>
    </row>
    <row r="213" ht="15.75" customHeight="1">
      <c r="A213" s="105" t="s">
        <v>660</v>
      </c>
      <c r="B213" s="154" t="s">
        <v>46</v>
      </c>
      <c r="C213" s="106" t="s">
        <v>1013</v>
      </c>
      <c r="D213" s="107" t="s">
        <v>135</v>
      </c>
      <c r="E213" s="106" t="s">
        <v>685</v>
      </c>
      <c r="F213" s="106" t="s">
        <v>936</v>
      </c>
      <c r="G213" s="117" t="s">
        <v>517</v>
      </c>
      <c r="H213" s="117" t="s">
        <v>517</v>
      </c>
      <c r="I213" s="117" t="s">
        <v>90</v>
      </c>
      <c r="J213" s="107" t="s">
        <v>85</v>
      </c>
      <c r="K213" s="106" t="s">
        <v>749</v>
      </c>
      <c r="L213" s="107" t="s">
        <v>714</v>
      </c>
      <c r="M213" s="108">
        <v>44075.0</v>
      </c>
      <c r="N213" s="106" t="s">
        <v>692</v>
      </c>
      <c r="O213" s="109" t="s">
        <v>690</v>
      </c>
      <c r="P213" s="107" t="s">
        <v>782</v>
      </c>
      <c r="Q213" s="107" t="s">
        <v>782</v>
      </c>
      <c r="R213" s="110"/>
      <c r="S213" s="110"/>
      <c r="T213" s="110"/>
      <c r="U213" s="110"/>
      <c r="V213" s="110"/>
      <c r="W213" s="110"/>
      <c r="X213" s="110"/>
      <c r="Y213" s="110"/>
      <c r="Z213" s="110"/>
    </row>
    <row r="214" ht="15.75" customHeight="1">
      <c r="A214" s="105" t="s">
        <v>662</v>
      </c>
      <c r="B214" s="154" t="s">
        <v>46</v>
      </c>
      <c r="C214" s="106" t="s">
        <v>1014</v>
      </c>
      <c r="D214" s="107" t="s">
        <v>135</v>
      </c>
      <c r="E214" s="106" t="s">
        <v>685</v>
      </c>
      <c r="F214" s="106" t="s">
        <v>1015</v>
      </c>
      <c r="G214" s="124" t="s">
        <v>517</v>
      </c>
      <c r="H214" s="124" t="s">
        <v>517</v>
      </c>
      <c r="I214" s="117" t="s">
        <v>90</v>
      </c>
      <c r="J214" s="112" t="s">
        <v>85</v>
      </c>
      <c r="K214" s="106" t="s">
        <v>749</v>
      </c>
      <c r="L214" s="107" t="s">
        <v>714</v>
      </c>
      <c r="M214" s="108">
        <v>44075.0</v>
      </c>
      <c r="N214" s="106" t="s">
        <v>692</v>
      </c>
      <c r="O214" s="109" t="s">
        <v>690</v>
      </c>
      <c r="P214" s="107" t="s">
        <v>782</v>
      </c>
      <c r="Q214" s="107" t="s">
        <v>782</v>
      </c>
      <c r="R214" s="110"/>
      <c r="S214" s="110"/>
      <c r="T214" s="110"/>
      <c r="U214" s="110"/>
      <c r="V214" s="110"/>
      <c r="W214" s="110"/>
      <c r="X214" s="110"/>
      <c r="Y214" s="110"/>
      <c r="Z214" s="110"/>
    </row>
    <row r="215" ht="15.75" customHeight="1">
      <c r="A215" s="105" t="s">
        <v>665</v>
      </c>
      <c r="B215" s="154" t="s">
        <v>46</v>
      </c>
      <c r="C215" s="106" t="s">
        <v>1016</v>
      </c>
      <c r="D215" s="107" t="s">
        <v>135</v>
      </c>
      <c r="E215" s="106" t="s">
        <v>720</v>
      </c>
      <c r="F215" s="126" t="b">
        <v>1</v>
      </c>
      <c r="G215" s="117" t="s">
        <v>517</v>
      </c>
      <c r="H215" s="117" t="s">
        <v>517</v>
      </c>
      <c r="I215" s="117" t="s">
        <v>90</v>
      </c>
      <c r="J215" s="107" t="s">
        <v>85</v>
      </c>
      <c r="K215" s="106" t="s">
        <v>749</v>
      </c>
      <c r="L215" s="107" t="s">
        <v>714</v>
      </c>
      <c r="M215" s="108">
        <v>44075.0</v>
      </c>
      <c r="N215" s="106" t="s">
        <v>692</v>
      </c>
      <c r="O215" s="109" t="s">
        <v>690</v>
      </c>
      <c r="P215" s="107" t="s">
        <v>782</v>
      </c>
      <c r="Q215" s="107" t="s">
        <v>782</v>
      </c>
      <c r="R215" s="110"/>
      <c r="S215" s="110"/>
      <c r="T215" s="110"/>
      <c r="U215" s="110"/>
      <c r="V215" s="110"/>
      <c r="W215" s="110"/>
      <c r="X215" s="110"/>
      <c r="Y215" s="110"/>
      <c r="Z215" s="110"/>
    </row>
    <row r="216" ht="15.75" customHeight="1">
      <c r="A216" s="105" t="s">
        <v>667</v>
      </c>
      <c r="B216" s="154" t="s">
        <v>46</v>
      </c>
      <c r="C216" s="106" t="s">
        <v>1335</v>
      </c>
      <c r="D216" s="107" t="s">
        <v>135</v>
      </c>
      <c r="E216" s="106" t="s">
        <v>685</v>
      </c>
      <c r="F216" s="106" t="s">
        <v>936</v>
      </c>
      <c r="G216" s="117" t="s">
        <v>517</v>
      </c>
      <c r="H216" s="117" t="s">
        <v>517</v>
      </c>
      <c r="I216" s="117" t="s">
        <v>90</v>
      </c>
      <c r="J216" s="107" t="s">
        <v>85</v>
      </c>
      <c r="K216" s="106" t="s">
        <v>749</v>
      </c>
      <c r="L216" s="107" t="s">
        <v>714</v>
      </c>
      <c r="M216" s="108">
        <v>44075.0</v>
      </c>
      <c r="N216" s="106" t="s">
        <v>692</v>
      </c>
      <c r="O216" s="109" t="s">
        <v>690</v>
      </c>
      <c r="P216" s="107" t="s">
        <v>782</v>
      </c>
      <c r="Q216" s="107" t="s">
        <v>782</v>
      </c>
      <c r="R216" s="110"/>
      <c r="S216" s="110"/>
      <c r="T216" s="110"/>
      <c r="U216" s="110"/>
      <c r="V216" s="110"/>
      <c r="W216" s="110"/>
      <c r="X216" s="110"/>
      <c r="Y216" s="110"/>
      <c r="Z216" s="110"/>
    </row>
    <row r="217" ht="15.75" customHeight="1">
      <c r="A217" s="105" t="s">
        <v>669</v>
      </c>
      <c r="B217" s="154" t="s">
        <v>46</v>
      </c>
      <c r="C217" s="106" t="s">
        <v>1018</v>
      </c>
      <c r="D217" s="107" t="s">
        <v>135</v>
      </c>
      <c r="E217" s="106" t="s">
        <v>685</v>
      </c>
      <c r="F217" s="106" t="s">
        <v>1019</v>
      </c>
      <c r="G217" s="117" t="s">
        <v>517</v>
      </c>
      <c r="H217" s="117" t="s">
        <v>517</v>
      </c>
      <c r="I217" s="117" t="s">
        <v>90</v>
      </c>
      <c r="J217" s="107" t="s">
        <v>85</v>
      </c>
      <c r="K217" s="106" t="s">
        <v>749</v>
      </c>
      <c r="L217" s="107" t="s">
        <v>714</v>
      </c>
      <c r="M217" s="108">
        <v>44075.0</v>
      </c>
      <c r="N217" s="106" t="s">
        <v>692</v>
      </c>
      <c r="O217" s="109" t="s">
        <v>690</v>
      </c>
      <c r="P217" s="107" t="s">
        <v>782</v>
      </c>
      <c r="Q217" s="107" t="s">
        <v>782</v>
      </c>
      <c r="R217" s="110"/>
      <c r="S217" s="110"/>
      <c r="T217" s="110"/>
      <c r="U217" s="110"/>
      <c r="V217" s="110"/>
      <c r="W217" s="110"/>
      <c r="X217" s="110"/>
      <c r="Y217" s="110"/>
      <c r="Z217" s="110"/>
    </row>
    <row r="218" ht="15.75" customHeight="1">
      <c r="A218" s="105" t="s">
        <v>672</v>
      </c>
      <c r="B218" s="154" t="s">
        <v>46</v>
      </c>
      <c r="C218" s="106" t="s">
        <v>1020</v>
      </c>
      <c r="D218" s="107" t="s">
        <v>135</v>
      </c>
      <c r="E218" s="106" t="s">
        <v>720</v>
      </c>
      <c r="F218" s="126" t="b">
        <v>1</v>
      </c>
      <c r="G218" s="117" t="s">
        <v>517</v>
      </c>
      <c r="H218" s="117" t="s">
        <v>517</v>
      </c>
      <c r="I218" s="117" t="s">
        <v>90</v>
      </c>
      <c r="J218" s="107" t="s">
        <v>85</v>
      </c>
      <c r="K218" s="106" t="s">
        <v>749</v>
      </c>
      <c r="L218" s="107" t="s">
        <v>714</v>
      </c>
      <c r="M218" s="108">
        <v>44075.0</v>
      </c>
      <c r="N218" s="106" t="s">
        <v>692</v>
      </c>
      <c r="O218" s="109" t="s">
        <v>690</v>
      </c>
      <c r="P218" s="107" t="s">
        <v>782</v>
      </c>
      <c r="Q218" s="107" t="s">
        <v>782</v>
      </c>
      <c r="R218" s="110"/>
      <c r="S218" s="110"/>
      <c r="T218" s="110"/>
      <c r="U218" s="110"/>
      <c r="V218" s="110"/>
      <c r="W218" s="110"/>
      <c r="X218" s="110"/>
      <c r="Y218" s="110"/>
      <c r="Z218" s="110"/>
    </row>
    <row r="219" ht="15.75" customHeight="1">
      <c r="A219" s="105" t="s">
        <v>674</v>
      </c>
      <c r="B219" s="154" t="s">
        <v>46</v>
      </c>
      <c r="C219" s="106" t="s">
        <v>1021</v>
      </c>
      <c r="D219" s="107" t="s">
        <v>135</v>
      </c>
      <c r="E219" s="106" t="s">
        <v>685</v>
      </c>
      <c r="F219" s="106" t="s">
        <v>936</v>
      </c>
      <c r="G219" s="117" t="s">
        <v>517</v>
      </c>
      <c r="H219" s="117" t="s">
        <v>517</v>
      </c>
      <c r="I219" s="117" t="s">
        <v>90</v>
      </c>
      <c r="J219" s="107" t="s">
        <v>85</v>
      </c>
      <c r="K219" s="106" t="s">
        <v>749</v>
      </c>
      <c r="L219" s="107" t="s">
        <v>714</v>
      </c>
      <c r="M219" s="108">
        <v>44075.0</v>
      </c>
      <c r="N219" s="106" t="s">
        <v>692</v>
      </c>
      <c r="O219" s="109" t="s">
        <v>690</v>
      </c>
      <c r="P219" s="107" t="s">
        <v>782</v>
      </c>
      <c r="Q219" s="107" t="s">
        <v>782</v>
      </c>
      <c r="R219" s="110"/>
      <c r="S219" s="110"/>
      <c r="T219" s="110"/>
      <c r="U219" s="110"/>
      <c r="V219" s="110"/>
      <c r="W219" s="110"/>
      <c r="X219" s="110"/>
      <c r="Y219" s="110"/>
      <c r="Z219" s="110"/>
    </row>
    <row r="220" ht="15.75" customHeight="1">
      <c r="A220" s="105" t="s">
        <v>676</v>
      </c>
      <c r="B220" s="154" t="s">
        <v>46</v>
      </c>
      <c r="C220" s="106" t="s">
        <v>1022</v>
      </c>
      <c r="D220" s="107" t="s">
        <v>135</v>
      </c>
      <c r="E220" s="106" t="s">
        <v>685</v>
      </c>
      <c r="F220" s="106" t="s">
        <v>1023</v>
      </c>
      <c r="G220" s="117" t="s">
        <v>517</v>
      </c>
      <c r="H220" s="117" t="s">
        <v>517</v>
      </c>
      <c r="I220" s="117" t="s">
        <v>90</v>
      </c>
      <c r="J220" s="107" t="s">
        <v>85</v>
      </c>
      <c r="K220" s="106" t="s">
        <v>749</v>
      </c>
      <c r="L220" s="107" t="s">
        <v>714</v>
      </c>
      <c r="M220" s="108">
        <v>44075.0</v>
      </c>
      <c r="N220" s="106" t="s">
        <v>692</v>
      </c>
      <c r="O220" s="109" t="s">
        <v>690</v>
      </c>
      <c r="P220" s="107" t="s">
        <v>782</v>
      </c>
      <c r="Q220" s="107" t="s">
        <v>782</v>
      </c>
      <c r="R220" s="110"/>
      <c r="S220" s="110"/>
      <c r="T220" s="110"/>
      <c r="U220" s="110"/>
      <c r="V220" s="110"/>
      <c r="W220" s="110"/>
      <c r="X220" s="110"/>
      <c r="Y220" s="110"/>
      <c r="Z220" s="110"/>
    </row>
    <row r="221" ht="15.75" customHeight="1">
      <c r="A221" s="105" t="s">
        <v>472</v>
      </c>
      <c r="B221" s="154" t="s">
        <v>197</v>
      </c>
      <c r="C221" s="106" t="s">
        <v>475</v>
      </c>
      <c r="D221" s="107" t="s">
        <v>185</v>
      </c>
      <c r="E221" s="106" t="s">
        <v>713</v>
      </c>
      <c r="F221" s="107">
        <v>1.0</v>
      </c>
      <c r="G221" s="107" t="s">
        <v>476</v>
      </c>
      <c r="H221" s="107" t="s">
        <v>476</v>
      </c>
      <c r="I221" s="107" t="s">
        <v>476</v>
      </c>
      <c r="J221" s="107" t="s">
        <v>85</v>
      </c>
      <c r="K221" s="106" t="s">
        <v>749</v>
      </c>
      <c r="L221" s="107" t="s">
        <v>749</v>
      </c>
      <c r="M221" s="108">
        <v>44075.0</v>
      </c>
      <c r="N221" s="106" t="s">
        <v>692</v>
      </c>
      <c r="O221" s="109" t="s">
        <v>690</v>
      </c>
      <c r="P221" s="107" t="s">
        <v>724</v>
      </c>
      <c r="Q221" s="107" t="s">
        <v>724</v>
      </c>
      <c r="R221" s="110"/>
      <c r="S221" s="110"/>
      <c r="T221" s="110"/>
      <c r="U221" s="110"/>
      <c r="V221" s="110"/>
      <c r="W221" s="110"/>
      <c r="X221" s="110"/>
      <c r="Y221" s="110"/>
      <c r="Z221" s="110"/>
    </row>
    <row r="222" ht="15.75" customHeight="1">
      <c r="A222" s="105" t="s">
        <v>477</v>
      </c>
      <c r="B222" s="154" t="s">
        <v>197</v>
      </c>
      <c r="C222" s="106" t="s">
        <v>1024</v>
      </c>
      <c r="D222" s="107" t="s">
        <v>185</v>
      </c>
      <c r="E222" s="106" t="s">
        <v>713</v>
      </c>
      <c r="F222" s="107">
        <v>1.0</v>
      </c>
      <c r="G222" s="107" t="s">
        <v>476</v>
      </c>
      <c r="H222" s="107" t="s">
        <v>476</v>
      </c>
      <c r="I222" s="107" t="s">
        <v>476</v>
      </c>
      <c r="J222" s="107" t="s">
        <v>85</v>
      </c>
      <c r="K222" s="106" t="s">
        <v>749</v>
      </c>
      <c r="L222" s="107" t="s">
        <v>749</v>
      </c>
      <c r="M222" s="108">
        <v>44075.0</v>
      </c>
      <c r="N222" s="106" t="s">
        <v>692</v>
      </c>
      <c r="O222" s="109" t="s">
        <v>690</v>
      </c>
      <c r="P222" s="107" t="s">
        <v>724</v>
      </c>
      <c r="Q222" s="107" t="s">
        <v>724</v>
      </c>
      <c r="R222" s="110"/>
      <c r="S222" s="110"/>
      <c r="T222" s="110"/>
      <c r="U222" s="110"/>
      <c r="V222" s="110"/>
      <c r="W222" s="110"/>
      <c r="X222" s="110"/>
      <c r="Y222" s="110"/>
      <c r="Z222" s="110"/>
    </row>
    <row r="223" ht="15.75" customHeight="1">
      <c r="A223" s="105" t="s">
        <v>479</v>
      </c>
      <c r="B223" s="154" t="s">
        <v>197</v>
      </c>
      <c r="C223" s="106" t="s">
        <v>1025</v>
      </c>
      <c r="D223" s="107" t="s">
        <v>185</v>
      </c>
      <c r="E223" s="106" t="s">
        <v>694</v>
      </c>
      <c r="F223" s="107">
        <v>2.242180288E9</v>
      </c>
      <c r="G223" s="107" t="s">
        <v>476</v>
      </c>
      <c r="H223" s="107" t="s">
        <v>476</v>
      </c>
      <c r="I223" s="107" t="s">
        <v>476</v>
      </c>
      <c r="J223" s="107" t="s">
        <v>85</v>
      </c>
      <c r="K223" s="106" t="s">
        <v>749</v>
      </c>
      <c r="L223" s="107" t="s">
        <v>749</v>
      </c>
      <c r="M223" s="108">
        <v>44075.0</v>
      </c>
      <c r="N223" s="106" t="s">
        <v>692</v>
      </c>
      <c r="O223" s="109" t="s">
        <v>690</v>
      </c>
      <c r="P223" s="107" t="s">
        <v>724</v>
      </c>
      <c r="Q223" s="107" t="s">
        <v>724</v>
      </c>
      <c r="R223" s="110"/>
      <c r="S223" s="110"/>
      <c r="T223" s="110"/>
      <c r="U223" s="110"/>
      <c r="V223" s="110"/>
      <c r="W223" s="110"/>
      <c r="X223" s="110"/>
      <c r="Y223" s="110"/>
      <c r="Z223" s="110"/>
    </row>
    <row r="224" ht="15.75" customHeight="1">
      <c r="A224" s="105" t="s">
        <v>1026</v>
      </c>
      <c r="B224" s="154" t="s">
        <v>46</v>
      </c>
      <c r="C224" s="106" t="s">
        <v>1027</v>
      </c>
      <c r="D224" s="107" t="s">
        <v>135</v>
      </c>
      <c r="E224" s="106" t="s">
        <v>720</v>
      </c>
      <c r="F224" s="126" t="b">
        <v>1</v>
      </c>
      <c r="G224" s="117" t="s">
        <v>517</v>
      </c>
      <c r="H224" s="117" t="s">
        <v>517</v>
      </c>
      <c r="I224" s="117" t="s">
        <v>90</v>
      </c>
      <c r="J224" s="107" t="s">
        <v>85</v>
      </c>
      <c r="K224" s="106" t="s">
        <v>749</v>
      </c>
      <c r="L224" s="107" t="s">
        <v>714</v>
      </c>
      <c r="M224" s="108">
        <v>44075.0</v>
      </c>
      <c r="N224" s="106" t="s">
        <v>692</v>
      </c>
      <c r="O224" s="109" t="s">
        <v>690</v>
      </c>
      <c r="P224" s="107" t="s">
        <v>782</v>
      </c>
      <c r="Q224" s="107" t="s">
        <v>782</v>
      </c>
      <c r="R224" s="110"/>
      <c r="S224" s="110"/>
      <c r="T224" s="110"/>
      <c r="U224" s="110"/>
      <c r="V224" s="110"/>
      <c r="W224" s="110"/>
      <c r="X224" s="110"/>
      <c r="Y224" s="110"/>
      <c r="Z224" s="110"/>
    </row>
    <row r="225" ht="15.75" customHeight="1">
      <c r="A225" s="105" t="s">
        <v>1028</v>
      </c>
      <c r="B225" s="154" t="s">
        <v>46</v>
      </c>
      <c r="C225" s="106" t="s">
        <v>1029</v>
      </c>
      <c r="D225" s="107" t="s">
        <v>135</v>
      </c>
      <c r="E225" s="106" t="s">
        <v>685</v>
      </c>
      <c r="F225" s="106" t="s">
        <v>936</v>
      </c>
      <c r="G225" s="117" t="s">
        <v>517</v>
      </c>
      <c r="H225" s="117" t="s">
        <v>517</v>
      </c>
      <c r="I225" s="117" t="s">
        <v>90</v>
      </c>
      <c r="J225" s="107" t="s">
        <v>85</v>
      </c>
      <c r="K225" s="106" t="s">
        <v>749</v>
      </c>
      <c r="L225" s="107" t="s">
        <v>714</v>
      </c>
      <c r="M225" s="108">
        <v>44075.0</v>
      </c>
      <c r="N225" s="106" t="s">
        <v>692</v>
      </c>
      <c r="O225" s="109" t="s">
        <v>690</v>
      </c>
      <c r="P225" s="107" t="s">
        <v>782</v>
      </c>
      <c r="Q225" s="107" t="s">
        <v>782</v>
      </c>
      <c r="R225" s="110"/>
      <c r="S225" s="110"/>
      <c r="T225" s="110"/>
      <c r="U225" s="110"/>
      <c r="V225" s="110"/>
      <c r="W225" s="110"/>
      <c r="X225" s="110"/>
      <c r="Y225" s="110"/>
      <c r="Z225" s="110"/>
    </row>
    <row r="226" ht="15.75" customHeight="1">
      <c r="A226" s="105" t="s">
        <v>1030</v>
      </c>
      <c r="B226" s="154" t="s">
        <v>46</v>
      </c>
      <c r="C226" s="106" t="s">
        <v>1031</v>
      </c>
      <c r="D226" s="107" t="s">
        <v>135</v>
      </c>
      <c r="E226" s="106" t="s">
        <v>685</v>
      </c>
      <c r="F226" s="106" t="s">
        <v>1032</v>
      </c>
      <c r="G226" s="117" t="s">
        <v>517</v>
      </c>
      <c r="H226" s="117" t="s">
        <v>517</v>
      </c>
      <c r="I226" s="117" t="s">
        <v>90</v>
      </c>
      <c r="J226" s="107" t="s">
        <v>85</v>
      </c>
      <c r="K226" s="106" t="s">
        <v>749</v>
      </c>
      <c r="L226" s="107" t="s">
        <v>714</v>
      </c>
      <c r="M226" s="108">
        <v>44075.0</v>
      </c>
      <c r="N226" s="106" t="s">
        <v>692</v>
      </c>
      <c r="O226" s="109" t="s">
        <v>690</v>
      </c>
      <c r="P226" s="107" t="s">
        <v>782</v>
      </c>
      <c r="Q226" s="107" t="s">
        <v>782</v>
      </c>
      <c r="R226" s="110"/>
      <c r="S226" s="110"/>
      <c r="T226" s="110"/>
      <c r="U226" s="110"/>
      <c r="V226" s="110"/>
      <c r="W226" s="110"/>
      <c r="X226" s="110"/>
      <c r="Y226" s="110"/>
      <c r="Z226" s="110"/>
    </row>
    <row r="227" ht="15.75" customHeight="1">
      <c r="A227" s="105" t="s">
        <v>1336</v>
      </c>
      <c r="B227" s="154" t="s">
        <v>46</v>
      </c>
      <c r="C227" s="106" t="s">
        <v>1034</v>
      </c>
      <c r="D227" s="107" t="s">
        <v>135</v>
      </c>
      <c r="E227" s="106" t="s">
        <v>720</v>
      </c>
      <c r="F227" s="126" t="b">
        <v>1</v>
      </c>
      <c r="G227" s="117" t="s">
        <v>517</v>
      </c>
      <c r="H227" s="117" t="s">
        <v>517</v>
      </c>
      <c r="I227" s="117" t="s">
        <v>90</v>
      </c>
      <c r="J227" s="107" t="s">
        <v>85</v>
      </c>
      <c r="K227" s="106" t="s">
        <v>749</v>
      </c>
      <c r="L227" s="107" t="s">
        <v>714</v>
      </c>
      <c r="M227" s="108">
        <v>44075.0</v>
      </c>
      <c r="N227" s="106" t="s">
        <v>692</v>
      </c>
      <c r="O227" s="109" t="s">
        <v>690</v>
      </c>
      <c r="P227" s="107" t="s">
        <v>782</v>
      </c>
      <c r="Q227" s="107" t="s">
        <v>782</v>
      </c>
      <c r="R227" s="110"/>
      <c r="S227" s="110"/>
      <c r="T227" s="110"/>
      <c r="U227" s="110"/>
      <c r="V227" s="110"/>
      <c r="W227" s="110"/>
      <c r="X227" s="110"/>
      <c r="Y227" s="110"/>
      <c r="Z227" s="110"/>
    </row>
    <row r="228" ht="15.75" customHeight="1">
      <c r="A228" s="105" t="s">
        <v>1337</v>
      </c>
      <c r="B228" s="154" t="s">
        <v>46</v>
      </c>
      <c r="C228" s="106" t="s">
        <v>1036</v>
      </c>
      <c r="D228" s="107" t="s">
        <v>135</v>
      </c>
      <c r="E228" s="106" t="s">
        <v>685</v>
      </c>
      <c r="F228" s="106" t="s">
        <v>936</v>
      </c>
      <c r="G228" s="117" t="s">
        <v>517</v>
      </c>
      <c r="H228" s="117" t="s">
        <v>517</v>
      </c>
      <c r="I228" s="117" t="s">
        <v>90</v>
      </c>
      <c r="J228" s="107" t="s">
        <v>85</v>
      </c>
      <c r="K228" s="106" t="s">
        <v>749</v>
      </c>
      <c r="L228" s="107" t="s">
        <v>714</v>
      </c>
      <c r="M228" s="108">
        <v>44075.0</v>
      </c>
      <c r="N228" s="106" t="s">
        <v>692</v>
      </c>
      <c r="O228" s="109" t="s">
        <v>690</v>
      </c>
      <c r="P228" s="107" t="s">
        <v>782</v>
      </c>
      <c r="Q228" s="107" t="s">
        <v>782</v>
      </c>
      <c r="R228" s="110"/>
      <c r="S228" s="110"/>
      <c r="T228" s="110"/>
      <c r="U228" s="110"/>
      <c r="V228" s="110"/>
      <c r="W228" s="110"/>
      <c r="X228" s="110"/>
      <c r="Y228" s="110"/>
      <c r="Z228" s="110"/>
    </row>
    <row r="229" ht="15.75" customHeight="1">
      <c r="A229" s="105" t="s">
        <v>1338</v>
      </c>
      <c r="B229" s="154" t="s">
        <v>46</v>
      </c>
      <c r="C229" s="106" t="s">
        <v>1038</v>
      </c>
      <c r="D229" s="107" t="s">
        <v>135</v>
      </c>
      <c r="E229" s="106" t="s">
        <v>685</v>
      </c>
      <c r="F229" s="106" t="s">
        <v>1032</v>
      </c>
      <c r="G229" s="117" t="s">
        <v>517</v>
      </c>
      <c r="H229" s="117" t="s">
        <v>517</v>
      </c>
      <c r="I229" s="117" t="s">
        <v>90</v>
      </c>
      <c r="J229" s="107" t="s">
        <v>85</v>
      </c>
      <c r="K229" s="106" t="s">
        <v>749</v>
      </c>
      <c r="L229" s="107" t="s">
        <v>714</v>
      </c>
      <c r="M229" s="108">
        <v>44075.0</v>
      </c>
      <c r="N229" s="106" t="s">
        <v>692</v>
      </c>
      <c r="O229" s="109" t="s">
        <v>690</v>
      </c>
      <c r="P229" s="107" t="s">
        <v>782</v>
      </c>
      <c r="Q229" s="107" t="s">
        <v>782</v>
      </c>
      <c r="R229" s="110"/>
      <c r="S229" s="110"/>
      <c r="T229" s="110"/>
      <c r="U229" s="110"/>
      <c r="V229" s="110"/>
      <c r="W229" s="110"/>
      <c r="X229" s="110"/>
      <c r="Y229" s="110"/>
      <c r="Z229" s="110"/>
    </row>
    <row r="230" ht="15.75" customHeight="1">
      <c r="A230" s="105" t="s">
        <v>1039</v>
      </c>
      <c r="B230" s="154" t="s">
        <v>52</v>
      </c>
      <c r="C230" s="106" t="s">
        <v>1040</v>
      </c>
      <c r="D230" s="107" t="s">
        <v>185</v>
      </c>
      <c r="E230" s="106" t="s">
        <v>698</v>
      </c>
      <c r="F230" s="125">
        <v>43787.0</v>
      </c>
      <c r="G230" s="126" t="s">
        <v>723</v>
      </c>
      <c r="H230" s="105" t="s">
        <v>723</v>
      </c>
      <c r="I230" s="106" t="s">
        <v>723</v>
      </c>
      <c r="J230" s="107" t="s">
        <v>85</v>
      </c>
      <c r="K230" s="106" t="s">
        <v>687</v>
      </c>
      <c r="L230" s="107" t="s">
        <v>688</v>
      </c>
      <c r="M230" s="108">
        <v>44142.0</v>
      </c>
      <c r="N230" s="106" t="s">
        <v>735</v>
      </c>
      <c r="O230" s="116" t="s">
        <v>736</v>
      </c>
      <c r="P230" s="107" t="s">
        <v>721</v>
      </c>
      <c r="Q230" s="107" t="s">
        <v>721</v>
      </c>
      <c r="R230" s="110"/>
      <c r="S230" s="110"/>
      <c r="T230" s="110"/>
      <c r="U230" s="110"/>
      <c r="V230" s="110"/>
      <c r="W230" s="110"/>
      <c r="X230" s="110"/>
      <c r="Y230" s="110"/>
      <c r="Z230" s="110"/>
    </row>
    <row r="231" ht="15.75" customHeight="1">
      <c r="A231" s="105" t="s">
        <v>1041</v>
      </c>
      <c r="B231" s="154" t="s">
        <v>52</v>
      </c>
      <c r="C231" s="106" t="s">
        <v>1042</v>
      </c>
      <c r="D231" s="107" t="s">
        <v>185</v>
      </c>
      <c r="E231" s="106" t="s">
        <v>698</v>
      </c>
      <c r="F231" s="125">
        <v>43796.51299768518</v>
      </c>
      <c r="G231" s="126" t="s">
        <v>723</v>
      </c>
      <c r="H231" s="105" t="s">
        <v>723</v>
      </c>
      <c r="I231" s="106" t="s">
        <v>723</v>
      </c>
      <c r="J231" s="107" t="s">
        <v>85</v>
      </c>
      <c r="K231" s="106" t="s">
        <v>687</v>
      </c>
      <c r="L231" s="107" t="s">
        <v>688</v>
      </c>
      <c r="M231" s="108">
        <v>44142.0</v>
      </c>
      <c r="N231" s="106" t="s">
        <v>735</v>
      </c>
      <c r="O231" s="116" t="s">
        <v>736</v>
      </c>
      <c r="P231" s="107" t="s">
        <v>721</v>
      </c>
      <c r="Q231" s="107" t="s">
        <v>721</v>
      </c>
      <c r="R231" s="110"/>
      <c r="S231" s="110"/>
      <c r="T231" s="110"/>
      <c r="U231" s="110"/>
      <c r="V231" s="110"/>
      <c r="W231" s="110"/>
      <c r="X231" s="110"/>
      <c r="Y231" s="110"/>
      <c r="Z231" s="110"/>
    </row>
    <row r="232" ht="15.75" customHeight="1">
      <c r="A232" s="105" t="s">
        <v>1043</v>
      </c>
      <c r="B232" s="154" t="s">
        <v>52</v>
      </c>
      <c r="C232" s="106" t="s">
        <v>1044</v>
      </c>
      <c r="D232" s="107" t="s">
        <v>185</v>
      </c>
      <c r="E232" s="106" t="s">
        <v>713</v>
      </c>
      <c r="F232" s="117">
        <v>20.0</v>
      </c>
      <c r="G232" s="126" t="s">
        <v>723</v>
      </c>
      <c r="H232" s="105" t="s">
        <v>723</v>
      </c>
      <c r="I232" s="106" t="s">
        <v>723</v>
      </c>
      <c r="J232" s="107" t="s">
        <v>85</v>
      </c>
      <c r="K232" s="106" t="s">
        <v>687</v>
      </c>
      <c r="L232" s="107" t="s">
        <v>688</v>
      </c>
      <c r="M232" s="108">
        <v>44142.0</v>
      </c>
      <c r="N232" s="106" t="s">
        <v>735</v>
      </c>
      <c r="O232" s="116" t="s">
        <v>736</v>
      </c>
      <c r="P232" s="107" t="s">
        <v>721</v>
      </c>
      <c r="Q232" s="107" t="s">
        <v>721</v>
      </c>
      <c r="R232" s="110"/>
      <c r="S232" s="110"/>
      <c r="T232" s="110"/>
      <c r="U232" s="110"/>
      <c r="V232" s="110"/>
      <c r="W232" s="110"/>
      <c r="X232" s="110"/>
      <c r="Y232" s="110"/>
      <c r="Z232" s="110"/>
    </row>
    <row r="233" ht="15.75" customHeight="1">
      <c r="A233" s="105" t="s">
        <v>1045</v>
      </c>
      <c r="B233" s="154" t="s">
        <v>52</v>
      </c>
      <c r="C233" s="106" t="s">
        <v>1046</v>
      </c>
      <c r="D233" s="107" t="s">
        <v>185</v>
      </c>
      <c r="E233" s="106" t="s">
        <v>713</v>
      </c>
      <c r="F233" s="117">
        <v>36.0</v>
      </c>
      <c r="G233" s="126" t="s">
        <v>723</v>
      </c>
      <c r="H233" s="105" t="s">
        <v>723</v>
      </c>
      <c r="I233" s="106" t="s">
        <v>723</v>
      </c>
      <c r="J233" s="107" t="s">
        <v>85</v>
      </c>
      <c r="K233" s="106" t="s">
        <v>687</v>
      </c>
      <c r="L233" s="107" t="s">
        <v>688</v>
      </c>
      <c r="M233" s="108">
        <v>44142.0</v>
      </c>
      <c r="N233" s="106" t="s">
        <v>735</v>
      </c>
      <c r="O233" s="116" t="s">
        <v>736</v>
      </c>
      <c r="P233" s="107" t="s">
        <v>721</v>
      </c>
      <c r="Q233" s="107" t="s">
        <v>721</v>
      </c>
      <c r="R233" s="110"/>
      <c r="S233" s="110"/>
      <c r="T233" s="110"/>
      <c r="U233" s="110"/>
      <c r="V233" s="110"/>
      <c r="W233" s="110"/>
      <c r="X233" s="110"/>
      <c r="Y233" s="110"/>
      <c r="Z233" s="110"/>
    </row>
    <row r="234" ht="15.75" customHeight="1">
      <c r="A234" s="105" t="s">
        <v>1047</v>
      </c>
      <c r="B234" s="154" t="s">
        <v>197</v>
      </c>
      <c r="C234" s="106" t="s">
        <v>1048</v>
      </c>
      <c r="D234" s="107" t="s">
        <v>185</v>
      </c>
      <c r="E234" s="106" t="s">
        <v>768</v>
      </c>
      <c r="F234" s="117">
        <v>50.0</v>
      </c>
      <c r="G234" s="126" t="s">
        <v>723</v>
      </c>
      <c r="H234" s="105" t="s">
        <v>723</v>
      </c>
      <c r="I234" s="106" t="s">
        <v>723</v>
      </c>
      <c r="J234" s="107" t="s">
        <v>85</v>
      </c>
      <c r="K234" s="106" t="s">
        <v>687</v>
      </c>
      <c r="L234" s="107" t="s">
        <v>760</v>
      </c>
      <c r="M234" s="108">
        <v>44141.0</v>
      </c>
      <c r="N234" s="106" t="s">
        <v>735</v>
      </c>
      <c r="O234" s="116" t="s">
        <v>736</v>
      </c>
      <c r="P234" s="107" t="s">
        <v>761</v>
      </c>
      <c r="Q234" s="107" t="s">
        <v>761</v>
      </c>
      <c r="R234" s="110"/>
      <c r="S234" s="110"/>
      <c r="T234" s="110"/>
      <c r="U234" s="110"/>
      <c r="V234" s="110"/>
      <c r="W234" s="110"/>
      <c r="X234" s="110"/>
      <c r="Y234" s="110"/>
      <c r="Z234" s="110"/>
    </row>
    <row r="235" ht="15.75" customHeight="1">
      <c r="A235" s="105" t="s">
        <v>1049</v>
      </c>
      <c r="B235" s="154" t="s">
        <v>197</v>
      </c>
      <c r="C235" s="106" t="s">
        <v>1050</v>
      </c>
      <c r="D235" s="107" t="s">
        <v>135</v>
      </c>
      <c r="E235" s="106" t="s">
        <v>720</v>
      </c>
      <c r="F235" s="115" t="b">
        <v>1</v>
      </c>
      <c r="G235" s="106" t="s">
        <v>1051</v>
      </c>
      <c r="H235" s="107" t="s">
        <v>1052</v>
      </c>
      <c r="I235" s="107" t="s">
        <v>1052</v>
      </c>
      <c r="J235" s="107" t="s">
        <v>85</v>
      </c>
      <c r="K235" s="106" t="s">
        <v>749</v>
      </c>
      <c r="L235" s="107" t="s">
        <v>688</v>
      </c>
      <c r="M235" s="108">
        <v>44075.0</v>
      </c>
      <c r="N235" s="106" t="s">
        <v>913</v>
      </c>
      <c r="O235" s="109" t="s">
        <v>914</v>
      </c>
      <c r="P235" s="107" t="s">
        <v>724</v>
      </c>
      <c r="Q235" s="107" t="s">
        <v>724</v>
      </c>
      <c r="R235" s="110"/>
      <c r="S235" s="110"/>
      <c r="T235" s="110"/>
      <c r="U235" s="110"/>
      <c r="V235" s="110"/>
      <c r="W235" s="110"/>
      <c r="X235" s="110"/>
      <c r="Y235" s="110"/>
      <c r="Z235" s="110"/>
    </row>
    <row r="236" ht="15.75" customHeight="1">
      <c r="A236" s="105" t="s">
        <v>1053</v>
      </c>
      <c r="B236" s="154" t="s">
        <v>197</v>
      </c>
      <c r="C236" s="106" t="s">
        <v>1054</v>
      </c>
      <c r="D236" s="107" t="s">
        <v>185</v>
      </c>
      <c r="E236" s="106" t="s">
        <v>720</v>
      </c>
      <c r="F236" s="115" t="b">
        <v>1</v>
      </c>
      <c r="G236" s="106" t="s">
        <v>1051</v>
      </c>
      <c r="H236" s="107" t="s">
        <v>1052</v>
      </c>
      <c r="I236" s="107" t="s">
        <v>1052</v>
      </c>
      <c r="J236" s="107" t="s">
        <v>85</v>
      </c>
      <c r="K236" s="106" t="s">
        <v>687</v>
      </c>
      <c r="L236" s="107" t="s">
        <v>688</v>
      </c>
      <c r="M236" s="108">
        <v>44143.0</v>
      </c>
      <c r="N236" s="106" t="s">
        <v>913</v>
      </c>
      <c r="O236" s="109" t="s">
        <v>914</v>
      </c>
      <c r="P236" s="107" t="s">
        <v>691</v>
      </c>
      <c r="Q236" s="107" t="s">
        <v>691</v>
      </c>
      <c r="R236" s="110"/>
      <c r="S236" s="110"/>
      <c r="T236" s="110"/>
      <c r="U236" s="110"/>
      <c r="V236" s="110"/>
      <c r="W236" s="110"/>
      <c r="X236" s="110"/>
      <c r="Y236" s="110"/>
      <c r="Z236" s="110"/>
    </row>
    <row r="237" ht="40.5" customHeight="1">
      <c r="A237" s="105" t="s">
        <v>1055</v>
      </c>
      <c r="B237" s="154" t="s">
        <v>44</v>
      </c>
      <c r="C237" s="106" t="s">
        <v>1056</v>
      </c>
      <c r="D237" s="107" t="s">
        <v>185</v>
      </c>
      <c r="E237" s="106" t="s">
        <v>685</v>
      </c>
      <c r="F237" s="117">
        <v>9.052912593E9</v>
      </c>
      <c r="G237" s="106" t="s">
        <v>1051</v>
      </c>
      <c r="H237" s="107" t="s">
        <v>1052</v>
      </c>
      <c r="I237" s="107" t="s">
        <v>1052</v>
      </c>
      <c r="J237" s="107" t="s">
        <v>85</v>
      </c>
      <c r="K237" s="106" t="s">
        <v>687</v>
      </c>
      <c r="L237" s="107" t="s">
        <v>760</v>
      </c>
      <c r="M237" s="108">
        <v>44141.0</v>
      </c>
      <c r="N237" s="106" t="s">
        <v>735</v>
      </c>
      <c r="O237" s="116" t="s">
        <v>736</v>
      </c>
      <c r="P237" s="107" t="s">
        <v>761</v>
      </c>
      <c r="Q237" s="107" t="s">
        <v>761</v>
      </c>
      <c r="R237" s="110"/>
      <c r="S237" s="110"/>
      <c r="T237" s="110"/>
      <c r="U237" s="110"/>
      <c r="V237" s="110"/>
      <c r="W237" s="110"/>
      <c r="X237" s="110"/>
      <c r="Y237" s="110"/>
      <c r="Z237" s="110"/>
    </row>
    <row r="238" ht="15.75" customHeight="1">
      <c r="A238" s="105" t="s">
        <v>1057</v>
      </c>
      <c r="B238" s="154" t="s">
        <v>696</v>
      </c>
      <c r="C238" s="106" t="s">
        <v>1058</v>
      </c>
      <c r="D238" s="107" t="s">
        <v>185</v>
      </c>
      <c r="E238" s="106" t="s">
        <v>685</v>
      </c>
      <c r="F238" s="117">
        <v>6.49390994E8</v>
      </c>
      <c r="G238" s="106" t="s">
        <v>1051</v>
      </c>
      <c r="H238" s="107" t="s">
        <v>1052</v>
      </c>
      <c r="I238" s="107" t="s">
        <v>1052</v>
      </c>
      <c r="J238" s="107" t="s">
        <v>85</v>
      </c>
      <c r="K238" s="106" t="s">
        <v>687</v>
      </c>
      <c r="L238" s="107" t="s">
        <v>760</v>
      </c>
      <c r="M238" s="108">
        <v>44141.0</v>
      </c>
      <c r="N238" s="106" t="s">
        <v>735</v>
      </c>
      <c r="O238" s="116" t="s">
        <v>736</v>
      </c>
      <c r="P238" s="107" t="s">
        <v>761</v>
      </c>
      <c r="Q238" s="107" t="s">
        <v>761</v>
      </c>
      <c r="R238" s="110"/>
      <c r="S238" s="110"/>
      <c r="T238" s="110"/>
      <c r="U238" s="110"/>
      <c r="V238" s="110"/>
      <c r="W238" s="110"/>
      <c r="X238" s="110"/>
      <c r="Y238" s="110"/>
      <c r="Z238" s="110"/>
    </row>
    <row r="239" ht="15.75" customHeight="1">
      <c r="A239" s="105" t="s">
        <v>1059</v>
      </c>
      <c r="B239" s="154" t="s">
        <v>197</v>
      </c>
      <c r="C239" s="106" t="s">
        <v>1060</v>
      </c>
      <c r="D239" s="107" t="s">
        <v>185</v>
      </c>
      <c r="E239" s="106" t="s">
        <v>720</v>
      </c>
      <c r="F239" s="115" t="b">
        <v>1</v>
      </c>
      <c r="G239" s="126" t="s">
        <v>686</v>
      </c>
      <c r="H239" s="107" t="s">
        <v>91</v>
      </c>
      <c r="I239" s="107" t="s">
        <v>91</v>
      </c>
      <c r="J239" s="107" t="s">
        <v>85</v>
      </c>
      <c r="K239" s="106" t="s">
        <v>687</v>
      </c>
      <c r="L239" s="107" t="s">
        <v>688</v>
      </c>
      <c r="M239" s="108">
        <v>44142.0</v>
      </c>
      <c r="N239" s="106" t="s">
        <v>692</v>
      </c>
      <c r="O239" s="109" t="s">
        <v>690</v>
      </c>
      <c r="P239" s="107" t="s">
        <v>724</v>
      </c>
      <c r="Q239" s="107" t="s">
        <v>724</v>
      </c>
      <c r="R239" s="110"/>
      <c r="S239" s="110"/>
      <c r="T239" s="110"/>
      <c r="U239" s="110"/>
      <c r="V239" s="110"/>
      <c r="W239" s="110"/>
      <c r="X239" s="110"/>
      <c r="Y239" s="110"/>
      <c r="Z239" s="110"/>
    </row>
    <row r="240" ht="15.75" customHeight="1">
      <c r="A240" s="105" t="s">
        <v>1061</v>
      </c>
      <c r="B240" s="154" t="s">
        <v>197</v>
      </c>
      <c r="C240" s="106" t="s">
        <v>1062</v>
      </c>
      <c r="D240" s="107" t="s">
        <v>185</v>
      </c>
      <c r="E240" s="106" t="s">
        <v>768</v>
      </c>
      <c r="F240" s="117">
        <v>65.0</v>
      </c>
      <c r="G240" s="126" t="s">
        <v>723</v>
      </c>
      <c r="H240" s="105" t="s">
        <v>723</v>
      </c>
      <c r="I240" s="106" t="s">
        <v>723</v>
      </c>
      <c r="J240" s="107" t="s">
        <v>85</v>
      </c>
      <c r="K240" s="106" t="s">
        <v>687</v>
      </c>
      <c r="L240" s="107" t="s">
        <v>760</v>
      </c>
      <c r="M240" s="108">
        <v>44141.0</v>
      </c>
      <c r="N240" s="106" t="s">
        <v>735</v>
      </c>
      <c r="O240" s="116" t="s">
        <v>736</v>
      </c>
      <c r="P240" s="107" t="s">
        <v>761</v>
      </c>
      <c r="Q240" s="107" t="s">
        <v>761</v>
      </c>
      <c r="R240" s="110"/>
      <c r="S240" s="110"/>
      <c r="T240" s="110"/>
      <c r="U240" s="110"/>
      <c r="V240" s="110"/>
      <c r="W240" s="110"/>
      <c r="X240" s="110"/>
      <c r="Y240" s="110"/>
      <c r="Z240" s="110"/>
    </row>
    <row r="241" ht="15.75" customHeight="1">
      <c r="A241" s="105" t="s">
        <v>1063</v>
      </c>
      <c r="B241" s="154" t="s">
        <v>197</v>
      </c>
      <c r="C241" s="106" t="s">
        <v>1064</v>
      </c>
      <c r="D241" s="107" t="s">
        <v>185</v>
      </c>
      <c r="E241" s="106" t="s">
        <v>768</v>
      </c>
      <c r="F241" s="117">
        <v>55.0</v>
      </c>
      <c r="G241" s="126" t="s">
        <v>723</v>
      </c>
      <c r="H241" s="105" t="s">
        <v>723</v>
      </c>
      <c r="I241" s="106" t="s">
        <v>723</v>
      </c>
      <c r="J241" s="107" t="s">
        <v>85</v>
      </c>
      <c r="K241" s="106" t="s">
        <v>687</v>
      </c>
      <c r="L241" s="107" t="s">
        <v>760</v>
      </c>
      <c r="M241" s="108">
        <v>44141.0</v>
      </c>
      <c r="N241" s="106" t="s">
        <v>735</v>
      </c>
      <c r="O241" s="116" t="s">
        <v>736</v>
      </c>
      <c r="P241" s="107" t="s">
        <v>761</v>
      </c>
      <c r="Q241" s="107" t="s">
        <v>761</v>
      </c>
      <c r="R241" s="110"/>
      <c r="S241" s="110"/>
      <c r="T241" s="110"/>
      <c r="U241" s="110"/>
      <c r="V241" s="110"/>
      <c r="W241" s="110"/>
      <c r="X241" s="110"/>
      <c r="Y241" s="110"/>
      <c r="Z241" s="110"/>
    </row>
    <row r="242" ht="15.75" customHeight="1">
      <c r="A242" s="105" t="s">
        <v>1065</v>
      </c>
      <c r="B242" s="154" t="s">
        <v>44</v>
      </c>
      <c r="C242" s="106" t="s">
        <v>1066</v>
      </c>
      <c r="D242" s="107" t="s">
        <v>185</v>
      </c>
      <c r="E242" s="106" t="s">
        <v>768</v>
      </c>
      <c r="F242" s="117">
        <v>19401.0</v>
      </c>
      <c r="G242" s="106" t="s">
        <v>723</v>
      </c>
      <c r="H242" s="107" t="s">
        <v>1067</v>
      </c>
      <c r="I242" s="106" t="s">
        <v>723</v>
      </c>
      <c r="J242" s="107" t="s">
        <v>85</v>
      </c>
      <c r="K242" s="106" t="s">
        <v>749</v>
      </c>
      <c r="L242" s="107" t="s">
        <v>688</v>
      </c>
      <c r="M242" s="108">
        <v>44075.0</v>
      </c>
      <c r="N242" s="106" t="s">
        <v>701</v>
      </c>
      <c r="O242" s="109" t="s">
        <v>736</v>
      </c>
      <c r="P242" s="106" t="s">
        <v>750</v>
      </c>
      <c r="Q242" s="106" t="s">
        <v>750</v>
      </c>
      <c r="R242" s="110"/>
      <c r="S242" s="110"/>
      <c r="T242" s="110"/>
      <c r="U242" s="110"/>
      <c r="V242" s="110"/>
      <c r="W242" s="110"/>
      <c r="X242" s="110"/>
      <c r="Y242" s="110"/>
      <c r="Z242" s="110"/>
    </row>
    <row r="243" ht="15.75" customHeight="1">
      <c r="A243" s="105" t="s">
        <v>1068</v>
      </c>
      <c r="B243" s="154" t="s">
        <v>197</v>
      </c>
      <c r="C243" s="106" t="s">
        <v>1069</v>
      </c>
      <c r="D243" s="107" t="s">
        <v>185</v>
      </c>
      <c r="E243" s="106" t="s">
        <v>720</v>
      </c>
      <c r="F243" s="115" t="b">
        <v>1</v>
      </c>
      <c r="G243" s="106" t="s">
        <v>723</v>
      </c>
      <c r="H243" s="107" t="s">
        <v>1067</v>
      </c>
      <c r="I243" s="106" t="s">
        <v>723</v>
      </c>
      <c r="J243" s="107" t="s">
        <v>85</v>
      </c>
      <c r="K243" s="106" t="s">
        <v>687</v>
      </c>
      <c r="L243" s="107" t="s">
        <v>688</v>
      </c>
      <c r="M243" s="108">
        <v>44142.0</v>
      </c>
      <c r="N243" s="106" t="s">
        <v>701</v>
      </c>
      <c r="O243" s="109" t="s">
        <v>690</v>
      </c>
      <c r="P243" s="107" t="s">
        <v>744</v>
      </c>
      <c r="Q243" s="107" t="s">
        <v>744</v>
      </c>
      <c r="R243" s="110"/>
      <c r="S243" s="110"/>
      <c r="T243" s="110"/>
      <c r="U243" s="110"/>
      <c r="V243" s="110"/>
      <c r="W243" s="110"/>
      <c r="X243" s="110"/>
      <c r="Y243" s="110"/>
      <c r="Z243" s="110"/>
    </row>
    <row r="244" ht="15.75" customHeight="1">
      <c r="A244" s="105" t="s">
        <v>1070</v>
      </c>
      <c r="B244" s="154" t="s">
        <v>197</v>
      </c>
      <c r="C244" s="106" t="s">
        <v>1071</v>
      </c>
      <c r="D244" s="107" t="s">
        <v>185</v>
      </c>
      <c r="E244" s="106" t="s">
        <v>768</v>
      </c>
      <c r="F244" s="117">
        <v>8374.31</v>
      </c>
      <c r="G244" s="106" t="s">
        <v>723</v>
      </c>
      <c r="H244" s="107" t="s">
        <v>1067</v>
      </c>
      <c r="I244" s="106" t="s">
        <v>723</v>
      </c>
      <c r="J244" s="107" t="s">
        <v>85</v>
      </c>
      <c r="K244" s="106" t="s">
        <v>749</v>
      </c>
      <c r="L244" s="107" t="s">
        <v>688</v>
      </c>
      <c r="M244" s="108">
        <v>44124.0</v>
      </c>
      <c r="N244" s="106" t="s">
        <v>701</v>
      </c>
      <c r="O244" s="109" t="s">
        <v>690</v>
      </c>
      <c r="P244" s="107" t="s">
        <v>771</v>
      </c>
      <c r="Q244" s="107" t="s">
        <v>771</v>
      </c>
      <c r="R244" s="110"/>
      <c r="S244" s="110"/>
      <c r="T244" s="110"/>
      <c r="U244" s="110"/>
      <c r="V244" s="110"/>
      <c r="W244" s="110"/>
      <c r="X244" s="110"/>
      <c r="Y244" s="110"/>
      <c r="Z244" s="110"/>
    </row>
    <row r="245" ht="15.75" customHeight="1">
      <c r="A245" s="105" t="s">
        <v>1072</v>
      </c>
      <c r="B245" s="154" t="s">
        <v>58</v>
      </c>
      <c r="C245" s="106" t="s">
        <v>1073</v>
      </c>
      <c r="D245" s="107" t="s">
        <v>185</v>
      </c>
      <c r="E245" s="106" t="s">
        <v>768</v>
      </c>
      <c r="F245" s="117">
        <v>1383.48</v>
      </c>
      <c r="G245" s="106" t="s">
        <v>723</v>
      </c>
      <c r="H245" s="107" t="s">
        <v>1067</v>
      </c>
      <c r="I245" s="106" t="s">
        <v>723</v>
      </c>
      <c r="J245" s="107" t="s">
        <v>85</v>
      </c>
      <c r="K245" s="106" t="s">
        <v>749</v>
      </c>
      <c r="L245" s="107" t="s">
        <v>688</v>
      </c>
      <c r="M245" s="108">
        <v>44124.0</v>
      </c>
      <c r="N245" s="106" t="s">
        <v>701</v>
      </c>
      <c r="O245" s="109" t="s">
        <v>690</v>
      </c>
      <c r="P245" s="107" t="s">
        <v>771</v>
      </c>
      <c r="Q245" s="107" t="s">
        <v>771</v>
      </c>
      <c r="R245" s="110"/>
      <c r="S245" s="110"/>
      <c r="T245" s="110"/>
      <c r="U245" s="110"/>
      <c r="V245" s="110"/>
      <c r="W245" s="110"/>
      <c r="X245" s="110"/>
      <c r="Y245" s="110"/>
      <c r="Z245" s="110"/>
    </row>
    <row r="246" ht="15.75" customHeight="1">
      <c r="A246" s="105" t="s">
        <v>1074</v>
      </c>
      <c r="B246" s="154" t="s">
        <v>58</v>
      </c>
      <c r="C246" s="106" t="s">
        <v>1075</v>
      </c>
      <c r="D246" s="107" t="s">
        <v>185</v>
      </c>
      <c r="E246" s="106" t="s">
        <v>768</v>
      </c>
      <c r="F246" s="117">
        <v>8374.31</v>
      </c>
      <c r="G246" s="106" t="s">
        <v>1051</v>
      </c>
      <c r="H246" s="112" t="s">
        <v>1052</v>
      </c>
      <c r="I246" s="106" t="s">
        <v>1052</v>
      </c>
      <c r="J246" s="107" t="s">
        <v>85</v>
      </c>
      <c r="K246" s="106" t="s">
        <v>749</v>
      </c>
      <c r="L246" s="107" t="s">
        <v>688</v>
      </c>
      <c r="M246" s="108">
        <v>44124.0</v>
      </c>
      <c r="N246" s="106" t="s">
        <v>701</v>
      </c>
      <c r="O246" s="109" t="s">
        <v>690</v>
      </c>
      <c r="P246" s="107" t="s">
        <v>771</v>
      </c>
      <c r="Q246" s="107" t="s">
        <v>771</v>
      </c>
      <c r="R246" s="110"/>
      <c r="S246" s="110"/>
      <c r="T246" s="110"/>
      <c r="U246" s="110"/>
      <c r="V246" s="110"/>
      <c r="W246" s="110"/>
      <c r="X246" s="110"/>
      <c r="Y246" s="110"/>
      <c r="Z246" s="110"/>
    </row>
    <row r="247" ht="15.75" customHeight="1">
      <c r="A247" s="105" t="s">
        <v>1076</v>
      </c>
      <c r="B247" s="154" t="s">
        <v>696</v>
      </c>
      <c r="C247" s="106" t="s">
        <v>1077</v>
      </c>
      <c r="D247" s="107" t="s">
        <v>83</v>
      </c>
      <c r="E247" s="106" t="s">
        <v>698</v>
      </c>
      <c r="F247" s="125">
        <v>44229.0</v>
      </c>
      <c r="G247" s="106" t="s">
        <v>1051</v>
      </c>
      <c r="H247" s="112" t="s">
        <v>1052</v>
      </c>
      <c r="I247" s="126" t="s">
        <v>1052</v>
      </c>
      <c r="J247" s="107" t="s">
        <v>85</v>
      </c>
      <c r="K247" s="106" t="s">
        <v>687</v>
      </c>
      <c r="L247" s="107" t="s">
        <v>688</v>
      </c>
      <c r="M247" s="108">
        <v>44142.0</v>
      </c>
      <c r="N247" s="106" t="s">
        <v>735</v>
      </c>
      <c r="O247" s="116" t="s">
        <v>736</v>
      </c>
      <c r="P247" s="107" t="s">
        <v>691</v>
      </c>
      <c r="Q247" s="107" t="s">
        <v>691</v>
      </c>
      <c r="R247" s="110"/>
      <c r="S247" s="110"/>
      <c r="T247" s="110"/>
      <c r="U247" s="110"/>
      <c r="V247" s="110"/>
      <c r="W247" s="110"/>
      <c r="X247" s="110"/>
      <c r="Y247" s="110"/>
      <c r="Z247" s="110"/>
    </row>
    <row r="248" ht="15.75" customHeight="1">
      <c r="A248" s="105" t="s">
        <v>1078</v>
      </c>
      <c r="B248" s="154" t="s">
        <v>197</v>
      </c>
      <c r="C248" s="106" t="s">
        <v>1079</v>
      </c>
      <c r="D248" s="107" t="s">
        <v>185</v>
      </c>
      <c r="E248" s="106" t="s">
        <v>720</v>
      </c>
      <c r="F248" s="115" t="b">
        <v>1</v>
      </c>
      <c r="G248" s="106" t="s">
        <v>1051</v>
      </c>
      <c r="H248" s="112" t="s">
        <v>1052</v>
      </c>
      <c r="I248" s="126" t="s">
        <v>1052</v>
      </c>
      <c r="J248" s="107" t="s">
        <v>85</v>
      </c>
      <c r="K248" s="106" t="s">
        <v>687</v>
      </c>
      <c r="L248" s="107" t="s">
        <v>760</v>
      </c>
      <c r="M248" s="108">
        <v>44141.0</v>
      </c>
      <c r="N248" s="106" t="s">
        <v>735</v>
      </c>
      <c r="O248" s="116" t="s">
        <v>736</v>
      </c>
      <c r="P248" s="107" t="s">
        <v>761</v>
      </c>
      <c r="Q248" s="107" t="s">
        <v>761</v>
      </c>
      <c r="R248" s="110"/>
      <c r="S248" s="110"/>
      <c r="T248" s="110"/>
      <c r="U248" s="110"/>
      <c r="V248" s="110"/>
      <c r="W248" s="110"/>
      <c r="X248" s="110"/>
      <c r="Y248" s="110"/>
      <c r="Z248" s="110"/>
    </row>
    <row r="249" ht="15.75" customHeight="1">
      <c r="A249" s="105" t="s">
        <v>1080</v>
      </c>
      <c r="B249" s="154" t="s">
        <v>197</v>
      </c>
      <c r="C249" s="106" t="s">
        <v>1081</v>
      </c>
      <c r="D249" s="107" t="s">
        <v>185</v>
      </c>
      <c r="E249" s="106" t="s">
        <v>720</v>
      </c>
      <c r="F249" s="115" t="b">
        <v>1</v>
      </c>
      <c r="G249" s="106" t="s">
        <v>1051</v>
      </c>
      <c r="H249" s="112" t="s">
        <v>1052</v>
      </c>
      <c r="I249" s="126" t="s">
        <v>1052</v>
      </c>
      <c r="J249" s="107" t="s">
        <v>85</v>
      </c>
      <c r="K249" s="106" t="s">
        <v>687</v>
      </c>
      <c r="L249" s="107" t="s">
        <v>760</v>
      </c>
      <c r="M249" s="108">
        <v>44141.0</v>
      </c>
      <c r="N249" s="106" t="s">
        <v>735</v>
      </c>
      <c r="O249" s="116" t="s">
        <v>736</v>
      </c>
      <c r="P249" s="107" t="s">
        <v>761</v>
      </c>
      <c r="Q249" s="107" t="s">
        <v>761</v>
      </c>
      <c r="R249" s="110"/>
      <c r="S249" s="110"/>
      <c r="T249" s="110"/>
      <c r="U249" s="110"/>
      <c r="V249" s="110"/>
      <c r="W249" s="110"/>
      <c r="X249" s="110"/>
      <c r="Y249" s="110"/>
      <c r="Z249" s="110"/>
    </row>
    <row r="250" ht="15.75" customHeight="1">
      <c r="A250" s="105" t="s">
        <v>1082</v>
      </c>
      <c r="B250" s="154" t="s">
        <v>197</v>
      </c>
      <c r="C250" s="106" t="s">
        <v>1083</v>
      </c>
      <c r="D250" s="107" t="s">
        <v>135</v>
      </c>
      <c r="E250" s="106" t="s">
        <v>768</v>
      </c>
      <c r="F250" s="117">
        <v>0.05</v>
      </c>
      <c r="G250" s="106" t="s">
        <v>1051</v>
      </c>
      <c r="H250" s="112" t="s">
        <v>1052</v>
      </c>
      <c r="I250" s="126" t="s">
        <v>1052</v>
      </c>
      <c r="J250" s="107"/>
      <c r="K250" s="106" t="s">
        <v>749</v>
      </c>
      <c r="L250" s="107" t="s">
        <v>763</v>
      </c>
      <c r="M250" s="108">
        <v>44075.0</v>
      </c>
      <c r="N250" s="126" t="s">
        <v>913</v>
      </c>
      <c r="O250" s="109" t="s">
        <v>914</v>
      </c>
      <c r="P250" s="107" t="s">
        <v>724</v>
      </c>
      <c r="Q250" s="107" t="s">
        <v>724</v>
      </c>
      <c r="R250" s="110"/>
      <c r="S250" s="110"/>
      <c r="T250" s="110"/>
      <c r="U250" s="110"/>
      <c r="V250" s="110"/>
      <c r="W250" s="110"/>
      <c r="X250" s="110"/>
      <c r="Y250" s="110"/>
      <c r="Z250" s="110"/>
    </row>
    <row r="251" ht="15.75" customHeight="1">
      <c r="A251" s="105" t="s">
        <v>1084</v>
      </c>
      <c r="B251" s="153" t="s">
        <v>696</v>
      </c>
      <c r="C251" s="106" t="s">
        <v>1085</v>
      </c>
      <c r="D251" s="107" t="s">
        <v>135</v>
      </c>
      <c r="E251" s="106" t="s">
        <v>685</v>
      </c>
      <c r="F251" s="117">
        <v>2999.0</v>
      </c>
      <c r="G251" s="106" t="s">
        <v>723</v>
      </c>
      <c r="H251" s="117" t="s">
        <v>1067</v>
      </c>
      <c r="I251" s="106" t="s">
        <v>723</v>
      </c>
      <c r="J251" s="107"/>
      <c r="K251" s="106" t="s">
        <v>749</v>
      </c>
      <c r="L251" s="107" t="s">
        <v>763</v>
      </c>
      <c r="M251" s="108">
        <v>44075.0</v>
      </c>
      <c r="N251" s="126" t="s">
        <v>701</v>
      </c>
      <c r="O251" s="109" t="s">
        <v>690</v>
      </c>
      <c r="P251" s="107" t="s">
        <v>702</v>
      </c>
      <c r="Q251" s="107" t="s">
        <v>702</v>
      </c>
      <c r="R251" s="110"/>
      <c r="S251" s="110"/>
      <c r="T251" s="110"/>
      <c r="U251" s="110"/>
      <c r="V251" s="110"/>
      <c r="W251" s="110"/>
      <c r="X251" s="110"/>
      <c r="Y251" s="110"/>
      <c r="Z251" s="110"/>
    </row>
    <row r="252" ht="15.75" customHeight="1">
      <c r="A252" s="105" t="s">
        <v>1086</v>
      </c>
      <c r="B252" s="154" t="s">
        <v>197</v>
      </c>
      <c r="C252" s="106" t="s">
        <v>1087</v>
      </c>
      <c r="D252" s="107" t="s">
        <v>185</v>
      </c>
      <c r="E252" s="106" t="s">
        <v>720</v>
      </c>
      <c r="F252" s="115" t="b">
        <v>1</v>
      </c>
      <c r="G252" s="106" t="s">
        <v>723</v>
      </c>
      <c r="H252" s="117" t="s">
        <v>1067</v>
      </c>
      <c r="I252" s="106" t="s">
        <v>723</v>
      </c>
      <c r="J252" s="107" t="s">
        <v>85</v>
      </c>
      <c r="K252" s="106" t="s">
        <v>687</v>
      </c>
      <c r="L252" s="107" t="s">
        <v>688</v>
      </c>
      <c r="M252" s="108">
        <v>44142.0</v>
      </c>
      <c r="N252" s="126" t="s">
        <v>701</v>
      </c>
      <c r="O252" s="116" t="s">
        <v>732</v>
      </c>
      <c r="P252" s="107" t="s">
        <v>771</v>
      </c>
      <c r="Q252" s="107" t="s">
        <v>771</v>
      </c>
      <c r="R252" s="110"/>
      <c r="S252" s="110"/>
      <c r="T252" s="110"/>
      <c r="U252" s="110"/>
      <c r="V252" s="110"/>
      <c r="W252" s="110"/>
      <c r="X252" s="110"/>
      <c r="Y252" s="110"/>
      <c r="Z252" s="110"/>
    </row>
    <row r="253" ht="15.75" customHeight="1">
      <c r="A253" s="105" t="s">
        <v>1088</v>
      </c>
      <c r="B253" s="154" t="s">
        <v>52</v>
      </c>
      <c r="C253" s="106" t="s">
        <v>1089</v>
      </c>
      <c r="D253" s="107" t="s">
        <v>185</v>
      </c>
      <c r="E253" s="106" t="s">
        <v>685</v>
      </c>
      <c r="F253" s="117" t="s">
        <v>1090</v>
      </c>
      <c r="G253" s="106" t="s">
        <v>1051</v>
      </c>
      <c r="H253" s="112" t="s">
        <v>1052</v>
      </c>
      <c r="I253" s="126" t="s">
        <v>1052</v>
      </c>
      <c r="J253" s="107" t="s">
        <v>85</v>
      </c>
      <c r="K253" s="106" t="s">
        <v>687</v>
      </c>
      <c r="L253" s="107" t="s">
        <v>688</v>
      </c>
      <c r="M253" s="108">
        <v>44142.0</v>
      </c>
      <c r="N253" s="106" t="s">
        <v>735</v>
      </c>
      <c r="O253" s="116" t="s">
        <v>736</v>
      </c>
      <c r="P253" s="107" t="s">
        <v>721</v>
      </c>
      <c r="Q253" s="107" t="s">
        <v>721</v>
      </c>
      <c r="R253" s="110"/>
      <c r="S253" s="110"/>
      <c r="T253" s="110"/>
      <c r="U253" s="110"/>
      <c r="V253" s="110"/>
      <c r="W253" s="110"/>
      <c r="X253" s="110"/>
      <c r="Y253" s="110"/>
      <c r="Z253" s="110"/>
    </row>
    <row r="254" ht="15.75" customHeight="1">
      <c r="A254" s="105" t="s">
        <v>1091</v>
      </c>
      <c r="B254" s="154" t="s">
        <v>52</v>
      </c>
      <c r="C254" s="106" t="s">
        <v>1092</v>
      </c>
      <c r="D254" s="107" t="s">
        <v>185</v>
      </c>
      <c r="E254" s="106" t="s">
        <v>685</v>
      </c>
      <c r="F254" s="117" t="s">
        <v>1093</v>
      </c>
      <c r="G254" s="106" t="s">
        <v>1051</v>
      </c>
      <c r="H254" s="112" t="s">
        <v>1052</v>
      </c>
      <c r="I254" s="126" t="s">
        <v>1052</v>
      </c>
      <c r="J254" s="107" t="s">
        <v>85</v>
      </c>
      <c r="K254" s="106" t="s">
        <v>687</v>
      </c>
      <c r="L254" s="107" t="s">
        <v>688</v>
      </c>
      <c r="M254" s="108">
        <v>44142.0</v>
      </c>
      <c r="N254" s="106" t="s">
        <v>735</v>
      </c>
      <c r="O254" s="116" t="s">
        <v>736</v>
      </c>
      <c r="P254" s="107" t="s">
        <v>721</v>
      </c>
      <c r="Q254" s="107" t="s">
        <v>721</v>
      </c>
      <c r="R254" s="110"/>
      <c r="S254" s="110"/>
      <c r="T254" s="110"/>
      <c r="U254" s="110"/>
      <c r="V254" s="110"/>
      <c r="W254" s="110"/>
      <c r="X254" s="110"/>
      <c r="Y254" s="110"/>
      <c r="Z254" s="110"/>
    </row>
    <row r="255" ht="15.75" customHeight="1">
      <c r="A255" s="105" t="s">
        <v>1094</v>
      </c>
      <c r="B255" s="154" t="s">
        <v>58</v>
      </c>
      <c r="C255" s="106" t="s">
        <v>1095</v>
      </c>
      <c r="D255" s="107" t="s">
        <v>83</v>
      </c>
      <c r="E255" s="106" t="s">
        <v>768</v>
      </c>
      <c r="F255" s="117">
        <v>3030.15</v>
      </c>
      <c r="G255" s="106" t="s">
        <v>1051</v>
      </c>
      <c r="H255" s="112" t="s">
        <v>1052</v>
      </c>
      <c r="I255" s="126" t="s">
        <v>1052</v>
      </c>
      <c r="J255" s="107" t="s">
        <v>85</v>
      </c>
      <c r="K255" s="126" t="s">
        <v>749</v>
      </c>
      <c r="L255" s="117" t="s">
        <v>749</v>
      </c>
      <c r="M255" s="108">
        <v>44075.0</v>
      </c>
      <c r="N255" s="106" t="s">
        <v>692</v>
      </c>
      <c r="O255" s="109" t="s">
        <v>690</v>
      </c>
      <c r="P255" s="107" t="s">
        <v>750</v>
      </c>
      <c r="Q255" s="107" t="s">
        <v>750</v>
      </c>
      <c r="R255" s="110"/>
      <c r="S255" s="110"/>
      <c r="T255" s="110"/>
      <c r="U255" s="110"/>
      <c r="V255" s="110"/>
      <c r="W255" s="110"/>
      <c r="X255" s="110"/>
      <c r="Y255" s="110"/>
      <c r="Z255" s="110"/>
    </row>
    <row r="256" ht="15.75" customHeight="1">
      <c r="A256" s="105" t="s">
        <v>1096</v>
      </c>
      <c r="B256" s="153" t="s">
        <v>44</v>
      </c>
      <c r="C256" s="106" t="s">
        <v>1097</v>
      </c>
      <c r="D256" s="107" t="s">
        <v>185</v>
      </c>
      <c r="E256" s="106" t="s">
        <v>768</v>
      </c>
      <c r="F256" s="117">
        <v>3000.0</v>
      </c>
      <c r="G256" s="117" t="s">
        <v>835</v>
      </c>
      <c r="H256" s="117" t="s">
        <v>91</v>
      </c>
      <c r="I256" s="117" t="s">
        <v>91</v>
      </c>
      <c r="J256" s="107" t="s">
        <v>85</v>
      </c>
      <c r="K256" s="106" t="s">
        <v>687</v>
      </c>
      <c r="L256" s="107" t="s">
        <v>688</v>
      </c>
      <c r="M256" s="108">
        <v>44142.0</v>
      </c>
      <c r="N256" s="126" t="s">
        <v>1327</v>
      </c>
      <c r="O256" s="116" t="s">
        <v>690</v>
      </c>
      <c r="P256" s="106" t="s">
        <v>750</v>
      </c>
      <c r="Q256" s="106" t="s">
        <v>750</v>
      </c>
      <c r="R256" s="110"/>
      <c r="S256" s="110"/>
      <c r="T256" s="110"/>
      <c r="U256" s="110"/>
      <c r="V256" s="110"/>
      <c r="W256" s="110"/>
      <c r="X256" s="110"/>
      <c r="Y256" s="110"/>
      <c r="Z256" s="110"/>
    </row>
    <row r="257" ht="15.75" customHeight="1">
      <c r="A257" s="105" t="s">
        <v>1098</v>
      </c>
      <c r="B257" s="154" t="s">
        <v>44</v>
      </c>
      <c r="C257" s="106" t="s">
        <v>1099</v>
      </c>
      <c r="D257" s="107" t="s">
        <v>185</v>
      </c>
      <c r="E257" s="106" t="s">
        <v>768</v>
      </c>
      <c r="F257" s="124">
        <v>1499.0</v>
      </c>
      <c r="G257" s="106" t="s">
        <v>723</v>
      </c>
      <c r="H257" s="124" t="s">
        <v>1067</v>
      </c>
      <c r="I257" s="106" t="s">
        <v>723</v>
      </c>
      <c r="J257" s="124" t="s">
        <v>85</v>
      </c>
      <c r="K257" s="114" t="s">
        <v>749</v>
      </c>
      <c r="L257" s="124" t="s">
        <v>688</v>
      </c>
      <c r="M257" s="108">
        <v>44142.0</v>
      </c>
      <c r="N257" s="126" t="s">
        <v>701</v>
      </c>
      <c r="O257" s="109" t="s">
        <v>690</v>
      </c>
      <c r="P257" s="107" t="s">
        <v>705</v>
      </c>
      <c r="Q257" s="107" t="s">
        <v>705</v>
      </c>
      <c r="R257" s="110"/>
      <c r="S257" s="110"/>
      <c r="T257" s="110"/>
      <c r="U257" s="110"/>
      <c r="V257" s="110"/>
      <c r="W257" s="110"/>
      <c r="X257" s="110"/>
      <c r="Y257" s="110"/>
      <c r="Z257" s="110"/>
    </row>
    <row r="258" ht="15.75" customHeight="1">
      <c r="A258" s="105" t="s">
        <v>1100</v>
      </c>
      <c r="B258" s="154" t="s">
        <v>58</v>
      </c>
      <c r="C258" s="106" t="s">
        <v>1101</v>
      </c>
      <c r="D258" s="107" t="s">
        <v>185</v>
      </c>
      <c r="E258" s="106" t="s">
        <v>1102</v>
      </c>
      <c r="F258" s="126">
        <v>20.25</v>
      </c>
      <c r="G258" s="105" t="s">
        <v>394</v>
      </c>
      <c r="H258" s="126" t="s">
        <v>394</v>
      </c>
      <c r="I258" s="126" t="s">
        <v>394</v>
      </c>
      <c r="J258" s="126" t="s">
        <v>85</v>
      </c>
      <c r="K258" s="126" t="s">
        <v>749</v>
      </c>
      <c r="L258" s="126" t="s">
        <v>749</v>
      </c>
      <c r="M258" s="108">
        <v>44075.0</v>
      </c>
      <c r="N258" s="126" t="s">
        <v>1318</v>
      </c>
      <c r="O258" s="116" t="s">
        <v>1482</v>
      </c>
      <c r="P258" s="126" t="s">
        <v>750</v>
      </c>
      <c r="Q258" s="126" t="s">
        <v>750</v>
      </c>
      <c r="R258" s="130"/>
      <c r="S258" s="130"/>
      <c r="T258" s="130"/>
      <c r="U258" s="130"/>
      <c r="V258" s="130"/>
      <c r="W258" s="130"/>
      <c r="X258" s="130"/>
      <c r="Y258" s="130"/>
      <c r="Z258" s="130"/>
    </row>
    <row r="259" ht="15.75" customHeight="1">
      <c r="A259" s="105" t="s">
        <v>1103</v>
      </c>
      <c r="B259" s="154" t="s">
        <v>58</v>
      </c>
      <c r="C259" s="106" t="s">
        <v>1104</v>
      </c>
      <c r="D259" s="107" t="s">
        <v>185</v>
      </c>
      <c r="E259" s="106" t="s">
        <v>1102</v>
      </c>
      <c r="F259" s="126">
        <v>20.25</v>
      </c>
      <c r="G259" s="105" t="s">
        <v>394</v>
      </c>
      <c r="H259" s="126" t="s">
        <v>394</v>
      </c>
      <c r="I259" s="126" t="s">
        <v>394</v>
      </c>
      <c r="J259" s="126" t="s">
        <v>85</v>
      </c>
      <c r="K259" s="126" t="s">
        <v>749</v>
      </c>
      <c r="L259" s="126" t="s">
        <v>749</v>
      </c>
      <c r="M259" s="108">
        <v>44075.0</v>
      </c>
      <c r="N259" s="126" t="s">
        <v>1318</v>
      </c>
      <c r="O259" s="116" t="s">
        <v>1482</v>
      </c>
      <c r="P259" s="126" t="s">
        <v>750</v>
      </c>
      <c r="Q259" s="126" t="s">
        <v>750</v>
      </c>
      <c r="R259" s="130"/>
      <c r="S259" s="130"/>
      <c r="T259" s="130"/>
      <c r="U259" s="130"/>
      <c r="V259" s="130"/>
      <c r="W259" s="130"/>
      <c r="X259" s="130"/>
      <c r="Y259" s="130"/>
      <c r="Z259" s="130"/>
    </row>
    <row r="260" ht="15.75" customHeight="1">
      <c r="A260" s="105" t="s">
        <v>1105</v>
      </c>
      <c r="B260" s="154" t="s">
        <v>58</v>
      </c>
      <c r="C260" s="106" t="s">
        <v>1106</v>
      </c>
      <c r="D260" s="107" t="s">
        <v>185</v>
      </c>
      <c r="E260" s="106" t="s">
        <v>1102</v>
      </c>
      <c r="F260" s="126">
        <v>20.25</v>
      </c>
      <c r="G260" s="105" t="s">
        <v>394</v>
      </c>
      <c r="H260" s="126" t="s">
        <v>394</v>
      </c>
      <c r="I260" s="126" t="s">
        <v>394</v>
      </c>
      <c r="J260" s="126" t="s">
        <v>85</v>
      </c>
      <c r="K260" s="126" t="s">
        <v>749</v>
      </c>
      <c r="L260" s="126" t="s">
        <v>749</v>
      </c>
      <c r="M260" s="108">
        <v>44075.0</v>
      </c>
      <c r="N260" s="156" t="s">
        <v>1318</v>
      </c>
      <c r="O260" s="116" t="s">
        <v>1482</v>
      </c>
      <c r="P260" s="126" t="s">
        <v>750</v>
      </c>
      <c r="Q260" s="126" t="s">
        <v>750</v>
      </c>
      <c r="R260" s="130"/>
      <c r="S260" s="130"/>
      <c r="T260" s="130"/>
      <c r="U260" s="130"/>
      <c r="V260" s="130"/>
      <c r="W260" s="130"/>
      <c r="X260" s="130"/>
      <c r="Y260" s="130"/>
      <c r="Z260" s="130"/>
    </row>
    <row r="261" ht="15.75" customHeight="1">
      <c r="A261" s="105" t="s">
        <v>1107</v>
      </c>
      <c r="B261" s="154" t="s">
        <v>58</v>
      </c>
      <c r="C261" s="106" t="s">
        <v>1108</v>
      </c>
      <c r="D261" s="107" t="s">
        <v>185</v>
      </c>
      <c r="E261" s="106" t="s">
        <v>1102</v>
      </c>
      <c r="F261" s="126">
        <v>20.25</v>
      </c>
      <c r="G261" s="105" t="s">
        <v>394</v>
      </c>
      <c r="H261" s="126" t="s">
        <v>394</v>
      </c>
      <c r="I261" s="126" t="s">
        <v>394</v>
      </c>
      <c r="J261" s="126" t="s">
        <v>85</v>
      </c>
      <c r="K261" s="126" t="s">
        <v>749</v>
      </c>
      <c r="L261" s="126" t="s">
        <v>749</v>
      </c>
      <c r="M261" s="108">
        <v>44075.0</v>
      </c>
      <c r="N261" s="157" t="s">
        <v>1318</v>
      </c>
      <c r="O261" s="116" t="s">
        <v>1482</v>
      </c>
      <c r="P261" s="126" t="s">
        <v>750</v>
      </c>
      <c r="Q261" s="126" t="s">
        <v>750</v>
      </c>
      <c r="R261" s="130"/>
      <c r="S261" s="130"/>
      <c r="T261" s="130"/>
      <c r="U261" s="130"/>
      <c r="V261" s="130"/>
      <c r="W261" s="130"/>
      <c r="X261" s="130"/>
      <c r="Y261" s="130"/>
      <c r="Z261" s="130"/>
    </row>
    <row r="262" ht="15.75" customHeight="1">
      <c r="A262" s="105" t="s">
        <v>1109</v>
      </c>
      <c r="B262" s="154" t="s">
        <v>58</v>
      </c>
      <c r="C262" s="106" t="s">
        <v>1110</v>
      </c>
      <c r="D262" s="107" t="s">
        <v>185</v>
      </c>
      <c r="E262" s="106" t="s">
        <v>1102</v>
      </c>
      <c r="F262" s="126">
        <v>20.25</v>
      </c>
      <c r="G262" s="105" t="s">
        <v>394</v>
      </c>
      <c r="H262" s="126" t="s">
        <v>394</v>
      </c>
      <c r="I262" s="126" t="s">
        <v>394</v>
      </c>
      <c r="J262" s="126" t="s">
        <v>85</v>
      </c>
      <c r="K262" s="126" t="s">
        <v>749</v>
      </c>
      <c r="L262" s="126" t="s">
        <v>749</v>
      </c>
      <c r="M262" s="108">
        <v>44075.0</v>
      </c>
      <c r="N262" s="156" t="s">
        <v>1318</v>
      </c>
      <c r="O262" s="116" t="s">
        <v>1482</v>
      </c>
      <c r="P262" s="126" t="s">
        <v>750</v>
      </c>
      <c r="Q262" s="126" t="s">
        <v>750</v>
      </c>
      <c r="R262" s="130"/>
      <c r="S262" s="130"/>
      <c r="T262" s="130"/>
      <c r="U262" s="130"/>
      <c r="V262" s="130"/>
      <c r="W262" s="130"/>
      <c r="X262" s="130"/>
      <c r="Y262" s="130"/>
      <c r="Z262" s="130"/>
    </row>
    <row r="263" ht="15.75" customHeight="1">
      <c r="A263" s="105" t="s">
        <v>1111</v>
      </c>
      <c r="B263" s="154" t="s">
        <v>58</v>
      </c>
      <c r="C263" s="106" t="s">
        <v>1112</v>
      </c>
      <c r="D263" s="107" t="s">
        <v>185</v>
      </c>
      <c r="E263" s="106" t="s">
        <v>1102</v>
      </c>
      <c r="F263" s="126">
        <v>20.25</v>
      </c>
      <c r="G263" s="105" t="s">
        <v>394</v>
      </c>
      <c r="H263" s="126" t="s">
        <v>394</v>
      </c>
      <c r="I263" s="126" t="s">
        <v>394</v>
      </c>
      <c r="J263" s="126" t="s">
        <v>85</v>
      </c>
      <c r="K263" s="126" t="s">
        <v>749</v>
      </c>
      <c r="L263" s="126" t="s">
        <v>749</v>
      </c>
      <c r="M263" s="108">
        <v>44075.0</v>
      </c>
      <c r="N263" s="157" t="s">
        <v>1318</v>
      </c>
      <c r="O263" s="116" t="s">
        <v>1482</v>
      </c>
      <c r="P263" s="126" t="s">
        <v>750</v>
      </c>
      <c r="Q263" s="126" t="s">
        <v>750</v>
      </c>
      <c r="R263" s="130"/>
      <c r="S263" s="130"/>
      <c r="T263" s="130"/>
      <c r="U263" s="130"/>
      <c r="V263" s="130"/>
      <c r="W263" s="130"/>
      <c r="X263" s="130"/>
      <c r="Y263" s="130"/>
      <c r="Z263" s="130"/>
    </row>
    <row r="264" ht="15.75" customHeight="1">
      <c r="A264" s="105" t="s">
        <v>1113</v>
      </c>
      <c r="B264" s="154" t="s">
        <v>197</v>
      </c>
      <c r="C264" s="106" t="s">
        <v>1114</v>
      </c>
      <c r="D264" s="107" t="s">
        <v>185</v>
      </c>
      <c r="E264" s="106" t="s">
        <v>1115</v>
      </c>
      <c r="F264" s="126">
        <v>15.0</v>
      </c>
      <c r="G264" s="105" t="s">
        <v>394</v>
      </c>
      <c r="H264" s="126" t="s">
        <v>394</v>
      </c>
      <c r="I264" s="126" t="s">
        <v>394</v>
      </c>
      <c r="J264" s="126" t="s">
        <v>85</v>
      </c>
      <c r="K264" s="126" t="s">
        <v>687</v>
      </c>
      <c r="L264" s="126" t="s">
        <v>760</v>
      </c>
      <c r="M264" s="108">
        <v>44141.0</v>
      </c>
      <c r="N264" s="158" t="s">
        <v>735</v>
      </c>
      <c r="O264" s="159" t="s">
        <v>736</v>
      </c>
      <c r="P264" s="126" t="s">
        <v>761</v>
      </c>
      <c r="Q264" s="126" t="s">
        <v>761</v>
      </c>
      <c r="R264" s="130"/>
      <c r="S264" s="130"/>
      <c r="T264" s="130"/>
      <c r="U264" s="130"/>
      <c r="V264" s="130"/>
      <c r="W264" s="130"/>
      <c r="X264" s="130"/>
      <c r="Y264" s="130"/>
      <c r="Z264" s="130"/>
    </row>
    <row r="265" ht="15.75" customHeight="1">
      <c r="A265" s="105" t="s">
        <v>1116</v>
      </c>
      <c r="B265" s="154" t="s">
        <v>197</v>
      </c>
      <c r="C265" s="106" t="s">
        <v>1117</v>
      </c>
      <c r="D265" s="107" t="s">
        <v>185</v>
      </c>
      <c r="E265" s="106" t="s">
        <v>1115</v>
      </c>
      <c r="F265" s="126">
        <v>15.0</v>
      </c>
      <c r="G265" s="105" t="s">
        <v>394</v>
      </c>
      <c r="H265" s="126" t="s">
        <v>394</v>
      </c>
      <c r="I265" s="126" t="s">
        <v>394</v>
      </c>
      <c r="J265" s="126" t="s">
        <v>85</v>
      </c>
      <c r="K265" s="126" t="s">
        <v>687</v>
      </c>
      <c r="L265" s="126" t="s">
        <v>760</v>
      </c>
      <c r="M265" s="108">
        <v>44141.0</v>
      </c>
      <c r="N265" s="160" t="s">
        <v>735</v>
      </c>
      <c r="O265" s="159" t="s">
        <v>736</v>
      </c>
      <c r="P265" s="126" t="s">
        <v>761</v>
      </c>
      <c r="Q265" s="126" t="s">
        <v>761</v>
      </c>
      <c r="R265" s="130"/>
      <c r="S265" s="130"/>
      <c r="T265" s="130"/>
      <c r="U265" s="130"/>
      <c r="V265" s="130"/>
      <c r="W265" s="130"/>
      <c r="X265" s="130"/>
      <c r="Y265" s="130"/>
      <c r="Z265" s="130"/>
    </row>
    <row r="266" ht="15.75" customHeight="1">
      <c r="A266" s="105" t="s">
        <v>1118</v>
      </c>
      <c r="B266" s="154" t="s">
        <v>197</v>
      </c>
      <c r="C266" s="106" t="s">
        <v>1119</v>
      </c>
      <c r="D266" s="107" t="s">
        <v>185</v>
      </c>
      <c r="E266" s="106" t="s">
        <v>1115</v>
      </c>
      <c r="F266" s="126">
        <v>15.0</v>
      </c>
      <c r="G266" s="105" t="s">
        <v>394</v>
      </c>
      <c r="H266" s="126" t="s">
        <v>394</v>
      </c>
      <c r="I266" s="126" t="s">
        <v>394</v>
      </c>
      <c r="J266" s="126" t="s">
        <v>85</v>
      </c>
      <c r="K266" s="126" t="s">
        <v>687</v>
      </c>
      <c r="L266" s="126" t="s">
        <v>760</v>
      </c>
      <c r="M266" s="108">
        <v>44141.0</v>
      </c>
      <c r="N266" s="160" t="s">
        <v>735</v>
      </c>
      <c r="O266" s="159" t="s">
        <v>736</v>
      </c>
      <c r="P266" s="126" t="s">
        <v>761</v>
      </c>
      <c r="Q266" s="126" t="s">
        <v>761</v>
      </c>
      <c r="R266" s="130"/>
      <c r="S266" s="130"/>
      <c r="T266" s="130"/>
      <c r="U266" s="130"/>
      <c r="V266" s="130"/>
      <c r="W266" s="130"/>
      <c r="X266" s="130"/>
      <c r="Y266" s="130"/>
      <c r="Z266" s="130"/>
    </row>
    <row r="267" ht="15.75" customHeight="1">
      <c r="A267" s="105" t="s">
        <v>1120</v>
      </c>
      <c r="B267" s="154" t="s">
        <v>197</v>
      </c>
      <c r="C267" s="106" t="s">
        <v>1121</v>
      </c>
      <c r="D267" s="107" t="s">
        <v>135</v>
      </c>
      <c r="E267" s="106" t="s">
        <v>685</v>
      </c>
      <c r="F267" s="126" t="s">
        <v>1122</v>
      </c>
      <c r="G267" s="126" t="s">
        <v>723</v>
      </c>
      <c r="H267" s="126" t="s">
        <v>91</v>
      </c>
      <c r="I267" s="126" t="s">
        <v>723</v>
      </c>
      <c r="J267" s="126" t="s">
        <v>85</v>
      </c>
      <c r="K267" s="126" t="s">
        <v>749</v>
      </c>
      <c r="L267" s="126" t="s">
        <v>763</v>
      </c>
      <c r="M267" s="108">
        <v>44075.0</v>
      </c>
      <c r="N267" s="106" t="s">
        <v>741</v>
      </c>
      <c r="O267" s="159" t="s">
        <v>736</v>
      </c>
      <c r="P267" s="126" t="s">
        <v>745</v>
      </c>
      <c r="Q267" s="126" t="s">
        <v>745</v>
      </c>
      <c r="R267" s="130"/>
      <c r="S267" s="130"/>
      <c r="T267" s="130"/>
      <c r="U267" s="130"/>
      <c r="V267" s="130"/>
      <c r="W267" s="130"/>
      <c r="X267" s="130"/>
      <c r="Y267" s="130"/>
      <c r="Z267" s="130"/>
    </row>
    <row r="268" ht="15.75" customHeight="1">
      <c r="A268" s="105" t="s">
        <v>133</v>
      </c>
      <c r="B268" s="154" t="s">
        <v>44</v>
      </c>
      <c r="C268" s="106" t="s">
        <v>1123</v>
      </c>
      <c r="D268" s="107" t="s">
        <v>1339</v>
      </c>
      <c r="E268" s="106" t="s">
        <v>1115</v>
      </c>
      <c r="F268" s="126">
        <v>58.0</v>
      </c>
      <c r="G268" s="126" t="s">
        <v>136</v>
      </c>
      <c r="H268" s="126" t="s">
        <v>1124</v>
      </c>
      <c r="I268" s="126" t="s">
        <v>1124</v>
      </c>
      <c r="J268" s="126" t="s">
        <v>85</v>
      </c>
      <c r="K268" s="126" t="s">
        <v>749</v>
      </c>
      <c r="L268" s="126" t="s">
        <v>763</v>
      </c>
      <c r="M268" s="108">
        <v>44075.0</v>
      </c>
      <c r="N268" s="106" t="s">
        <v>701</v>
      </c>
      <c r="O268" s="109" t="s">
        <v>690</v>
      </c>
      <c r="P268" s="126" t="s">
        <v>691</v>
      </c>
      <c r="Q268" s="126" t="s">
        <v>691</v>
      </c>
      <c r="R268" s="130"/>
      <c r="S268" s="130"/>
      <c r="T268" s="130"/>
      <c r="U268" s="130"/>
      <c r="V268" s="130"/>
      <c r="W268" s="130"/>
      <c r="X268" s="130"/>
      <c r="Y268" s="130"/>
      <c r="Z268" s="130"/>
    </row>
    <row r="269" ht="15.75" customHeight="1">
      <c r="A269" s="105" t="s">
        <v>172</v>
      </c>
      <c r="B269" s="154" t="s">
        <v>842</v>
      </c>
      <c r="C269" s="106" t="s">
        <v>1125</v>
      </c>
      <c r="D269" s="107" t="s">
        <v>1339</v>
      </c>
      <c r="E269" s="106" t="s">
        <v>685</v>
      </c>
      <c r="F269" s="126" t="s">
        <v>1126</v>
      </c>
      <c r="G269" s="126" t="s">
        <v>136</v>
      </c>
      <c r="H269" s="126" t="s">
        <v>1124</v>
      </c>
      <c r="I269" s="126" t="s">
        <v>1124</v>
      </c>
      <c r="J269" s="126" t="s">
        <v>85</v>
      </c>
      <c r="K269" s="126" t="s">
        <v>749</v>
      </c>
      <c r="L269" s="126" t="s">
        <v>763</v>
      </c>
      <c r="M269" s="108">
        <v>44075.0</v>
      </c>
      <c r="N269" s="106" t="s">
        <v>689</v>
      </c>
      <c r="O269" s="109" t="s">
        <v>690</v>
      </c>
      <c r="P269" s="126" t="s">
        <v>691</v>
      </c>
      <c r="Q269" s="126" t="s">
        <v>691</v>
      </c>
      <c r="R269" s="130"/>
      <c r="S269" s="130"/>
      <c r="T269" s="130"/>
      <c r="U269" s="130"/>
      <c r="V269" s="130"/>
      <c r="W269" s="130"/>
      <c r="X269" s="130"/>
      <c r="Y269" s="130"/>
      <c r="Z269" s="130"/>
    </row>
    <row r="270" ht="15.75" customHeight="1">
      <c r="A270" s="105" t="s">
        <v>1127</v>
      </c>
      <c r="B270" s="154" t="s">
        <v>58</v>
      </c>
      <c r="C270" s="106" t="s">
        <v>1128</v>
      </c>
      <c r="D270" s="107" t="s">
        <v>185</v>
      </c>
      <c r="E270" s="106" t="s">
        <v>1102</v>
      </c>
      <c r="F270" s="126">
        <v>399.33</v>
      </c>
      <c r="G270" s="105" t="s">
        <v>394</v>
      </c>
      <c r="H270" s="126" t="s">
        <v>394</v>
      </c>
      <c r="I270" s="126" t="s">
        <v>394</v>
      </c>
      <c r="J270" s="126" t="s">
        <v>85</v>
      </c>
      <c r="K270" s="126" t="s">
        <v>749</v>
      </c>
      <c r="L270" s="126" t="s">
        <v>749</v>
      </c>
      <c r="M270" s="108">
        <v>44075.0</v>
      </c>
      <c r="N270" s="106" t="s">
        <v>1318</v>
      </c>
      <c r="O270" s="116" t="s">
        <v>1482</v>
      </c>
      <c r="P270" s="126" t="s">
        <v>750</v>
      </c>
      <c r="Q270" s="126" t="s">
        <v>750</v>
      </c>
      <c r="R270" s="130"/>
      <c r="S270" s="130"/>
      <c r="T270" s="130"/>
      <c r="U270" s="130"/>
      <c r="V270" s="130"/>
      <c r="W270" s="130"/>
      <c r="X270" s="130"/>
      <c r="Y270" s="130"/>
      <c r="Z270" s="130"/>
    </row>
    <row r="271" ht="15.75" customHeight="1">
      <c r="A271" s="105" t="s">
        <v>1129</v>
      </c>
      <c r="B271" s="154" t="s">
        <v>58</v>
      </c>
      <c r="C271" s="106" t="s">
        <v>1130</v>
      </c>
      <c r="D271" s="107" t="s">
        <v>185</v>
      </c>
      <c r="E271" s="106" t="s">
        <v>1102</v>
      </c>
      <c r="F271" s="126">
        <v>599.0</v>
      </c>
      <c r="G271" s="126" t="s">
        <v>394</v>
      </c>
      <c r="H271" s="126" t="s">
        <v>394</v>
      </c>
      <c r="I271" s="126" t="s">
        <v>394</v>
      </c>
      <c r="J271" s="126" t="s">
        <v>85</v>
      </c>
      <c r="K271" s="126" t="s">
        <v>749</v>
      </c>
      <c r="L271" s="126" t="s">
        <v>749</v>
      </c>
      <c r="M271" s="108">
        <v>44075.0</v>
      </c>
      <c r="N271" s="106" t="s">
        <v>1318</v>
      </c>
      <c r="O271" s="116" t="s">
        <v>1482</v>
      </c>
      <c r="P271" s="126" t="s">
        <v>750</v>
      </c>
      <c r="Q271" s="126" t="s">
        <v>750</v>
      </c>
      <c r="R271" s="130"/>
      <c r="S271" s="130"/>
      <c r="T271" s="130"/>
      <c r="U271" s="130"/>
      <c r="V271" s="130"/>
      <c r="W271" s="130"/>
      <c r="X271" s="130"/>
      <c r="Y271" s="130"/>
      <c r="Z271" s="130"/>
    </row>
    <row r="272" ht="15.75" customHeight="1">
      <c r="A272" s="105" t="s">
        <v>1131</v>
      </c>
      <c r="B272" s="154" t="s">
        <v>58</v>
      </c>
      <c r="C272" s="106" t="s">
        <v>1132</v>
      </c>
      <c r="D272" s="107" t="s">
        <v>185</v>
      </c>
      <c r="E272" s="106" t="s">
        <v>1102</v>
      </c>
      <c r="F272" s="126">
        <v>599.0</v>
      </c>
      <c r="G272" s="126" t="s">
        <v>394</v>
      </c>
      <c r="H272" s="126" t="s">
        <v>394</v>
      </c>
      <c r="I272" s="126" t="s">
        <v>394</v>
      </c>
      <c r="J272" s="126" t="s">
        <v>85</v>
      </c>
      <c r="K272" s="126" t="s">
        <v>749</v>
      </c>
      <c r="L272" s="126" t="s">
        <v>749</v>
      </c>
      <c r="M272" s="108">
        <v>44075.0</v>
      </c>
      <c r="N272" s="106" t="s">
        <v>1318</v>
      </c>
      <c r="O272" s="116" t="s">
        <v>1482</v>
      </c>
      <c r="P272" s="126" t="s">
        <v>750</v>
      </c>
      <c r="Q272" s="126" t="s">
        <v>750</v>
      </c>
      <c r="R272" s="130"/>
      <c r="S272" s="130"/>
      <c r="T272" s="130"/>
      <c r="U272" s="130"/>
      <c r="V272" s="130"/>
      <c r="W272" s="130"/>
      <c r="X272" s="130"/>
      <c r="Y272" s="130"/>
      <c r="Z272" s="130"/>
    </row>
    <row r="273" ht="15.75" customHeight="1">
      <c r="A273" s="105" t="s">
        <v>1133</v>
      </c>
      <c r="B273" s="154" t="s">
        <v>197</v>
      </c>
      <c r="C273" s="106" t="s">
        <v>1134</v>
      </c>
      <c r="D273" s="107" t="s">
        <v>185</v>
      </c>
      <c r="E273" s="106" t="s">
        <v>1102</v>
      </c>
      <c r="F273" s="126">
        <v>340.0</v>
      </c>
      <c r="G273" s="126" t="s">
        <v>723</v>
      </c>
      <c r="H273" s="105" t="s">
        <v>723</v>
      </c>
      <c r="I273" s="106" t="s">
        <v>723</v>
      </c>
      <c r="J273" s="126" t="s">
        <v>85</v>
      </c>
      <c r="K273" s="126" t="s">
        <v>687</v>
      </c>
      <c r="L273" s="126" t="s">
        <v>760</v>
      </c>
      <c r="M273" s="108">
        <v>44142.0</v>
      </c>
      <c r="N273" s="106" t="s">
        <v>692</v>
      </c>
      <c r="O273" s="109" t="s">
        <v>690</v>
      </c>
      <c r="P273" s="126" t="s">
        <v>724</v>
      </c>
      <c r="Q273" s="126" t="s">
        <v>724</v>
      </c>
      <c r="R273" s="130"/>
      <c r="S273" s="130"/>
      <c r="T273" s="130"/>
      <c r="U273" s="130"/>
      <c r="V273" s="130"/>
      <c r="W273" s="130"/>
      <c r="X273" s="130"/>
      <c r="Y273" s="130"/>
      <c r="Z273" s="130"/>
    </row>
    <row r="274" ht="15.75" customHeight="1">
      <c r="A274" s="105" t="s">
        <v>1135</v>
      </c>
      <c r="B274" s="154" t="s">
        <v>197</v>
      </c>
      <c r="C274" s="106" t="s">
        <v>1136</v>
      </c>
      <c r="D274" s="107" t="s">
        <v>185</v>
      </c>
      <c r="E274" s="106" t="s">
        <v>1102</v>
      </c>
      <c r="F274" s="126">
        <v>37.0</v>
      </c>
      <c r="G274" s="126" t="s">
        <v>723</v>
      </c>
      <c r="H274" s="105" t="s">
        <v>723</v>
      </c>
      <c r="I274" s="106" t="s">
        <v>723</v>
      </c>
      <c r="J274" s="126" t="s">
        <v>85</v>
      </c>
      <c r="K274" s="126" t="s">
        <v>687</v>
      </c>
      <c r="L274" s="126" t="s">
        <v>760</v>
      </c>
      <c r="M274" s="108">
        <v>44142.0</v>
      </c>
      <c r="N274" s="106" t="s">
        <v>741</v>
      </c>
      <c r="O274" s="109" t="s">
        <v>690</v>
      </c>
      <c r="P274" s="126" t="s">
        <v>724</v>
      </c>
      <c r="Q274" s="126" t="s">
        <v>724</v>
      </c>
      <c r="R274" s="130"/>
      <c r="S274" s="130"/>
      <c r="T274" s="130"/>
      <c r="U274" s="130"/>
      <c r="V274" s="130"/>
      <c r="W274" s="130"/>
      <c r="X274" s="130"/>
      <c r="Y274" s="130"/>
      <c r="Z274" s="130"/>
    </row>
    <row r="275" ht="15.75" customHeight="1">
      <c r="A275" s="105" t="s">
        <v>1137</v>
      </c>
      <c r="B275" s="154" t="s">
        <v>197</v>
      </c>
      <c r="C275" s="106" t="s">
        <v>1138</v>
      </c>
      <c r="D275" s="107" t="s">
        <v>185</v>
      </c>
      <c r="E275" s="106" t="s">
        <v>1102</v>
      </c>
      <c r="F275" s="126">
        <v>73.0</v>
      </c>
      <c r="G275" s="126" t="s">
        <v>723</v>
      </c>
      <c r="H275" s="105" t="s">
        <v>723</v>
      </c>
      <c r="I275" s="106" t="s">
        <v>723</v>
      </c>
      <c r="J275" s="126" t="s">
        <v>85</v>
      </c>
      <c r="K275" s="126" t="s">
        <v>687</v>
      </c>
      <c r="L275" s="126" t="s">
        <v>760</v>
      </c>
      <c r="M275" s="108">
        <v>44142.0</v>
      </c>
      <c r="N275" s="106" t="s">
        <v>741</v>
      </c>
      <c r="O275" s="109" t="s">
        <v>690</v>
      </c>
      <c r="P275" s="126" t="s">
        <v>724</v>
      </c>
      <c r="Q275" s="126" t="s">
        <v>724</v>
      </c>
      <c r="R275" s="130"/>
      <c r="S275" s="130"/>
      <c r="T275" s="130"/>
      <c r="U275" s="130"/>
      <c r="V275" s="130"/>
      <c r="W275" s="130"/>
      <c r="X275" s="130"/>
      <c r="Y275" s="130"/>
      <c r="Z275" s="130"/>
    </row>
    <row r="276" ht="15.75" customHeight="1">
      <c r="A276" s="105" t="s">
        <v>1139</v>
      </c>
      <c r="B276" s="154" t="s">
        <v>197</v>
      </c>
      <c r="C276" s="106" t="s">
        <v>1140</v>
      </c>
      <c r="D276" s="107" t="s">
        <v>185</v>
      </c>
      <c r="E276" s="106" t="s">
        <v>1115</v>
      </c>
      <c r="F276" s="126">
        <v>1.0</v>
      </c>
      <c r="G276" s="126" t="s">
        <v>394</v>
      </c>
      <c r="H276" s="126" t="s">
        <v>394</v>
      </c>
      <c r="I276" s="126" t="s">
        <v>394</v>
      </c>
      <c r="J276" s="126" t="s">
        <v>85</v>
      </c>
      <c r="K276" s="126" t="s">
        <v>687</v>
      </c>
      <c r="L276" s="126" t="s">
        <v>760</v>
      </c>
      <c r="M276" s="108">
        <v>44141.0</v>
      </c>
      <c r="N276" s="106" t="s">
        <v>735</v>
      </c>
      <c r="O276" s="116" t="s">
        <v>736</v>
      </c>
      <c r="P276" s="126" t="s">
        <v>761</v>
      </c>
      <c r="Q276" s="126" t="s">
        <v>761</v>
      </c>
      <c r="R276" s="130"/>
      <c r="S276" s="130"/>
      <c r="T276" s="130"/>
      <c r="U276" s="130"/>
      <c r="V276" s="130"/>
      <c r="W276" s="130"/>
      <c r="X276" s="130"/>
      <c r="Y276" s="130"/>
      <c r="Z276" s="130"/>
    </row>
    <row r="277" ht="15.75" customHeight="1">
      <c r="A277" s="105" t="s">
        <v>1141</v>
      </c>
      <c r="B277" s="154" t="s">
        <v>197</v>
      </c>
      <c r="C277" s="106" t="s">
        <v>1142</v>
      </c>
      <c r="D277" s="107" t="s">
        <v>185</v>
      </c>
      <c r="E277" s="106" t="s">
        <v>1115</v>
      </c>
      <c r="F277" s="126">
        <v>4.0</v>
      </c>
      <c r="G277" s="126" t="s">
        <v>394</v>
      </c>
      <c r="H277" s="126" t="s">
        <v>394</v>
      </c>
      <c r="I277" s="126" t="s">
        <v>394</v>
      </c>
      <c r="J277" s="126" t="s">
        <v>85</v>
      </c>
      <c r="K277" s="126" t="s">
        <v>687</v>
      </c>
      <c r="L277" s="126" t="s">
        <v>760</v>
      </c>
      <c r="M277" s="108">
        <v>44141.0</v>
      </c>
      <c r="N277" s="106" t="s">
        <v>735</v>
      </c>
      <c r="O277" s="116" t="s">
        <v>736</v>
      </c>
      <c r="P277" s="126" t="s">
        <v>761</v>
      </c>
      <c r="Q277" s="126" t="s">
        <v>761</v>
      </c>
      <c r="R277" s="130"/>
      <c r="S277" s="130"/>
      <c r="T277" s="130"/>
      <c r="U277" s="130"/>
      <c r="V277" s="130"/>
      <c r="W277" s="130"/>
      <c r="X277" s="130"/>
      <c r="Y277" s="130"/>
      <c r="Z277" s="130"/>
    </row>
    <row r="278" ht="15.75" customHeight="1">
      <c r="A278" s="105" t="s">
        <v>1143</v>
      </c>
      <c r="B278" s="154" t="s">
        <v>197</v>
      </c>
      <c r="C278" s="106" t="s">
        <v>1144</v>
      </c>
      <c r="D278" s="107" t="s">
        <v>185</v>
      </c>
      <c r="E278" s="106" t="s">
        <v>1115</v>
      </c>
      <c r="F278" s="126">
        <v>6.0</v>
      </c>
      <c r="G278" s="126" t="s">
        <v>394</v>
      </c>
      <c r="H278" s="126" t="s">
        <v>394</v>
      </c>
      <c r="I278" s="126" t="s">
        <v>394</v>
      </c>
      <c r="J278" s="126" t="s">
        <v>85</v>
      </c>
      <c r="K278" s="126" t="s">
        <v>687</v>
      </c>
      <c r="L278" s="126" t="s">
        <v>760</v>
      </c>
      <c r="M278" s="108">
        <v>44141.0</v>
      </c>
      <c r="N278" s="106" t="s">
        <v>692</v>
      </c>
      <c r="O278" s="109" t="s">
        <v>690</v>
      </c>
      <c r="P278" s="126" t="s">
        <v>761</v>
      </c>
      <c r="Q278" s="126" t="s">
        <v>761</v>
      </c>
      <c r="R278" s="130"/>
      <c r="S278" s="130"/>
      <c r="T278" s="130"/>
      <c r="U278" s="130"/>
      <c r="V278" s="130"/>
      <c r="W278" s="130"/>
      <c r="X278" s="130"/>
      <c r="Y278" s="130"/>
      <c r="Z278" s="130"/>
    </row>
    <row r="279" ht="15.75" customHeight="1">
      <c r="A279" s="105" t="s">
        <v>1145</v>
      </c>
      <c r="B279" s="154" t="s">
        <v>58</v>
      </c>
      <c r="C279" s="106" t="s">
        <v>1146</v>
      </c>
      <c r="D279" s="107" t="s">
        <v>185</v>
      </c>
      <c r="E279" s="106" t="s">
        <v>1102</v>
      </c>
      <c r="F279" s="126">
        <v>20.25</v>
      </c>
      <c r="G279" s="126" t="s">
        <v>394</v>
      </c>
      <c r="H279" s="126" t="s">
        <v>394</v>
      </c>
      <c r="I279" s="126" t="s">
        <v>394</v>
      </c>
      <c r="J279" s="126" t="s">
        <v>85</v>
      </c>
      <c r="K279" s="126" t="s">
        <v>749</v>
      </c>
      <c r="L279" s="126" t="s">
        <v>749</v>
      </c>
      <c r="M279" s="108">
        <v>44075.0</v>
      </c>
      <c r="N279" s="106" t="s">
        <v>1318</v>
      </c>
      <c r="O279" s="116" t="s">
        <v>1482</v>
      </c>
      <c r="P279" s="126" t="s">
        <v>750</v>
      </c>
      <c r="Q279" s="126" t="s">
        <v>750</v>
      </c>
      <c r="R279" s="130"/>
      <c r="S279" s="130"/>
      <c r="T279" s="130"/>
      <c r="U279" s="130"/>
      <c r="V279" s="130"/>
      <c r="W279" s="130"/>
      <c r="X279" s="130"/>
      <c r="Y279" s="130"/>
      <c r="Z279" s="130"/>
    </row>
    <row r="280" ht="15.75" customHeight="1">
      <c r="A280" s="105" t="s">
        <v>1147</v>
      </c>
      <c r="B280" s="154" t="s">
        <v>58</v>
      </c>
      <c r="C280" s="106" t="s">
        <v>1148</v>
      </c>
      <c r="D280" s="107" t="s">
        <v>185</v>
      </c>
      <c r="E280" s="106" t="s">
        <v>1102</v>
      </c>
      <c r="F280" s="126">
        <v>20.25</v>
      </c>
      <c r="G280" s="126" t="s">
        <v>394</v>
      </c>
      <c r="H280" s="126" t="s">
        <v>394</v>
      </c>
      <c r="I280" s="126" t="s">
        <v>394</v>
      </c>
      <c r="J280" s="126" t="s">
        <v>85</v>
      </c>
      <c r="K280" s="126" t="s">
        <v>749</v>
      </c>
      <c r="L280" s="126" t="s">
        <v>749</v>
      </c>
      <c r="M280" s="108">
        <v>44075.0</v>
      </c>
      <c r="N280" s="106" t="s">
        <v>1318</v>
      </c>
      <c r="O280" s="116" t="s">
        <v>1482</v>
      </c>
      <c r="P280" s="126" t="s">
        <v>750</v>
      </c>
      <c r="Q280" s="126" t="s">
        <v>750</v>
      </c>
      <c r="R280" s="130"/>
      <c r="S280" s="130"/>
      <c r="T280" s="130"/>
      <c r="U280" s="130"/>
      <c r="V280" s="130"/>
      <c r="W280" s="130"/>
      <c r="X280" s="130"/>
      <c r="Y280" s="130"/>
      <c r="Z280" s="130"/>
    </row>
    <row r="281" ht="15.75" customHeight="1">
      <c r="A281" s="105" t="s">
        <v>1149</v>
      </c>
      <c r="B281" s="154" t="s">
        <v>58</v>
      </c>
      <c r="C281" s="106" t="s">
        <v>1150</v>
      </c>
      <c r="D281" s="107" t="s">
        <v>185</v>
      </c>
      <c r="E281" s="106" t="s">
        <v>1102</v>
      </c>
      <c r="F281" s="126">
        <v>20.25</v>
      </c>
      <c r="G281" s="126" t="s">
        <v>394</v>
      </c>
      <c r="H281" s="126" t="s">
        <v>394</v>
      </c>
      <c r="I281" s="126" t="s">
        <v>394</v>
      </c>
      <c r="J281" s="126" t="s">
        <v>85</v>
      </c>
      <c r="K281" s="126" t="s">
        <v>749</v>
      </c>
      <c r="L281" s="126" t="s">
        <v>749</v>
      </c>
      <c r="M281" s="108">
        <v>44075.0</v>
      </c>
      <c r="N281" s="106" t="s">
        <v>1318</v>
      </c>
      <c r="O281" s="116" t="s">
        <v>1482</v>
      </c>
      <c r="P281" s="126" t="s">
        <v>750</v>
      </c>
      <c r="Q281" s="126" t="s">
        <v>750</v>
      </c>
      <c r="R281" s="130"/>
      <c r="S281" s="130"/>
      <c r="T281" s="130"/>
      <c r="U281" s="130"/>
      <c r="V281" s="130"/>
      <c r="W281" s="130"/>
      <c r="X281" s="130"/>
      <c r="Y281" s="130"/>
      <c r="Z281" s="130"/>
    </row>
    <row r="282" ht="15.75" customHeight="1">
      <c r="A282" s="105" t="s">
        <v>1151</v>
      </c>
      <c r="B282" s="154" t="s">
        <v>197</v>
      </c>
      <c r="C282" s="106" t="s">
        <v>1152</v>
      </c>
      <c r="D282" s="107" t="s">
        <v>135</v>
      </c>
      <c r="E282" s="106" t="s">
        <v>1102</v>
      </c>
      <c r="F282" s="126">
        <v>66.78</v>
      </c>
      <c r="G282" s="126" t="s">
        <v>136</v>
      </c>
      <c r="H282" s="126" t="s">
        <v>136</v>
      </c>
      <c r="I282" s="126" t="s">
        <v>835</v>
      </c>
      <c r="J282" s="117" t="s">
        <v>85</v>
      </c>
      <c r="K282" s="126" t="s">
        <v>749</v>
      </c>
      <c r="L282" s="126" t="s">
        <v>1153</v>
      </c>
      <c r="M282" s="108">
        <v>44075.0</v>
      </c>
      <c r="N282" s="106" t="s">
        <v>692</v>
      </c>
      <c r="O282" s="131"/>
      <c r="P282" s="126" t="s">
        <v>721</v>
      </c>
      <c r="Q282" s="126" t="s">
        <v>721</v>
      </c>
      <c r="R282" s="130"/>
      <c r="S282" s="130"/>
      <c r="T282" s="130"/>
      <c r="U282" s="130"/>
      <c r="V282" s="130"/>
      <c r="W282" s="130"/>
      <c r="X282" s="130"/>
      <c r="Y282" s="130"/>
      <c r="Z282" s="130"/>
    </row>
    <row r="283" ht="15.75" customHeight="1">
      <c r="A283" s="105" t="s">
        <v>1154</v>
      </c>
      <c r="B283" s="154" t="s">
        <v>197</v>
      </c>
      <c r="C283" s="106" t="s">
        <v>1155</v>
      </c>
      <c r="D283" s="107" t="s">
        <v>185</v>
      </c>
      <c r="E283" s="106" t="s">
        <v>1115</v>
      </c>
      <c r="F283" s="126">
        <v>289.0</v>
      </c>
      <c r="G283" s="126" t="s">
        <v>723</v>
      </c>
      <c r="H283" s="126" t="s">
        <v>91</v>
      </c>
      <c r="I283" s="106" t="s">
        <v>723</v>
      </c>
      <c r="J283" s="117" t="s">
        <v>85</v>
      </c>
      <c r="K283" s="126" t="s">
        <v>687</v>
      </c>
      <c r="L283" s="126" t="s">
        <v>688</v>
      </c>
      <c r="M283" s="108">
        <v>44142.0</v>
      </c>
      <c r="N283" s="106" t="s">
        <v>692</v>
      </c>
      <c r="O283" s="109" t="s">
        <v>690</v>
      </c>
      <c r="P283" s="126" t="s">
        <v>724</v>
      </c>
      <c r="Q283" s="126" t="s">
        <v>724</v>
      </c>
      <c r="R283" s="130"/>
      <c r="S283" s="130"/>
      <c r="T283" s="130"/>
      <c r="U283" s="130"/>
      <c r="V283" s="130"/>
      <c r="W283" s="130"/>
      <c r="X283" s="130"/>
      <c r="Y283" s="130"/>
      <c r="Z283" s="130"/>
    </row>
    <row r="284" ht="15.75" customHeight="1">
      <c r="A284" s="105" t="s">
        <v>1156</v>
      </c>
      <c r="B284" s="154" t="s">
        <v>52</v>
      </c>
      <c r="C284" s="106" t="s">
        <v>1157</v>
      </c>
      <c r="D284" s="107" t="s">
        <v>185</v>
      </c>
      <c r="E284" s="106" t="s">
        <v>698</v>
      </c>
      <c r="F284" s="115">
        <v>43971.333333333336</v>
      </c>
      <c r="G284" s="126" t="s">
        <v>723</v>
      </c>
      <c r="H284" s="126" t="s">
        <v>723</v>
      </c>
      <c r="I284" s="126" t="s">
        <v>723</v>
      </c>
      <c r="J284" s="117" t="s">
        <v>85</v>
      </c>
      <c r="K284" s="126" t="s">
        <v>687</v>
      </c>
      <c r="L284" s="126" t="s">
        <v>688</v>
      </c>
      <c r="M284" s="108">
        <v>44142.0</v>
      </c>
      <c r="N284" s="106" t="s">
        <v>735</v>
      </c>
      <c r="O284" s="116" t="s">
        <v>736</v>
      </c>
      <c r="P284" s="126" t="s">
        <v>721</v>
      </c>
      <c r="Q284" s="126" t="s">
        <v>721</v>
      </c>
      <c r="R284" s="130"/>
      <c r="S284" s="130"/>
      <c r="T284" s="130"/>
      <c r="U284" s="130"/>
      <c r="V284" s="130"/>
      <c r="W284" s="130"/>
      <c r="X284" s="130"/>
      <c r="Y284" s="130"/>
      <c r="Z284" s="130"/>
    </row>
    <row r="285" ht="15.75" customHeight="1">
      <c r="A285" s="105" t="s">
        <v>1158</v>
      </c>
      <c r="B285" s="154" t="s">
        <v>52</v>
      </c>
      <c r="C285" s="106" t="s">
        <v>1159</v>
      </c>
      <c r="D285" s="107" t="s">
        <v>185</v>
      </c>
      <c r="E285" s="106" t="s">
        <v>1102</v>
      </c>
      <c r="F285" s="126">
        <v>33.5</v>
      </c>
      <c r="G285" s="126" t="s">
        <v>723</v>
      </c>
      <c r="H285" s="126" t="s">
        <v>723</v>
      </c>
      <c r="I285" s="126" t="s">
        <v>723</v>
      </c>
      <c r="J285" s="117" t="s">
        <v>85</v>
      </c>
      <c r="K285" s="126" t="s">
        <v>687</v>
      </c>
      <c r="L285" s="126" t="s">
        <v>688</v>
      </c>
      <c r="M285" s="108">
        <v>44142.0</v>
      </c>
      <c r="N285" s="106" t="s">
        <v>735</v>
      </c>
      <c r="O285" s="116" t="s">
        <v>736</v>
      </c>
      <c r="P285" s="126" t="s">
        <v>721</v>
      </c>
      <c r="Q285" s="126" t="s">
        <v>721</v>
      </c>
      <c r="R285" s="130"/>
      <c r="S285" s="130"/>
      <c r="T285" s="130"/>
      <c r="U285" s="130"/>
      <c r="V285" s="130"/>
      <c r="W285" s="130"/>
      <c r="X285" s="130"/>
      <c r="Y285" s="130"/>
      <c r="Z285" s="130"/>
    </row>
    <row r="286" ht="15.75" customHeight="1">
      <c r="A286" s="105" t="s">
        <v>1160</v>
      </c>
      <c r="B286" s="154" t="s">
        <v>52</v>
      </c>
      <c r="C286" s="106" t="s">
        <v>1161</v>
      </c>
      <c r="D286" s="107" t="s">
        <v>185</v>
      </c>
      <c r="E286" s="106" t="s">
        <v>698</v>
      </c>
      <c r="F286" s="115">
        <v>43971.333333333336</v>
      </c>
      <c r="G286" s="126" t="s">
        <v>723</v>
      </c>
      <c r="H286" s="126" t="s">
        <v>723</v>
      </c>
      <c r="I286" s="126" t="s">
        <v>723</v>
      </c>
      <c r="J286" s="117" t="s">
        <v>85</v>
      </c>
      <c r="K286" s="126" t="s">
        <v>687</v>
      </c>
      <c r="L286" s="126" t="s">
        <v>688</v>
      </c>
      <c r="M286" s="108">
        <v>44142.0</v>
      </c>
      <c r="N286" s="106" t="s">
        <v>735</v>
      </c>
      <c r="O286" s="116" t="s">
        <v>736</v>
      </c>
      <c r="P286" s="126" t="s">
        <v>721</v>
      </c>
      <c r="Q286" s="126" t="s">
        <v>721</v>
      </c>
      <c r="R286" s="130"/>
      <c r="S286" s="130"/>
      <c r="T286" s="130"/>
      <c r="U286" s="130"/>
      <c r="V286" s="130"/>
      <c r="W286" s="130"/>
      <c r="X286" s="130"/>
      <c r="Y286" s="130"/>
      <c r="Z286" s="130"/>
    </row>
    <row r="287" ht="15.75" customHeight="1">
      <c r="A287" s="105" t="s">
        <v>1162</v>
      </c>
      <c r="B287" s="154" t="s">
        <v>52</v>
      </c>
      <c r="C287" s="106" t="s">
        <v>1163</v>
      </c>
      <c r="D287" s="107" t="s">
        <v>185</v>
      </c>
      <c r="E287" s="106" t="s">
        <v>1102</v>
      </c>
      <c r="F287" s="126">
        <v>33.5</v>
      </c>
      <c r="G287" s="126" t="s">
        <v>723</v>
      </c>
      <c r="H287" s="126" t="s">
        <v>723</v>
      </c>
      <c r="I287" s="126" t="s">
        <v>723</v>
      </c>
      <c r="J287" s="117" t="s">
        <v>85</v>
      </c>
      <c r="K287" s="126" t="s">
        <v>687</v>
      </c>
      <c r="L287" s="126" t="s">
        <v>688</v>
      </c>
      <c r="M287" s="108">
        <v>44142.0</v>
      </c>
      <c r="N287" s="106" t="s">
        <v>735</v>
      </c>
      <c r="O287" s="116" t="s">
        <v>736</v>
      </c>
      <c r="P287" s="126" t="s">
        <v>721</v>
      </c>
      <c r="Q287" s="126" t="s">
        <v>721</v>
      </c>
      <c r="R287" s="130"/>
      <c r="S287" s="130"/>
      <c r="T287" s="130"/>
      <c r="U287" s="130"/>
      <c r="V287" s="130"/>
      <c r="W287" s="130"/>
      <c r="X287" s="130"/>
      <c r="Y287" s="130"/>
      <c r="Z287" s="130"/>
    </row>
    <row r="288" ht="15.75" customHeight="1">
      <c r="A288" s="105" t="s">
        <v>1164</v>
      </c>
      <c r="B288" s="154" t="s">
        <v>52</v>
      </c>
      <c r="C288" s="106" t="s">
        <v>1165</v>
      </c>
      <c r="D288" s="107" t="s">
        <v>185</v>
      </c>
      <c r="E288" s="106" t="s">
        <v>1115</v>
      </c>
      <c r="F288" s="126">
        <v>12.0</v>
      </c>
      <c r="G288" s="126" t="s">
        <v>723</v>
      </c>
      <c r="H288" s="126" t="s">
        <v>723</v>
      </c>
      <c r="I288" s="126" t="s">
        <v>723</v>
      </c>
      <c r="J288" s="117" t="s">
        <v>85</v>
      </c>
      <c r="K288" s="126" t="s">
        <v>687</v>
      </c>
      <c r="L288" s="126" t="s">
        <v>688</v>
      </c>
      <c r="M288" s="108">
        <v>44142.0</v>
      </c>
      <c r="N288" s="106" t="s">
        <v>735</v>
      </c>
      <c r="O288" s="116" t="s">
        <v>736</v>
      </c>
      <c r="P288" s="126" t="s">
        <v>721</v>
      </c>
      <c r="Q288" s="126" t="s">
        <v>721</v>
      </c>
      <c r="R288" s="130"/>
      <c r="S288" s="130"/>
      <c r="T288" s="130"/>
      <c r="U288" s="130"/>
      <c r="V288" s="130"/>
      <c r="W288" s="130"/>
      <c r="X288" s="130"/>
      <c r="Y288" s="130"/>
      <c r="Z288" s="130"/>
    </row>
    <row r="289" ht="15.75" customHeight="1">
      <c r="A289" s="105" t="s">
        <v>1166</v>
      </c>
      <c r="B289" s="154" t="s">
        <v>52</v>
      </c>
      <c r="C289" s="106" t="s">
        <v>1167</v>
      </c>
      <c r="D289" s="107" t="s">
        <v>185</v>
      </c>
      <c r="E289" s="106" t="s">
        <v>1102</v>
      </c>
      <c r="F289" s="126">
        <v>33.5</v>
      </c>
      <c r="G289" s="126" t="s">
        <v>723</v>
      </c>
      <c r="H289" s="126" t="s">
        <v>723</v>
      </c>
      <c r="I289" s="126" t="s">
        <v>723</v>
      </c>
      <c r="J289" s="117" t="s">
        <v>85</v>
      </c>
      <c r="K289" s="126" t="s">
        <v>687</v>
      </c>
      <c r="L289" s="126" t="s">
        <v>688</v>
      </c>
      <c r="M289" s="108">
        <v>44142.0</v>
      </c>
      <c r="N289" s="106" t="s">
        <v>735</v>
      </c>
      <c r="O289" s="116" t="s">
        <v>736</v>
      </c>
      <c r="P289" s="126" t="s">
        <v>721</v>
      </c>
      <c r="Q289" s="126" t="s">
        <v>721</v>
      </c>
      <c r="R289" s="130"/>
      <c r="S289" s="130"/>
      <c r="T289" s="130"/>
      <c r="U289" s="130"/>
      <c r="V289" s="130"/>
      <c r="W289" s="130"/>
      <c r="X289" s="130"/>
      <c r="Y289" s="130"/>
      <c r="Z289" s="130"/>
    </row>
    <row r="290" ht="15.75" customHeight="1">
      <c r="A290" s="105" t="s">
        <v>1168</v>
      </c>
      <c r="B290" s="154" t="s">
        <v>52</v>
      </c>
      <c r="C290" s="106" t="s">
        <v>1169</v>
      </c>
      <c r="D290" s="107" t="s">
        <v>185</v>
      </c>
      <c r="E290" s="106" t="s">
        <v>1102</v>
      </c>
      <c r="F290" s="126">
        <v>33.5</v>
      </c>
      <c r="G290" s="126" t="s">
        <v>723</v>
      </c>
      <c r="H290" s="126" t="s">
        <v>723</v>
      </c>
      <c r="I290" s="126" t="s">
        <v>723</v>
      </c>
      <c r="J290" s="117" t="s">
        <v>85</v>
      </c>
      <c r="K290" s="126" t="s">
        <v>687</v>
      </c>
      <c r="L290" s="126" t="s">
        <v>688</v>
      </c>
      <c r="M290" s="108">
        <v>44142.0</v>
      </c>
      <c r="N290" s="106" t="s">
        <v>735</v>
      </c>
      <c r="O290" s="116" t="s">
        <v>736</v>
      </c>
      <c r="P290" s="126" t="s">
        <v>721</v>
      </c>
      <c r="Q290" s="126" t="s">
        <v>721</v>
      </c>
      <c r="R290" s="130"/>
      <c r="S290" s="130"/>
      <c r="T290" s="130"/>
      <c r="U290" s="130"/>
      <c r="V290" s="130"/>
      <c r="W290" s="130"/>
      <c r="X290" s="130"/>
      <c r="Y290" s="130"/>
      <c r="Z290" s="130"/>
    </row>
    <row r="291" ht="15.75" customHeight="1">
      <c r="A291" s="105" t="s">
        <v>1170</v>
      </c>
      <c r="B291" s="154" t="s">
        <v>52</v>
      </c>
      <c r="C291" s="106" t="s">
        <v>1171</v>
      </c>
      <c r="D291" s="107" t="s">
        <v>185</v>
      </c>
      <c r="E291" s="106" t="s">
        <v>698</v>
      </c>
      <c r="F291" s="115">
        <v>43971.333333333336</v>
      </c>
      <c r="G291" s="126" t="s">
        <v>723</v>
      </c>
      <c r="H291" s="126" t="s">
        <v>723</v>
      </c>
      <c r="I291" s="126" t="s">
        <v>723</v>
      </c>
      <c r="J291" s="117" t="s">
        <v>85</v>
      </c>
      <c r="K291" s="126" t="s">
        <v>687</v>
      </c>
      <c r="L291" s="126" t="s">
        <v>688</v>
      </c>
      <c r="M291" s="108">
        <v>44142.0</v>
      </c>
      <c r="N291" s="106" t="s">
        <v>735</v>
      </c>
      <c r="O291" s="116" t="s">
        <v>736</v>
      </c>
      <c r="P291" s="126" t="s">
        <v>721</v>
      </c>
      <c r="Q291" s="126" t="s">
        <v>721</v>
      </c>
      <c r="R291" s="130"/>
      <c r="S291" s="130"/>
      <c r="T291" s="130"/>
      <c r="U291" s="130"/>
      <c r="V291" s="130"/>
      <c r="W291" s="130"/>
      <c r="X291" s="130"/>
      <c r="Y291" s="130"/>
      <c r="Z291" s="130"/>
    </row>
    <row r="292" ht="15.75" customHeight="1">
      <c r="A292" s="105" t="s">
        <v>1172</v>
      </c>
      <c r="B292" s="154" t="s">
        <v>52</v>
      </c>
      <c r="C292" s="106" t="s">
        <v>1173</v>
      </c>
      <c r="D292" s="107" t="s">
        <v>185</v>
      </c>
      <c r="E292" s="106" t="s">
        <v>698</v>
      </c>
      <c r="F292" s="115">
        <v>43971.333333333336</v>
      </c>
      <c r="G292" s="126" t="s">
        <v>723</v>
      </c>
      <c r="H292" s="126" t="s">
        <v>723</v>
      </c>
      <c r="I292" s="126" t="s">
        <v>723</v>
      </c>
      <c r="J292" s="117" t="s">
        <v>85</v>
      </c>
      <c r="K292" s="126" t="s">
        <v>687</v>
      </c>
      <c r="L292" s="126" t="s">
        <v>688</v>
      </c>
      <c r="M292" s="108">
        <v>44142.0</v>
      </c>
      <c r="N292" s="106" t="s">
        <v>735</v>
      </c>
      <c r="O292" s="116" t="s">
        <v>736</v>
      </c>
      <c r="P292" s="126" t="s">
        <v>721</v>
      </c>
      <c r="Q292" s="126" t="s">
        <v>721</v>
      </c>
      <c r="R292" s="130"/>
      <c r="S292" s="130"/>
      <c r="T292" s="130"/>
      <c r="U292" s="130"/>
      <c r="V292" s="130"/>
      <c r="W292" s="130"/>
      <c r="X292" s="130"/>
      <c r="Y292" s="130"/>
      <c r="Z292" s="130"/>
    </row>
    <row r="293" ht="15.75" customHeight="1">
      <c r="A293" s="105" t="s">
        <v>1174</v>
      </c>
      <c r="B293" s="154" t="s">
        <v>52</v>
      </c>
      <c r="C293" s="106" t="s">
        <v>1175</v>
      </c>
      <c r="D293" s="107" t="s">
        <v>185</v>
      </c>
      <c r="E293" s="106" t="s">
        <v>1102</v>
      </c>
      <c r="F293" s="126">
        <v>33.5</v>
      </c>
      <c r="G293" s="126" t="s">
        <v>723</v>
      </c>
      <c r="H293" s="126" t="s">
        <v>723</v>
      </c>
      <c r="I293" s="126" t="s">
        <v>723</v>
      </c>
      <c r="J293" s="117" t="s">
        <v>85</v>
      </c>
      <c r="K293" s="126" t="s">
        <v>687</v>
      </c>
      <c r="L293" s="126" t="s">
        <v>688</v>
      </c>
      <c r="M293" s="108">
        <v>44142.0</v>
      </c>
      <c r="N293" s="106" t="s">
        <v>735</v>
      </c>
      <c r="O293" s="116" t="s">
        <v>736</v>
      </c>
      <c r="P293" s="126" t="s">
        <v>721</v>
      </c>
      <c r="Q293" s="126" t="s">
        <v>721</v>
      </c>
      <c r="R293" s="130"/>
      <c r="S293" s="130"/>
      <c r="T293" s="130"/>
      <c r="U293" s="130"/>
      <c r="V293" s="130"/>
      <c r="W293" s="130"/>
      <c r="X293" s="130"/>
      <c r="Y293" s="130"/>
      <c r="Z293" s="130"/>
    </row>
    <row r="294" ht="15.75" customHeight="1">
      <c r="A294" s="105" t="s">
        <v>1176</v>
      </c>
      <c r="B294" s="154" t="s">
        <v>52</v>
      </c>
      <c r="C294" s="106" t="s">
        <v>1177</v>
      </c>
      <c r="D294" s="107" t="s">
        <v>185</v>
      </c>
      <c r="E294" s="106" t="s">
        <v>698</v>
      </c>
      <c r="F294" s="115">
        <v>43971.333333333336</v>
      </c>
      <c r="G294" s="126" t="s">
        <v>723</v>
      </c>
      <c r="H294" s="126" t="s">
        <v>723</v>
      </c>
      <c r="I294" s="126" t="s">
        <v>723</v>
      </c>
      <c r="J294" s="117" t="s">
        <v>85</v>
      </c>
      <c r="K294" s="126" t="s">
        <v>687</v>
      </c>
      <c r="L294" s="126" t="s">
        <v>688</v>
      </c>
      <c r="M294" s="108">
        <v>44142.0</v>
      </c>
      <c r="N294" s="106" t="s">
        <v>735</v>
      </c>
      <c r="O294" s="116" t="s">
        <v>736</v>
      </c>
      <c r="P294" s="126" t="s">
        <v>721</v>
      </c>
      <c r="Q294" s="126" t="s">
        <v>721</v>
      </c>
      <c r="R294" s="130"/>
      <c r="S294" s="130"/>
      <c r="T294" s="130"/>
      <c r="U294" s="130"/>
      <c r="V294" s="130"/>
      <c r="W294" s="130"/>
      <c r="X294" s="130"/>
      <c r="Y294" s="130"/>
      <c r="Z294" s="130"/>
    </row>
    <row r="295" ht="15.75" customHeight="1">
      <c r="A295" s="105" t="s">
        <v>1178</v>
      </c>
      <c r="B295" s="154" t="s">
        <v>60</v>
      </c>
      <c r="C295" s="106" t="s">
        <v>1179</v>
      </c>
      <c r="D295" s="107" t="s">
        <v>135</v>
      </c>
      <c r="E295" s="106" t="s">
        <v>720</v>
      </c>
      <c r="F295" s="115" t="b">
        <v>1</v>
      </c>
      <c r="G295" s="126" t="s">
        <v>136</v>
      </c>
      <c r="H295" s="126" t="s">
        <v>1180</v>
      </c>
      <c r="I295" s="126" t="s">
        <v>1180</v>
      </c>
      <c r="J295" s="117" t="s">
        <v>85</v>
      </c>
      <c r="K295" s="126" t="s">
        <v>749</v>
      </c>
      <c r="L295" s="126"/>
      <c r="M295" s="108">
        <v>44075.0</v>
      </c>
      <c r="N295" s="126" t="s">
        <v>701</v>
      </c>
      <c r="O295" s="116" t="s">
        <v>736</v>
      </c>
      <c r="P295" s="126" t="s">
        <v>782</v>
      </c>
      <c r="Q295" s="126" t="s">
        <v>782</v>
      </c>
      <c r="R295" s="130"/>
      <c r="S295" s="130"/>
      <c r="T295" s="130"/>
      <c r="U295" s="130"/>
      <c r="V295" s="130"/>
      <c r="W295" s="130"/>
      <c r="X295" s="130"/>
      <c r="Y295" s="130"/>
      <c r="Z295" s="130"/>
    </row>
    <row r="296" ht="15.75" customHeight="1">
      <c r="A296" s="105" t="s">
        <v>1181</v>
      </c>
      <c r="B296" s="154" t="s">
        <v>60</v>
      </c>
      <c r="C296" s="106" t="s">
        <v>1182</v>
      </c>
      <c r="D296" s="107" t="s">
        <v>135</v>
      </c>
      <c r="E296" s="106" t="s">
        <v>1183</v>
      </c>
      <c r="F296" s="126">
        <v>0.435</v>
      </c>
      <c r="G296" s="126" t="s">
        <v>136</v>
      </c>
      <c r="H296" s="126" t="s">
        <v>1180</v>
      </c>
      <c r="I296" s="126" t="s">
        <v>1180</v>
      </c>
      <c r="J296" s="117" t="s">
        <v>85</v>
      </c>
      <c r="K296" s="126" t="s">
        <v>749</v>
      </c>
      <c r="L296" s="126"/>
      <c r="M296" s="108">
        <v>44075.0</v>
      </c>
      <c r="N296" s="126" t="s">
        <v>701</v>
      </c>
      <c r="O296" s="116" t="s">
        <v>736</v>
      </c>
      <c r="P296" s="126" t="s">
        <v>782</v>
      </c>
      <c r="Q296" s="126" t="s">
        <v>782</v>
      </c>
      <c r="R296" s="130"/>
      <c r="S296" s="130"/>
      <c r="T296" s="130"/>
      <c r="U296" s="130"/>
      <c r="V296" s="130"/>
      <c r="W296" s="130"/>
      <c r="X296" s="130"/>
      <c r="Y296" s="130"/>
      <c r="Z296" s="130"/>
    </row>
    <row r="297" ht="15.75" customHeight="1">
      <c r="A297" s="105" t="s">
        <v>193</v>
      </c>
      <c r="B297" s="154" t="s">
        <v>696</v>
      </c>
      <c r="C297" s="106" t="s">
        <v>1184</v>
      </c>
      <c r="D297" s="107" t="s">
        <v>185</v>
      </c>
      <c r="E297" s="106" t="s">
        <v>685</v>
      </c>
      <c r="F297" s="126" t="s">
        <v>195</v>
      </c>
      <c r="G297" s="126" t="s">
        <v>686</v>
      </c>
      <c r="H297" s="126" t="s">
        <v>91</v>
      </c>
      <c r="I297" s="126" t="s">
        <v>91</v>
      </c>
      <c r="J297" s="126" t="s">
        <v>85</v>
      </c>
      <c r="K297" s="126" t="s">
        <v>687</v>
      </c>
      <c r="L297" s="126"/>
      <c r="M297" s="108">
        <v>44140.0</v>
      </c>
      <c r="N297" s="106" t="s">
        <v>692</v>
      </c>
      <c r="O297" s="109" t="s">
        <v>690</v>
      </c>
      <c r="P297" s="126" t="s">
        <v>782</v>
      </c>
      <c r="Q297" s="126" t="s">
        <v>782</v>
      </c>
      <c r="R297" s="130"/>
      <c r="S297" s="130"/>
      <c r="T297" s="130"/>
      <c r="U297" s="130"/>
      <c r="V297" s="130"/>
      <c r="W297" s="130"/>
      <c r="X297" s="130"/>
      <c r="Y297" s="130"/>
      <c r="Z297" s="130"/>
    </row>
    <row r="298" ht="15.75" customHeight="1">
      <c r="A298" s="105" t="s">
        <v>1189</v>
      </c>
      <c r="B298" s="154" t="s">
        <v>52</v>
      </c>
      <c r="C298" s="106" t="s">
        <v>1190</v>
      </c>
      <c r="D298" s="107" t="s">
        <v>185</v>
      </c>
      <c r="E298" s="106" t="s">
        <v>1191</v>
      </c>
      <c r="F298" s="115">
        <v>43967.333333333336</v>
      </c>
      <c r="G298" s="126" t="s">
        <v>723</v>
      </c>
      <c r="H298" s="126" t="s">
        <v>723</v>
      </c>
      <c r="I298" s="126" t="s">
        <v>723</v>
      </c>
      <c r="J298" s="126" t="s">
        <v>85</v>
      </c>
      <c r="K298" s="126" t="s">
        <v>687</v>
      </c>
      <c r="L298" s="126" t="s">
        <v>760</v>
      </c>
      <c r="M298" s="108">
        <v>44142.0</v>
      </c>
      <c r="N298" s="126" t="s">
        <v>735</v>
      </c>
      <c r="O298" s="116" t="s">
        <v>736</v>
      </c>
      <c r="P298" s="126" t="s">
        <v>721</v>
      </c>
      <c r="Q298" s="126" t="s">
        <v>721</v>
      </c>
      <c r="R298" s="132"/>
      <c r="S298" s="132"/>
      <c r="T298" s="132"/>
      <c r="U298" s="132"/>
      <c r="V298" s="132"/>
      <c r="W298" s="132"/>
      <c r="X298" s="132"/>
      <c r="Y298" s="132"/>
      <c r="Z298" s="132"/>
    </row>
    <row r="299" ht="15.75" customHeight="1">
      <c r="A299" s="105" t="s">
        <v>1192</v>
      </c>
      <c r="B299" s="154" t="s">
        <v>197</v>
      </c>
      <c r="C299" s="106" t="s">
        <v>1193</v>
      </c>
      <c r="D299" s="107" t="s">
        <v>185</v>
      </c>
      <c r="E299" s="106" t="s">
        <v>685</v>
      </c>
      <c r="F299" s="126" t="s">
        <v>1194</v>
      </c>
      <c r="G299" s="126" t="s">
        <v>723</v>
      </c>
      <c r="H299" s="126" t="s">
        <v>723</v>
      </c>
      <c r="I299" s="126" t="s">
        <v>723</v>
      </c>
      <c r="J299" s="126" t="s">
        <v>85</v>
      </c>
      <c r="K299" s="126" t="s">
        <v>687</v>
      </c>
      <c r="L299" s="126" t="s">
        <v>688</v>
      </c>
      <c r="M299" s="108">
        <v>44142.0</v>
      </c>
      <c r="N299" s="126" t="s">
        <v>692</v>
      </c>
      <c r="O299" s="116" t="s">
        <v>690</v>
      </c>
      <c r="P299" s="126" t="s">
        <v>745</v>
      </c>
      <c r="Q299" s="126" t="s">
        <v>745</v>
      </c>
      <c r="R299" s="132"/>
      <c r="S299" s="132"/>
      <c r="T299" s="132"/>
      <c r="U299" s="132"/>
      <c r="V299" s="132"/>
      <c r="W299" s="132"/>
      <c r="X299" s="132"/>
      <c r="Y299" s="132"/>
      <c r="Z299" s="132"/>
    </row>
    <row r="300" ht="15.75" customHeight="1">
      <c r="A300" s="105" t="s">
        <v>1195</v>
      </c>
      <c r="B300" s="154" t="s">
        <v>197</v>
      </c>
      <c r="C300" s="106" t="s">
        <v>1196</v>
      </c>
      <c r="D300" s="107" t="s">
        <v>185</v>
      </c>
      <c r="E300" s="106" t="s">
        <v>1115</v>
      </c>
      <c r="F300" s="126">
        <v>35.0</v>
      </c>
      <c r="G300" s="126" t="s">
        <v>723</v>
      </c>
      <c r="H300" s="126" t="s">
        <v>723</v>
      </c>
      <c r="I300" s="126" t="s">
        <v>723</v>
      </c>
      <c r="J300" s="126" t="s">
        <v>85</v>
      </c>
      <c r="K300" s="126" t="s">
        <v>687</v>
      </c>
      <c r="L300" s="126" t="s">
        <v>688</v>
      </c>
      <c r="M300" s="108">
        <v>44142.0</v>
      </c>
      <c r="N300" s="126" t="s">
        <v>692</v>
      </c>
      <c r="O300" s="116" t="s">
        <v>690</v>
      </c>
      <c r="P300" s="126" t="s">
        <v>745</v>
      </c>
      <c r="Q300" s="126" t="s">
        <v>745</v>
      </c>
      <c r="R300" s="132"/>
      <c r="S300" s="132"/>
      <c r="T300" s="132"/>
      <c r="U300" s="132"/>
      <c r="V300" s="132"/>
      <c r="W300" s="132"/>
      <c r="X300" s="132"/>
      <c r="Y300" s="132"/>
      <c r="Z300" s="132"/>
    </row>
    <row r="301" ht="15.75" customHeight="1">
      <c r="A301" s="105" t="s">
        <v>1242</v>
      </c>
      <c r="B301" s="154" t="s">
        <v>197</v>
      </c>
      <c r="C301" s="106" t="s">
        <v>1243</v>
      </c>
      <c r="D301" s="107" t="s">
        <v>185</v>
      </c>
      <c r="E301" s="106" t="s">
        <v>1115</v>
      </c>
      <c r="F301" s="126">
        <v>35.0</v>
      </c>
      <c r="G301" s="126" t="s">
        <v>723</v>
      </c>
      <c r="H301" s="126" t="s">
        <v>723</v>
      </c>
      <c r="I301" s="126" t="s">
        <v>723</v>
      </c>
      <c r="J301" s="126" t="s">
        <v>85</v>
      </c>
      <c r="K301" s="126" t="s">
        <v>687</v>
      </c>
      <c r="L301" s="126" t="s">
        <v>760</v>
      </c>
      <c r="M301" s="108">
        <v>44141.0</v>
      </c>
      <c r="N301" s="126" t="s">
        <v>735</v>
      </c>
      <c r="O301" s="116" t="s">
        <v>736</v>
      </c>
      <c r="P301" s="126" t="s">
        <v>761</v>
      </c>
      <c r="Q301" s="126" t="s">
        <v>761</v>
      </c>
      <c r="R301" s="132"/>
      <c r="S301" s="132"/>
      <c r="T301" s="132"/>
      <c r="U301" s="132"/>
      <c r="V301" s="132"/>
      <c r="W301" s="132"/>
      <c r="X301" s="132"/>
      <c r="Y301" s="132"/>
      <c r="Z301" s="132"/>
    </row>
    <row r="302" ht="15.75" customHeight="1">
      <c r="A302" s="105" t="s">
        <v>1244</v>
      </c>
      <c r="B302" s="154" t="s">
        <v>197</v>
      </c>
      <c r="C302" s="106" t="s">
        <v>1245</v>
      </c>
      <c r="D302" s="107" t="s">
        <v>185</v>
      </c>
      <c r="E302" s="106" t="s">
        <v>1102</v>
      </c>
      <c r="F302" s="126">
        <v>23.56</v>
      </c>
      <c r="G302" s="126" t="s">
        <v>723</v>
      </c>
      <c r="H302" s="126" t="s">
        <v>723</v>
      </c>
      <c r="I302" s="126" t="s">
        <v>723</v>
      </c>
      <c r="J302" s="126" t="s">
        <v>85</v>
      </c>
      <c r="K302" s="126" t="s">
        <v>687</v>
      </c>
      <c r="L302" s="126" t="s">
        <v>760</v>
      </c>
      <c r="M302" s="108">
        <v>44141.0</v>
      </c>
      <c r="N302" s="126" t="s">
        <v>735</v>
      </c>
      <c r="O302" s="116" t="s">
        <v>736</v>
      </c>
      <c r="P302" s="126" t="s">
        <v>761</v>
      </c>
      <c r="Q302" s="126" t="s">
        <v>761</v>
      </c>
      <c r="R302" s="132"/>
      <c r="S302" s="132"/>
      <c r="T302" s="132"/>
      <c r="U302" s="132"/>
      <c r="V302" s="132"/>
      <c r="W302" s="132"/>
      <c r="X302" s="132"/>
      <c r="Y302" s="132"/>
      <c r="Z302" s="132"/>
    </row>
    <row r="303" ht="15.75" customHeight="1">
      <c r="A303" s="105" t="s">
        <v>1246</v>
      </c>
      <c r="B303" s="154" t="s">
        <v>197</v>
      </c>
      <c r="C303" s="106" t="s">
        <v>1247</v>
      </c>
      <c r="D303" s="107" t="s">
        <v>185</v>
      </c>
      <c r="E303" s="106" t="s">
        <v>1102</v>
      </c>
      <c r="F303" s="126">
        <v>23.56</v>
      </c>
      <c r="G303" s="126" t="s">
        <v>723</v>
      </c>
      <c r="H303" s="126" t="s">
        <v>723</v>
      </c>
      <c r="I303" s="126" t="s">
        <v>723</v>
      </c>
      <c r="J303" s="126" t="s">
        <v>85</v>
      </c>
      <c r="K303" s="126" t="s">
        <v>687</v>
      </c>
      <c r="L303" s="126" t="s">
        <v>760</v>
      </c>
      <c r="M303" s="108">
        <v>44141.0</v>
      </c>
      <c r="N303" s="126" t="s">
        <v>735</v>
      </c>
      <c r="O303" s="116" t="s">
        <v>736</v>
      </c>
      <c r="P303" s="126" t="s">
        <v>761</v>
      </c>
      <c r="Q303" s="126" t="s">
        <v>761</v>
      </c>
      <c r="R303" s="132"/>
      <c r="S303" s="132"/>
      <c r="T303" s="132"/>
      <c r="U303" s="132"/>
      <c r="V303" s="132"/>
      <c r="W303" s="132"/>
      <c r="X303" s="132"/>
      <c r="Y303" s="132"/>
      <c r="Z303" s="132"/>
    </row>
    <row r="304" ht="15.75" customHeight="1">
      <c r="A304" s="105" t="s">
        <v>1248</v>
      </c>
      <c r="B304" s="154" t="s">
        <v>197</v>
      </c>
      <c r="C304" s="106" t="s">
        <v>1249</v>
      </c>
      <c r="D304" s="107" t="s">
        <v>185</v>
      </c>
      <c r="E304" s="106" t="s">
        <v>1102</v>
      </c>
      <c r="F304" s="126">
        <v>35.0</v>
      </c>
      <c r="G304" s="126" t="s">
        <v>394</v>
      </c>
      <c r="H304" s="126" t="s">
        <v>394</v>
      </c>
      <c r="I304" s="126" t="s">
        <v>394</v>
      </c>
      <c r="J304" s="126" t="s">
        <v>85</v>
      </c>
      <c r="K304" s="126" t="s">
        <v>687</v>
      </c>
      <c r="L304" s="126" t="s">
        <v>688</v>
      </c>
      <c r="M304" s="108">
        <v>44141.0</v>
      </c>
      <c r="N304" s="126" t="s">
        <v>735</v>
      </c>
      <c r="O304" s="116" t="s">
        <v>736</v>
      </c>
      <c r="P304" s="126" t="s">
        <v>761</v>
      </c>
      <c r="Q304" s="126" t="s">
        <v>761</v>
      </c>
      <c r="R304" s="132"/>
      <c r="S304" s="132"/>
      <c r="T304" s="132"/>
      <c r="U304" s="132"/>
      <c r="V304" s="132"/>
      <c r="W304" s="132"/>
      <c r="X304" s="132"/>
      <c r="Y304" s="132"/>
      <c r="Z304" s="132"/>
    </row>
    <row r="305" ht="15.75" customHeight="1">
      <c r="A305" s="105" t="s">
        <v>1250</v>
      </c>
      <c r="B305" s="154" t="s">
        <v>197</v>
      </c>
      <c r="C305" s="106" t="s">
        <v>1251</v>
      </c>
      <c r="D305" s="107" t="s">
        <v>185</v>
      </c>
      <c r="E305" s="106" t="s">
        <v>1102</v>
      </c>
      <c r="F305" s="126">
        <v>23.56</v>
      </c>
      <c r="G305" s="126" t="s">
        <v>394</v>
      </c>
      <c r="H305" s="126" t="s">
        <v>394</v>
      </c>
      <c r="I305" s="126" t="s">
        <v>394</v>
      </c>
      <c r="J305" s="126" t="s">
        <v>85</v>
      </c>
      <c r="K305" s="126" t="s">
        <v>687</v>
      </c>
      <c r="L305" s="126" t="s">
        <v>688</v>
      </c>
      <c r="M305" s="108">
        <v>44141.0</v>
      </c>
      <c r="N305" s="126" t="s">
        <v>735</v>
      </c>
      <c r="O305" s="116" t="s">
        <v>736</v>
      </c>
      <c r="P305" s="126" t="s">
        <v>761</v>
      </c>
      <c r="Q305" s="126" t="s">
        <v>761</v>
      </c>
      <c r="R305" s="132"/>
      <c r="S305" s="132"/>
      <c r="T305" s="132"/>
      <c r="U305" s="132"/>
      <c r="V305" s="132"/>
      <c r="W305" s="132"/>
      <c r="X305" s="132"/>
      <c r="Y305" s="132"/>
      <c r="Z305" s="132"/>
    </row>
    <row r="306" ht="15.75" customHeight="1">
      <c r="A306" s="105" t="s">
        <v>1252</v>
      </c>
      <c r="B306" s="154" t="s">
        <v>197</v>
      </c>
      <c r="C306" s="106" t="s">
        <v>1253</v>
      </c>
      <c r="D306" s="107" t="s">
        <v>185</v>
      </c>
      <c r="E306" s="106" t="s">
        <v>1102</v>
      </c>
      <c r="F306" s="133">
        <v>100.0</v>
      </c>
      <c r="G306" s="126" t="s">
        <v>394</v>
      </c>
      <c r="H306" s="126" t="s">
        <v>394</v>
      </c>
      <c r="I306" s="126" t="s">
        <v>394</v>
      </c>
      <c r="J306" s="126" t="s">
        <v>85</v>
      </c>
      <c r="K306" s="126" t="s">
        <v>687</v>
      </c>
      <c r="L306" s="126" t="s">
        <v>688</v>
      </c>
      <c r="M306" s="108">
        <v>44141.0</v>
      </c>
      <c r="N306" s="126" t="s">
        <v>735</v>
      </c>
      <c r="O306" s="116" t="s">
        <v>736</v>
      </c>
      <c r="P306" s="126" t="s">
        <v>761</v>
      </c>
      <c r="Q306" s="126" t="s">
        <v>761</v>
      </c>
      <c r="R306" s="132"/>
      <c r="S306" s="132"/>
      <c r="T306" s="132"/>
      <c r="U306" s="132"/>
      <c r="V306" s="132"/>
      <c r="W306" s="132"/>
      <c r="X306" s="132"/>
      <c r="Y306" s="132"/>
      <c r="Z306" s="132"/>
    </row>
    <row r="307" ht="15.75" customHeight="1">
      <c r="A307" s="105" t="s">
        <v>1254</v>
      </c>
      <c r="B307" s="154" t="s">
        <v>197</v>
      </c>
      <c r="C307" s="106" t="s">
        <v>1255</v>
      </c>
      <c r="D307" s="107" t="s">
        <v>185</v>
      </c>
      <c r="E307" s="106" t="s">
        <v>1115</v>
      </c>
      <c r="F307" s="126">
        <v>8.0</v>
      </c>
      <c r="G307" s="126" t="s">
        <v>394</v>
      </c>
      <c r="H307" s="126" t="s">
        <v>394</v>
      </c>
      <c r="I307" s="126" t="s">
        <v>394</v>
      </c>
      <c r="J307" s="126" t="s">
        <v>85</v>
      </c>
      <c r="K307" s="126" t="s">
        <v>687</v>
      </c>
      <c r="L307" s="126" t="s">
        <v>688</v>
      </c>
      <c r="M307" s="108">
        <v>44141.0</v>
      </c>
      <c r="N307" s="126" t="s">
        <v>735</v>
      </c>
      <c r="O307" s="116" t="s">
        <v>736</v>
      </c>
      <c r="P307" s="126" t="s">
        <v>761</v>
      </c>
      <c r="Q307" s="126" t="s">
        <v>761</v>
      </c>
      <c r="R307" s="132"/>
      <c r="S307" s="132"/>
      <c r="T307" s="132"/>
      <c r="U307" s="132"/>
      <c r="V307" s="132"/>
      <c r="W307" s="132"/>
      <c r="X307" s="132"/>
      <c r="Y307" s="132"/>
      <c r="Z307" s="132"/>
    </row>
    <row r="308" ht="15.75" customHeight="1">
      <c r="A308" s="105" t="s">
        <v>1256</v>
      </c>
      <c r="B308" s="154" t="s">
        <v>197</v>
      </c>
      <c r="C308" s="106" t="s">
        <v>1048</v>
      </c>
      <c r="D308" s="107" t="s">
        <v>185</v>
      </c>
      <c r="E308" s="106" t="s">
        <v>1115</v>
      </c>
      <c r="F308" s="126">
        <v>20.0</v>
      </c>
      <c r="G308" s="126" t="s">
        <v>723</v>
      </c>
      <c r="H308" s="126" t="s">
        <v>723</v>
      </c>
      <c r="I308" s="126" t="s">
        <v>723</v>
      </c>
      <c r="J308" s="126" t="s">
        <v>85</v>
      </c>
      <c r="K308" s="126" t="s">
        <v>687</v>
      </c>
      <c r="L308" s="126" t="s">
        <v>688</v>
      </c>
      <c r="M308" s="108">
        <v>44141.0</v>
      </c>
      <c r="N308" s="126" t="s">
        <v>735</v>
      </c>
      <c r="O308" s="116" t="s">
        <v>736</v>
      </c>
      <c r="P308" s="126" t="s">
        <v>761</v>
      </c>
      <c r="Q308" s="126" t="s">
        <v>761</v>
      </c>
      <c r="R308" s="132"/>
      <c r="S308" s="132"/>
      <c r="T308" s="132"/>
      <c r="U308" s="132"/>
      <c r="V308" s="132"/>
      <c r="W308" s="132"/>
      <c r="X308" s="132"/>
      <c r="Y308" s="132"/>
      <c r="Z308" s="132"/>
    </row>
    <row r="309" ht="15.75" customHeight="1">
      <c r="A309" s="105" t="s">
        <v>1281</v>
      </c>
      <c r="B309" s="154" t="s">
        <v>197</v>
      </c>
      <c r="C309" s="106" t="s">
        <v>1282</v>
      </c>
      <c r="D309" s="107" t="s">
        <v>185</v>
      </c>
      <c r="E309" s="106" t="s">
        <v>685</v>
      </c>
      <c r="F309" s="126" t="s">
        <v>1283</v>
      </c>
      <c r="G309" s="126" t="s">
        <v>394</v>
      </c>
      <c r="H309" s="126" t="s">
        <v>394</v>
      </c>
      <c r="I309" s="126" t="s">
        <v>394</v>
      </c>
      <c r="J309" s="126" t="s">
        <v>85</v>
      </c>
      <c r="K309" s="126" t="s">
        <v>687</v>
      </c>
      <c r="L309" s="126" t="s">
        <v>760</v>
      </c>
      <c r="M309" s="108">
        <v>44141.0</v>
      </c>
      <c r="N309" s="126" t="s">
        <v>735</v>
      </c>
      <c r="O309" s="116" t="s">
        <v>736</v>
      </c>
      <c r="P309" s="126" t="s">
        <v>761</v>
      </c>
      <c r="Q309" s="126" t="s">
        <v>761</v>
      </c>
      <c r="R309" s="132"/>
      <c r="S309" s="132"/>
      <c r="T309" s="132"/>
      <c r="U309" s="132"/>
      <c r="V309" s="132"/>
      <c r="W309" s="132"/>
      <c r="X309" s="132"/>
      <c r="Y309" s="132"/>
      <c r="Z309" s="132"/>
    </row>
    <row r="310" ht="15.75" customHeight="1">
      <c r="A310" s="105" t="s">
        <v>1284</v>
      </c>
      <c r="B310" s="154" t="s">
        <v>197</v>
      </c>
      <c r="C310" s="106" t="s">
        <v>1285</v>
      </c>
      <c r="D310" s="107" t="s">
        <v>185</v>
      </c>
      <c r="E310" s="106" t="s">
        <v>685</v>
      </c>
      <c r="F310" s="126" t="s">
        <v>1283</v>
      </c>
      <c r="G310" s="126" t="s">
        <v>394</v>
      </c>
      <c r="H310" s="126" t="s">
        <v>394</v>
      </c>
      <c r="I310" s="126" t="s">
        <v>394</v>
      </c>
      <c r="J310" s="126" t="s">
        <v>85</v>
      </c>
      <c r="K310" s="126" t="s">
        <v>687</v>
      </c>
      <c r="L310" s="126" t="s">
        <v>760</v>
      </c>
      <c r="M310" s="108">
        <v>44141.0</v>
      </c>
      <c r="N310" s="126" t="s">
        <v>735</v>
      </c>
      <c r="O310" s="116" t="s">
        <v>736</v>
      </c>
      <c r="P310" s="126" t="s">
        <v>761</v>
      </c>
      <c r="Q310" s="126" t="s">
        <v>761</v>
      </c>
      <c r="R310" s="132"/>
      <c r="S310" s="132"/>
      <c r="T310" s="132"/>
      <c r="U310" s="132"/>
      <c r="V310" s="132"/>
      <c r="W310" s="132"/>
      <c r="X310" s="132"/>
      <c r="Y310" s="132"/>
      <c r="Z310" s="132"/>
    </row>
    <row r="311" ht="15.75" customHeight="1">
      <c r="A311" s="105" t="s">
        <v>1286</v>
      </c>
      <c r="B311" s="154" t="s">
        <v>197</v>
      </c>
      <c r="C311" s="106" t="s">
        <v>1287</v>
      </c>
      <c r="D311" s="107" t="s">
        <v>185</v>
      </c>
      <c r="E311" s="106" t="s">
        <v>685</v>
      </c>
      <c r="F311" s="126" t="s">
        <v>1283</v>
      </c>
      <c r="G311" s="126" t="s">
        <v>394</v>
      </c>
      <c r="H311" s="126" t="s">
        <v>394</v>
      </c>
      <c r="I311" s="126" t="s">
        <v>394</v>
      </c>
      <c r="J311" s="126" t="s">
        <v>85</v>
      </c>
      <c r="K311" s="126" t="s">
        <v>687</v>
      </c>
      <c r="L311" s="126" t="s">
        <v>760</v>
      </c>
      <c r="M311" s="108">
        <v>44141.0</v>
      </c>
      <c r="N311" s="126" t="s">
        <v>735</v>
      </c>
      <c r="O311" s="116" t="s">
        <v>736</v>
      </c>
      <c r="P311" s="126" t="s">
        <v>761</v>
      </c>
      <c r="Q311" s="126" t="s">
        <v>761</v>
      </c>
      <c r="R311" s="132"/>
      <c r="S311" s="132"/>
      <c r="T311" s="132"/>
      <c r="U311" s="132"/>
      <c r="V311" s="132"/>
      <c r="W311" s="132"/>
      <c r="X311" s="132"/>
      <c r="Y311" s="132"/>
      <c r="Z311" s="132"/>
    </row>
    <row r="312" ht="15.75" customHeight="1">
      <c r="A312" s="105" t="s">
        <v>1288</v>
      </c>
      <c r="B312" s="154" t="s">
        <v>197</v>
      </c>
      <c r="C312" s="106" t="s">
        <v>1289</v>
      </c>
      <c r="D312" s="107" t="s">
        <v>185</v>
      </c>
      <c r="E312" s="106" t="s">
        <v>685</v>
      </c>
      <c r="F312" s="126" t="s">
        <v>1283</v>
      </c>
      <c r="G312" s="126" t="s">
        <v>394</v>
      </c>
      <c r="H312" s="126" t="s">
        <v>394</v>
      </c>
      <c r="I312" s="126" t="s">
        <v>394</v>
      </c>
      <c r="J312" s="126" t="s">
        <v>85</v>
      </c>
      <c r="K312" s="126" t="s">
        <v>687</v>
      </c>
      <c r="L312" s="126" t="s">
        <v>760</v>
      </c>
      <c r="M312" s="108">
        <v>44141.0</v>
      </c>
      <c r="N312" s="126" t="s">
        <v>735</v>
      </c>
      <c r="O312" s="116" t="s">
        <v>736</v>
      </c>
      <c r="P312" s="126" t="s">
        <v>761</v>
      </c>
      <c r="Q312" s="126" t="s">
        <v>761</v>
      </c>
      <c r="R312" s="132"/>
      <c r="S312" s="132"/>
      <c r="T312" s="132"/>
      <c r="U312" s="132"/>
      <c r="V312" s="132"/>
      <c r="W312" s="132"/>
      <c r="X312" s="132"/>
      <c r="Y312" s="132"/>
      <c r="Z312" s="132"/>
    </row>
    <row r="313" ht="15.75" customHeight="1">
      <c r="A313" s="105" t="s">
        <v>1290</v>
      </c>
      <c r="B313" s="154" t="s">
        <v>197</v>
      </c>
      <c r="C313" s="106" t="s">
        <v>1291</v>
      </c>
      <c r="D313" s="107" t="s">
        <v>185</v>
      </c>
      <c r="E313" s="106" t="s">
        <v>685</v>
      </c>
      <c r="F313" s="126" t="s">
        <v>1283</v>
      </c>
      <c r="G313" s="126" t="s">
        <v>394</v>
      </c>
      <c r="H313" s="126" t="s">
        <v>394</v>
      </c>
      <c r="I313" s="126" t="s">
        <v>394</v>
      </c>
      <c r="J313" s="126" t="s">
        <v>85</v>
      </c>
      <c r="K313" s="126" t="s">
        <v>687</v>
      </c>
      <c r="L313" s="126" t="s">
        <v>760</v>
      </c>
      <c r="M313" s="108">
        <v>44141.0</v>
      </c>
      <c r="N313" s="126" t="s">
        <v>735</v>
      </c>
      <c r="O313" s="116" t="s">
        <v>736</v>
      </c>
      <c r="P313" s="126" t="s">
        <v>761</v>
      </c>
      <c r="Q313" s="126" t="s">
        <v>761</v>
      </c>
      <c r="R313" s="132"/>
      <c r="S313" s="132"/>
      <c r="T313" s="132"/>
      <c r="U313" s="132"/>
      <c r="V313" s="132"/>
      <c r="W313" s="132"/>
      <c r="X313" s="132"/>
      <c r="Y313" s="132"/>
      <c r="Z313" s="132"/>
    </row>
    <row r="314" ht="15.75" customHeight="1">
      <c r="A314" s="105" t="s">
        <v>1292</v>
      </c>
      <c r="B314" s="154" t="s">
        <v>197</v>
      </c>
      <c r="C314" s="106" t="s">
        <v>1293</v>
      </c>
      <c r="D314" s="107" t="s">
        <v>185</v>
      </c>
      <c r="E314" s="106" t="s">
        <v>685</v>
      </c>
      <c r="F314" s="126" t="s">
        <v>1483</v>
      </c>
      <c r="G314" s="126" t="s">
        <v>394</v>
      </c>
      <c r="H314" s="126" t="s">
        <v>394</v>
      </c>
      <c r="I314" s="126" t="s">
        <v>394</v>
      </c>
      <c r="J314" s="126" t="s">
        <v>85</v>
      </c>
      <c r="K314" s="126" t="s">
        <v>687</v>
      </c>
      <c r="L314" s="126" t="s">
        <v>760</v>
      </c>
      <c r="M314" s="108">
        <v>44141.0</v>
      </c>
      <c r="N314" s="126" t="s">
        <v>735</v>
      </c>
      <c r="O314" s="116" t="s">
        <v>736</v>
      </c>
      <c r="P314" s="126" t="s">
        <v>761</v>
      </c>
      <c r="Q314" s="126" t="s">
        <v>761</v>
      </c>
      <c r="R314" s="132"/>
      <c r="S314" s="132"/>
      <c r="T314" s="132"/>
      <c r="U314" s="132"/>
      <c r="V314" s="132"/>
      <c r="W314" s="132"/>
      <c r="X314" s="132"/>
      <c r="Y314" s="132"/>
      <c r="Z314" s="132"/>
    </row>
    <row r="315" ht="15.75" customHeight="1">
      <c r="A315" s="105" t="s">
        <v>1294</v>
      </c>
      <c r="B315" s="153" t="s">
        <v>696</v>
      </c>
      <c r="C315" s="106" t="s">
        <v>1295</v>
      </c>
      <c r="D315" s="107" t="s">
        <v>185</v>
      </c>
      <c r="E315" s="106" t="s">
        <v>685</v>
      </c>
      <c r="F315" s="126" t="s">
        <v>1296</v>
      </c>
      <c r="G315" s="126" t="s">
        <v>394</v>
      </c>
      <c r="H315" s="126" t="s">
        <v>394</v>
      </c>
      <c r="I315" s="126" t="s">
        <v>394</v>
      </c>
      <c r="J315" s="126" t="s">
        <v>85</v>
      </c>
      <c r="K315" s="126" t="s">
        <v>687</v>
      </c>
      <c r="L315" s="126" t="s">
        <v>688</v>
      </c>
      <c r="M315" s="108">
        <v>44142.0</v>
      </c>
      <c r="N315" s="126" t="s">
        <v>701</v>
      </c>
      <c r="O315" s="116" t="s">
        <v>736</v>
      </c>
      <c r="P315" s="126" t="s">
        <v>744</v>
      </c>
      <c r="Q315" s="126" t="s">
        <v>744</v>
      </c>
      <c r="R315" s="132"/>
      <c r="S315" s="132"/>
      <c r="T315" s="132"/>
      <c r="U315" s="132"/>
      <c r="V315" s="132"/>
      <c r="W315" s="132"/>
      <c r="X315" s="132"/>
      <c r="Y315" s="132"/>
      <c r="Z315" s="132"/>
    </row>
    <row r="316" ht="15.75" customHeight="1">
      <c r="A316" s="105" t="s">
        <v>1297</v>
      </c>
      <c r="B316" s="154" t="s">
        <v>197</v>
      </c>
      <c r="C316" s="106" t="s">
        <v>1298</v>
      </c>
      <c r="D316" s="107" t="s">
        <v>185</v>
      </c>
      <c r="E316" s="106" t="s">
        <v>1299</v>
      </c>
      <c r="F316" s="134">
        <v>56.67</v>
      </c>
      <c r="G316" s="112" t="s">
        <v>394</v>
      </c>
      <c r="H316" s="112" t="s">
        <v>394</v>
      </c>
      <c r="I316" s="112" t="s">
        <v>394</v>
      </c>
      <c r="J316" s="135" t="s">
        <v>85</v>
      </c>
      <c r="K316" s="136" t="s">
        <v>687</v>
      </c>
      <c r="L316" s="135" t="s">
        <v>760</v>
      </c>
      <c r="M316" s="137">
        <v>44141.0</v>
      </c>
      <c r="N316" s="138" t="s">
        <v>1340</v>
      </c>
      <c r="O316" s="116" t="s">
        <v>736</v>
      </c>
      <c r="P316" s="134" t="s">
        <v>750</v>
      </c>
      <c r="Q316" s="134" t="s">
        <v>750</v>
      </c>
      <c r="R316" s="132"/>
      <c r="S316" s="132"/>
      <c r="T316" s="132"/>
      <c r="U316" s="132"/>
      <c r="V316" s="132"/>
      <c r="W316" s="132"/>
      <c r="X316" s="132"/>
      <c r="Y316" s="132"/>
      <c r="Z316" s="132"/>
    </row>
    <row r="317" ht="15.75" customHeight="1">
      <c r="A317" s="105" t="s">
        <v>1300</v>
      </c>
      <c r="B317" s="154" t="s">
        <v>197</v>
      </c>
      <c r="C317" s="106" t="s">
        <v>1301</v>
      </c>
      <c r="D317" s="107" t="s">
        <v>185</v>
      </c>
      <c r="E317" s="106" t="s">
        <v>1299</v>
      </c>
      <c r="F317" s="134">
        <v>86.5</v>
      </c>
      <c r="G317" s="112" t="s">
        <v>394</v>
      </c>
      <c r="H317" s="112" t="s">
        <v>394</v>
      </c>
      <c r="I317" s="112" t="s">
        <v>394</v>
      </c>
      <c r="J317" s="135" t="s">
        <v>85</v>
      </c>
      <c r="K317" s="136" t="s">
        <v>687</v>
      </c>
      <c r="L317" s="135" t="s">
        <v>760</v>
      </c>
      <c r="M317" s="137">
        <v>44141.0</v>
      </c>
      <c r="N317" s="138" t="s">
        <v>1340</v>
      </c>
      <c r="O317" s="116" t="s">
        <v>736</v>
      </c>
      <c r="P317" s="134" t="s">
        <v>750</v>
      </c>
      <c r="Q317" s="134" t="s">
        <v>750</v>
      </c>
      <c r="R317" s="132"/>
      <c r="S317" s="132"/>
      <c r="T317" s="132"/>
      <c r="U317" s="132"/>
      <c r="V317" s="132"/>
      <c r="W317" s="132"/>
      <c r="X317" s="132"/>
      <c r="Y317" s="132"/>
      <c r="Z317" s="132"/>
    </row>
    <row r="318" ht="15.75" customHeight="1">
      <c r="A318" s="105" t="s">
        <v>1302</v>
      </c>
      <c r="B318" s="154" t="s">
        <v>197</v>
      </c>
      <c r="C318" s="106" t="s">
        <v>1303</v>
      </c>
      <c r="D318" s="107" t="s">
        <v>185</v>
      </c>
      <c r="E318" s="106" t="s">
        <v>1299</v>
      </c>
      <c r="F318" s="134">
        <v>61.0</v>
      </c>
      <c r="G318" s="112" t="s">
        <v>394</v>
      </c>
      <c r="H318" s="112" t="s">
        <v>394</v>
      </c>
      <c r="I318" s="112" t="s">
        <v>394</v>
      </c>
      <c r="J318" s="135" t="s">
        <v>85</v>
      </c>
      <c r="K318" s="136" t="s">
        <v>687</v>
      </c>
      <c r="L318" s="135" t="s">
        <v>760</v>
      </c>
      <c r="M318" s="137">
        <v>44141.0</v>
      </c>
      <c r="N318" s="138" t="s">
        <v>1340</v>
      </c>
      <c r="O318" s="116" t="s">
        <v>736</v>
      </c>
      <c r="P318" s="134" t="s">
        <v>750</v>
      </c>
      <c r="Q318" s="134" t="s">
        <v>750</v>
      </c>
      <c r="R318" s="132"/>
      <c r="S318" s="132"/>
      <c r="T318" s="132"/>
      <c r="U318" s="132"/>
      <c r="V318" s="132"/>
      <c r="W318" s="132"/>
      <c r="X318" s="132"/>
      <c r="Y318" s="132"/>
      <c r="Z318" s="132"/>
    </row>
    <row r="319" ht="15.75" customHeight="1">
      <c r="A319" s="105" t="s">
        <v>1304</v>
      </c>
      <c r="B319" s="154" t="s">
        <v>696</v>
      </c>
      <c r="C319" s="106" t="s">
        <v>1305</v>
      </c>
      <c r="D319" s="107" t="s">
        <v>83</v>
      </c>
      <c r="E319" s="106" t="s">
        <v>1306</v>
      </c>
      <c r="F319" s="134" t="s">
        <v>1307</v>
      </c>
      <c r="G319" s="112" t="s">
        <v>394</v>
      </c>
      <c r="H319" s="112" t="s">
        <v>394</v>
      </c>
      <c r="I319" s="112" t="s">
        <v>394</v>
      </c>
      <c r="J319" s="135" t="s">
        <v>85</v>
      </c>
      <c r="K319" s="136" t="s">
        <v>687</v>
      </c>
      <c r="L319" s="138" t="s">
        <v>688</v>
      </c>
      <c r="M319" s="137">
        <v>44141.0</v>
      </c>
      <c r="N319" s="138" t="s">
        <v>1327</v>
      </c>
      <c r="O319" s="116" t="s">
        <v>736</v>
      </c>
      <c r="P319" s="134" t="s">
        <v>744</v>
      </c>
      <c r="Q319" s="139" t="s">
        <v>744</v>
      </c>
      <c r="R319" s="132"/>
      <c r="S319" s="132"/>
      <c r="T319" s="132"/>
      <c r="U319" s="132"/>
      <c r="V319" s="132"/>
      <c r="W319" s="132"/>
      <c r="X319" s="132"/>
      <c r="Y319" s="132"/>
      <c r="Z319" s="132"/>
    </row>
    <row r="320" ht="15.75" customHeight="1">
      <c r="A320" s="105" t="s">
        <v>1308</v>
      </c>
      <c r="B320" s="154" t="s">
        <v>197</v>
      </c>
      <c r="C320" s="106" t="s">
        <v>1341</v>
      </c>
      <c r="D320" s="107" t="s">
        <v>185</v>
      </c>
      <c r="E320" s="106" t="s">
        <v>1299</v>
      </c>
      <c r="F320" s="134">
        <v>25.0</v>
      </c>
      <c r="G320" s="112" t="s">
        <v>394</v>
      </c>
      <c r="H320" s="112" t="s">
        <v>1310</v>
      </c>
      <c r="I320" s="112" t="s">
        <v>394</v>
      </c>
      <c r="J320" s="135" t="s">
        <v>85</v>
      </c>
      <c r="K320" s="136" t="s">
        <v>687</v>
      </c>
      <c r="L320" s="135" t="s">
        <v>760</v>
      </c>
      <c r="M320" s="137">
        <v>44142.0</v>
      </c>
      <c r="N320" s="106" t="s">
        <v>692</v>
      </c>
      <c r="O320" s="109" t="s">
        <v>690</v>
      </c>
      <c r="P320" s="134" t="s">
        <v>724</v>
      </c>
      <c r="Q320" s="134" t="s">
        <v>724</v>
      </c>
      <c r="R320" s="132"/>
      <c r="S320" s="132"/>
      <c r="T320" s="132"/>
      <c r="U320" s="132"/>
      <c r="V320" s="132"/>
      <c r="W320" s="132"/>
      <c r="X320" s="132"/>
      <c r="Y320" s="132"/>
      <c r="Z320" s="132"/>
    </row>
    <row r="321" ht="15.75" customHeight="1">
      <c r="A321" s="105" t="s">
        <v>1311</v>
      </c>
      <c r="B321" s="154" t="s">
        <v>197</v>
      </c>
      <c r="C321" s="106" t="s">
        <v>1342</v>
      </c>
      <c r="D321" s="107" t="s">
        <v>185</v>
      </c>
      <c r="E321" s="106" t="s">
        <v>1299</v>
      </c>
      <c r="F321" s="134">
        <v>5.0</v>
      </c>
      <c r="G321" s="112" t="s">
        <v>394</v>
      </c>
      <c r="H321" s="112" t="s">
        <v>1310</v>
      </c>
      <c r="I321" s="112" t="s">
        <v>394</v>
      </c>
      <c r="J321" s="135" t="s">
        <v>85</v>
      </c>
      <c r="K321" s="136" t="s">
        <v>687</v>
      </c>
      <c r="L321" s="135" t="s">
        <v>760</v>
      </c>
      <c r="M321" s="137">
        <v>44142.0</v>
      </c>
      <c r="N321" s="106" t="s">
        <v>692</v>
      </c>
      <c r="O321" s="109" t="s">
        <v>690</v>
      </c>
      <c r="P321" s="134" t="s">
        <v>724</v>
      </c>
      <c r="Q321" s="134" t="s">
        <v>724</v>
      </c>
      <c r="R321" s="132"/>
      <c r="S321" s="132"/>
      <c r="T321" s="132"/>
      <c r="U321" s="132"/>
      <c r="V321" s="132"/>
      <c r="W321" s="132"/>
      <c r="X321" s="132"/>
      <c r="Y321" s="132"/>
      <c r="Z321" s="132"/>
    </row>
    <row r="322" ht="15.75" customHeight="1">
      <c r="A322" s="105" t="s">
        <v>210</v>
      </c>
      <c r="B322" s="154" t="s">
        <v>197</v>
      </c>
      <c r="C322" s="106" t="s">
        <v>211</v>
      </c>
      <c r="D322" s="107" t="s">
        <v>185</v>
      </c>
      <c r="E322" s="106" t="s">
        <v>720</v>
      </c>
      <c r="F322" s="134" t="b">
        <v>1</v>
      </c>
      <c r="G322" s="112" t="s">
        <v>394</v>
      </c>
      <c r="H322" s="112" t="s">
        <v>91</v>
      </c>
      <c r="I322" s="112" t="s">
        <v>394</v>
      </c>
      <c r="J322" s="135" t="s">
        <v>85</v>
      </c>
      <c r="K322" s="136" t="s">
        <v>749</v>
      </c>
      <c r="L322" s="135"/>
      <c r="M322" s="140">
        <v>44075.0</v>
      </c>
      <c r="N322" s="138" t="s">
        <v>735</v>
      </c>
      <c r="O322" s="138" t="s">
        <v>732</v>
      </c>
      <c r="P322" s="134" t="s">
        <v>702</v>
      </c>
      <c r="Q322" s="134" t="s">
        <v>702</v>
      </c>
      <c r="R322" s="132"/>
      <c r="S322" s="132"/>
      <c r="T322" s="132"/>
      <c r="U322" s="132"/>
      <c r="V322" s="132"/>
      <c r="W322" s="132"/>
      <c r="X322" s="132"/>
      <c r="Y322" s="132"/>
      <c r="Z322" s="132"/>
    </row>
    <row r="323" ht="15.75" customHeight="1">
      <c r="A323" s="105" t="s">
        <v>1343</v>
      </c>
      <c r="B323" s="154" t="s">
        <v>197</v>
      </c>
      <c r="C323" s="106" t="s">
        <v>1344</v>
      </c>
      <c r="D323" s="107" t="s">
        <v>185</v>
      </c>
      <c r="E323" s="106" t="s">
        <v>1191</v>
      </c>
      <c r="F323" s="161">
        <v>43666.333333333336</v>
      </c>
      <c r="G323" s="105" t="s">
        <v>1346</v>
      </c>
      <c r="H323" s="105" t="s">
        <v>1346</v>
      </c>
      <c r="I323" s="105" t="s">
        <v>1346</v>
      </c>
      <c r="J323" s="135" t="s">
        <v>85</v>
      </c>
      <c r="K323" s="136" t="s">
        <v>687</v>
      </c>
      <c r="L323" s="135" t="s">
        <v>760</v>
      </c>
      <c r="M323" s="137">
        <v>44142.0</v>
      </c>
      <c r="N323" s="106" t="s">
        <v>692</v>
      </c>
      <c r="O323" s="109" t="s">
        <v>690</v>
      </c>
      <c r="P323" s="134" t="s">
        <v>724</v>
      </c>
      <c r="Q323" s="134" t="s">
        <v>724</v>
      </c>
      <c r="R323" s="132"/>
      <c r="S323" s="132"/>
      <c r="T323" s="132"/>
      <c r="U323" s="132"/>
      <c r="V323" s="132"/>
      <c r="W323" s="132"/>
      <c r="X323" s="132"/>
      <c r="Y323" s="132"/>
      <c r="Z323" s="132"/>
    </row>
    <row r="324" ht="15.75" customHeight="1">
      <c r="A324" s="105" t="s">
        <v>1347</v>
      </c>
      <c r="B324" s="154" t="s">
        <v>52</v>
      </c>
      <c r="C324" s="106" t="s">
        <v>1348</v>
      </c>
      <c r="D324" s="107" t="s">
        <v>185</v>
      </c>
      <c r="E324" s="106" t="s">
        <v>1299</v>
      </c>
      <c r="F324" s="134">
        <v>120.0</v>
      </c>
      <c r="G324" s="105" t="s">
        <v>1346</v>
      </c>
      <c r="H324" s="105" t="s">
        <v>1346</v>
      </c>
      <c r="I324" s="105" t="s">
        <v>1346</v>
      </c>
      <c r="J324" s="135" t="s">
        <v>85</v>
      </c>
      <c r="K324" s="136" t="s">
        <v>687</v>
      </c>
      <c r="L324" s="135" t="s">
        <v>760</v>
      </c>
      <c r="M324" s="137">
        <v>44142.0</v>
      </c>
      <c r="N324" s="106" t="s">
        <v>735</v>
      </c>
      <c r="O324" s="116" t="s">
        <v>736</v>
      </c>
      <c r="P324" s="134" t="s">
        <v>721</v>
      </c>
      <c r="Q324" s="134" t="s">
        <v>721</v>
      </c>
      <c r="R324" s="132"/>
      <c r="S324" s="132"/>
      <c r="T324" s="132"/>
      <c r="U324" s="132"/>
      <c r="V324" s="132"/>
      <c r="W324" s="132"/>
      <c r="X324" s="132"/>
      <c r="Y324" s="132"/>
      <c r="Z324" s="132"/>
    </row>
    <row r="325" ht="15.75" customHeight="1">
      <c r="A325" s="105" t="s">
        <v>1349</v>
      </c>
      <c r="B325" s="154" t="s">
        <v>52</v>
      </c>
      <c r="C325" s="106" t="s">
        <v>1350</v>
      </c>
      <c r="D325" s="107" t="s">
        <v>185</v>
      </c>
      <c r="E325" s="106" t="s">
        <v>1299</v>
      </c>
      <c r="F325" s="134">
        <v>120.0</v>
      </c>
      <c r="G325" s="105" t="s">
        <v>1346</v>
      </c>
      <c r="H325" s="105" t="s">
        <v>1346</v>
      </c>
      <c r="I325" s="105" t="s">
        <v>1346</v>
      </c>
      <c r="J325" s="135" t="s">
        <v>85</v>
      </c>
      <c r="K325" s="136" t="s">
        <v>687</v>
      </c>
      <c r="L325" s="135" t="s">
        <v>760</v>
      </c>
      <c r="M325" s="137">
        <v>44142.0</v>
      </c>
      <c r="N325" s="106" t="s">
        <v>735</v>
      </c>
      <c r="O325" s="116" t="s">
        <v>736</v>
      </c>
      <c r="P325" s="134" t="s">
        <v>721</v>
      </c>
      <c r="Q325" s="134" t="s">
        <v>721</v>
      </c>
      <c r="R325" s="132"/>
      <c r="S325" s="132"/>
      <c r="T325" s="132"/>
      <c r="U325" s="132"/>
      <c r="V325" s="132"/>
      <c r="W325" s="132"/>
      <c r="X325" s="132"/>
      <c r="Y325" s="132"/>
      <c r="Z325" s="132"/>
    </row>
    <row r="326" ht="15.75" customHeight="1">
      <c r="A326" s="105" t="s">
        <v>1351</v>
      </c>
      <c r="B326" s="154" t="s">
        <v>197</v>
      </c>
      <c r="C326" s="106" t="s">
        <v>1352</v>
      </c>
      <c r="D326" s="107" t="s">
        <v>185</v>
      </c>
      <c r="E326" s="106" t="s">
        <v>1299</v>
      </c>
      <c r="F326" s="134">
        <v>20.25</v>
      </c>
      <c r="G326" s="105" t="s">
        <v>1346</v>
      </c>
      <c r="H326" s="105" t="s">
        <v>1346</v>
      </c>
      <c r="I326" s="105" t="s">
        <v>1346</v>
      </c>
      <c r="J326" s="135" t="s">
        <v>85</v>
      </c>
      <c r="K326" s="136" t="s">
        <v>687</v>
      </c>
      <c r="L326" s="135" t="s">
        <v>760</v>
      </c>
      <c r="M326" s="137">
        <v>44141.0</v>
      </c>
      <c r="N326" s="138" t="s">
        <v>1340</v>
      </c>
      <c r="O326" s="138" t="s">
        <v>736</v>
      </c>
      <c r="P326" s="134" t="s">
        <v>750</v>
      </c>
      <c r="Q326" s="134" t="s">
        <v>750</v>
      </c>
      <c r="R326" s="132"/>
      <c r="S326" s="132"/>
      <c r="T326" s="132"/>
      <c r="U326" s="132"/>
      <c r="V326" s="132"/>
      <c r="W326" s="132"/>
      <c r="X326" s="132"/>
      <c r="Y326" s="132"/>
      <c r="Z326" s="132"/>
    </row>
    <row r="327" ht="15.75" customHeight="1">
      <c r="A327" s="105" t="s">
        <v>1353</v>
      </c>
      <c r="B327" s="154" t="s">
        <v>52</v>
      </c>
      <c r="C327" s="106" t="s">
        <v>1354</v>
      </c>
      <c r="D327" s="107" t="s">
        <v>185</v>
      </c>
      <c r="E327" s="106" t="s">
        <v>1191</v>
      </c>
      <c r="F327" s="161">
        <v>43678.333333333336</v>
      </c>
      <c r="G327" s="105" t="s">
        <v>1346</v>
      </c>
      <c r="H327" s="105" t="s">
        <v>1346</v>
      </c>
      <c r="I327" s="105" t="s">
        <v>1346</v>
      </c>
      <c r="J327" s="135" t="s">
        <v>85</v>
      </c>
      <c r="K327" s="136" t="s">
        <v>687</v>
      </c>
      <c r="L327" s="135" t="s">
        <v>760</v>
      </c>
      <c r="M327" s="137">
        <v>44142.0</v>
      </c>
      <c r="N327" s="138" t="s">
        <v>913</v>
      </c>
      <c r="O327" s="116" t="s">
        <v>736</v>
      </c>
      <c r="P327" s="134" t="s">
        <v>721</v>
      </c>
      <c r="Q327" s="134" t="s">
        <v>721</v>
      </c>
      <c r="R327" s="132"/>
      <c r="S327" s="132"/>
      <c r="T327" s="132"/>
      <c r="U327" s="132"/>
      <c r="V327" s="132"/>
      <c r="W327" s="132"/>
      <c r="X327" s="132"/>
      <c r="Y327" s="132"/>
      <c r="Z327" s="132"/>
    </row>
    <row r="328" ht="15.75" customHeight="1">
      <c r="A328" s="105" t="s">
        <v>1355</v>
      </c>
      <c r="B328" s="155" t="s">
        <v>44</v>
      </c>
      <c r="C328" s="106" t="s">
        <v>1356</v>
      </c>
      <c r="D328" s="107" t="s">
        <v>185</v>
      </c>
      <c r="E328" s="106" t="s">
        <v>1306</v>
      </c>
      <c r="F328" s="134" t="s">
        <v>1357</v>
      </c>
      <c r="G328" s="105" t="s">
        <v>1358</v>
      </c>
      <c r="H328" s="105" t="s">
        <v>1358</v>
      </c>
      <c r="I328" s="105" t="s">
        <v>1358</v>
      </c>
      <c r="J328" s="135" t="s">
        <v>85</v>
      </c>
      <c r="K328" s="105" t="s">
        <v>1479</v>
      </c>
      <c r="L328" s="135" t="s">
        <v>1360</v>
      </c>
      <c r="M328" s="140">
        <v>44105.0</v>
      </c>
      <c r="N328" s="106" t="s">
        <v>692</v>
      </c>
      <c r="O328" s="109" t="s">
        <v>690</v>
      </c>
      <c r="P328" s="134" t="s">
        <v>782</v>
      </c>
      <c r="Q328" s="134" t="s">
        <v>782</v>
      </c>
      <c r="R328" s="132"/>
      <c r="S328" s="132"/>
      <c r="T328" s="132"/>
      <c r="U328" s="132"/>
      <c r="V328" s="132"/>
      <c r="W328" s="132"/>
      <c r="X328" s="132"/>
      <c r="Y328" s="132"/>
      <c r="Z328" s="132"/>
    </row>
    <row r="329" ht="15.75" customHeight="1">
      <c r="A329" s="105" t="s">
        <v>1361</v>
      </c>
      <c r="B329" s="155" t="s">
        <v>44</v>
      </c>
      <c r="C329" s="106" t="s">
        <v>1362</v>
      </c>
      <c r="D329" s="107" t="s">
        <v>185</v>
      </c>
      <c r="E329" s="106" t="s">
        <v>1306</v>
      </c>
      <c r="F329" s="134" t="s">
        <v>1363</v>
      </c>
      <c r="G329" s="105" t="s">
        <v>1358</v>
      </c>
      <c r="H329" s="105" t="s">
        <v>1358</v>
      </c>
      <c r="I329" s="105" t="s">
        <v>1358</v>
      </c>
      <c r="J329" s="135" t="s">
        <v>85</v>
      </c>
      <c r="K329" s="105" t="s">
        <v>1479</v>
      </c>
      <c r="L329" s="135" t="s">
        <v>1360</v>
      </c>
      <c r="M329" s="140">
        <v>44105.0</v>
      </c>
      <c r="N329" s="106" t="s">
        <v>692</v>
      </c>
      <c r="O329" s="109" t="s">
        <v>690</v>
      </c>
      <c r="P329" s="134" t="s">
        <v>782</v>
      </c>
      <c r="Q329" s="134" t="s">
        <v>782</v>
      </c>
      <c r="R329" s="132"/>
      <c r="S329" s="132"/>
      <c r="T329" s="132"/>
      <c r="U329" s="132"/>
      <c r="V329" s="132"/>
      <c r="W329" s="132"/>
      <c r="X329" s="132"/>
      <c r="Y329" s="132"/>
      <c r="Z329" s="132"/>
    </row>
    <row r="330" ht="15.75" customHeight="1">
      <c r="A330" s="105" t="s">
        <v>1364</v>
      </c>
      <c r="B330" s="155" t="s">
        <v>44</v>
      </c>
      <c r="C330" s="106" t="s">
        <v>1365</v>
      </c>
      <c r="D330" s="107" t="s">
        <v>185</v>
      </c>
      <c r="E330" s="106" t="s">
        <v>1306</v>
      </c>
      <c r="F330" s="134" t="s">
        <v>1357</v>
      </c>
      <c r="G330" s="105" t="s">
        <v>1358</v>
      </c>
      <c r="H330" s="105" t="s">
        <v>1358</v>
      </c>
      <c r="I330" s="105" t="s">
        <v>1358</v>
      </c>
      <c r="J330" s="135" t="s">
        <v>85</v>
      </c>
      <c r="K330" s="105" t="s">
        <v>1479</v>
      </c>
      <c r="L330" s="135" t="s">
        <v>1360</v>
      </c>
      <c r="M330" s="140">
        <v>44105.0</v>
      </c>
      <c r="N330" s="106" t="s">
        <v>692</v>
      </c>
      <c r="O330" s="109" t="s">
        <v>690</v>
      </c>
      <c r="P330" s="134" t="s">
        <v>782</v>
      </c>
      <c r="Q330" s="134" t="s">
        <v>782</v>
      </c>
      <c r="R330" s="132"/>
      <c r="S330" s="132"/>
      <c r="T330" s="132"/>
      <c r="U330" s="132"/>
      <c r="V330" s="132"/>
      <c r="W330" s="132"/>
      <c r="X330" s="132"/>
      <c r="Y330" s="132"/>
      <c r="Z330" s="132"/>
    </row>
    <row r="331" ht="15.75" customHeight="1">
      <c r="A331" s="105" t="s">
        <v>1366</v>
      </c>
      <c r="B331" s="155" t="s">
        <v>44</v>
      </c>
      <c r="C331" s="106" t="s">
        <v>1367</v>
      </c>
      <c r="D331" s="107" t="s">
        <v>185</v>
      </c>
      <c r="E331" s="106" t="s">
        <v>1306</v>
      </c>
      <c r="F331" s="134" t="s">
        <v>1363</v>
      </c>
      <c r="G331" s="105" t="s">
        <v>1358</v>
      </c>
      <c r="H331" s="105" t="s">
        <v>1358</v>
      </c>
      <c r="I331" s="105" t="s">
        <v>1358</v>
      </c>
      <c r="J331" s="135" t="s">
        <v>85</v>
      </c>
      <c r="K331" s="105" t="s">
        <v>1479</v>
      </c>
      <c r="L331" s="135" t="s">
        <v>1360</v>
      </c>
      <c r="M331" s="140">
        <v>44105.0</v>
      </c>
      <c r="N331" s="106" t="s">
        <v>692</v>
      </c>
      <c r="O331" s="109" t="s">
        <v>690</v>
      </c>
      <c r="P331" s="134" t="s">
        <v>782</v>
      </c>
      <c r="Q331" s="134" t="s">
        <v>782</v>
      </c>
      <c r="R331" s="132"/>
      <c r="S331" s="132"/>
      <c r="T331" s="132"/>
      <c r="U331" s="132"/>
      <c r="V331" s="132"/>
      <c r="W331" s="132"/>
      <c r="X331" s="132"/>
      <c r="Y331" s="132"/>
      <c r="Z331" s="132"/>
    </row>
    <row r="332" ht="15.75" customHeight="1">
      <c r="A332" s="105" t="s">
        <v>1368</v>
      </c>
      <c r="B332" s="155" t="s">
        <v>44</v>
      </c>
      <c r="C332" s="106" t="s">
        <v>1369</v>
      </c>
      <c r="D332" s="107" t="s">
        <v>83</v>
      </c>
      <c r="E332" s="106" t="s">
        <v>685</v>
      </c>
      <c r="F332" s="134" t="s">
        <v>1370</v>
      </c>
      <c r="G332" s="112" t="s">
        <v>1371</v>
      </c>
      <c r="H332" s="112" t="s">
        <v>686</v>
      </c>
      <c r="I332" s="112" t="s">
        <v>686</v>
      </c>
      <c r="J332" s="135" t="s">
        <v>85</v>
      </c>
      <c r="K332" s="136" t="s">
        <v>749</v>
      </c>
      <c r="L332" s="136" t="s">
        <v>749</v>
      </c>
      <c r="M332" s="108">
        <v>44013.0</v>
      </c>
      <c r="N332" s="138" t="s">
        <v>692</v>
      </c>
      <c r="O332" s="138" t="s">
        <v>1372</v>
      </c>
      <c r="P332" s="134" t="s">
        <v>782</v>
      </c>
      <c r="Q332" s="134" t="s">
        <v>782</v>
      </c>
      <c r="R332" s="132"/>
      <c r="S332" s="132"/>
      <c r="T332" s="132"/>
      <c r="U332" s="132"/>
      <c r="V332" s="132"/>
      <c r="W332" s="132"/>
      <c r="X332" s="132"/>
      <c r="Y332" s="132"/>
      <c r="Z332" s="132"/>
    </row>
    <row r="333" ht="15.75" customHeight="1">
      <c r="A333" s="105" t="s">
        <v>1373</v>
      </c>
      <c r="B333" s="155" t="s">
        <v>44</v>
      </c>
      <c r="C333" s="106" t="s">
        <v>1374</v>
      </c>
      <c r="D333" s="107" t="s">
        <v>83</v>
      </c>
      <c r="E333" s="106" t="s">
        <v>685</v>
      </c>
      <c r="F333" s="134" t="s">
        <v>1375</v>
      </c>
      <c r="G333" s="112" t="s">
        <v>1371</v>
      </c>
      <c r="H333" s="112" t="s">
        <v>686</v>
      </c>
      <c r="I333" s="112" t="s">
        <v>686</v>
      </c>
      <c r="J333" s="135" t="s">
        <v>85</v>
      </c>
      <c r="K333" s="136" t="s">
        <v>749</v>
      </c>
      <c r="L333" s="136" t="s">
        <v>749</v>
      </c>
      <c r="M333" s="108">
        <v>44013.0</v>
      </c>
      <c r="N333" s="138" t="s">
        <v>692</v>
      </c>
      <c r="O333" s="138" t="s">
        <v>1372</v>
      </c>
      <c r="P333" s="134" t="s">
        <v>782</v>
      </c>
      <c r="Q333" s="134" t="s">
        <v>782</v>
      </c>
      <c r="R333" s="132"/>
      <c r="S333" s="132"/>
      <c r="T333" s="132"/>
      <c r="U333" s="132"/>
      <c r="V333" s="132"/>
      <c r="W333" s="132"/>
      <c r="X333" s="132"/>
      <c r="Y333" s="132"/>
      <c r="Z333" s="132"/>
    </row>
    <row r="334" ht="15.75" customHeight="1">
      <c r="A334" s="105" t="s">
        <v>1484</v>
      </c>
      <c r="B334" s="155" t="s">
        <v>44</v>
      </c>
      <c r="C334" s="106" t="s">
        <v>1377</v>
      </c>
      <c r="D334" s="107" t="s">
        <v>83</v>
      </c>
      <c r="E334" s="106" t="s">
        <v>685</v>
      </c>
      <c r="F334" s="134" t="s">
        <v>1378</v>
      </c>
      <c r="G334" s="112" t="s">
        <v>1371</v>
      </c>
      <c r="H334" s="112" t="s">
        <v>686</v>
      </c>
      <c r="I334" s="112" t="s">
        <v>686</v>
      </c>
      <c r="J334" s="135" t="s">
        <v>85</v>
      </c>
      <c r="K334" s="136" t="s">
        <v>749</v>
      </c>
      <c r="L334" s="136" t="s">
        <v>749</v>
      </c>
      <c r="M334" s="108">
        <v>44013.0</v>
      </c>
      <c r="N334" s="138" t="s">
        <v>692</v>
      </c>
      <c r="O334" s="138" t="s">
        <v>1372</v>
      </c>
      <c r="P334" s="134" t="s">
        <v>782</v>
      </c>
      <c r="Q334" s="134" t="s">
        <v>782</v>
      </c>
      <c r="R334" s="132"/>
      <c r="S334" s="132"/>
      <c r="T334" s="132"/>
      <c r="U334" s="132"/>
      <c r="V334" s="132"/>
      <c r="W334" s="132"/>
      <c r="X334" s="132"/>
      <c r="Y334" s="132"/>
      <c r="Z334" s="132"/>
    </row>
    <row r="335" ht="15.75" customHeight="1">
      <c r="A335" s="105" t="s">
        <v>1379</v>
      </c>
      <c r="B335" s="155" t="s">
        <v>44</v>
      </c>
      <c r="C335" s="106" t="s">
        <v>1380</v>
      </c>
      <c r="D335" s="107" t="s">
        <v>83</v>
      </c>
      <c r="E335" s="106" t="s">
        <v>685</v>
      </c>
      <c r="F335" s="134" t="s">
        <v>1381</v>
      </c>
      <c r="G335" s="112" t="s">
        <v>1371</v>
      </c>
      <c r="H335" s="112" t="s">
        <v>686</v>
      </c>
      <c r="I335" s="112" t="s">
        <v>686</v>
      </c>
      <c r="J335" s="135" t="s">
        <v>85</v>
      </c>
      <c r="K335" s="136" t="s">
        <v>749</v>
      </c>
      <c r="L335" s="136" t="s">
        <v>749</v>
      </c>
      <c r="M335" s="108">
        <v>44013.0</v>
      </c>
      <c r="N335" s="138" t="s">
        <v>692</v>
      </c>
      <c r="O335" s="138" t="s">
        <v>1372</v>
      </c>
      <c r="P335" s="134" t="s">
        <v>782</v>
      </c>
      <c r="Q335" s="134" t="s">
        <v>782</v>
      </c>
      <c r="R335" s="132"/>
      <c r="S335" s="132"/>
      <c r="T335" s="132"/>
      <c r="U335" s="132"/>
      <c r="V335" s="132"/>
      <c r="W335" s="132"/>
      <c r="X335" s="132"/>
      <c r="Y335" s="132"/>
      <c r="Z335" s="132"/>
    </row>
    <row r="336" ht="15.75" customHeight="1">
      <c r="A336" s="105" t="s">
        <v>1382</v>
      </c>
      <c r="B336" s="154" t="s">
        <v>197</v>
      </c>
      <c r="C336" s="106" t="s">
        <v>1383</v>
      </c>
      <c r="D336" s="107" t="s">
        <v>185</v>
      </c>
      <c r="E336" s="106" t="s">
        <v>1102</v>
      </c>
      <c r="F336" s="112">
        <v>23.55</v>
      </c>
      <c r="G336" s="105" t="s">
        <v>1346</v>
      </c>
      <c r="H336" s="105" t="s">
        <v>1346</v>
      </c>
      <c r="I336" s="105" t="s">
        <v>1346</v>
      </c>
      <c r="J336" s="135" t="s">
        <v>85</v>
      </c>
      <c r="K336" s="138" t="s">
        <v>687</v>
      </c>
      <c r="L336" s="135" t="s">
        <v>760</v>
      </c>
      <c r="M336" s="137">
        <v>44141.0</v>
      </c>
      <c r="N336" s="138" t="s">
        <v>692</v>
      </c>
      <c r="O336" s="138" t="s">
        <v>690</v>
      </c>
      <c r="P336" s="141" t="s">
        <v>761</v>
      </c>
      <c r="Q336" s="141" t="s">
        <v>761</v>
      </c>
      <c r="R336" s="132"/>
      <c r="S336" s="132"/>
      <c r="T336" s="132"/>
      <c r="U336" s="132"/>
      <c r="V336" s="132"/>
      <c r="W336" s="132"/>
      <c r="X336" s="132"/>
      <c r="Y336" s="132"/>
      <c r="Z336" s="132"/>
    </row>
    <row r="337" ht="15.75" customHeight="1">
      <c r="A337" s="105" t="s">
        <v>1384</v>
      </c>
      <c r="B337" s="154" t="s">
        <v>197</v>
      </c>
      <c r="C337" s="106" t="s">
        <v>1385</v>
      </c>
      <c r="D337" s="107" t="s">
        <v>185</v>
      </c>
      <c r="E337" s="106" t="s">
        <v>1306</v>
      </c>
      <c r="F337" s="141" t="s">
        <v>1386</v>
      </c>
      <c r="G337" s="105" t="s">
        <v>1346</v>
      </c>
      <c r="H337" s="105" t="s">
        <v>1346</v>
      </c>
      <c r="I337" s="105" t="s">
        <v>1346</v>
      </c>
      <c r="J337" s="135" t="s">
        <v>85</v>
      </c>
      <c r="K337" s="138" t="s">
        <v>749</v>
      </c>
      <c r="L337" s="112" t="s">
        <v>749</v>
      </c>
      <c r="M337" s="140">
        <v>44075.0</v>
      </c>
      <c r="N337" s="138" t="s">
        <v>692</v>
      </c>
      <c r="O337" s="138" t="s">
        <v>690</v>
      </c>
      <c r="P337" s="141" t="s">
        <v>761</v>
      </c>
      <c r="Q337" s="141" t="s">
        <v>761</v>
      </c>
      <c r="R337" s="132"/>
      <c r="S337" s="132"/>
      <c r="T337" s="132"/>
      <c r="U337" s="132"/>
      <c r="V337" s="132"/>
      <c r="W337" s="132"/>
      <c r="X337" s="132"/>
      <c r="Y337" s="132"/>
      <c r="Z337" s="132"/>
    </row>
    <row r="338" ht="15.75" customHeight="1">
      <c r="A338" s="105" t="s">
        <v>1387</v>
      </c>
      <c r="B338" s="154" t="s">
        <v>696</v>
      </c>
      <c r="C338" s="106" t="s">
        <v>1388</v>
      </c>
      <c r="D338" s="107" t="s">
        <v>185</v>
      </c>
      <c r="E338" s="106" t="s">
        <v>1313</v>
      </c>
      <c r="F338" s="141">
        <v>4977716.0</v>
      </c>
      <c r="G338" s="105" t="s">
        <v>1389</v>
      </c>
      <c r="H338" s="105" t="s">
        <v>1389</v>
      </c>
      <c r="I338" s="105" t="s">
        <v>1389</v>
      </c>
      <c r="J338" s="135" t="s">
        <v>85</v>
      </c>
      <c r="K338" s="138" t="s">
        <v>687</v>
      </c>
      <c r="L338" s="138" t="s">
        <v>688</v>
      </c>
      <c r="M338" s="137">
        <v>44142.0</v>
      </c>
      <c r="N338" s="138" t="s">
        <v>1318</v>
      </c>
      <c r="O338" s="138" t="s">
        <v>690</v>
      </c>
      <c r="P338" s="141" t="s">
        <v>702</v>
      </c>
      <c r="Q338" s="141" t="s">
        <v>702</v>
      </c>
      <c r="R338" s="132"/>
      <c r="S338" s="132"/>
      <c r="T338" s="132"/>
      <c r="U338" s="132"/>
      <c r="V338" s="132"/>
      <c r="W338" s="132"/>
      <c r="X338" s="132"/>
      <c r="Y338" s="132"/>
      <c r="Z338" s="132"/>
    </row>
    <row r="339" ht="15.75" customHeight="1">
      <c r="A339" s="105" t="s">
        <v>1390</v>
      </c>
      <c r="B339" s="154" t="s">
        <v>696</v>
      </c>
      <c r="C339" s="106" t="s">
        <v>1391</v>
      </c>
      <c r="D339" s="107" t="s">
        <v>83</v>
      </c>
      <c r="E339" s="106" t="s">
        <v>1313</v>
      </c>
      <c r="F339" s="141" t="s">
        <v>1392</v>
      </c>
      <c r="G339" s="105" t="s">
        <v>1389</v>
      </c>
      <c r="H339" s="142" t="s">
        <v>1389</v>
      </c>
      <c r="I339" s="142" t="s">
        <v>1389</v>
      </c>
      <c r="J339" s="135" t="s">
        <v>85</v>
      </c>
      <c r="K339" s="138" t="s">
        <v>687</v>
      </c>
      <c r="L339" s="138" t="s">
        <v>688</v>
      </c>
      <c r="M339" s="137">
        <v>44142.0</v>
      </c>
      <c r="N339" s="138" t="s">
        <v>1318</v>
      </c>
      <c r="O339" s="138" t="s">
        <v>690</v>
      </c>
      <c r="P339" s="141" t="s">
        <v>702</v>
      </c>
      <c r="Q339" s="141" t="s">
        <v>702</v>
      </c>
      <c r="R339" s="132"/>
      <c r="S339" s="132"/>
      <c r="T339" s="132"/>
      <c r="U339" s="132"/>
      <c r="V339" s="132"/>
      <c r="W339" s="132"/>
      <c r="X339" s="132"/>
      <c r="Y339" s="132"/>
      <c r="Z339" s="132"/>
    </row>
    <row r="340" ht="15.75" customHeight="1">
      <c r="A340" s="105" t="s">
        <v>1393</v>
      </c>
      <c r="B340" s="153" t="s">
        <v>696</v>
      </c>
      <c r="C340" s="106" t="s">
        <v>1394</v>
      </c>
      <c r="D340" s="107" t="s">
        <v>185</v>
      </c>
      <c r="E340" s="106" t="s">
        <v>1323</v>
      </c>
      <c r="F340" s="112">
        <v>2500.0055</v>
      </c>
      <c r="G340" s="126" t="s">
        <v>1389</v>
      </c>
      <c r="H340" s="105" t="s">
        <v>1389</v>
      </c>
      <c r="I340" s="126" t="s">
        <v>1389</v>
      </c>
      <c r="J340" s="135" t="s">
        <v>85</v>
      </c>
      <c r="K340" s="138" t="s">
        <v>687</v>
      </c>
      <c r="L340" s="138" t="s">
        <v>688</v>
      </c>
      <c r="M340" s="137">
        <v>44142.0</v>
      </c>
      <c r="N340" s="138" t="s">
        <v>1324</v>
      </c>
      <c r="O340" s="138" t="s">
        <v>690</v>
      </c>
      <c r="P340" s="141" t="s">
        <v>744</v>
      </c>
      <c r="Q340" s="141" t="s">
        <v>744</v>
      </c>
      <c r="R340" s="132"/>
      <c r="S340" s="132"/>
      <c r="T340" s="132"/>
      <c r="U340" s="132"/>
      <c r="V340" s="132"/>
      <c r="W340" s="132"/>
      <c r="X340" s="132"/>
      <c r="Y340" s="132"/>
      <c r="Z340" s="132"/>
    </row>
    <row r="341" ht="15.75" customHeight="1">
      <c r="A341" s="105" t="s">
        <v>1395</v>
      </c>
      <c r="B341" s="154" t="s">
        <v>696</v>
      </c>
      <c r="C341" s="106" t="s">
        <v>1396</v>
      </c>
      <c r="D341" s="107" t="s">
        <v>185</v>
      </c>
      <c r="E341" s="106" t="s">
        <v>698</v>
      </c>
      <c r="F341" s="143">
        <v>44044.333333333336</v>
      </c>
      <c r="G341" s="105" t="s">
        <v>1397</v>
      </c>
      <c r="H341" s="105" t="s">
        <v>1397</v>
      </c>
      <c r="I341" s="105" t="s">
        <v>1397</v>
      </c>
      <c r="J341" s="135" t="s">
        <v>85</v>
      </c>
      <c r="K341" s="138" t="s">
        <v>687</v>
      </c>
      <c r="L341" s="138" t="s">
        <v>688</v>
      </c>
      <c r="M341" s="137">
        <v>44142.0</v>
      </c>
      <c r="N341" s="138" t="s">
        <v>1327</v>
      </c>
      <c r="O341" s="138" t="s">
        <v>690</v>
      </c>
      <c r="P341" s="141" t="s">
        <v>744</v>
      </c>
      <c r="Q341" s="141" t="s">
        <v>744</v>
      </c>
      <c r="R341" s="132"/>
      <c r="S341" s="132"/>
      <c r="T341" s="132"/>
      <c r="U341" s="132"/>
      <c r="V341" s="132"/>
      <c r="W341" s="132"/>
      <c r="X341" s="132"/>
      <c r="Y341" s="132"/>
      <c r="Z341" s="132"/>
    </row>
    <row r="342" ht="15.75" customHeight="1">
      <c r="A342" s="105" t="s">
        <v>1398</v>
      </c>
      <c r="B342" s="153" t="s">
        <v>696</v>
      </c>
      <c r="C342" s="106" t="s">
        <v>1399</v>
      </c>
      <c r="D342" s="107" t="s">
        <v>83</v>
      </c>
      <c r="E342" s="106" t="s">
        <v>1313</v>
      </c>
      <c r="F342" s="141" t="s">
        <v>1400</v>
      </c>
      <c r="G342" s="105" t="s">
        <v>1389</v>
      </c>
      <c r="H342" s="126" t="s">
        <v>1389</v>
      </c>
      <c r="I342" s="126" t="s">
        <v>1389</v>
      </c>
      <c r="J342" s="135" t="s">
        <v>85</v>
      </c>
      <c r="K342" s="138" t="s">
        <v>687</v>
      </c>
      <c r="L342" s="138" t="s">
        <v>688</v>
      </c>
      <c r="M342" s="137">
        <v>44142.0</v>
      </c>
      <c r="N342" s="138" t="s">
        <v>1401</v>
      </c>
      <c r="O342" s="138" t="s">
        <v>1402</v>
      </c>
      <c r="P342" s="141" t="s">
        <v>744</v>
      </c>
      <c r="Q342" s="141" t="s">
        <v>744</v>
      </c>
      <c r="R342" s="132"/>
      <c r="S342" s="132"/>
      <c r="T342" s="132"/>
      <c r="U342" s="132"/>
      <c r="V342" s="132"/>
      <c r="W342" s="132"/>
      <c r="X342" s="132"/>
      <c r="Y342" s="132"/>
      <c r="Z342" s="132"/>
    </row>
    <row r="343" ht="15.75" customHeight="1">
      <c r="A343" s="105" t="s">
        <v>1403</v>
      </c>
      <c r="B343" s="153" t="s">
        <v>696</v>
      </c>
      <c r="C343" s="106" t="s">
        <v>1404</v>
      </c>
      <c r="D343" s="107" t="s">
        <v>185</v>
      </c>
      <c r="E343" s="106" t="s">
        <v>1313</v>
      </c>
      <c r="F343" s="141" t="s">
        <v>1400</v>
      </c>
      <c r="G343" s="105" t="s">
        <v>1389</v>
      </c>
      <c r="H343" s="126" t="s">
        <v>1389</v>
      </c>
      <c r="I343" s="126" t="s">
        <v>1389</v>
      </c>
      <c r="J343" s="135" t="s">
        <v>85</v>
      </c>
      <c r="K343" s="138" t="s">
        <v>687</v>
      </c>
      <c r="L343" s="138" t="s">
        <v>688</v>
      </c>
      <c r="M343" s="137">
        <v>44142.0</v>
      </c>
      <c r="N343" s="138" t="s">
        <v>1401</v>
      </c>
      <c r="O343" s="138" t="s">
        <v>1402</v>
      </c>
      <c r="P343" s="141" t="s">
        <v>744</v>
      </c>
      <c r="Q343" s="141" t="s">
        <v>744</v>
      </c>
      <c r="R343" s="132"/>
      <c r="S343" s="132"/>
      <c r="T343" s="132"/>
      <c r="U343" s="132"/>
      <c r="V343" s="132"/>
      <c r="W343" s="132"/>
      <c r="X343" s="132"/>
      <c r="Y343" s="132"/>
      <c r="Z343" s="132"/>
    </row>
    <row r="344" ht="15.75" customHeight="1">
      <c r="A344" s="105" t="s">
        <v>1405</v>
      </c>
      <c r="B344" s="153" t="s">
        <v>696</v>
      </c>
      <c r="C344" s="106" t="s">
        <v>1406</v>
      </c>
      <c r="D344" s="107" t="s">
        <v>185</v>
      </c>
      <c r="E344" s="106" t="s">
        <v>713</v>
      </c>
      <c r="F344" s="141">
        <v>15.0</v>
      </c>
      <c r="G344" s="105" t="s">
        <v>1389</v>
      </c>
      <c r="H344" s="126" t="s">
        <v>1389</v>
      </c>
      <c r="I344" s="126" t="s">
        <v>1389</v>
      </c>
      <c r="J344" s="135" t="s">
        <v>85</v>
      </c>
      <c r="K344" s="138" t="s">
        <v>687</v>
      </c>
      <c r="L344" s="138" t="s">
        <v>688</v>
      </c>
      <c r="M344" s="137">
        <v>44142.0</v>
      </c>
      <c r="N344" s="138" t="s">
        <v>1327</v>
      </c>
      <c r="O344" s="138" t="s">
        <v>690</v>
      </c>
      <c r="P344" s="141" t="s">
        <v>744</v>
      </c>
      <c r="Q344" s="141" t="s">
        <v>744</v>
      </c>
      <c r="R344" s="132"/>
      <c r="S344" s="132"/>
      <c r="T344" s="132"/>
      <c r="U344" s="132"/>
      <c r="V344" s="132"/>
      <c r="W344" s="132"/>
      <c r="X344" s="132"/>
      <c r="Y344" s="132"/>
      <c r="Z344" s="132"/>
    </row>
    <row r="345" ht="15.75" customHeight="1">
      <c r="A345" s="105" t="s">
        <v>1407</v>
      </c>
      <c r="B345" s="153" t="s">
        <v>696</v>
      </c>
      <c r="C345" s="106" t="s">
        <v>1408</v>
      </c>
      <c r="D345" s="107" t="s">
        <v>185</v>
      </c>
      <c r="E345" s="106" t="s">
        <v>713</v>
      </c>
      <c r="F345" s="141">
        <v>15.0</v>
      </c>
      <c r="G345" s="105" t="s">
        <v>1389</v>
      </c>
      <c r="H345" s="126" t="s">
        <v>1389</v>
      </c>
      <c r="I345" s="126" t="s">
        <v>1389</v>
      </c>
      <c r="J345" s="135" t="s">
        <v>85</v>
      </c>
      <c r="K345" s="138" t="s">
        <v>687</v>
      </c>
      <c r="L345" s="138" t="s">
        <v>688</v>
      </c>
      <c r="M345" s="137">
        <v>44142.0</v>
      </c>
      <c r="N345" s="138" t="s">
        <v>1327</v>
      </c>
      <c r="O345" s="138" t="s">
        <v>690</v>
      </c>
      <c r="P345" s="141" t="s">
        <v>744</v>
      </c>
      <c r="Q345" s="141" t="s">
        <v>744</v>
      </c>
      <c r="R345" s="132"/>
      <c r="S345" s="132"/>
      <c r="T345" s="132"/>
      <c r="U345" s="132"/>
      <c r="V345" s="132"/>
      <c r="W345" s="132"/>
      <c r="X345" s="132"/>
      <c r="Y345" s="132"/>
      <c r="Z345" s="132"/>
    </row>
    <row r="346" ht="15.75" customHeight="1">
      <c r="A346" s="105" t="s">
        <v>1409</v>
      </c>
      <c r="B346" s="154" t="s">
        <v>696</v>
      </c>
      <c r="C346" s="106" t="s">
        <v>1410</v>
      </c>
      <c r="D346" s="107" t="s">
        <v>83</v>
      </c>
      <c r="E346" s="106" t="s">
        <v>713</v>
      </c>
      <c r="F346" s="141">
        <v>15.0</v>
      </c>
      <c r="G346" s="105" t="s">
        <v>1389</v>
      </c>
      <c r="H346" s="142" t="s">
        <v>1389</v>
      </c>
      <c r="I346" s="142" t="s">
        <v>1389</v>
      </c>
      <c r="J346" s="135" t="s">
        <v>85</v>
      </c>
      <c r="K346" s="138" t="s">
        <v>687</v>
      </c>
      <c r="L346" s="138" t="s">
        <v>688</v>
      </c>
      <c r="M346" s="137">
        <v>44142.0</v>
      </c>
      <c r="N346" s="138" t="s">
        <v>1318</v>
      </c>
      <c r="O346" s="138" t="s">
        <v>690</v>
      </c>
      <c r="P346" s="141" t="s">
        <v>788</v>
      </c>
      <c r="Q346" s="141" t="s">
        <v>788</v>
      </c>
      <c r="R346" s="132"/>
      <c r="S346" s="132"/>
      <c r="T346" s="132"/>
      <c r="U346" s="132"/>
      <c r="V346" s="132"/>
      <c r="W346" s="132"/>
      <c r="X346" s="132"/>
      <c r="Y346" s="132"/>
      <c r="Z346" s="132"/>
    </row>
    <row r="347" ht="15.75" customHeight="1">
      <c r="A347" s="105" t="s">
        <v>1411</v>
      </c>
      <c r="B347" s="154" t="s">
        <v>44</v>
      </c>
      <c r="C347" s="106" t="s">
        <v>1412</v>
      </c>
      <c r="D347" s="107" t="s">
        <v>83</v>
      </c>
      <c r="E347" s="106" t="s">
        <v>1313</v>
      </c>
      <c r="F347" s="144" t="s">
        <v>1413</v>
      </c>
      <c r="G347" s="105" t="s">
        <v>1389</v>
      </c>
      <c r="H347" s="142" t="s">
        <v>1389</v>
      </c>
      <c r="I347" s="142" t="s">
        <v>1389</v>
      </c>
      <c r="J347" s="135" t="s">
        <v>85</v>
      </c>
      <c r="K347" s="138" t="s">
        <v>687</v>
      </c>
      <c r="L347" s="138" t="s">
        <v>688</v>
      </c>
      <c r="M347" s="137">
        <v>44142.0</v>
      </c>
      <c r="N347" s="138" t="s">
        <v>1318</v>
      </c>
      <c r="O347" s="138" t="s">
        <v>690</v>
      </c>
      <c r="P347" s="141" t="s">
        <v>691</v>
      </c>
      <c r="Q347" s="141" t="s">
        <v>691</v>
      </c>
      <c r="R347" s="132"/>
      <c r="S347" s="132"/>
      <c r="T347" s="132"/>
      <c r="U347" s="132"/>
      <c r="V347" s="132"/>
      <c r="W347" s="132"/>
      <c r="X347" s="132"/>
      <c r="Y347" s="132"/>
      <c r="Z347" s="132"/>
    </row>
    <row r="348" ht="15.75" customHeight="1">
      <c r="A348" s="105" t="s">
        <v>1414</v>
      </c>
      <c r="B348" s="154" t="s">
        <v>44</v>
      </c>
      <c r="C348" s="106" t="s">
        <v>1415</v>
      </c>
      <c r="D348" s="107" t="s">
        <v>185</v>
      </c>
      <c r="E348" s="106" t="s">
        <v>1313</v>
      </c>
      <c r="F348" s="112">
        <v>9.176888895E9</v>
      </c>
      <c r="G348" s="105" t="s">
        <v>1389</v>
      </c>
      <c r="H348" s="142" t="s">
        <v>1389</v>
      </c>
      <c r="I348" s="142" t="s">
        <v>1389</v>
      </c>
      <c r="J348" s="135" t="s">
        <v>85</v>
      </c>
      <c r="K348" s="138" t="s">
        <v>687</v>
      </c>
      <c r="L348" s="138" t="s">
        <v>688</v>
      </c>
      <c r="M348" s="137">
        <v>44142.0</v>
      </c>
      <c r="N348" s="138" t="s">
        <v>1318</v>
      </c>
      <c r="O348" s="138" t="s">
        <v>690</v>
      </c>
      <c r="P348" s="141" t="s">
        <v>691</v>
      </c>
      <c r="Q348" s="141" t="s">
        <v>691</v>
      </c>
      <c r="R348" s="132"/>
      <c r="S348" s="132"/>
      <c r="T348" s="132"/>
      <c r="U348" s="132"/>
      <c r="V348" s="132"/>
      <c r="W348" s="132"/>
      <c r="X348" s="132"/>
      <c r="Y348" s="132"/>
      <c r="Z348" s="132"/>
    </row>
    <row r="349" ht="15.75" customHeight="1">
      <c r="A349" s="105" t="s">
        <v>1416</v>
      </c>
      <c r="B349" s="154" t="s">
        <v>696</v>
      </c>
      <c r="C349" s="106" t="s">
        <v>1417</v>
      </c>
      <c r="D349" s="107" t="s">
        <v>83</v>
      </c>
      <c r="E349" s="106" t="s">
        <v>1313</v>
      </c>
      <c r="F349" s="141">
        <v>1.0</v>
      </c>
      <c r="G349" s="105" t="s">
        <v>1389</v>
      </c>
      <c r="H349" s="126" t="s">
        <v>1389</v>
      </c>
      <c r="I349" s="126" t="s">
        <v>1389</v>
      </c>
      <c r="J349" s="135" t="s">
        <v>85</v>
      </c>
      <c r="K349" s="138" t="s">
        <v>687</v>
      </c>
      <c r="L349" s="138" t="s">
        <v>688</v>
      </c>
      <c r="M349" s="137">
        <v>44142.0</v>
      </c>
      <c r="N349" s="138" t="s">
        <v>1418</v>
      </c>
      <c r="O349" s="138" t="s">
        <v>1419</v>
      </c>
      <c r="P349" s="141" t="s">
        <v>744</v>
      </c>
      <c r="Q349" s="141" t="s">
        <v>744</v>
      </c>
      <c r="R349" s="132"/>
      <c r="S349" s="132"/>
      <c r="T349" s="132"/>
      <c r="U349" s="132"/>
      <c r="V349" s="132"/>
      <c r="W349" s="132"/>
      <c r="X349" s="132"/>
      <c r="Y349" s="132"/>
      <c r="Z349" s="132"/>
    </row>
    <row r="350" ht="15.75" customHeight="1">
      <c r="A350" s="105" t="s">
        <v>1420</v>
      </c>
      <c r="B350" s="153" t="s">
        <v>60</v>
      </c>
      <c r="C350" s="106" t="s">
        <v>1421</v>
      </c>
      <c r="D350" s="107" t="s">
        <v>185</v>
      </c>
      <c r="E350" s="106" t="s">
        <v>720</v>
      </c>
      <c r="F350" s="117" t="s">
        <v>839</v>
      </c>
      <c r="G350" s="105" t="s">
        <v>1422</v>
      </c>
      <c r="H350" s="105" t="s">
        <v>1422</v>
      </c>
      <c r="I350" s="105" t="s">
        <v>1422</v>
      </c>
      <c r="J350" s="135" t="s">
        <v>85</v>
      </c>
      <c r="K350" s="145" t="s">
        <v>749</v>
      </c>
      <c r="L350" s="135"/>
      <c r="M350" s="140">
        <v>44075.0</v>
      </c>
      <c r="N350" s="138" t="s">
        <v>764</v>
      </c>
      <c r="O350" s="138" t="s">
        <v>732</v>
      </c>
      <c r="P350" s="141" t="s">
        <v>782</v>
      </c>
      <c r="Q350" s="141" t="s">
        <v>782</v>
      </c>
      <c r="R350" s="132"/>
      <c r="S350" s="132"/>
      <c r="T350" s="132"/>
      <c r="U350" s="132"/>
      <c r="V350" s="132"/>
      <c r="W350" s="132"/>
      <c r="X350" s="132"/>
      <c r="Y350" s="132"/>
      <c r="Z350" s="132"/>
    </row>
    <row r="351" ht="15.75" customHeight="1">
      <c r="A351" s="105" t="s">
        <v>1423</v>
      </c>
      <c r="B351" s="153" t="s">
        <v>60</v>
      </c>
      <c r="C351" s="106" t="s">
        <v>1424</v>
      </c>
      <c r="D351" s="107" t="s">
        <v>185</v>
      </c>
      <c r="E351" s="106" t="s">
        <v>720</v>
      </c>
      <c r="F351" s="117" t="s">
        <v>839</v>
      </c>
      <c r="G351" s="105" t="s">
        <v>1422</v>
      </c>
      <c r="H351" s="105" t="s">
        <v>1422</v>
      </c>
      <c r="I351" s="105" t="s">
        <v>1422</v>
      </c>
      <c r="J351" s="135" t="s">
        <v>85</v>
      </c>
      <c r="K351" s="145" t="s">
        <v>749</v>
      </c>
      <c r="L351" s="135"/>
      <c r="M351" s="140">
        <v>44075.0</v>
      </c>
      <c r="N351" s="138" t="s">
        <v>764</v>
      </c>
      <c r="O351" s="138" t="s">
        <v>732</v>
      </c>
      <c r="P351" s="141" t="s">
        <v>782</v>
      </c>
      <c r="Q351" s="141" t="s">
        <v>782</v>
      </c>
      <c r="R351" s="132"/>
      <c r="S351" s="132"/>
      <c r="T351" s="132"/>
      <c r="U351" s="132"/>
      <c r="V351" s="132"/>
      <c r="W351" s="132"/>
      <c r="X351" s="132"/>
      <c r="Y351" s="132"/>
      <c r="Z351" s="132"/>
    </row>
    <row r="352" ht="15.75" customHeight="1">
      <c r="A352" s="105" t="s">
        <v>1425</v>
      </c>
      <c r="B352" s="153" t="s">
        <v>60</v>
      </c>
      <c r="C352" s="106" t="s">
        <v>1426</v>
      </c>
      <c r="D352" s="107" t="s">
        <v>185</v>
      </c>
      <c r="E352" s="106" t="s">
        <v>720</v>
      </c>
      <c r="F352" s="117" t="s">
        <v>839</v>
      </c>
      <c r="G352" s="105" t="s">
        <v>1422</v>
      </c>
      <c r="H352" s="105" t="s">
        <v>1422</v>
      </c>
      <c r="I352" s="105" t="s">
        <v>1422</v>
      </c>
      <c r="J352" s="135" t="s">
        <v>85</v>
      </c>
      <c r="K352" s="145" t="s">
        <v>749</v>
      </c>
      <c r="L352" s="135"/>
      <c r="M352" s="140">
        <v>44075.0</v>
      </c>
      <c r="N352" s="138" t="s">
        <v>764</v>
      </c>
      <c r="O352" s="138" t="s">
        <v>732</v>
      </c>
      <c r="P352" s="141" t="s">
        <v>782</v>
      </c>
      <c r="Q352" s="141" t="s">
        <v>782</v>
      </c>
      <c r="R352" s="132"/>
      <c r="S352" s="132"/>
      <c r="T352" s="132"/>
      <c r="U352" s="132"/>
      <c r="V352" s="132"/>
      <c r="W352" s="132"/>
      <c r="X352" s="132"/>
      <c r="Y352" s="132"/>
      <c r="Z352" s="132"/>
    </row>
    <row r="353" ht="15.75" customHeight="1">
      <c r="A353" s="105" t="s">
        <v>1427</v>
      </c>
      <c r="B353" s="153" t="s">
        <v>60</v>
      </c>
      <c r="C353" s="106" t="s">
        <v>1428</v>
      </c>
      <c r="D353" s="107" t="s">
        <v>185</v>
      </c>
      <c r="E353" s="106" t="s">
        <v>720</v>
      </c>
      <c r="F353" s="117" t="s">
        <v>839</v>
      </c>
      <c r="G353" s="105" t="s">
        <v>1422</v>
      </c>
      <c r="H353" s="105" t="s">
        <v>1422</v>
      </c>
      <c r="I353" s="105" t="s">
        <v>1422</v>
      </c>
      <c r="J353" s="135" t="s">
        <v>85</v>
      </c>
      <c r="K353" s="145" t="s">
        <v>749</v>
      </c>
      <c r="L353" s="135"/>
      <c r="M353" s="140">
        <v>44075.0</v>
      </c>
      <c r="N353" s="138" t="s">
        <v>764</v>
      </c>
      <c r="O353" s="138" t="s">
        <v>732</v>
      </c>
      <c r="P353" s="141" t="s">
        <v>782</v>
      </c>
      <c r="Q353" s="141" t="s">
        <v>782</v>
      </c>
      <c r="R353" s="132"/>
      <c r="S353" s="132"/>
      <c r="T353" s="132"/>
      <c r="U353" s="132"/>
      <c r="V353" s="132"/>
      <c r="W353" s="132"/>
      <c r="X353" s="132"/>
      <c r="Y353" s="132"/>
      <c r="Z353" s="132"/>
    </row>
    <row r="354" ht="15.75" customHeight="1">
      <c r="A354" s="105" t="s">
        <v>1429</v>
      </c>
      <c r="B354" s="153" t="s">
        <v>60</v>
      </c>
      <c r="C354" s="106" t="s">
        <v>1430</v>
      </c>
      <c r="D354" s="107" t="s">
        <v>185</v>
      </c>
      <c r="E354" s="106" t="s">
        <v>720</v>
      </c>
      <c r="F354" s="117" t="s">
        <v>839</v>
      </c>
      <c r="G354" s="105" t="s">
        <v>1422</v>
      </c>
      <c r="H354" s="105" t="s">
        <v>1422</v>
      </c>
      <c r="I354" s="105" t="s">
        <v>1422</v>
      </c>
      <c r="J354" s="135" t="s">
        <v>85</v>
      </c>
      <c r="K354" s="145" t="s">
        <v>749</v>
      </c>
      <c r="L354" s="135"/>
      <c r="M354" s="140">
        <v>44075.0</v>
      </c>
      <c r="N354" s="138" t="s">
        <v>764</v>
      </c>
      <c r="O354" s="138" t="s">
        <v>732</v>
      </c>
      <c r="P354" s="141" t="s">
        <v>782</v>
      </c>
      <c r="Q354" s="141" t="s">
        <v>782</v>
      </c>
      <c r="R354" s="132"/>
      <c r="S354" s="132"/>
      <c r="T354" s="132"/>
      <c r="U354" s="132"/>
      <c r="V354" s="132"/>
      <c r="W354" s="132"/>
      <c r="X354" s="132"/>
      <c r="Y354" s="132"/>
      <c r="Z354" s="132"/>
    </row>
    <row r="355" ht="15.75" customHeight="1">
      <c r="A355" s="105" t="s">
        <v>1431</v>
      </c>
      <c r="B355" s="153" t="s">
        <v>60</v>
      </c>
      <c r="C355" s="106" t="s">
        <v>1432</v>
      </c>
      <c r="D355" s="107" t="s">
        <v>185</v>
      </c>
      <c r="E355" s="106" t="s">
        <v>720</v>
      </c>
      <c r="F355" s="117" t="s">
        <v>839</v>
      </c>
      <c r="G355" s="105" t="s">
        <v>1422</v>
      </c>
      <c r="H355" s="105" t="s">
        <v>1422</v>
      </c>
      <c r="I355" s="105" t="s">
        <v>1422</v>
      </c>
      <c r="J355" s="135" t="s">
        <v>85</v>
      </c>
      <c r="K355" s="145" t="s">
        <v>749</v>
      </c>
      <c r="L355" s="135"/>
      <c r="M355" s="140">
        <v>44075.0</v>
      </c>
      <c r="N355" s="138" t="s">
        <v>764</v>
      </c>
      <c r="O355" s="138" t="s">
        <v>732</v>
      </c>
      <c r="P355" s="141" t="s">
        <v>782</v>
      </c>
      <c r="Q355" s="141" t="s">
        <v>782</v>
      </c>
      <c r="R355" s="132"/>
      <c r="S355" s="132"/>
      <c r="T355" s="132"/>
      <c r="U355" s="132"/>
      <c r="V355" s="132"/>
      <c r="W355" s="132"/>
      <c r="X355" s="132"/>
      <c r="Y355" s="132"/>
      <c r="Z355" s="132"/>
    </row>
    <row r="356" ht="15.75" customHeight="1">
      <c r="A356" s="105" t="s">
        <v>1433</v>
      </c>
      <c r="B356" s="154" t="s">
        <v>46</v>
      </c>
      <c r="C356" s="106" t="s">
        <v>1434</v>
      </c>
      <c r="D356" s="107" t="s">
        <v>185</v>
      </c>
      <c r="E356" s="106" t="s">
        <v>720</v>
      </c>
      <c r="F356" s="117" t="s">
        <v>839</v>
      </c>
      <c r="G356" s="105" t="s">
        <v>686</v>
      </c>
      <c r="H356" s="105" t="s">
        <v>686</v>
      </c>
      <c r="I356" s="105" t="s">
        <v>686</v>
      </c>
      <c r="J356" s="135" t="s">
        <v>85</v>
      </c>
      <c r="K356" s="145" t="s">
        <v>749</v>
      </c>
      <c r="L356" s="135"/>
      <c r="M356" s="140">
        <v>44075.0</v>
      </c>
      <c r="N356" s="138" t="s">
        <v>692</v>
      </c>
      <c r="O356" s="138" t="s">
        <v>690</v>
      </c>
      <c r="P356" s="141" t="s">
        <v>782</v>
      </c>
      <c r="Q356" s="141" t="s">
        <v>782</v>
      </c>
      <c r="R356" s="132"/>
      <c r="S356" s="132"/>
      <c r="T356" s="132"/>
      <c r="U356" s="132"/>
      <c r="V356" s="132"/>
      <c r="W356" s="132"/>
      <c r="X356" s="132"/>
      <c r="Y356" s="132"/>
      <c r="Z356" s="132"/>
    </row>
    <row r="357" ht="15.75" customHeight="1">
      <c r="A357" s="105" t="s">
        <v>1435</v>
      </c>
      <c r="B357" s="154" t="s">
        <v>46</v>
      </c>
      <c r="C357" s="106" t="s">
        <v>1436</v>
      </c>
      <c r="D357" s="107" t="s">
        <v>83</v>
      </c>
      <c r="E357" s="106" t="s">
        <v>1306</v>
      </c>
      <c r="F357" s="117" t="s">
        <v>977</v>
      </c>
      <c r="G357" s="105" t="s">
        <v>686</v>
      </c>
      <c r="H357" s="105" t="s">
        <v>686</v>
      </c>
      <c r="I357" s="105" t="s">
        <v>686</v>
      </c>
      <c r="J357" s="135" t="s">
        <v>85</v>
      </c>
      <c r="K357" s="145" t="s">
        <v>749</v>
      </c>
      <c r="L357" s="135"/>
      <c r="M357" s="140">
        <v>44075.0</v>
      </c>
      <c r="N357" s="138" t="s">
        <v>692</v>
      </c>
      <c r="O357" s="138" t="s">
        <v>690</v>
      </c>
      <c r="P357" s="141" t="s">
        <v>782</v>
      </c>
      <c r="Q357" s="141" t="s">
        <v>782</v>
      </c>
      <c r="R357" s="132"/>
      <c r="S357" s="132"/>
      <c r="T357" s="132"/>
      <c r="U357" s="132"/>
      <c r="V357" s="132"/>
      <c r="W357" s="132"/>
      <c r="X357" s="132"/>
      <c r="Y357" s="132"/>
      <c r="Z357" s="132"/>
    </row>
    <row r="358" ht="15.75" customHeight="1">
      <c r="A358" s="105" t="s">
        <v>1437</v>
      </c>
      <c r="B358" s="154" t="s">
        <v>46</v>
      </c>
      <c r="C358" s="106" t="s">
        <v>1438</v>
      </c>
      <c r="D358" s="107" t="s">
        <v>185</v>
      </c>
      <c r="E358" s="106" t="s">
        <v>1439</v>
      </c>
      <c r="F358" s="117" t="s">
        <v>1440</v>
      </c>
      <c r="G358" s="105" t="s">
        <v>686</v>
      </c>
      <c r="H358" s="105" t="s">
        <v>686</v>
      </c>
      <c r="I358" s="105" t="s">
        <v>686</v>
      </c>
      <c r="J358" s="135" t="s">
        <v>85</v>
      </c>
      <c r="K358" s="145" t="s">
        <v>714</v>
      </c>
      <c r="L358" s="135"/>
      <c r="M358" s="140">
        <v>44075.0</v>
      </c>
      <c r="N358" s="138" t="s">
        <v>692</v>
      </c>
      <c r="O358" s="138" t="s">
        <v>690</v>
      </c>
      <c r="P358" s="141" t="s">
        <v>782</v>
      </c>
      <c r="Q358" s="141" t="s">
        <v>782</v>
      </c>
      <c r="R358" s="132"/>
      <c r="S358" s="132"/>
      <c r="T358" s="132"/>
      <c r="U358" s="132"/>
      <c r="V358" s="132"/>
      <c r="W358" s="132"/>
      <c r="X358" s="132"/>
      <c r="Y358" s="132"/>
      <c r="Z358" s="132"/>
    </row>
    <row r="359" ht="15.75" customHeight="1">
      <c r="A359" s="105" t="s">
        <v>1441</v>
      </c>
      <c r="B359" s="154" t="s">
        <v>46</v>
      </c>
      <c r="C359" s="106" t="s">
        <v>1442</v>
      </c>
      <c r="D359" s="107" t="s">
        <v>185</v>
      </c>
      <c r="E359" s="106" t="s">
        <v>720</v>
      </c>
      <c r="F359" s="117" t="s">
        <v>839</v>
      </c>
      <c r="G359" s="105" t="s">
        <v>686</v>
      </c>
      <c r="H359" s="105" t="s">
        <v>686</v>
      </c>
      <c r="I359" s="105" t="s">
        <v>686</v>
      </c>
      <c r="J359" s="135" t="s">
        <v>85</v>
      </c>
      <c r="K359" s="145" t="s">
        <v>714</v>
      </c>
      <c r="L359" s="135"/>
      <c r="M359" s="140">
        <v>44075.0</v>
      </c>
      <c r="N359" s="138" t="s">
        <v>692</v>
      </c>
      <c r="O359" s="138" t="s">
        <v>690</v>
      </c>
      <c r="P359" s="141" t="s">
        <v>782</v>
      </c>
      <c r="Q359" s="141" t="s">
        <v>782</v>
      </c>
      <c r="R359" s="132"/>
      <c r="S359" s="132"/>
      <c r="T359" s="132"/>
      <c r="U359" s="132"/>
      <c r="V359" s="132"/>
      <c r="W359" s="132"/>
      <c r="X359" s="132"/>
      <c r="Y359" s="132"/>
      <c r="Z359" s="132"/>
    </row>
    <row r="360" ht="15.75" customHeight="1">
      <c r="A360" s="105" t="s">
        <v>1443</v>
      </c>
      <c r="B360" s="154" t="s">
        <v>46</v>
      </c>
      <c r="C360" s="106" t="s">
        <v>1444</v>
      </c>
      <c r="D360" s="107" t="s">
        <v>83</v>
      </c>
      <c r="E360" s="106" t="s">
        <v>1306</v>
      </c>
      <c r="F360" s="117" t="s">
        <v>977</v>
      </c>
      <c r="G360" s="105" t="s">
        <v>686</v>
      </c>
      <c r="H360" s="105" t="s">
        <v>686</v>
      </c>
      <c r="I360" s="105" t="s">
        <v>686</v>
      </c>
      <c r="J360" s="135" t="s">
        <v>85</v>
      </c>
      <c r="K360" s="145" t="s">
        <v>714</v>
      </c>
      <c r="L360" s="135"/>
      <c r="M360" s="140">
        <v>44075.0</v>
      </c>
      <c r="N360" s="138" t="s">
        <v>692</v>
      </c>
      <c r="O360" s="138" t="s">
        <v>690</v>
      </c>
      <c r="P360" s="141" t="s">
        <v>782</v>
      </c>
      <c r="Q360" s="141" t="s">
        <v>782</v>
      </c>
      <c r="R360" s="132"/>
      <c r="S360" s="132"/>
      <c r="T360" s="132"/>
      <c r="U360" s="132"/>
      <c r="V360" s="132"/>
      <c r="W360" s="132"/>
      <c r="X360" s="132"/>
      <c r="Y360" s="132"/>
      <c r="Z360" s="132"/>
    </row>
    <row r="361" ht="15.75" customHeight="1">
      <c r="A361" s="105" t="s">
        <v>1445</v>
      </c>
      <c r="B361" s="154" t="s">
        <v>46</v>
      </c>
      <c r="C361" s="106" t="s">
        <v>1446</v>
      </c>
      <c r="D361" s="107" t="s">
        <v>185</v>
      </c>
      <c r="E361" s="106" t="s">
        <v>1439</v>
      </c>
      <c r="F361" s="146" t="s">
        <v>1447</v>
      </c>
      <c r="G361" s="105" t="s">
        <v>686</v>
      </c>
      <c r="H361" s="105" t="s">
        <v>686</v>
      </c>
      <c r="I361" s="105" t="s">
        <v>686</v>
      </c>
      <c r="J361" s="147" t="s">
        <v>85</v>
      </c>
      <c r="K361" s="148" t="s">
        <v>714</v>
      </c>
      <c r="L361" s="147"/>
      <c r="M361" s="149">
        <v>44075.0</v>
      </c>
      <c r="N361" s="150" t="s">
        <v>692</v>
      </c>
      <c r="O361" s="150" t="s">
        <v>690</v>
      </c>
      <c r="P361" s="141" t="s">
        <v>782</v>
      </c>
      <c r="Q361" s="141" t="s">
        <v>782</v>
      </c>
      <c r="R361" s="132"/>
      <c r="S361" s="132"/>
      <c r="T361" s="132"/>
      <c r="U361" s="132"/>
      <c r="V361" s="132"/>
      <c r="W361" s="132"/>
      <c r="X361" s="132"/>
      <c r="Y361" s="132"/>
      <c r="Z361" s="132"/>
    </row>
    <row r="362" ht="15.75" customHeight="1">
      <c r="A362" s="105" t="s">
        <v>1448</v>
      </c>
      <c r="B362" s="154" t="s">
        <v>197</v>
      </c>
      <c r="C362" s="106" t="s">
        <v>1449</v>
      </c>
      <c r="D362" s="107" t="s">
        <v>185</v>
      </c>
      <c r="E362" s="106" t="s">
        <v>720</v>
      </c>
      <c r="F362" s="117" t="b">
        <v>1</v>
      </c>
      <c r="G362" s="112" t="s">
        <v>686</v>
      </c>
      <c r="H362" s="112" t="s">
        <v>686</v>
      </c>
      <c r="I362" s="112" t="s">
        <v>90</v>
      </c>
      <c r="J362" s="135" t="s">
        <v>85</v>
      </c>
      <c r="K362" s="145" t="s">
        <v>749</v>
      </c>
      <c r="L362" s="135"/>
      <c r="M362" s="135"/>
      <c r="N362" s="106" t="s">
        <v>741</v>
      </c>
      <c r="O362" s="109" t="s">
        <v>690</v>
      </c>
      <c r="P362" s="141" t="s">
        <v>702</v>
      </c>
      <c r="Q362" s="141" t="s">
        <v>702</v>
      </c>
      <c r="R362" s="132"/>
      <c r="S362" s="132"/>
      <c r="T362" s="132"/>
      <c r="U362" s="132"/>
      <c r="V362" s="132"/>
      <c r="W362" s="132"/>
      <c r="X362" s="132"/>
      <c r="Y362" s="132"/>
      <c r="Z362" s="132"/>
    </row>
    <row r="363" ht="15.75" customHeight="1">
      <c r="A363" s="105" t="s">
        <v>1450</v>
      </c>
      <c r="B363" s="154" t="s">
        <v>696</v>
      </c>
      <c r="C363" s="106" t="s">
        <v>1451</v>
      </c>
      <c r="D363" s="106" t="s">
        <v>83</v>
      </c>
      <c r="E363" s="106" t="s">
        <v>1313</v>
      </c>
      <c r="F363" s="126" t="s">
        <v>1452</v>
      </c>
      <c r="G363" s="105" t="s">
        <v>1389</v>
      </c>
      <c r="H363" s="105" t="s">
        <v>1389</v>
      </c>
      <c r="I363" s="105" t="s">
        <v>1389</v>
      </c>
      <c r="J363" s="135" t="s">
        <v>85</v>
      </c>
      <c r="K363" s="145" t="s">
        <v>687</v>
      </c>
      <c r="L363" s="138" t="s">
        <v>688</v>
      </c>
      <c r="M363" s="135"/>
      <c r="N363" s="138" t="s">
        <v>1401</v>
      </c>
      <c r="O363" s="138" t="s">
        <v>1419</v>
      </c>
      <c r="P363" s="151" t="s">
        <v>744</v>
      </c>
      <c r="Q363" s="151" t="s">
        <v>744</v>
      </c>
      <c r="R363" s="132"/>
      <c r="S363" s="132"/>
      <c r="T363" s="132"/>
      <c r="U363" s="132"/>
      <c r="V363" s="132"/>
      <c r="W363" s="132"/>
      <c r="X363" s="132"/>
      <c r="Y363" s="132"/>
      <c r="Z363" s="132"/>
    </row>
    <row r="364" ht="15.75" customHeight="1">
      <c r="A364" s="105" t="s">
        <v>1453</v>
      </c>
      <c r="B364" s="154" t="s">
        <v>44</v>
      </c>
      <c r="C364" s="106" t="s">
        <v>1454</v>
      </c>
      <c r="D364" s="106" t="s">
        <v>83</v>
      </c>
      <c r="E364" s="106" t="s">
        <v>1313</v>
      </c>
      <c r="F364" s="126">
        <v>6.3220000097E11</v>
      </c>
      <c r="G364" s="105" t="s">
        <v>1389</v>
      </c>
      <c r="H364" s="105" t="s">
        <v>1389</v>
      </c>
      <c r="I364" s="105" t="s">
        <v>1389</v>
      </c>
      <c r="J364" s="135" t="s">
        <v>85</v>
      </c>
      <c r="K364" s="145" t="s">
        <v>687</v>
      </c>
      <c r="L364" s="138" t="s">
        <v>688</v>
      </c>
      <c r="M364" s="135"/>
      <c r="N364" s="138" t="s">
        <v>1401</v>
      </c>
      <c r="O364" s="138" t="s">
        <v>1419</v>
      </c>
      <c r="P364" s="151" t="s">
        <v>744</v>
      </c>
      <c r="Q364" s="151" t="s">
        <v>744</v>
      </c>
      <c r="R364" s="132"/>
      <c r="S364" s="132"/>
      <c r="T364" s="132"/>
      <c r="U364" s="132"/>
      <c r="V364" s="132"/>
      <c r="W364" s="132"/>
      <c r="X364" s="132"/>
      <c r="Y364" s="132"/>
      <c r="Z364" s="132"/>
    </row>
    <row r="365" ht="15.75" customHeight="1">
      <c r="A365" s="105" t="s">
        <v>1455</v>
      </c>
      <c r="B365" s="154" t="s">
        <v>44</v>
      </c>
      <c r="C365" s="106" t="s">
        <v>1456</v>
      </c>
      <c r="D365" s="106" t="s">
        <v>83</v>
      </c>
      <c r="E365" s="106" t="s">
        <v>1313</v>
      </c>
      <c r="F365" s="126" t="s">
        <v>1457</v>
      </c>
      <c r="G365" s="105" t="s">
        <v>1389</v>
      </c>
      <c r="H365" s="105" t="s">
        <v>1389</v>
      </c>
      <c r="I365" s="105" t="s">
        <v>1389</v>
      </c>
      <c r="J365" s="135" t="s">
        <v>85</v>
      </c>
      <c r="K365" s="145" t="s">
        <v>687</v>
      </c>
      <c r="L365" s="138" t="s">
        <v>688</v>
      </c>
      <c r="M365" s="135"/>
      <c r="N365" s="138" t="s">
        <v>1401</v>
      </c>
      <c r="O365" s="138" t="s">
        <v>1419</v>
      </c>
      <c r="P365" s="151" t="s">
        <v>744</v>
      </c>
      <c r="Q365" s="151" t="s">
        <v>744</v>
      </c>
      <c r="R365" s="132"/>
      <c r="S365" s="132"/>
      <c r="T365" s="132"/>
      <c r="U365" s="132"/>
      <c r="V365" s="132"/>
      <c r="W365" s="132"/>
      <c r="X365" s="132"/>
      <c r="Y365" s="132"/>
      <c r="Z365" s="132"/>
    </row>
    <row r="366" ht="15.75" customHeight="1">
      <c r="A366" s="105" t="s">
        <v>1458</v>
      </c>
      <c r="B366" s="154" t="s">
        <v>696</v>
      </c>
      <c r="C366" s="106" t="s">
        <v>1459</v>
      </c>
      <c r="D366" s="106" t="s">
        <v>83</v>
      </c>
      <c r="E366" s="106" t="s">
        <v>1460</v>
      </c>
      <c r="F366" s="126">
        <v>8.0</v>
      </c>
      <c r="G366" s="105" t="s">
        <v>1389</v>
      </c>
      <c r="H366" s="105" t="s">
        <v>1389</v>
      </c>
      <c r="I366" s="105" t="s">
        <v>1389</v>
      </c>
      <c r="J366" s="135" t="s">
        <v>85</v>
      </c>
      <c r="K366" s="145" t="s">
        <v>687</v>
      </c>
      <c r="L366" s="138" t="s">
        <v>688</v>
      </c>
      <c r="M366" s="135"/>
      <c r="N366" s="138" t="s">
        <v>1401</v>
      </c>
      <c r="O366" s="138" t="s">
        <v>1419</v>
      </c>
      <c r="P366" s="151" t="s">
        <v>744</v>
      </c>
      <c r="Q366" s="151" t="s">
        <v>744</v>
      </c>
      <c r="R366" s="132"/>
      <c r="S366" s="132"/>
      <c r="T366" s="132"/>
      <c r="U366" s="132"/>
      <c r="V366" s="132"/>
      <c r="W366" s="132"/>
      <c r="X366" s="132"/>
      <c r="Y366" s="132"/>
      <c r="Z366" s="132"/>
    </row>
    <row r="367" ht="15.75" customHeight="1">
      <c r="A367" s="105" t="s">
        <v>1461</v>
      </c>
      <c r="B367" s="154" t="s">
        <v>696</v>
      </c>
      <c r="C367" s="106" t="s">
        <v>1462</v>
      </c>
      <c r="D367" s="106" t="s">
        <v>83</v>
      </c>
      <c r="E367" s="106" t="s">
        <v>1313</v>
      </c>
      <c r="F367" s="126" t="s">
        <v>1463</v>
      </c>
      <c r="G367" s="105" t="s">
        <v>1389</v>
      </c>
      <c r="H367" s="105" t="s">
        <v>1389</v>
      </c>
      <c r="I367" s="105" t="s">
        <v>1389</v>
      </c>
      <c r="J367" s="135" t="s">
        <v>85</v>
      </c>
      <c r="K367" s="145" t="s">
        <v>687</v>
      </c>
      <c r="L367" s="138" t="s">
        <v>688</v>
      </c>
      <c r="M367" s="135"/>
      <c r="N367" s="138" t="s">
        <v>1401</v>
      </c>
      <c r="O367" s="138" t="s">
        <v>1419</v>
      </c>
      <c r="P367" s="151" t="s">
        <v>744</v>
      </c>
      <c r="Q367" s="151" t="s">
        <v>744</v>
      </c>
      <c r="R367" s="132"/>
      <c r="S367" s="132"/>
      <c r="T367" s="132"/>
      <c r="U367" s="132"/>
      <c r="V367" s="132"/>
      <c r="W367" s="132"/>
      <c r="X367" s="132"/>
      <c r="Y367" s="132"/>
      <c r="Z367" s="132"/>
    </row>
    <row r="368" ht="15.75" customHeight="1">
      <c r="A368" s="105" t="s">
        <v>1464</v>
      </c>
      <c r="B368" s="154" t="s">
        <v>197</v>
      </c>
      <c r="C368" s="106" t="s">
        <v>1465</v>
      </c>
      <c r="D368" s="106" t="s">
        <v>185</v>
      </c>
      <c r="E368" s="106" t="s">
        <v>1466</v>
      </c>
      <c r="F368" s="126">
        <v>-66.0</v>
      </c>
      <c r="G368" s="105" t="s">
        <v>1397</v>
      </c>
      <c r="H368" s="105" t="s">
        <v>1397</v>
      </c>
      <c r="I368" s="105" t="s">
        <v>1397</v>
      </c>
      <c r="J368" s="135" t="s">
        <v>85</v>
      </c>
      <c r="K368" s="145" t="s">
        <v>687</v>
      </c>
      <c r="L368" s="138" t="s">
        <v>760</v>
      </c>
      <c r="M368" s="135"/>
      <c r="N368" s="138" t="s">
        <v>1340</v>
      </c>
      <c r="O368" s="138" t="s">
        <v>1419</v>
      </c>
      <c r="P368" s="151" t="s">
        <v>761</v>
      </c>
      <c r="Q368" s="151" t="s">
        <v>761</v>
      </c>
      <c r="R368" s="132"/>
      <c r="S368" s="132"/>
      <c r="T368" s="132"/>
      <c r="U368" s="132"/>
      <c r="V368" s="132"/>
      <c r="W368" s="132"/>
      <c r="X368" s="132"/>
      <c r="Y368" s="132"/>
      <c r="Z368" s="132"/>
    </row>
    <row r="369" ht="15.75" customHeight="1">
      <c r="A369" s="105" t="s">
        <v>1467</v>
      </c>
      <c r="B369" s="154" t="s">
        <v>44</v>
      </c>
      <c r="C369" s="106" t="s">
        <v>1468</v>
      </c>
      <c r="D369" s="106" t="s">
        <v>185</v>
      </c>
      <c r="E369" s="106" t="s">
        <v>1466</v>
      </c>
      <c r="F369" s="126">
        <v>58.5</v>
      </c>
      <c r="G369" s="105" t="s">
        <v>1346</v>
      </c>
      <c r="H369" s="105" t="s">
        <v>1346</v>
      </c>
      <c r="I369" s="105" t="s">
        <v>1346</v>
      </c>
      <c r="J369" s="135" t="s">
        <v>85</v>
      </c>
      <c r="K369" s="145" t="s">
        <v>687</v>
      </c>
      <c r="L369" s="138" t="s">
        <v>688</v>
      </c>
      <c r="M369" s="135"/>
      <c r="N369" s="138" t="s">
        <v>1340</v>
      </c>
      <c r="O369" s="138" t="s">
        <v>1419</v>
      </c>
      <c r="P369" s="151" t="s">
        <v>761</v>
      </c>
      <c r="Q369" s="151" t="s">
        <v>761</v>
      </c>
      <c r="R369" s="132"/>
      <c r="S369" s="132"/>
      <c r="T369" s="132"/>
      <c r="U369" s="132"/>
      <c r="V369" s="132"/>
      <c r="W369" s="132"/>
      <c r="X369" s="132"/>
      <c r="Y369" s="132"/>
      <c r="Z369" s="132"/>
    </row>
    <row r="370" ht="15.75" customHeight="1">
      <c r="A370" s="105" t="s">
        <v>1469</v>
      </c>
      <c r="B370" s="154" t="s">
        <v>197</v>
      </c>
      <c r="C370" s="106" t="s">
        <v>1470</v>
      </c>
      <c r="D370" s="106" t="s">
        <v>185</v>
      </c>
      <c r="E370" s="106" t="s">
        <v>1466</v>
      </c>
      <c r="F370" s="126">
        <v>10.94</v>
      </c>
      <c r="G370" s="105" t="s">
        <v>1389</v>
      </c>
      <c r="H370" s="105" t="s">
        <v>1389</v>
      </c>
      <c r="I370" s="105" t="s">
        <v>1389</v>
      </c>
      <c r="J370" s="135" t="s">
        <v>85</v>
      </c>
      <c r="K370" s="145" t="s">
        <v>687</v>
      </c>
      <c r="L370" s="138" t="s">
        <v>760</v>
      </c>
      <c r="M370" s="135"/>
      <c r="N370" s="106" t="s">
        <v>701</v>
      </c>
      <c r="O370" s="109" t="s">
        <v>690</v>
      </c>
      <c r="P370" s="151" t="s">
        <v>724</v>
      </c>
      <c r="Q370" s="151" t="s">
        <v>724</v>
      </c>
      <c r="R370" s="132"/>
      <c r="S370" s="132"/>
      <c r="T370" s="132"/>
      <c r="U370" s="132"/>
      <c r="V370" s="132"/>
      <c r="W370" s="132"/>
      <c r="X370" s="132"/>
      <c r="Y370" s="132"/>
      <c r="Z370" s="132"/>
    </row>
    <row r="371" ht="15.75" customHeight="1">
      <c r="A371" s="105" t="s">
        <v>1471</v>
      </c>
      <c r="B371" s="154" t="s">
        <v>197</v>
      </c>
      <c r="C371" s="106" t="s">
        <v>1472</v>
      </c>
      <c r="D371" s="106" t="s">
        <v>185</v>
      </c>
      <c r="E371" s="106" t="s">
        <v>1466</v>
      </c>
      <c r="F371" s="126">
        <v>22.0</v>
      </c>
      <c r="G371" s="105" t="s">
        <v>1473</v>
      </c>
      <c r="H371" s="105" t="s">
        <v>1473</v>
      </c>
      <c r="I371" s="105" t="s">
        <v>1473</v>
      </c>
      <c r="J371" s="135" t="s">
        <v>85</v>
      </c>
      <c r="K371" s="145" t="s">
        <v>687</v>
      </c>
      <c r="L371" s="138" t="s">
        <v>760</v>
      </c>
      <c r="M371" s="106"/>
      <c r="N371" s="106" t="s">
        <v>741</v>
      </c>
      <c r="O371" s="109" t="s">
        <v>690</v>
      </c>
      <c r="P371" s="151" t="s">
        <v>724</v>
      </c>
      <c r="Q371" s="151" t="s">
        <v>724</v>
      </c>
      <c r="R371" s="132"/>
      <c r="S371" s="132"/>
      <c r="T371" s="132"/>
      <c r="U371" s="132"/>
      <c r="V371" s="132"/>
      <c r="W371" s="132"/>
      <c r="X371" s="132"/>
      <c r="Y371" s="132"/>
      <c r="Z371" s="132"/>
    </row>
    <row r="372" ht="15.75" customHeight="1">
      <c r="A372" s="105" t="s">
        <v>1474</v>
      </c>
      <c r="B372" s="154" t="s">
        <v>197</v>
      </c>
      <c r="C372" s="106" t="s">
        <v>1475</v>
      </c>
      <c r="D372" s="106" t="s">
        <v>185</v>
      </c>
      <c r="E372" s="106" t="s">
        <v>1466</v>
      </c>
      <c r="F372" s="126">
        <v>446.32</v>
      </c>
      <c r="G372" s="105" t="s">
        <v>1473</v>
      </c>
      <c r="H372" s="105" t="s">
        <v>1473</v>
      </c>
      <c r="I372" s="105" t="s">
        <v>1473</v>
      </c>
      <c r="J372" s="135" t="s">
        <v>85</v>
      </c>
      <c r="K372" s="145" t="s">
        <v>687</v>
      </c>
      <c r="L372" s="138" t="s">
        <v>760</v>
      </c>
      <c r="M372" s="135"/>
      <c r="N372" s="106" t="s">
        <v>741</v>
      </c>
      <c r="O372" s="109" t="s">
        <v>690</v>
      </c>
      <c r="P372" s="151" t="s">
        <v>724</v>
      </c>
      <c r="Q372" s="151" t="s">
        <v>724</v>
      </c>
      <c r="R372" s="132"/>
      <c r="S372" s="132"/>
      <c r="T372" s="132"/>
      <c r="U372" s="132"/>
      <c r="V372" s="132"/>
      <c r="W372" s="132"/>
      <c r="X372" s="132"/>
      <c r="Y372" s="132"/>
      <c r="Z372" s="132"/>
    </row>
    <row r="373" ht="15.75" customHeight="1">
      <c r="A373" s="105" t="s">
        <v>1476</v>
      </c>
      <c r="B373" s="154" t="s">
        <v>197</v>
      </c>
      <c r="C373" s="106" t="s">
        <v>1477</v>
      </c>
      <c r="D373" s="106" t="s">
        <v>185</v>
      </c>
      <c r="E373" s="106" t="s">
        <v>1460</v>
      </c>
      <c r="F373" s="126">
        <v>25.0</v>
      </c>
      <c r="G373" s="105" t="s">
        <v>1473</v>
      </c>
      <c r="H373" s="105" t="s">
        <v>1473</v>
      </c>
      <c r="I373" s="105" t="s">
        <v>1473</v>
      </c>
      <c r="J373" s="135" t="s">
        <v>85</v>
      </c>
      <c r="K373" s="145" t="s">
        <v>687</v>
      </c>
      <c r="L373" s="138" t="s">
        <v>760</v>
      </c>
      <c r="M373" s="135"/>
      <c r="N373" s="106" t="s">
        <v>1327</v>
      </c>
      <c r="O373" s="109" t="s">
        <v>690</v>
      </c>
      <c r="P373" s="151" t="s">
        <v>724</v>
      </c>
      <c r="Q373" s="151" t="s">
        <v>724</v>
      </c>
      <c r="R373" s="132"/>
      <c r="S373" s="132"/>
      <c r="T373" s="132"/>
      <c r="U373" s="132"/>
      <c r="V373" s="132"/>
      <c r="W373" s="132"/>
      <c r="X373" s="132"/>
      <c r="Y373" s="132"/>
      <c r="Z373" s="132"/>
    </row>
    <row r="374" ht="15.75" customHeight="1">
      <c r="A374" s="105" t="s">
        <v>1485</v>
      </c>
      <c r="B374" s="154" t="s">
        <v>46</v>
      </c>
      <c r="C374" s="106" t="s">
        <v>1486</v>
      </c>
      <c r="D374" s="106" t="s">
        <v>135</v>
      </c>
      <c r="E374" s="106" t="s">
        <v>685</v>
      </c>
      <c r="F374" s="126" t="s">
        <v>1487</v>
      </c>
      <c r="G374" s="105" t="s">
        <v>136</v>
      </c>
      <c r="H374" s="105" t="s">
        <v>136</v>
      </c>
      <c r="I374" s="105" t="s">
        <v>136</v>
      </c>
      <c r="J374" s="135"/>
      <c r="K374" s="145" t="s">
        <v>749</v>
      </c>
      <c r="L374" s="138"/>
      <c r="M374" s="135"/>
      <c r="N374" s="106" t="s">
        <v>741</v>
      </c>
      <c r="O374" s="109" t="s">
        <v>732</v>
      </c>
      <c r="P374" s="151" t="s">
        <v>691</v>
      </c>
      <c r="Q374" s="151" t="s">
        <v>691</v>
      </c>
      <c r="R374" s="81"/>
      <c r="S374" s="81"/>
      <c r="T374" s="81"/>
      <c r="U374" s="81"/>
      <c r="V374" s="81"/>
      <c r="W374" s="81"/>
      <c r="X374" s="81"/>
      <c r="Y374" s="81"/>
      <c r="Z374" s="81"/>
    </row>
    <row r="375" ht="15.75" customHeight="1">
      <c r="A375" s="105" t="s">
        <v>433</v>
      </c>
      <c r="B375" s="154" t="s">
        <v>44</v>
      </c>
      <c r="C375" s="106" t="s">
        <v>799</v>
      </c>
      <c r="D375" s="106" t="s">
        <v>185</v>
      </c>
      <c r="E375" s="106" t="s">
        <v>698</v>
      </c>
      <c r="F375" s="126">
        <v>43424.0</v>
      </c>
      <c r="G375" s="105" t="s">
        <v>335</v>
      </c>
      <c r="H375" s="105" t="s">
        <v>91</v>
      </c>
      <c r="I375" s="105" t="s">
        <v>91</v>
      </c>
      <c r="J375" s="135" t="s">
        <v>85</v>
      </c>
      <c r="K375" s="145" t="s">
        <v>749</v>
      </c>
      <c r="L375" s="138" t="s">
        <v>688</v>
      </c>
      <c r="M375" s="162">
        <v>44142.0</v>
      </c>
      <c r="N375" s="106" t="s">
        <v>701</v>
      </c>
      <c r="O375" s="109" t="s">
        <v>690</v>
      </c>
      <c r="P375" s="151" t="s">
        <v>705</v>
      </c>
      <c r="Q375" s="151" t="s">
        <v>705</v>
      </c>
      <c r="R375" s="81"/>
      <c r="S375" s="81"/>
      <c r="T375" s="81"/>
      <c r="U375" s="81"/>
      <c r="V375" s="81"/>
      <c r="W375" s="81"/>
      <c r="X375" s="81"/>
      <c r="Y375" s="81"/>
      <c r="Z375" s="81"/>
    </row>
    <row r="376" ht="15.75" customHeight="1">
      <c r="A376" s="105" t="s">
        <v>1488</v>
      </c>
      <c r="B376" s="154" t="s">
        <v>46</v>
      </c>
      <c r="C376" s="106" t="s">
        <v>1489</v>
      </c>
      <c r="D376" s="163" t="s">
        <v>185</v>
      </c>
      <c r="E376" s="106" t="s">
        <v>720</v>
      </c>
      <c r="F376" s="126" t="b">
        <v>1</v>
      </c>
      <c r="G376" s="105" t="s">
        <v>686</v>
      </c>
      <c r="H376" s="105" t="s">
        <v>686</v>
      </c>
      <c r="I376" s="105" t="s">
        <v>686</v>
      </c>
      <c r="J376" s="135"/>
      <c r="K376" s="164" t="s">
        <v>749</v>
      </c>
      <c r="L376" s="138"/>
      <c r="M376" s="135"/>
      <c r="N376" s="106" t="s">
        <v>692</v>
      </c>
      <c r="O376" s="109" t="s">
        <v>690</v>
      </c>
      <c r="P376" s="151" t="s">
        <v>782</v>
      </c>
      <c r="Q376" s="151" t="s">
        <v>782</v>
      </c>
      <c r="R376" s="81"/>
      <c r="S376" s="81"/>
      <c r="T376" s="81"/>
      <c r="U376" s="81"/>
      <c r="V376" s="81"/>
      <c r="W376" s="81"/>
      <c r="X376" s="81"/>
      <c r="Y376" s="81"/>
      <c r="Z376" s="81"/>
    </row>
    <row r="377" ht="15.75" customHeight="1">
      <c r="A377" s="105" t="s">
        <v>1490</v>
      </c>
      <c r="B377" s="154" t="s">
        <v>46</v>
      </c>
      <c r="C377" s="106" t="s">
        <v>1491</v>
      </c>
      <c r="D377" s="163" t="s">
        <v>83</v>
      </c>
      <c r="E377" s="106" t="s">
        <v>1492</v>
      </c>
      <c r="F377" s="126" t="s">
        <v>936</v>
      </c>
      <c r="G377" s="105" t="s">
        <v>686</v>
      </c>
      <c r="H377" s="105" t="s">
        <v>686</v>
      </c>
      <c r="I377" s="105" t="s">
        <v>686</v>
      </c>
      <c r="J377" s="135"/>
      <c r="K377" s="154" t="s">
        <v>749</v>
      </c>
      <c r="L377" s="138"/>
      <c r="M377" s="135"/>
      <c r="N377" s="106" t="s">
        <v>692</v>
      </c>
      <c r="O377" s="109" t="s">
        <v>690</v>
      </c>
      <c r="P377" s="151" t="s">
        <v>782</v>
      </c>
      <c r="Q377" s="151" t="s">
        <v>782</v>
      </c>
      <c r="R377" s="81"/>
      <c r="S377" s="81"/>
      <c r="T377" s="81"/>
      <c r="U377" s="81"/>
      <c r="V377" s="81"/>
      <c r="W377" s="81"/>
      <c r="X377" s="81"/>
      <c r="Y377" s="81"/>
      <c r="Z377" s="81"/>
    </row>
    <row r="378" ht="15.75" customHeight="1">
      <c r="A378" s="105" t="s">
        <v>1493</v>
      </c>
      <c r="B378" s="154" t="s">
        <v>46</v>
      </c>
      <c r="C378" s="106" t="s">
        <v>1494</v>
      </c>
      <c r="D378" s="163" t="s">
        <v>185</v>
      </c>
      <c r="E378" s="106" t="s">
        <v>1492</v>
      </c>
      <c r="F378" s="126" t="s">
        <v>1495</v>
      </c>
      <c r="G378" s="105" t="s">
        <v>686</v>
      </c>
      <c r="H378" s="105" t="s">
        <v>686</v>
      </c>
      <c r="I378" s="105" t="s">
        <v>686</v>
      </c>
      <c r="J378" s="135"/>
      <c r="K378" s="154" t="s">
        <v>749</v>
      </c>
      <c r="L378" s="138"/>
      <c r="M378" s="135"/>
      <c r="N378" s="106" t="s">
        <v>692</v>
      </c>
      <c r="O378" s="109" t="s">
        <v>690</v>
      </c>
      <c r="P378" s="151" t="s">
        <v>782</v>
      </c>
      <c r="Q378" s="151" t="s">
        <v>782</v>
      </c>
      <c r="R378" s="81"/>
      <c r="S378" s="81"/>
      <c r="T378" s="81"/>
      <c r="U378" s="81"/>
      <c r="V378" s="81"/>
      <c r="W378" s="81"/>
      <c r="X378" s="81"/>
      <c r="Y378" s="81"/>
      <c r="Z378" s="81"/>
    </row>
    <row r="379" ht="15.75" customHeight="1">
      <c r="A379" s="105" t="s">
        <v>1496</v>
      </c>
      <c r="B379" s="165" t="s">
        <v>197</v>
      </c>
      <c r="C379" s="106" t="s">
        <v>1497</v>
      </c>
      <c r="D379" s="106" t="s">
        <v>185</v>
      </c>
      <c r="E379" s="106" t="s">
        <v>698</v>
      </c>
      <c r="F379" s="115">
        <v>44059.333333333336</v>
      </c>
      <c r="G379" s="105" t="s">
        <v>1397</v>
      </c>
      <c r="H379" s="105" t="s">
        <v>1397</v>
      </c>
      <c r="I379" s="105" t="s">
        <v>1397</v>
      </c>
      <c r="J379" s="138" t="s">
        <v>85</v>
      </c>
      <c r="K379" s="165" t="s">
        <v>687</v>
      </c>
      <c r="L379" s="138"/>
      <c r="M379" s="135"/>
      <c r="N379" s="106" t="s">
        <v>741</v>
      </c>
      <c r="O379" s="109" t="s">
        <v>690</v>
      </c>
      <c r="P379" s="151" t="s">
        <v>724</v>
      </c>
      <c r="Q379" s="151" t="s">
        <v>724</v>
      </c>
      <c r="R379" s="81"/>
      <c r="S379" s="81"/>
      <c r="T379" s="81"/>
      <c r="U379" s="81"/>
      <c r="V379" s="81"/>
      <c r="W379" s="81"/>
      <c r="X379" s="81"/>
      <c r="Y379" s="81"/>
      <c r="Z379" s="81"/>
    </row>
    <row r="380" ht="15.75" customHeight="1">
      <c r="A380" s="105" t="s">
        <v>1498</v>
      </c>
      <c r="B380" s="165" t="s">
        <v>46</v>
      </c>
      <c r="C380" s="106" t="s">
        <v>1499</v>
      </c>
      <c r="D380" s="106" t="s">
        <v>185</v>
      </c>
      <c r="E380" s="106" t="s">
        <v>1500</v>
      </c>
      <c r="F380" s="126" t="b">
        <v>1</v>
      </c>
      <c r="G380" s="105" t="s">
        <v>1397</v>
      </c>
      <c r="H380" s="105" t="s">
        <v>1397</v>
      </c>
      <c r="I380" s="105" t="s">
        <v>1397</v>
      </c>
      <c r="J380" s="138" t="s">
        <v>85</v>
      </c>
      <c r="K380" s="165" t="s">
        <v>749</v>
      </c>
      <c r="L380" s="138"/>
      <c r="M380" s="135"/>
      <c r="N380" s="106" t="s">
        <v>692</v>
      </c>
      <c r="O380" s="109" t="s">
        <v>690</v>
      </c>
      <c r="P380" s="151" t="s">
        <v>691</v>
      </c>
      <c r="Q380" s="151" t="s">
        <v>691</v>
      </c>
      <c r="R380" s="81"/>
      <c r="S380" s="81"/>
      <c r="T380" s="81"/>
      <c r="U380" s="81"/>
      <c r="V380" s="81"/>
      <c r="W380" s="81"/>
      <c r="X380" s="81"/>
      <c r="Y380" s="81"/>
      <c r="Z380" s="81"/>
    </row>
    <row r="381" ht="15.75" customHeight="1">
      <c r="A381" s="105" t="s">
        <v>1501</v>
      </c>
      <c r="B381" s="165" t="s">
        <v>46</v>
      </c>
      <c r="C381" s="106" t="s">
        <v>1502</v>
      </c>
      <c r="D381" s="106" t="s">
        <v>83</v>
      </c>
      <c r="E381" s="106" t="s">
        <v>1313</v>
      </c>
      <c r="F381" s="126" t="s">
        <v>977</v>
      </c>
      <c r="G381" s="105" t="s">
        <v>1397</v>
      </c>
      <c r="H381" s="105" t="s">
        <v>1397</v>
      </c>
      <c r="I381" s="105" t="s">
        <v>1397</v>
      </c>
      <c r="J381" s="138" t="s">
        <v>85</v>
      </c>
      <c r="K381" s="165" t="s">
        <v>749</v>
      </c>
      <c r="L381" s="138"/>
      <c r="M381" s="135"/>
      <c r="N381" s="106" t="s">
        <v>692</v>
      </c>
      <c r="O381" s="109" t="s">
        <v>690</v>
      </c>
      <c r="P381" s="151" t="s">
        <v>691</v>
      </c>
      <c r="Q381" s="151" t="s">
        <v>691</v>
      </c>
      <c r="R381" s="81"/>
      <c r="S381" s="81"/>
      <c r="T381" s="81"/>
      <c r="U381" s="81"/>
      <c r="V381" s="81"/>
      <c r="W381" s="81"/>
      <c r="X381" s="81"/>
      <c r="Y381" s="81"/>
      <c r="Z381" s="81"/>
    </row>
    <row r="382" ht="15.75" customHeight="1">
      <c r="A382" s="105" t="s">
        <v>1503</v>
      </c>
      <c r="B382" s="165" t="s">
        <v>46</v>
      </c>
      <c r="C382" s="106" t="s">
        <v>1504</v>
      </c>
      <c r="D382" s="106" t="s">
        <v>185</v>
      </c>
      <c r="E382" s="106" t="s">
        <v>1313</v>
      </c>
      <c r="F382" s="126" t="s">
        <v>1505</v>
      </c>
      <c r="G382" s="105" t="s">
        <v>1397</v>
      </c>
      <c r="H382" s="105" t="s">
        <v>1397</v>
      </c>
      <c r="I382" s="105" t="s">
        <v>1397</v>
      </c>
      <c r="J382" s="138" t="s">
        <v>85</v>
      </c>
      <c r="K382" s="165" t="s">
        <v>749</v>
      </c>
      <c r="L382" s="138"/>
      <c r="M382" s="135"/>
      <c r="N382" s="106" t="s">
        <v>692</v>
      </c>
      <c r="O382" s="109" t="s">
        <v>690</v>
      </c>
      <c r="P382" s="151" t="s">
        <v>691</v>
      </c>
      <c r="Q382" s="151" t="s">
        <v>691</v>
      </c>
      <c r="R382" s="81"/>
      <c r="S382" s="81"/>
      <c r="T382" s="81"/>
      <c r="U382" s="81"/>
      <c r="V382" s="81"/>
      <c r="W382" s="81"/>
      <c r="X382" s="81"/>
      <c r="Y382" s="81"/>
      <c r="Z382" s="81"/>
    </row>
    <row r="383" ht="15.75" customHeight="1">
      <c r="A383" s="105" t="s">
        <v>1506</v>
      </c>
      <c r="B383" s="165" t="s">
        <v>52</v>
      </c>
      <c r="C383" s="106" t="s">
        <v>1507</v>
      </c>
      <c r="D383" s="106" t="s">
        <v>185</v>
      </c>
      <c r="E383" s="106" t="s">
        <v>1460</v>
      </c>
      <c r="F383" s="126">
        <v>5.0</v>
      </c>
      <c r="G383" s="105" t="s">
        <v>1397</v>
      </c>
      <c r="H383" s="105" t="s">
        <v>1397</v>
      </c>
      <c r="I383" s="105" t="s">
        <v>1397</v>
      </c>
      <c r="J383" s="138" t="s">
        <v>85</v>
      </c>
      <c r="K383" s="165" t="s">
        <v>687</v>
      </c>
      <c r="L383" s="138"/>
      <c r="M383" s="135"/>
      <c r="N383" s="106" t="s">
        <v>735</v>
      </c>
      <c r="O383" s="109" t="s">
        <v>736</v>
      </c>
      <c r="P383" s="151" t="s">
        <v>721</v>
      </c>
      <c r="Q383" s="151" t="s">
        <v>721</v>
      </c>
      <c r="R383" s="81"/>
      <c r="S383" s="81"/>
      <c r="T383" s="81"/>
      <c r="U383" s="81"/>
      <c r="V383" s="81"/>
      <c r="W383" s="81"/>
      <c r="X383" s="81"/>
      <c r="Y383" s="81"/>
      <c r="Z383" s="81"/>
    </row>
    <row r="384" ht="15.75" customHeight="1">
      <c r="A384" s="105" t="s">
        <v>1508</v>
      </c>
      <c r="B384" s="165" t="s">
        <v>197</v>
      </c>
      <c r="C384" s="106" t="s">
        <v>1509</v>
      </c>
      <c r="D384" s="106" t="s">
        <v>185</v>
      </c>
      <c r="E384" s="106" t="s">
        <v>1460</v>
      </c>
      <c r="F384" s="126">
        <v>5.0</v>
      </c>
      <c r="G384" s="105" t="s">
        <v>1397</v>
      </c>
      <c r="H384" s="105" t="s">
        <v>1397</v>
      </c>
      <c r="I384" s="105" t="s">
        <v>1397</v>
      </c>
      <c r="J384" s="138" t="s">
        <v>85</v>
      </c>
      <c r="K384" s="165" t="s">
        <v>687</v>
      </c>
      <c r="L384" s="138"/>
      <c r="M384" s="135"/>
      <c r="N384" s="106" t="s">
        <v>741</v>
      </c>
      <c r="O384" s="109" t="s">
        <v>690</v>
      </c>
      <c r="P384" s="151" t="s">
        <v>1510</v>
      </c>
      <c r="Q384" s="151" t="s">
        <v>1510</v>
      </c>
      <c r="R384" s="81"/>
      <c r="S384" s="81"/>
      <c r="T384" s="81"/>
      <c r="U384" s="81"/>
      <c r="V384" s="81"/>
      <c r="W384" s="81"/>
      <c r="X384" s="81"/>
      <c r="Y384" s="81"/>
      <c r="Z384" s="81"/>
    </row>
    <row r="385" ht="15.75" customHeight="1">
      <c r="A385" s="105" t="s">
        <v>1511</v>
      </c>
      <c r="B385" s="165" t="s">
        <v>58</v>
      </c>
      <c r="C385" s="106" t="s">
        <v>1512</v>
      </c>
      <c r="D385" s="106" t="s">
        <v>185</v>
      </c>
      <c r="E385" s="106" t="s">
        <v>1466</v>
      </c>
      <c r="F385" s="126">
        <v>25.33</v>
      </c>
      <c r="G385" s="105" t="s">
        <v>1389</v>
      </c>
      <c r="H385" s="105" t="s">
        <v>1389</v>
      </c>
      <c r="I385" s="105" t="s">
        <v>1389</v>
      </c>
      <c r="J385" s="138" t="s">
        <v>85</v>
      </c>
      <c r="K385" s="105" t="s">
        <v>1479</v>
      </c>
      <c r="L385" s="138"/>
      <c r="M385" s="135"/>
      <c r="N385" s="106" t="s">
        <v>1401</v>
      </c>
      <c r="O385" s="109" t="s">
        <v>1402</v>
      </c>
      <c r="P385" s="151" t="s">
        <v>721</v>
      </c>
      <c r="Q385" s="151" t="s">
        <v>721</v>
      </c>
      <c r="R385" s="81"/>
      <c r="S385" s="81"/>
      <c r="T385" s="81"/>
      <c r="U385" s="81"/>
      <c r="V385" s="81"/>
      <c r="W385" s="81"/>
      <c r="X385" s="81"/>
      <c r="Y385" s="81"/>
      <c r="Z385" s="81"/>
    </row>
    <row r="386" ht="15.75" customHeight="1">
      <c r="A386" s="105" t="s">
        <v>1513</v>
      </c>
      <c r="B386" s="165" t="s">
        <v>197</v>
      </c>
      <c r="C386" s="106" t="s">
        <v>1514</v>
      </c>
      <c r="D386" s="106" t="s">
        <v>185</v>
      </c>
      <c r="E386" s="106" t="s">
        <v>1460</v>
      </c>
      <c r="F386" s="126">
        <v>5.0</v>
      </c>
      <c r="G386" s="105" t="s">
        <v>1397</v>
      </c>
      <c r="H386" s="105" t="s">
        <v>1397</v>
      </c>
      <c r="I386" s="105" t="s">
        <v>1397</v>
      </c>
      <c r="J386" s="138" t="s">
        <v>85</v>
      </c>
      <c r="K386" s="165" t="s">
        <v>687</v>
      </c>
      <c r="L386" s="138"/>
      <c r="M386" s="135"/>
      <c r="N386" s="106" t="s">
        <v>735</v>
      </c>
      <c r="O386" s="109" t="s">
        <v>1402</v>
      </c>
      <c r="P386" s="151" t="s">
        <v>761</v>
      </c>
      <c r="Q386" s="151" t="s">
        <v>761</v>
      </c>
      <c r="R386" s="81"/>
      <c r="S386" s="81"/>
      <c r="T386" s="81"/>
      <c r="U386" s="81"/>
      <c r="V386" s="81"/>
      <c r="W386" s="81"/>
      <c r="X386" s="81"/>
      <c r="Y386" s="81"/>
      <c r="Z386" s="81"/>
    </row>
    <row r="387" ht="15.75" customHeight="1">
      <c r="A387" s="105" t="s">
        <v>1515</v>
      </c>
      <c r="B387" s="165" t="s">
        <v>197</v>
      </c>
      <c r="C387" s="106" t="s">
        <v>1516</v>
      </c>
      <c r="D387" s="106" t="s">
        <v>83</v>
      </c>
      <c r="E387" s="106" t="s">
        <v>1466</v>
      </c>
      <c r="F387" s="126">
        <v>17200.12</v>
      </c>
      <c r="G387" s="105" t="s">
        <v>1397</v>
      </c>
      <c r="H387" s="105" t="s">
        <v>1397</v>
      </c>
      <c r="I387" s="105" t="s">
        <v>1517</v>
      </c>
      <c r="J387" s="138" t="s">
        <v>85</v>
      </c>
      <c r="K387" s="165" t="s">
        <v>687</v>
      </c>
      <c r="L387" s="166"/>
      <c r="M387" s="135"/>
      <c r="N387" s="106" t="s">
        <v>741</v>
      </c>
      <c r="O387" s="109" t="s">
        <v>1402</v>
      </c>
      <c r="P387" s="151" t="s">
        <v>1518</v>
      </c>
      <c r="Q387" s="151" t="s">
        <v>1518</v>
      </c>
      <c r="R387" s="81"/>
      <c r="S387" s="81"/>
      <c r="T387" s="81"/>
      <c r="U387" s="81"/>
      <c r="V387" s="81"/>
      <c r="W387" s="81"/>
      <c r="X387" s="81"/>
      <c r="Y387" s="81"/>
      <c r="Z387" s="81"/>
    </row>
    <row r="388" ht="15.75" customHeight="1">
      <c r="A388" s="105" t="s">
        <v>1519</v>
      </c>
      <c r="B388" s="165" t="s">
        <v>197</v>
      </c>
      <c r="C388" s="106" t="s">
        <v>1520</v>
      </c>
      <c r="D388" s="106" t="s">
        <v>83</v>
      </c>
      <c r="E388" s="106" t="s">
        <v>1466</v>
      </c>
      <c r="F388" s="126">
        <v>500.2</v>
      </c>
      <c r="G388" s="105" t="s">
        <v>1397</v>
      </c>
      <c r="H388" s="105" t="s">
        <v>1397</v>
      </c>
      <c r="I388" s="105" t="s">
        <v>1517</v>
      </c>
      <c r="J388" s="138" t="s">
        <v>85</v>
      </c>
      <c r="K388" s="165" t="s">
        <v>687</v>
      </c>
      <c r="L388" s="166"/>
      <c r="M388" s="135"/>
      <c r="N388" s="106" t="s">
        <v>1521</v>
      </c>
      <c r="O388" s="109" t="s">
        <v>732</v>
      </c>
      <c r="P388" s="151" t="s">
        <v>1518</v>
      </c>
      <c r="Q388" s="151" t="s">
        <v>1518</v>
      </c>
      <c r="R388" s="81"/>
      <c r="S388" s="81"/>
      <c r="T388" s="81"/>
      <c r="U388" s="81"/>
      <c r="V388" s="81"/>
      <c r="W388" s="81"/>
      <c r="X388" s="81"/>
      <c r="Y388" s="81"/>
      <c r="Z388" s="81"/>
    </row>
    <row r="389" ht="15.75" customHeight="1">
      <c r="A389" s="105" t="s">
        <v>1522</v>
      </c>
      <c r="B389" s="165" t="s">
        <v>46</v>
      </c>
      <c r="C389" s="106" t="s">
        <v>1523</v>
      </c>
      <c r="D389" s="106" t="s">
        <v>83</v>
      </c>
      <c r="E389" s="106" t="s">
        <v>1500</v>
      </c>
      <c r="F389" s="126" t="b">
        <v>1</v>
      </c>
      <c r="G389" s="105" t="s">
        <v>1397</v>
      </c>
      <c r="H389" s="105" t="s">
        <v>1397</v>
      </c>
      <c r="I389" s="105" t="s">
        <v>1517</v>
      </c>
      <c r="J389" s="138" t="s">
        <v>85</v>
      </c>
      <c r="K389" s="165" t="s">
        <v>687</v>
      </c>
      <c r="L389" s="166"/>
      <c r="M389" s="135"/>
      <c r="N389" s="106" t="s">
        <v>1521</v>
      </c>
      <c r="O389" s="109" t="s">
        <v>732</v>
      </c>
      <c r="P389" s="151" t="s">
        <v>1518</v>
      </c>
      <c r="Q389" s="151" t="s">
        <v>1518</v>
      </c>
      <c r="R389" s="81"/>
      <c r="S389" s="81"/>
      <c r="T389" s="81"/>
      <c r="U389" s="81"/>
      <c r="V389" s="81"/>
      <c r="W389" s="81"/>
      <c r="X389" s="81"/>
      <c r="Y389" s="81"/>
      <c r="Z389" s="81"/>
    </row>
    <row r="390" ht="15.75" customHeight="1">
      <c r="A390" s="105" t="s">
        <v>1524</v>
      </c>
      <c r="B390" s="165" t="s">
        <v>46</v>
      </c>
      <c r="C390" s="106" t="s">
        <v>1525</v>
      </c>
      <c r="D390" s="106" t="s">
        <v>83</v>
      </c>
      <c r="E390" s="106" t="s">
        <v>1313</v>
      </c>
      <c r="F390" s="126" t="s">
        <v>936</v>
      </c>
      <c r="G390" s="105" t="s">
        <v>1397</v>
      </c>
      <c r="H390" s="105" t="s">
        <v>1397</v>
      </c>
      <c r="I390" s="105" t="s">
        <v>1517</v>
      </c>
      <c r="J390" s="138" t="s">
        <v>85</v>
      </c>
      <c r="K390" s="165" t="s">
        <v>687</v>
      </c>
      <c r="L390" s="166"/>
      <c r="M390" s="135"/>
      <c r="N390" s="106" t="s">
        <v>1521</v>
      </c>
      <c r="O390" s="109" t="s">
        <v>732</v>
      </c>
      <c r="P390" s="151" t="s">
        <v>1518</v>
      </c>
      <c r="Q390" s="151" t="s">
        <v>1518</v>
      </c>
      <c r="R390" s="81"/>
      <c r="S390" s="81"/>
      <c r="T390" s="81"/>
      <c r="U390" s="81"/>
      <c r="V390" s="81"/>
      <c r="W390" s="81"/>
      <c r="X390" s="81"/>
      <c r="Y390" s="81"/>
      <c r="Z390" s="81"/>
    </row>
    <row r="391" ht="15.75" customHeight="1">
      <c r="A391" s="105" t="s">
        <v>1526</v>
      </c>
      <c r="B391" s="165" t="s">
        <v>46</v>
      </c>
      <c r="C391" s="106" t="s">
        <v>1526</v>
      </c>
      <c r="D391" s="106" t="s">
        <v>83</v>
      </c>
      <c r="E391" s="106" t="s">
        <v>1500</v>
      </c>
      <c r="F391" s="126" t="b">
        <v>1</v>
      </c>
      <c r="G391" s="105" t="s">
        <v>1397</v>
      </c>
      <c r="H391" s="105" t="s">
        <v>1397</v>
      </c>
      <c r="I391" s="105" t="s">
        <v>1517</v>
      </c>
      <c r="J391" s="138" t="s">
        <v>85</v>
      </c>
      <c r="K391" s="165" t="s">
        <v>687</v>
      </c>
      <c r="L391" s="166"/>
      <c r="M391" s="135"/>
      <c r="N391" s="106" t="s">
        <v>1521</v>
      </c>
      <c r="O391" s="109" t="s">
        <v>732</v>
      </c>
      <c r="P391" s="151" t="s">
        <v>1518</v>
      </c>
      <c r="Q391" s="151" t="s">
        <v>1518</v>
      </c>
      <c r="R391" s="81"/>
      <c r="S391" s="81"/>
      <c r="T391" s="81"/>
      <c r="U391" s="81"/>
      <c r="V391" s="81"/>
      <c r="W391" s="81"/>
      <c r="X391" s="81"/>
      <c r="Y391" s="81"/>
      <c r="Z391" s="81"/>
    </row>
    <row r="392" ht="15.75" customHeight="1">
      <c r="A392" s="105" t="s">
        <v>1527</v>
      </c>
      <c r="B392" s="165" t="s">
        <v>46</v>
      </c>
      <c r="C392" s="106" t="s">
        <v>1527</v>
      </c>
      <c r="D392" s="106" t="s">
        <v>83</v>
      </c>
      <c r="E392" s="106" t="s">
        <v>1313</v>
      </c>
      <c r="F392" s="126" t="s">
        <v>1528</v>
      </c>
      <c r="G392" s="105" t="s">
        <v>1397</v>
      </c>
      <c r="H392" s="105" t="s">
        <v>1397</v>
      </c>
      <c r="I392" s="105" t="s">
        <v>1517</v>
      </c>
      <c r="J392" s="138" t="s">
        <v>85</v>
      </c>
      <c r="K392" s="165" t="s">
        <v>687</v>
      </c>
      <c r="L392" s="166"/>
      <c r="M392" s="135"/>
      <c r="N392" s="106" t="s">
        <v>1521</v>
      </c>
      <c r="O392" s="109" t="s">
        <v>732</v>
      </c>
      <c r="P392" s="151" t="s">
        <v>1518</v>
      </c>
      <c r="Q392" s="151" t="s">
        <v>1518</v>
      </c>
      <c r="R392" s="81"/>
      <c r="S392" s="81"/>
      <c r="T392" s="81"/>
      <c r="U392" s="81"/>
      <c r="V392" s="81"/>
      <c r="W392" s="81"/>
      <c r="X392" s="81"/>
      <c r="Y392" s="81"/>
      <c r="Z392" s="81"/>
    </row>
    <row r="393" ht="15.75" customHeight="1">
      <c r="A393" s="105" t="s">
        <v>1529</v>
      </c>
      <c r="B393" s="165" t="s">
        <v>46</v>
      </c>
      <c r="C393" s="106" t="s">
        <v>1530</v>
      </c>
      <c r="D393" s="106" t="s">
        <v>83</v>
      </c>
      <c r="E393" s="106" t="s">
        <v>1500</v>
      </c>
      <c r="F393" s="126" t="b">
        <v>1</v>
      </c>
      <c r="G393" s="105" t="s">
        <v>1397</v>
      </c>
      <c r="H393" s="105" t="s">
        <v>1397</v>
      </c>
      <c r="I393" s="105" t="s">
        <v>1517</v>
      </c>
      <c r="J393" s="138" t="s">
        <v>85</v>
      </c>
      <c r="K393" s="165" t="s">
        <v>687</v>
      </c>
      <c r="L393" s="166"/>
      <c r="M393" s="135"/>
      <c r="N393" s="106" t="s">
        <v>1521</v>
      </c>
      <c r="O393" s="109" t="s">
        <v>732</v>
      </c>
      <c r="P393" s="151" t="s">
        <v>1518</v>
      </c>
      <c r="Q393" s="151" t="s">
        <v>1518</v>
      </c>
      <c r="R393" s="81"/>
      <c r="S393" s="81"/>
      <c r="T393" s="81"/>
      <c r="U393" s="81"/>
      <c r="V393" s="81"/>
      <c r="W393" s="81"/>
      <c r="X393" s="81"/>
      <c r="Y393" s="81"/>
      <c r="Z393" s="81"/>
    </row>
    <row r="394" ht="15.75" customHeight="1">
      <c r="A394" s="105" t="s">
        <v>1531</v>
      </c>
      <c r="B394" s="165" t="s">
        <v>46</v>
      </c>
      <c r="C394" s="106" t="s">
        <v>1532</v>
      </c>
      <c r="D394" s="106" t="s">
        <v>83</v>
      </c>
      <c r="E394" s="106" t="s">
        <v>1313</v>
      </c>
      <c r="F394" s="126" t="s">
        <v>936</v>
      </c>
      <c r="G394" s="105" t="s">
        <v>1397</v>
      </c>
      <c r="H394" s="105" t="s">
        <v>1397</v>
      </c>
      <c r="I394" s="105" t="s">
        <v>1517</v>
      </c>
      <c r="J394" s="138" t="s">
        <v>85</v>
      </c>
      <c r="K394" s="165" t="s">
        <v>687</v>
      </c>
      <c r="L394" s="166"/>
      <c r="M394" s="135"/>
      <c r="N394" s="106" t="s">
        <v>1521</v>
      </c>
      <c r="O394" s="109" t="s">
        <v>732</v>
      </c>
      <c r="P394" s="151" t="s">
        <v>1518</v>
      </c>
      <c r="Q394" s="151" t="s">
        <v>1518</v>
      </c>
      <c r="R394" s="81"/>
      <c r="S394" s="81"/>
      <c r="T394" s="81"/>
      <c r="U394" s="81"/>
      <c r="V394" s="81"/>
      <c r="W394" s="81"/>
      <c r="X394" s="81"/>
      <c r="Y394" s="81"/>
      <c r="Z394" s="81"/>
    </row>
    <row r="395" ht="15.75" customHeight="1">
      <c r="A395" s="105" t="s">
        <v>1533</v>
      </c>
      <c r="B395" s="165" t="s">
        <v>46</v>
      </c>
      <c r="C395" s="106" t="s">
        <v>1534</v>
      </c>
      <c r="D395" s="106" t="s">
        <v>83</v>
      </c>
      <c r="E395" s="106" t="s">
        <v>1500</v>
      </c>
      <c r="F395" s="126" t="b">
        <v>1</v>
      </c>
      <c r="G395" s="105" t="s">
        <v>1397</v>
      </c>
      <c r="H395" s="105" t="s">
        <v>1397</v>
      </c>
      <c r="I395" s="105" t="s">
        <v>1517</v>
      </c>
      <c r="J395" s="138" t="s">
        <v>85</v>
      </c>
      <c r="K395" s="165" t="s">
        <v>687</v>
      </c>
      <c r="L395" s="166"/>
      <c r="M395" s="135"/>
      <c r="N395" s="106" t="s">
        <v>1521</v>
      </c>
      <c r="O395" s="109" t="s">
        <v>732</v>
      </c>
      <c r="P395" s="151" t="s">
        <v>1518</v>
      </c>
      <c r="Q395" s="151" t="s">
        <v>1518</v>
      </c>
      <c r="R395" s="81"/>
      <c r="S395" s="81"/>
      <c r="T395" s="81"/>
      <c r="U395" s="81"/>
      <c r="V395" s="81"/>
      <c r="W395" s="81"/>
      <c r="X395" s="81"/>
      <c r="Y395" s="81"/>
      <c r="Z395" s="81"/>
    </row>
    <row r="396" ht="15.75" customHeight="1">
      <c r="A396" s="105" t="s">
        <v>1535</v>
      </c>
      <c r="B396" s="165" t="s">
        <v>46</v>
      </c>
      <c r="C396" s="106" t="s">
        <v>1536</v>
      </c>
      <c r="D396" s="106" t="s">
        <v>83</v>
      </c>
      <c r="E396" s="106" t="s">
        <v>1313</v>
      </c>
      <c r="F396" s="126" t="s">
        <v>982</v>
      </c>
      <c r="G396" s="105" t="s">
        <v>1397</v>
      </c>
      <c r="H396" s="105" t="s">
        <v>1397</v>
      </c>
      <c r="I396" s="105" t="s">
        <v>1517</v>
      </c>
      <c r="J396" s="138" t="s">
        <v>85</v>
      </c>
      <c r="K396" s="165" t="s">
        <v>687</v>
      </c>
      <c r="L396" s="166"/>
      <c r="M396" s="138"/>
      <c r="N396" s="138" t="s">
        <v>1521</v>
      </c>
      <c r="O396" s="109" t="s">
        <v>732</v>
      </c>
      <c r="P396" s="151" t="s">
        <v>1518</v>
      </c>
      <c r="Q396" s="151" t="s">
        <v>1518</v>
      </c>
      <c r="R396" s="81"/>
      <c r="S396" s="81"/>
      <c r="T396" s="81"/>
      <c r="U396" s="81"/>
      <c r="V396" s="81"/>
      <c r="W396" s="81"/>
      <c r="X396" s="81"/>
      <c r="Y396" s="81"/>
      <c r="Z396" s="81"/>
    </row>
    <row r="397" ht="15.75" customHeight="1">
      <c r="A397" s="105" t="s">
        <v>1537</v>
      </c>
      <c r="B397" s="165" t="s">
        <v>46</v>
      </c>
      <c r="C397" s="106" t="s">
        <v>1538</v>
      </c>
      <c r="D397" s="106" t="s">
        <v>83</v>
      </c>
      <c r="E397" s="106" t="s">
        <v>1500</v>
      </c>
      <c r="F397" s="126" t="b">
        <v>1</v>
      </c>
      <c r="G397" s="105" t="s">
        <v>1397</v>
      </c>
      <c r="H397" s="105" t="s">
        <v>1397</v>
      </c>
      <c r="I397" s="105" t="s">
        <v>1517</v>
      </c>
      <c r="J397" s="138" t="s">
        <v>85</v>
      </c>
      <c r="K397" s="165" t="s">
        <v>687</v>
      </c>
      <c r="L397" s="166"/>
      <c r="M397" s="135"/>
      <c r="N397" s="138" t="s">
        <v>1521</v>
      </c>
      <c r="O397" s="109" t="s">
        <v>732</v>
      </c>
      <c r="P397" s="151" t="s">
        <v>1518</v>
      </c>
      <c r="Q397" s="151" t="s">
        <v>1518</v>
      </c>
      <c r="R397" s="81"/>
      <c r="S397" s="81"/>
      <c r="T397" s="81"/>
      <c r="U397" s="81"/>
      <c r="V397" s="81"/>
      <c r="W397" s="81"/>
      <c r="X397" s="81"/>
      <c r="Y397" s="81"/>
      <c r="Z397" s="81"/>
    </row>
    <row r="398" ht="15.75" customHeight="1">
      <c r="A398" s="105" t="s">
        <v>1539</v>
      </c>
      <c r="B398" s="165" t="s">
        <v>46</v>
      </c>
      <c r="C398" s="106" t="s">
        <v>1540</v>
      </c>
      <c r="D398" s="106" t="s">
        <v>83</v>
      </c>
      <c r="E398" s="106" t="s">
        <v>1313</v>
      </c>
      <c r="F398" s="126" t="s">
        <v>977</v>
      </c>
      <c r="G398" s="105" t="s">
        <v>1397</v>
      </c>
      <c r="H398" s="105" t="s">
        <v>1397</v>
      </c>
      <c r="I398" s="105" t="s">
        <v>1517</v>
      </c>
      <c r="J398" s="138" t="s">
        <v>85</v>
      </c>
      <c r="K398" s="165" t="s">
        <v>687</v>
      </c>
      <c r="L398" s="166"/>
      <c r="M398" s="135"/>
      <c r="N398" s="106" t="s">
        <v>1521</v>
      </c>
      <c r="O398" s="109" t="s">
        <v>732</v>
      </c>
      <c r="P398" s="151" t="s">
        <v>1518</v>
      </c>
      <c r="Q398" s="151" t="s">
        <v>1518</v>
      </c>
      <c r="R398" s="81"/>
      <c r="S398" s="81"/>
      <c r="T398" s="81"/>
      <c r="U398" s="81"/>
      <c r="V398" s="81"/>
      <c r="W398" s="81"/>
      <c r="X398" s="81"/>
      <c r="Y398" s="81"/>
      <c r="Z398" s="81"/>
    </row>
    <row r="399" ht="15.75" customHeight="1">
      <c r="A399" s="105" t="s">
        <v>1541</v>
      </c>
      <c r="B399" s="165" t="s">
        <v>46</v>
      </c>
      <c r="C399" s="106" t="s">
        <v>1542</v>
      </c>
      <c r="D399" s="106" t="s">
        <v>83</v>
      </c>
      <c r="E399" s="106" t="s">
        <v>1313</v>
      </c>
      <c r="F399" s="126" t="s">
        <v>977</v>
      </c>
      <c r="G399" s="105" t="s">
        <v>1397</v>
      </c>
      <c r="H399" s="105" t="s">
        <v>1397</v>
      </c>
      <c r="I399" s="105" t="s">
        <v>1517</v>
      </c>
      <c r="J399" s="138" t="s">
        <v>85</v>
      </c>
      <c r="K399" s="165" t="s">
        <v>687</v>
      </c>
      <c r="L399" s="166"/>
      <c r="M399" s="135"/>
      <c r="N399" s="106" t="s">
        <v>1521</v>
      </c>
      <c r="O399" s="109" t="s">
        <v>732</v>
      </c>
      <c r="P399" s="151" t="s">
        <v>1518</v>
      </c>
      <c r="Q399" s="151" t="s">
        <v>1518</v>
      </c>
      <c r="R399" s="81"/>
      <c r="S399" s="81"/>
      <c r="T399" s="81"/>
      <c r="U399" s="81"/>
      <c r="V399" s="81"/>
      <c r="W399" s="81"/>
      <c r="X399" s="81"/>
      <c r="Y399" s="81"/>
      <c r="Z399" s="81"/>
    </row>
    <row r="400" ht="15.75" customHeight="1">
      <c r="A400" s="105" t="s">
        <v>1543</v>
      </c>
      <c r="B400" s="165" t="s">
        <v>46</v>
      </c>
      <c r="C400" s="106" t="s">
        <v>1544</v>
      </c>
      <c r="D400" s="106" t="s">
        <v>83</v>
      </c>
      <c r="E400" s="106" t="s">
        <v>1500</v>
      </c>
      <c r="F400" s="126" t="b">
        <v>1</v>
      </c>
      <c r="G400" s="105" t="s">
        <v>1397</v>
      </c>
      <c r="H400" s="105" t="s">
        <v>1397</v>
      </c>
      <c r="I400" s="105" t="s">
        <v>1517</v>
      </c>
      <c r="J400" s="138" t="s">
        <v>85</v>
      </c>
      <c r="K400" s="165" t="s">
        <v>687</v>
      </c>
      <c r="L400" s="166"/>
      <c r="M400" s="135"/>
      <c r="N400" s="106" t="s">
        <v>1521</v>
      </c>
      <c r="O400" s="109" t="s">
        <v>732</v>
      </c>
      <c r="P400" s="151" t="s">
        <v>1518</v>
      </c>
      <c r="Q400" s="151" t="s">
        <v>1518</v>
      </c>
      <c r="R400" s="81"/>
      <c r="S400" s="81"/>
      <c r="T400" s="81"/>
      <c r="U400" s="81"/>
      <c r="V400" s="81"/>
      <c r="W400" s="81"/>
      <c r="X400" s="81"/>
      <c r="Y400" s="81"/>
      <c r="Z400" s="81"/>
    </row>
    <row r="401" ht="15.75" customHeight="1">
      <c r="A401" s="105" t="s">
        <v>1545</v>
      </c>
      <c r="B401" s="165" t="s">
        <v>46</v>
      </c>
      <c r="C401" s="106" t="s">
        <v>1546</v>
      </c>
      <c r="D401" s="106" t="s">
        <v>83</v>
      </c>
      <c r="E401" s="106" t="s">
        <v>1500</v>
      </c>
      <c r="F401" s="126" t="b">
        <v>1</v>
      </c>
      <c r="G401" s="105" t="s">
        <v>1397</v>
      </c>
      <c r="H401" s="105" t="s">
        <v>1397</v>
      </c>
      <c r="I401" s="105" t="s">
        <v>1517</v>
      </c>
      <c r="J401" s="138" t="s">
        <v>85</v>
      </c>
      <c r="K401" s="165" t="s">
        <v>687</v>
      </c>
      <c r="L401" s="166"/>
      <c r="M401" s="135"/>
      <c r="N401" s="106" t="s">
        <v>1521</v>
      </c>
      <c r="O401" s="109" t="s">
        <v>732</v>
      </c>
      <c r="P401" s="151" t="s">
        <v>1518</v>
      </c>
      <c r="Q401" s="151" t="s">
        <v>1518</v>
      </c>
      <c r="R401" s="81"/>
      <c r="S401" s="81"/>
      <c r="T401" s="81"/>
      <c r="U401" s="81"/>
      <c r="V401" s="81"/>
      <c r="W401" s="81"/>
      <c r="X401" s="81"/>
      <c r="Y401" s="81"/>
      <c r="Z401" s="81"/>
    </row>
    <row r="402" ht="15.75" customHeight="1">
      <c r="A402" s="105" t="s">
        <v>1547</v>
      </c>
      <c r="B402" s="165" t="s">
        <v>46</v>
      </c>
      <c r="C402" s="106" t="s">
        <v>1548</v>
      </c>
      <c r="D402" s="106" t="s">
        <v>83</v>
      </c>
      <c r="E402" s="106" t="s">
        <v>1500</v>
      </c>
      <c r="F402" s="126" t="b">
        <v>1</v>
      </c>
      <c r="G402" s="105" t="s">
        <v>1397</v>
      </c>
      <c r="H402" s="105" t="s">
        <v>1397</v>
      </c>
      <c r="I402" s="105" t="s">
        <v>1517</v>
      </c>
      <c r="J402" s="138" t="s">
        <v>85</v>
      </c>
      <c r="K402" s="165" t="s">
        <v>687</v>
      </c>
      <c r="L402" s="166"/>
      <c r="M402" s="135"/>
      <c r="N402" s="106" t="s">
        <v>1521</v>
      </c>
      <c r="O402" s="109" t="s">
        <v>732</v>
      </c>
      <c r="P402" s="151" t="s">
        <v>1518</v>
      </c>
      <c r="Q402" s="151" t="s">
        <v>1518</v>
      </c>
      <c r="R402" s="81"/>
      <c r="S402" s="81"/>
      <c r="T402" s="81"/>
      <c r="U402" s="81"/>
      <c r="V402" s="81"/>
      <c r="W402" s="81"/>
      <c r="X402" s="81"/>
      <c r="Y402" s="81"/>
      <c r="Z402" s="81"/>
    </row>
    <row r="403" ht="15.75" customHeight="1">
      <c r="A403" s="105" t="s">
        <v>1549</v>
      </c>
      <c r="B403" s="165" t="s">
        <v>46</v>
      </c>
      <c r="C403" s="106" t="s">
        <v>1550</v>
      </c>
      <c r="D403" s="106" t="s">
        <v>83</v>
      </c>
      <c r="E403" s="106" t="s">
        <v>1500</v>
      </c>
      <c r="F403" s="126" t="b">
        <v>1</v>
      </c>
      <c r="G403" s="105" t="s">
        <v>1397</v>
      </c>
      <c r="H403" s="105" t="s">
        <v>1397</v>
      </c>
      <c r="I403" s="105" t="s">
        <v>1517</v>
      </c>
      <c r="J403" s="138" t="s">
        <v>85</v>
      </c>
      <c r="K403" s="165" t="s">
        <v>687</v>
      </c>
      <c r="L403" s="166"/>
      <c r="M403" s="135"/>
      <c r="N403" s="106" t="s">
        <v>1551</v>
      </c>
      <c r="O403" s="109" t="s">
        <v>732</v>
      </c>
      <c r="P403" s="151" t="s">
        <v>1518</v>
      </c>
      <c r="Q403" s="151" t="s">
        <v>1518</v>
      </c>
      <c r="R403" s="81"/>
      <c r="S403" s="81"/>
      <c r="T403" s="81"/>
      <c r="U403" s="81"/>
      <c r="V403" s="81"/>
      <c r="W403" s="81"/>
      <c r="X403" s="81"/>
      <c r="Y403" s="81"/>
      <c r="Z403" s="81"/>
    </row>
    <row r="404" ht="15.75" customHeight="1">
      <c r="A404" s="105" t="s">
        <v>1552</v>
      </c>
      <c r="B404" s="165" t="s">
        <v>197</v>
      </c>
      <c r="C404" s="106" t="s">
        <v>1553</v>
      </c>
      <c r="D404" s="106" t="s">
        <v>83</v>
      </c>
      <c r="E404" s="106" t="s">
        <v>1466</v>
      </c>
      <c r="F404" s="126">
        <v>45623.75</v>
      </c>
      <c r="G404" s="105" t="s">
        <v>1397</v>
      </c>
      <c r="H404" s="105" t="s">
        <v>1397</v>
      </c>
      <c r="I404" s="105" t="s">
        <v>1517</v>
      </c>
      <c r="J404" s="138" t="s">
        <v>85</v>
      </c>
      <c r="K404" s="165" t="s">
        <v>687</v>
      </c>
      <c r="L404" s="166"/>
      <c r="M404" s="135"/>
      <c r="N404" s="106" t="s">
        <v>1521</v>
      </c>
      <c r="O404" s="109" t="s">
        <v>732</v>
      </c>
      <c r="P404" s="151" t="s">
        <v>1518</v>
      </c>
      <c r="Q404" s="151" t="s">
        <v>1518</v>
      </c>
      <c r="R404" s="81"/>
      <c r="S404" s="81"/>
      <c r="T404" s="81"/>
      <c r="U404" s="81"/>
      <c r="V404" s="81"/>
      <c r="W404" s="81"/>
      <c r="X404" s="81"/>
      <c r="Y404" s="81"/>
      <c r="Z404" s="81"/>
    </row>
    <row r="405" ht="15.75" customHeight="1">
      <c r="A405" s="105" t="s">
        <v>1554</v>
      </c>
      <c r="B405" s="165" t="s">
        <v>696</v>
      </c>
      <c r="C405" s="106" t="s">
        <v>1555</v>
      </c>
      <c r="D405" s="106" t="s">
        <v>185</v>
      </c>
      <c r="E405" s="106" t="s">
        <v>1313</v>
      </c>
      <c r="F405" s="126" t="s">
        <v>1556</v>
      </c>
      <c r="G405" s="105" t="s">
        <v>1389</v>
      </c>
      <c r="H405" s="105" t="s">
        <v>1389</v>
      </c>
      <c r="I405" s="105" t="s">
        <v>723</v>
      </c>
      <c r="J405" s="138" t="s">
        <v>85</v>
      </c>
      <c r="K405" s="165" t="s">
        <v>687</v>
      </c>
      <c r="L405" s="138"/>
      <c r="M405" s="135"/>
      <c r="N405" s="138" t="s">
        <v>1401</v>
      </c>
      <c r="O405" s="109" t="s">
        <v>1557</v>
      </c>
      <c r="P405" s="151" t="s">
        <v>744</v>
      </c>
      <c r="Q405" s="151" t="s">
        <v>744</v>
      </c>
      <c r="R405" s="81"/>
      <c r="S405" s="81"/>
      <c r="T405" s="81"/>
      <c r="U405" s="81"/>
      <c r="V405" s="81"/>
      <c r="W405" s="81"/>
      <c r="X405" s="81"/>
      <c r="Y405" s="81"/>
      <c r="Z405" s="81"/>
    </row>
    <row r="406" ht="15.75" customHeight="1">
      <c r="A406" s="105" t="s">
        <v>118</v>
      </c>
      <c r="B406" s="165" t="s">
        <v>696</v>
      </c>
      <c r="C406" s="106" t="s">
        <v>1558</v>
      </c>
      <c r="D406" s="106" t="s">
        <v>83</v>
      </c>
      <c r="E406" s="106" t="s">
        <v>698</v>
      </c>
      <c r="F406" s="126">
        <v>42217.33333</v>
      </c>
      <c r="G406" s="105" t="s">
        <v>1559</v>
      </c>
      <c r="H406" s="105" t="s">
        <v>1559</v>
      </c>
      <c r="I406" s="105" t="s">
        <v>723</v>
      </c>
      <c r="J406" s="138" t="s">
        <v>85</v>
      </c>
      <c r="K406" s="165" t="s">
        <v>687</v>
      </c>
      <c r="L406" s="138"/>
      <c r="M406" s="135"/>
      <c r="N406" s="106" t="s">
        <v>1560</v>
      </c>
      <c r="O406" s="106" t="s">
        <v>1561</v>
      </c>
      <c r="P406" s="151" t="s">
        <v>691</v>
      </c>
      <c r="Q406" s="151" t="s">
        <v>691</v>
      </c>
      <c r="R406" s="81"/>
      <c r="S406" s="81"/>
      <c r="T406" s="81"/>
      <c r="U406" s="81"/>
      <c r="V406" s="81"/>
      <c r="W406" s="81"/>
      <c r="X406" s="81"/>
      <c r="Y406" s="81"/>
      <c r="Z406" s="81"/>
    </row>
    <row r="407" ht="15.75" customHeight="1">
      <c r="A407" s="105" t="s">
        <v>1562</v>
      </c>
      <c r="B407" s="165" t="s">
        <v>60</v>
      </c>
      <c r="C407" s="106" t="s">
        <v>1563</v>
      </c>
      <c r="D407" s="106" t="s">
        <v>185</v>
      </c>
      <c r="E407" s="106" t="s">
        <v>1564</v>
      </c>
      <c r="F407" s="126">
        <v>15.0</v>
      </c>
      <c r="G407" s="105" t="s">
        <v>1346</v>
      </c>
      <c r="H407" s="105" t="s">
        <v>1346</v>
      </c>
      <c r="I407" s="105" t="s">
        <v>1346</v>
      </c>
      <c r="J407" s="138" t="s">
        <v>85</v>
      </c>
      <c r="K407" s="165" t="s">
        <v>687</v>
      </c>
      <c r="L407" s="138"/>
      <c r="M407" s="135"/>
      <c r="N407" s="106" t="s">
        <v>1565</v>
      </c>
      <c r="O407" s="106" t="s">
        <v>1566</v>
      </c>
      <c r="P407" s="151" t="s">
        <v>691</v>
      </c>
      <c r="Q407" s="151" t="s">
        <v>691</v>
      </c>
      <c r="R407" s="81"/>
      <c r="S407" s="81"/>
      <c r="T407" s="81"/>
      <c r="U407" s="81"/>
      <c r="V407" s="81"/>
      <c r="W407" s="81"/>
      <c r="X407" s="81"/>
      <c r="Y407" s="81"/>
      <c r="Z407" s="81"/>
    </row>
    <row r="408" ht="15.75" customHeight="1">
      <c r="A408" s="105" t="s">
        <v>1567</v>
      </c>
      <c r="B408" s="165" t="s">
        <v>197</v>
      </c>
      <c r="C408" s="106" t="s">
        <v>1568</v>
      </c>
      <c r="D408" s="106" t="s">
        <v>185</v>
      </c>
      <c r="E408" s="106" t="s">
        <v>1500</v>
      </c>
      <c r="F408" s="126" t="b">
        <v>1</v>
      </c>
      <c r="G408" s="105" t="s">
        <v>1389</v>
      </c>
      <c r="H408" s="105" t="s">
        <v>1389</v>
      </c>
      <c r="I408" s="105" t="s">
        <v>1389</v>
      </c>
      <c r="J408" s="138" t="s">
        <v>85</v>
      </c>
      <c r="K408" s="165" t="s">
        <v>687</v>
      </c>
      <c r="L408" s="138"/>
      <c r="M408" s="135"/>
      <c r="N408" s="106" t="s">
        <v>1569</v>
      </c>
      <c r="O408" s="109" t="s">
        <v>1557</v>
      </c>
      <c r="P408" s="151" t="s">
        <v>691</v>
      </c>
      <c r="Q408" s="151" t="s">
        <v>691</v>
      </c>
      <c r="R408" s="81"/>
      <c r="S408" s="81"/>
      <c r="T408" s="81"/>
      <c r="U408" s="81"/>
      <c r="V408" s="81"/>
      <c r="W408" s="81"/>
      <c r="X408" s="81"/>
      <c r="Y408" s="81"/>
      <c r="Z408" s="81"/>
    </row>
    <row r="409" ht="15.75" customHeight="1">
      <c r="A409" s="105" t="s">
        <v>1570</v>
      </c>
      <c r="B409" s="165" t="s">
        <v>696</v>
      </c>
      <c r="C409" s="106" t="s">
        <v>1571</v>
      </c>
      <c r="D409" s="106" t="s">
        <v>83</v>
      </c>
      <c r="E409" s="106" t="s">
        <v>1313</v>
      </c>
      <c r="F409" s="126" t="s">
        <v>1572</v>
      </c>
      <c r="G409" s="105" t="s">
        <v>1389</v>
      </c>
      <c r="H409" s="105" t="s">
        <v>1389</v>
      </c>
      <c r="I409" s="105" t="s">
        <v>1389</v>
      </c>
      <c r="J409" s="138" t="s">
        <v>85</v>
      </c>
      <c r="K409" s="165" t="s">
        <v>687</v>
      </c>
      <c r="L409" s="138"/>
      <c r="M409" s="135"/>
      <c r="N409" s="138" t="s">
        <v>1401</v>
      </c>
      <c r="O409" s="109" t="s">
        <v>736</v>
      </c>
      <c r="P409" s="151" t="s">
        <v>744</v>
      </c>
      <c r="Q409" s="151" t="s">
        <v>744</v>
      </c>
      <c r="R409" s="81"/>
      <c r="S409" s="81"/>
      <c r="T409" s="81"/>
      <c r="U409" s="81"/>
      <c r="V409" s="81"/>
      <c r="W409" s="81"/>
      <c r="X409" s="81"/>
      <c r="Y409" s="81"/>
      <c r="Z409" s="81"/>
    </row>
    <row r="410" ht="15.75" customHeight="1">
      <c r="A410" s="105" t="s">
        <v>1573</v>
      </c>
      <c r="B410" s="165" t="s">
        <v>44</v>
      </c>
      <c r="C410" s="106" t="s">
        <v>444</v>
      </c>
      <c r="D410" s="106" t="s">
        <v>83</v>
      </c>
      <c r="E410" s="106" t="s">
        <v>1313</v>
      </c>
      <c r="F410" s="126">
        <v>5.15020211768155E14</v>
      </c>
      <c r="G410" s="105" t="s">
        <v>1389</v>
      </c>
      <c r="H410" s="105" t="s">
        <v>1389</v>
      </c>
      <c r="I410" s="105" t="s">
        <v>1389</v>
      </c>
      <c r="J410" s="138" t="s">
        <v>85</v>
      </c>
      <c r="K410" s="165" t="s">
        <v>687</v>
      </c>
      <c r="L410" s="138"/>
      <c r="M410" s="135"/>
      <c r="N410" s="138" t="s">
        <v>1401</v>
      </c>
      <c r="O410" s="109" t="s">
        <v>736</v>
      </c>
      <c r="P410" s="151" t="s">
        <v>744</v>
      </c>
      <c r="Q410" s="151" t="s">
        <v>744</v>
      </c>
      <c r="R410" s="81"/>
      <c r="S410" s="81"/>
      <c r="T410" s="81"/>
      <c r="U410" s="81"/>
      <c r="V410" s="81"/>
      <c r="W410" s="81"/>
      <c r="X410" s="81"/>
      <c r="Y410" s="81"/>
      <c r="Z410" s="81"/>
    </row>
    <row r="411" ht="15.75" customHeight="1">
      <c r="A411" s="105" t="s">
        <v>1574</v>
      </c>
      <c r="B411" s="165" t="s">
        <v>44</v>
      </c>
      <c r="C411" s="106" t="s">
        <v>1575</v>
      </c>
      <c r="D411" s="106" t="s">
        <v>83</v>
      </c>
      <c r="E411" s="106" t="s">
        <v>1313</v>
      </c>
      <c r="F411" s="126" t="s">
        <v>1576</v>
      </c>
      <c r="G411" s="105" t="s">
        <v>1389</v>
      </c>
      <c r="H411" s="105" t="s">
        <v>1389</v>
      </c>
      <c r="I411" s="105" t="s">
        <v>1389</v>
      </c>
      <c r="J411" s="138" t="s">
        <v>85</v>
      </c>
      <c r="K411" s="165" t="s">
        <v>687</v>
      </c>
      <c r="L411" s="138"/>
      <c r="M411" s="135"/>
      <c r="N411" s="138" t="s">
        <v>1401</v>
      </c>
      <c r="O411" s="109" t="s">
        <v>736</v>
      </c>
      <c r="P411" s="151" t="s">
        <v>744</v>
      </c>
      <c r="Q411" s="151" t="s">
        <v>744</v>
      </c>
      <c r="R411" s="81"/>
      <c r="S411" s="81"/>
      <c r="T411" s="81"/>
      <c r="U411" s="81"/>
      <c r="V411" s="81"/>
      <c r="W411" s="81"/>
      <c r="X411" s="81"/>
      <c r="Y411" s="81"/>
      <c r="Z411" s="81"/>
    </row>
    <row r="412" ht="15.75" customHeight="1">
      <c r="A412" s="105" t="s">
        <v>1577</v>
      </c>
      <c r="B412" s="165" t="s">
        <v>44</v>
      </c>
      <c r="C412" s="106" t="s">
        <v>1578</v>
      </c>
      <c r="D412" s="106" t="s">
        <v>83</v>
      </c>
      <c r="E412" s="106" t="s">
        <v>1313</v>
      </c>
      <c r="F412" s="126" t="s">
        <v>1579</v>
      </c>
      <c r="G412" s="105" t="s">
        <v>1389</v>
      </c>
      <c r="H412" s="105" t="s">
        <v>1389</v>
      </c>
      <c r="I412" s="105" t="s">
        <v>1389</v>
      </c>
      <c r="J412" s="138" t="s">
        <v>85</v>
      </c>
      <c r="K412" s="165" t="s">
        <v>687</v>
      </c>
      <c r="L412" s="138"/>
      <c r="M412" s="135"/>
      <c r="N412" s="138" t="s">
        <v>1401</v>
      </c>
      <c r="O412" s="109" t="s">
        <v>736</v>
      </c>
      <c r="P412" s="151" t="s">
        <v>744</v>
      </c>
      <c r="Q412" s="151" t="s">
        <v>744</v>
      </c>
      <c r="R412" s="81"/>
      <c r="S412" s="81"/>
      <c r="T412" s="81"/>
      <c r="U412" s="81"/>
      <c r="V412" s="81"/>
      <c r="W412" s="81"/>
      <c r="X412" s="81"/>
      <c r="Y412" s="81"/>
      <c r="Z412" s="81"/>
    </row>
    <row r="413" ht="15.75" customHeight="1">
      <c r="A413" s="105" t="s">
        <v>1580</v>
      </c>
      <c r="B413" s="165" t="s">
        <v>44</v>
      </c>
      <c r="C413" s="106" t="s">
        <v>1581</v>
      </c>
      <c r="D413" s="106" t="s">
        <v>83</v>
      </c>
      <c r="E413" s="106" t="s">
        <v>1313</v>
      </c>
      <c r="F413" s="126" t="s">
        <v>1582</v>
      </c>
      <c r="G413" s="105" t="s">
        <v>1389</v>
      </c>
      <c r="H413" s="105" t="s">
        <v>1389</v>
      </c>
      <c r="I413" s="105" t="s">
        <v>1389</v>
      </c>
      <c r="J413" s="138" t="s">
        <v>85</v>
      </c>
      <c r="K413" s="165" t="s">
        <v>687</v>
      </c>
      <c r="L413" s="138"/>
      <c r="M413" s="135"/>
      <c r="N413" s="138" t="s">
        <v>1401</v>
      </c>
      <c r="O413" s="109" t="s">
        <v>736</v>
      </c>
      <c r="P413" s="151" t="s">
        <v>744</v>
      </c>
      <c r="Q413" s="151" t="s">
        <v>744</v>
      </c>
      <c r="R413" s="81"/>
      <c r="S413" s="81"/>
      <c r="T413" s="81"/>
      <c r="U413" s="81"/>
      <c r="V413" s="81"/>
      <c r="W413" s="81"/>
      <c r="X413" s="81"/>
      <c r="Y413" s="81"/>
      <c r="Z413" s="81"/>
    </row>
    <row r="414" ht="15.75" customHeight="1">
      <c r="A414" s="105" t="s">
        <v>1583</v>
      </c>
      <c r="B414" s="165" t="s">
        <v>44</v>
      </c>
      <c r="C414" s="106" t="s">
        <v>1584</v>
      </c>
      <c r="D414" s="106" t="s">
        <v>83</v>
      </c>
      <c r="E414" s="106" t="s">
        <v>1313</v>
      </c>
      <c r="F414" s="126" t="s">
        <v>1585</v>
      </c>
      <c r="G414" s="105" t="s">
        <v>1389</v>
      </c>
      <c r="H414" s="105" t="s">
        <v>1389</v>
      </c>
      <c r="I414" s="105" t="s">
        <v>1389</v>
      </c>
      <c r="J414" s="138" t="s">
        <v>85</v>
      </c>
      <c r="K414" s="165" t="s">
        <v>687</v>
      </c>
      <c r="L414" s="138"/>
      <c r="M414" s="135"/>
      <c r="N414" s="138" t="s">
        <v>1401</v>
      </c>
      <c r="O414" s="109" t="s">
        <v>736</v>
      </c>
      <c r="P414" s="151" t="s">
        <v>744</v>
      </c>
      <c r="Q414" s="151" t="s">
        <v>744</v>
      </c>
      <c r="R414" s="81"/>
      <c r="S414" s="81"/>
      <c r="T414" s="81"/>
      <c r="U414" s="81"/>
      <c r="V414" s="81"/>
      <c r="W414" s="81"/>
      <c r="X414" s="81"/>
      <c r="Y414" s="81"/>
      <c r="Z414" s="81"/>
    </row>
    <row r="415" ht="15.75" customHeight="1">
      <c r="A415" s="105" t="s">
        <v>1586</v>
      </c>
      <c r="B415" s="165" t="s">
        <v>44</v>
      </c>
      <c r="C415" s="106" t="s">
        <v>1587</v>
      </c>
      <c r="D415" s="106" t="s">
        <v>83</v>
      </c>
      <c r="E415" s="106" t="s">
        <v>1313</v>
      </c>
      <c r="F415" s="126">
        <v>1200.0</v>
      </c>
      <c r="G415" s="105" t="s">
        <v>1389</v>
      </c>
      <c r="H415" s="105" t="s">
        <v>1389</v>
      </c>
      <c r="I415" s="105" t="s">
        <v>1389</v>
      </c>
      <c r="J415" s="138" t="s">
        <v>85</v>
      </c>
      <c r="K415" s="165" t="s">
        <v>687</v>
      </c>
      <c r="L415" s="138"/>
      <c r="M415" s="135"/>
      <c r="N415" s="138" t="s">
        <v>1401</v>
      </c>
      <c r="O415" s="109" t="s">
        <v>736</v>
      </c>
      <c r="P415" s="151" t="s">
        <v>744</v>
      </c>
      <c r="Q415" s="151" t="s">
        <v>744</v>
      </c>
      <c r="R415" s="81"/>
      <c r="S415" s="81"/>
      <c r="T415" s="81"/>
      <c r="U415" s="81"/>
      <c r="V415" s="81"/>
      <c r="W415" s="81"/>
      <c r="X415" s="81"/>
      <c r="Y415" s="81"/>
      <c r="Z415" s="81"/>
    </row>
    <row r="416" ht="15.75" customHeight="1">
      <c r="A416" s="105" t="s">
        <v>1588</v>
      </c>
      <c r="B416" s="165" t="s">
        <v>44</v>
      </c>
      <c r="C416" s="106" t="s">
        <v>1589</v>
      </c>
      <c r="D416" s="106" t="s">
        <v>83</v>
      </c>
      <c r="E416" s="106" t="s">
        <v>1313</v>
      </c>
      <c r="F416" s="126" t="s">
        <v>1590</v>
      </c>
      <c r="G416" s="105" t="s">
        <v>1389</v>
      </c>
      <c r="H416" s="105" t="s">
        <v>1389</v>
      </c>
      <c r="I416" s="105" t="s">
        <v>1389</v>
      </c>
      <c r="J416" s="138" t="s">
        <v>85</v>
      </c>
      <c r="K416" s="165" t="s">
        <v>687</v>
      </c>
      <c r="L416" s="138"/>
      <c r="M416" s="135"/>
      <c r="N416" s="138" t="s">
        <v>1401</v>
      </c>
      <c r="O416" s="109" t="s">
        <v>736</v>
      </c>
      <c r="P416" s="151" t="s">
        <v>744</v>
      </c>
      <c r="Q416" s="151" t="s">
        <v>744</v>
      </c>
      <c r="R416" s="81"/>
      <c r="S416" s="81"/>
      <c r="T416" s="81"/>
      <c r="U416" s="81"/>
      <c r="V416" s="81"/>
      <c r="W416" s="81"/>
      <c r="X416" s="81"/>
      <c r="Y416" s="81"/>
      <c r="Z416" s="81"/>
    </row>
    <row r="417" ht="15.75" customHeight="1">
      <c r="A417" s="105" t="s">
        <v>1591</v>
      </c>
      <c r="B417" s="165" t="s">
        <v>44</v>
      </c>
      <c r="C417" s="106" t="s">
        <v>1592</v>
      </c>
      <c r="D417" s="106" t="s">
        <v>83</v>
      </c>
      <c r="E417" s="106" t="s">
        <v>1313</v>
      </c>
      <c r="F417" s="126" t="s">
        <v>1593</v>
      </c>
      <c r="G417" s="105" t="s">
        <v>1389</v>
      </c>
      <c r="H417" s="105" t="s">
        <v>1389</v>
      </c>
      <c r="I417" s="105" t="s">
        <v>1389</v>
      </c>
      <c r="J417" s="138" t="s">
        <v>85</v>
      </c>
      <c r="K417" s="165" t="s">
        <v>687</v>
      </c>
      <c r="L417" s="138"/>
      <c r="M417" s="135"/>
      <c r="N417" s="138" t="s">
        <v>1401</v>
      </c>
      <c r="O417" s="109" t="s">
        <v>736</v>
      </c>
      <c r="P417" s="151" t="s">
        <v>744</v>
      </c>
      <c r="Q417" s="151" t="s">
        <v>744</v>
      </c>
      <c r="R417" s="81"/>
      <c r="S417" s="81"/>
      <c r="T417" s="81"/>
      <c r="U417" s="81"/>
      <c r="V417" s="81"/>
      <c r="W417" s="81"/>
      <c r="X417" s="81"/>
      <c r="Y417" s="81"/>
      <c r="Z417" s="81"/>
    </row>
    <row r="418" ht="15.75" customHeight="1">
      <c r="A418" s="105" t="s">
        <v>1594</v>
      </c>
      <c r="B418" s="165" t="s">
        <v>696</v>
      </c>
      <c r="C418" s="106" t="s">
        <v>1595</v>
      </c>
      <c r="D418" s="106" t="s">
        <v>185</v>
      </c>
      <c r="E418" s="106" t="s">
        <v>1313</v>
      </c>
      <c r="F418" s="126" t="s">
        <v>749</v>
      </c>
      <c r="G418" s="105" t="s">
        <v>1389</v>
      </c>
      <c r="H418" s="105" t="s">
        <v>1389</v>
      </c>
      <c r="I418" s="105" t="s">
        <v>1389</v>
      </c>
      <c r="J418" s="138" t="s">
        <v>85</v>
      </c>
      <c r="K418" s="165" t="s">
        <v>687</v>
      </c>
      <c r="L418" s="138"/>
      <c r="M418" s="135"/>
      <c r="N418" s="138" t="s">
        <v>1401</v>
      </c>
      <c r="O418" s="109" t="s">
        <v>736</v>
      </c>
      <c r="P418" s="151" t="s">
        <v>744</v>
      </c>
      <c r="Q418" s="151" t="s">
        <v>744</v>
      </c>
      <c r="R418" s="81"/>
      <c r="S418" s="81"/>
      <c r="T418" s="81"/>
      <c r="U418" s="81"/>
      <c r="V418" s="81"/>
      <c r="W418" s="81"/>
      <c r="X418" s="81"/>
      <c r="Y418" s="81"/>
      <c r="Z418" s="81"/>
    </row>
    <row r="419" ht="15.75" customHeight="1">
      <c r="A419" s="105" t="s">
        <v>1596</v>
      </c>
      <c r="B419" s="165" t="s">
        <v>696</v>
      </c>
      <c r="C419" s="106" t="s">
        <v>1597</v>
      </c>
      <c r="D419" s="106" t="s">
        <v>185</v>
      </c>
      <c r="E419" s="106" t="s">
        <v>1313</v>
      </c>
      <c r="F419" s="126" t="s">
        <v>1598</v>
      </c>
      <c r="G419" s="105" t="s">
        <v>1389</v>
      </c>
      <c r="H419" s="105" t="s">
        <v>1389</v>
      </c>
      <c r="I419" s="105" t="s">
        <v>1389</v>
      </c>
      <c r="J419" s="138" t="s">
        <v>85</v>
      </c>
      <c r="K419" s="165" t="s">
        <v>687</v>
      </c>
      <c r="L419" s="138"/>
      <c r="M419" s="135"/>
      <c r="N419" s="138" t="s">
        <v>1401</v>
      </c>
      <c r="O419" s="109" t="s">
        <v>736</v>
      </c>
      <c r="P419" s="151" t="s">
        <v>744</v>
      </c>
      <c r="Q419" s="151" t="s">
        <v>744</v>
      </c>
      <c r="R419" s="81"/>
      <c r="S419" s="81"/>
      <c r="T419" s="81"/>
      <c r="U419" s="81"/>
      <c r="V419" s="81"/>
      <c r="W419" s="81"/>
      <c r="X419" s="81"/>
      <c r="Y419" s="81"/>
      <c r="Z419" s="81"/>
    </row>
    <row r="420" ht="15.75" customHeight="1">
      <c r="A420" s="105" t="s">
        <v>1599</v>
      </c>
      <c r="B420" s="165" t="s">
        <v>44</v>
      </c>
      <c r="C420" s="106" t="s">
        <v>1600</v>
      </c>
      <c r="D420" s="106" t="s">
        <v>185</v>
      </c>
      <c r="E420" s="106" t="s">
        <v>1313</v>
      </c>
      <c r="F420" s="126">
        <v>9.123456789E9</v>
      </c>
      <c r="G420" s="105" t="s">
        <v>1389</v>
      </c>
      <c r="H420" s="105" t="s">
        <v>1389</v>
      </c>
      <c r="I420" s="105" t="s">
        <v>1389</v>
      </c>
      <c r="J420" s="138" t="s">
        <v>85</v>
      </c>
      <c r="K420" s="165" t="s">
        <v>687</v>
      </c>
      <c r="L420" s="138"/>
      <c r="M420" s="135"/>
      <c r="N420" s="106" t="s">
        <v>1601</v>
      </c>
      <c r="O420" s="106" t="s">
        <v>1602</v>
      </c>
      <c r="P420" s="151" t="s">
        <v>691</v>
      </c>
      <c r="Q420" s="151" t="s">
        <v>691</v>
      </c>
      <c r="R420" s="81"/>
      <c r="S420" s="81"/>
      <c r="T420" s="81"/>
      <c r="U420" s="81"/>
      <c r="V420" s="81"/>
      <c r="W420" s="81"/>
      <c r="X420" s="81"/>
      <c r="Y420" s="81"/>
      <c r="Z420" s="81"/>
    </row>
    <row r="421" ht="15.75" customHeight="1">
      <c r="A421" s="105" t="s">
        <v>1603</v>
      </c>
      <c r="B421" s="165" t="s">
        <v>44</v>
      </c>
      <c r="C421" s="106" t="s">
        <v>1604</v>
      </c>
      <c r="D421" s="106" t="s">
        <v>83</v>
      </c>
      <c r="E421" s="106" t="s">
        <v>1313</v>
      </c>
      <c r="F421" s="126">
        <v>9.123456789E9</v>
      </c>
      <c r="G421" s="105" t="s">
        <v>1389</v>
      </c>
      <c r="H421" s="105" t="s">
        <v>1389</v>
      </c>
      <c r="I421" s="105" t="s">
        <v>1389</v>
      </c>
      <c r="J421" s="138" t="s">
        <v>85</v>
      </c>
      <c r="K421" s="165" t="s">
        <v>687</v>
      </c>
      <c r="L421" s="138"/>
      <c r="M421" s="135"/>
      <c r="N421" s="106" t="s">
        <v>1601</v>
      </c>
      <c r="O421" s="106" t="s">
        <v>1605</v>
      </c>
      <c r="P421" s="151" t="s">
        <v>691</v>
      </c>
      <c r="Q421" s="151" t="s">
        <v>691</v>
      </c>
      <c r="R421" s="81"/>
      <c r="S421" s="81"/>
      <c r="T421" s="81"/>
      <c r="U421" s="81"/>
      <c r="V421" s="81"/>
      <c r="W421" s="81"/>
      <c r="X421" s="81"/>
      <c r="Y421" s="81"/>
      <c r="Z421" s="81"/>
    </row>
    <row r="422" ht="15.75" customHeight="1">
      <c r="A422" s="105" t="s">
        <v>1606</v>
      </c>
      <c r="B422" s="165" t="s">
        <v>197</v>
      </c>
      <c r="C422" s="106" t="s">
        <v>1607</v>
      </c>
      <c r="D422" s="106" t="s">
        <v>83</v>
      </c>
      <c r="E422" s="106" t="s">
        <v>1500</v>
      </c>
      <c r="F422" s="126" t="b">
        <v>1</v>
      </c>
      <c r="G422" s="105" t="s">
        <v>1397</v>
      </c>
      <c r="H422" s="105" t="s">
        <v>1397</v>
      </c>
      <c r="I422" s="105" t="s">
        <v>1517</v>
      </c>
      <c r="J422" s="138" t="s">
        <v>85</v>
      </c>
      <c r="K422" s="165" t="s">
        <v>687</v>
      </c>
      <c r="L422" s="138"/>
      <c r="M422" s="135"/>
      <c r="N422" s="106" t="s">
        <v>1608</v>
      </c>
      <c r="O422" s="109" t="s">
        <v>1609</v>
      </c>
      <c r="P422" s="151" t="s">
        <v>1518</v>
      </c>
      <c r="Q422" s="151" t="s">
        <v>1518</v>
      </c>
      <c r="R422" s="81"/>
      <c r="S422" s="81"/>
      <c r="T422" s="81"/>
      <c r="U422" s="81"/>
      <c r="V422" s="81"/>
      <c r="W422" s="81"/>
      <c r="X422" s="81"/>
      <c r="Y422" s="81"/>
      <c r="Z422" s="81"/>
    </row>
    <row r="423" ht="15.75" customHeight="1">
      <c r="A423" s="105" t="s">
        <v>1610</v>
      </c>
      <c r="B423" s="165" t="s">
        <v>197</v>
      </c>
      <c r="C423" s="106" t="s">
        <v>1611</v>
      </c>
      <c r="D423" s="106" t="s">
        <v>83</v>
      </c>
      <c r="E423" s="106" t="s">
        <v>1306</v>
      </c>
      <c r="F423" s="126" t="s">
        <v>1612</v>
      </c>
      <c r="G423" s="105" t="s">
        <v>1397</v>
      </c>
      <c r="H423" s="105" t="s">
        <v>1397</v>
      </c>
      <c r="I423" s="105" t="s">
        <v>1517</v>
      </c>
      <c r="J423" s="138" t="s">
        <v>85</v>
      </c>
      <c r="K423" s="165" t="s">
        <v>687</v>
      </c>
      <c r="L423" s="138"/>
      <c r="M423" s="135"/>
      <c r="N423" s="106" t="s">
        <v>1601</v>
      </c>
      <c r="O423" s="106" t="s">
        <v>1613</v>
      </c>
      <c r="P423" s="151" t="s">
        <v>1518</v>
      </c>
      <c r="Q423" s="151" t="s">
        <v>1518</v>
      </c>
      <c r="R423" s="81"/>
      <c r="S423" s="81"/>
      <c r="T423" s="81"/>
      <c r="U423" s="81"/>
      <c r="V423" s="81"/>
      <c r="W423" s="81"/>
      <c r="X423" s="81"/>
      <c r="Y423" s="81"/>
      <c r="Z423" s="81"/>
    </row>
    <row r="424" ht="15.75" customHeight="1">
      <c r="A424" s="105" t="s">
        <v>1614</v>
      </c>
      <c r="B424" s="165" t="s">
        <v>197</v>
      </c>
      <c r="C424" s="106" t="s">
        <v>1615</v>
      </c>
      <c r="D424" s="106" t="s">
        <v>83</v>
      </c>
      <c r="E424" s="106" t="s">
        <v>720</v>
      </c>
      <c r="F424" s="126" t="b">
        <v>1</v>
      </c>
      <c r="G424" s="105" t="s">
        <v>1397</v>
      </c>
      <c r="H424" s="105" t="s">
        <v>1397</v>
      </c>
      <c r="I424" s="105" t="s">
        <v>1517</v>
      </c>
      <c r="J424" s="138" t="s">
        <v>85</v>
      </c>
      <c r="K424" s="165" t="s">
        <v>687</v>
      </c>
      <c r="L424" s="138"/>
      <c r="M424" s="135"/>
      <c r="N424" s="106" t="s">
        <v>1608</v>
      </c>
      <c r="O424" s="109" t="s">
        <v>1616</v>
      </c>
      <c r="P424" s="151" t="s">
        <v>1518</v>
      </c>
      <c r="Q424" s="151" t="s">
        <v>1518</v>
      </c>
      <c r="R424" s="81"/>
      <c r="S424" s="81"/>
      <c r="T424" s="81"/>
      <c r="U424" s="81"/>
      <c r="V424" s="81"/>
      <c r="W424" s="81"/>
      <c r="X424" s="81"/>
      <c r="Y424" s="81"/>
      <c r="Z424" s="81"/>
    </row>
    <row r="425" ht="15.75" customHeight="1">
      <c r="A425" s="105" t="s">
        <v>1617</v>
      </c>
      <c r="B425" s="165" t="s">
        <v>197</v>
      </c>
      <c r="C425" s="106" t="s">
        <v>1618</v>
      </c>
      <c r="D425" s="106" t="s">
        <v>185</v>
      </c>
      <c r="E425" s="106" t="s">
        <v>720</v>
      </c>
      <c r="F425" s="126" t="b">
        <v>1</v>
      </c>
      <c r="G425" s="105" t="s">
        <v>91</v>
      </c>
      <c r="H425" s="105" t="s">
        <v>91</v>
      </c>
      <c r="I425" s="105" t="s">
        <v>91</v>
      </c>
      <c r="J425" s="138" t="s">
        <v>85</v>
      </c>
      <c r="K425" s="165" t="s">
        <v>687</v>
      </c>
      <c r="L425" s="138"/>
      <c r="M425" s="135"/>
      <c r="N425" s="138" t="s">
        <v>1401</v>
      </c>
      <c r="O425" s="109" t="s">
        <v>732</v>
      </c>
      <c r="P425" s="151" t="s">
        <v>721</v>
      </c>
      <c r="Q425" s="151" t="s">
        <v>721</v>
      </c>
      <c r="R425" s="81"/>
      <c r="S425" s="81"/>
      <c r="T425" s="81"/>
      <c r="U425" s="81"/>
      <c r="V425" s="81"/>
      <c r="W425" s="81"/>
      <c r="X425" s="81"/>
      <c r="Y425" s="81"/>
      <c r="Z425" s="81"/>
    </row>
    <row r="426" ht="15.75" customHeight="1">
      <c r="A426" s="105" t="s">
        <v>1619</v>
      </c>
      <c r="B426" s="165" t="s">
        <v>46</v>
      </c>
      <c r="C426" s="106" t="s">
        <v>1620</v>
      </c>
      <c r="D426" s="106" t="s">
        <v>135</v>
      </c>
      <c r="E426" s="106" t="s">
        <v>1306</v>
      </c>
      <c r="F426" s="126" t="s">
        <v>1621</v>
      </c>
      <c r="G426" s="105" t="s">
        <v>1622</v>
      </c>
      <c r="H426" s="105" t="s">
        <v>1622</v>
      </c>
      <c r="I426" s="105" t="s">
        <v>1622</v>
      </c>
      <c r="J426" s="138" t="s">
        <v>85</v>
      </c>
      <c r="K426" s="165" t="s">
        <v>749</v>
      </c>
      <c r="L426" s="138"/>
      <c r="M426" s="135"/>
      <c r="N426" s="106" t="s">
        <v>1623</v>
      </c>
      <c r="O426" s="109" t="s">
        <v>732</v>
      </c>
      <c r="P426" s="151" t="s">
        <v>1518</v>
      </c>
      <c r="Q426" s="151" t="s">
        <v>1518</v>
      </c>
      <c r="R426" s="81"/>
      <c r="S426" s="81"/>
      <c r="T426" s="81"/>
      <c r="U426" s="81"/>
      <c r="V426" s="81"/>
      <c r="W426" s="81"/>
      <c r="X426" s="81"/>
      <c r="Y426" s="81"/>
      <c r="Z426" s="81"/>
    </row>
    <row r="427" ht="15.75" customHeight="1">
      <c r="A427" s="105" t="s">
        <v>1624</v>
      </c>
      <c r="B427" s="165" t="s">
        <v>46</v>
      </c>
      <c r="C427" s="106" t="s">
        <v>1625</v>
      </c>
      <c r="D427" s="106" t="s">
        <v>135</v>
      </c>
      <c r="E427" s="106" t="s">
        <v>1306</v>
      </c>
      <c r="F427" s="126" t="s">
        <v>936</v>
      </c>
      <c r="G427" s="105" t="s">
        <v>1622</v>
      </c>
      <c r="H427" s="105" t="s">
        <v>1622</v>
      </c>
      <c r="I427" s="105" t="s">
        <v>1622</v>
      </c>
      <c r="J427" s="138" t="s">
        <v>85</v>
      </c>
      <c r="K427" s="165" t="s">
        <v>749</v>
      </c>
      <c r="L427" s="138"/>
      <c r="M427" s="135"/>
      <c r="N427" s="106" t="s">
        <v>1623</v>
      </c>
      <c r="O427" s="109" t="s">
        <v>732</v>
      </c>
      <c r="P427" s="151" t="s">
        <v>1518</v>
      </c>
      <c r="Q427" s="151" t="s">
        <v>1518</v>
      </c>
      <c r="R427" s="81"/>
      <c r="S427" s="81"/>
      <c r="T427" s="81"/>
      <c r="U427" s="81"/>
      <c r="V427" s="81"/>
      <c r="W427" s="81"/>
      <c r="X427" s="81"/>
      <c r="Y427" s="81"/>
      <c r="Z427" s="81"/>
    </row>
    <row r="428" ht="15.75" customHeight="1">
      <c r="A428" s="105" t="s">
        <v>1626</v>
      </c>
      <c r="B428" s="165" t="s">
        <v>46</v>
      </c>
      <c r="C428" s="106" t="s">
        <v>1627</v>
      </c>
      <c r="D428" s="106" t="s">
        <v>135</v>
      </c>
      <c r="E428" s="106" t="s">
        <v>1306</v>
      </c>
      <c r="F428" s="126" t="s">
        <v>936</v>
      </c>
      <c r="G428" s="105" t="s">
        <v>1622</v>
      </c>
      <c r="H428" s="105" t="s">
        <v>1622</v>
      </c>
      <c r="I428" s="105" t="s">
        <v>1622</v>
      </c>
      <c r="J428" s="138" t="s">
        <v>85</v>
      </c>
      <c r="K428" s="165" t="s">
        <v>749</v>
      </c>
      <c r="L428" s="138"/>
      <c r="M428" s="135"/>
      <c r="N428" s="106" t="s">
        <v>1623</v>
      </c>
      <c r="O428" s="109" t="s">
        <v>732</v>
      </c>
      <c r="P428" s="151" t="s">
        <v>1518</v>
      </c>
      <c r="Q428" s="151" t="s">
        <v>1518</v>
      </c>
      <c r="R428" s="81"/>
      <c r="S428" s="81"/>
      <c r="T428" s="81"/>
      <c r="U428" s="81"/>
      <c r="V428" s="81"/>
      <c r="W428" s="81"/>
      <c r="X428" s="81"/>
      <c r="Y428" s="81"/>
      <c r="Z428" s="81"/>
    </row>
  </sheetData>
  <autoFilter ref="$A$1:$Q$428"/>
  <customSheetViews>
    <customSheetView guid="{F263A3AC-1237-40A8-82F2-25CFE72B494B}" filter="1" showAutoFilter="1">
      <autoFilter ref="$A$1:$Q$428"/>
    </customSheetView>
    <customSheetView guid="{112B2F37-635A-4F63-81FB-4A2B7385E434}" filter="1" showAutoFilter="1">
      <autoFilter ref="$A$1:$Q$428"/>
    </customSheetView>
    <customSheetView guid="{59C0E738-1DB3-4C16-9509-25842C0188FC}" filter="1" showAutoFilter="1">
      <autoFilter ref="$A$1:$Q$428"/>
    </customSheetView>
    <customSheetView guid="{7114D13A-8790-4B2D-8534-441FDE4A663B}" filter="1" showAutoFilter="1">
      <autoFilter ref="$A$1:$Q$428">
        <filterColumn colId="1">
          <filters>
            <filter val="Demographic"/>
            <filter val="Globe ID"/>
          </filters>
        </filterColumn>
      </autoFilter>
    </customSheetView>
  </customSheetViews>
  <conditionalFormatting sqref="A1:A428">
    <cfRule type="expression" dxfId="0" priority="1">
      <formula>if(countif(A:A,A1)&gt;1,1,0)</formula>
    </cfRule>
  </conditionalFormatting>
  <dataValidations>
    <dataValidation type="list" allowBlank="1" sqref="N2:N294 N297 N320:N321 N323:N325 N328:N331 N362 N370 M371:N371 N372:N374">
      <formula1>Reference!$B$1:$B$13</formula1>
    </dataValidation>
  </dataValidations>
  <hyperlinks>
    <hyperlink r:id="rId2" ref="F347"/>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47.29"/>
    <col customWidth="1" min="2" max="2" width="17.71"/>
    <col customWidth="1" min="3" max="3" width="66.29"/>
    <col customWidth="1" min="4" max="4" width="20.57"/>
    <col customWidth="1" min="5" max="5" width="14.0"/>
    <col customWidth="1" min="6" max="6" width="22.14"/>
    <col customWidth="1" min="7" max="7" width="15.29"/>
    <col customWidth="1" min="8" max="8" width="18.43"/>
    <col customWidth="1" min="9" max="9" width="19.29"/>
    <col customWidth="1" min="10" max="10" width="19.71"/>
    <col customWidth="1" min="11" max="11" width="17.43"/>
    <col customWidth="1" hidden="1" min="12" max="12" width="13.57"/>
    <col customWidth="1" min="13" max="13" width="16.29"/>
    <col customWidth="1" min="14" max="14" width="15.43"/>
    <col customWidth="1" min="15" max="15" width="13.0"/>
    <col customWidth="1" min="16" max="16" width="23.14"/>
    <col customWidth="1" min="17" max="17" width="23.0"/>
  </cols>
  <sheetData>
    <row r="1">
      <c r="A1" s="167" t="s">
        <v>69</v>
      </c>
      <c r="B1" s="167" t="s">
        <v>63</v>
      </c>
      <c r="C1" s="168" t="s">
        <v>71</v>
      </c>
      <c r="D1" s="168" t="s">
        <v>679</v>
      </c>
      <c r="E1" s="167" t="s">
        <v>680</v>
      </c>
      <c r="F1" s="168" t="s">
        <v>73</v>
      </c>
      <c r="G1" s="168" t="s">
        <v>74</v>
      </c>
      <c r="H1" s="168" t="s">
        <v>76</v>
      </c>
      <c r="I1" s="168" t="s">
        <v>77</v>
      </c>
      <c r="J1" s="168" t="s">
        <v>75</v>
      </c>
      <c r="K1" s="167" t="s">
        <v>681</v>
      </c>
      <c r="L1" s="168" t="s">
        <v>682</v>
      </c>
      <c r="M1" s="167" t="s">
        <v>78</v>
      </c>
      <c r="N1" s="168" t="s">
        <v>683</v>
      </c>
      <c r="O1" s="169" t="s">
        <v>36</v>
      </c>
      <c r="P1" s="170" t="s">
        <v>38</v>
      </c>
      <c r="Q1" s="170" t="s">
        <v>40</v>
      </c>
      <c r="R1" s="171"/>
    </row>
    <row r="2">
      <c r="A2" s="172" t="s">
        <v>88</v>
      </c>
      <c r="B2" s="153" t="s">
        <v>696</v>
      </c>
      <c r="C2" s="173" t="s">
        <v>684</v>
      </c>
      <c r="D2" s="174" t="s">
        <v>83</v>
      </c>
      <c r="E2" s="173" t="s">
        <v>1313</v>
      </c>
      <c r="F2" s="174">
        <v>5123.0</v>
      </c>
      <c r="G2" s="172" t="s">
        <v>686</v>
      </c>
      <c r="H2" s="174" t="s">
        <v>91</v>
      </c>
      <c r="I2" s="174" t="s">
        <v>91</v>
      </c>
      <c r="J2" s="174" t="s">
        <v>85</v>
      </c>
      <c r="K2" s="173" t="s">
        <v>687</v>
      </c>
      <c r="L2" s="174" t="s">
        <v>688</v>
      </c>
      <c r="M2" s="175">
        <v>44158.0</v>
      </c>
      <c r="N2" s="173" t="s">
        <v>1314</v>
      </c>
      <c r="O2" s="176" t="s">
        <v>690</v>
      </c>
      <c r="P2" s="174" t="s">
        <v>691</v>
      </c>
      <c r="Q2" s="174" t="s">
        <v>691</v>
      </c>
      <c r="R2" s="177"/>
    </row>
    <row r="3">
      <c r="A3" s="172" t="s">
        <v>79</v>
      </c>
      <c r="B3" s="154" t="s">
        <v>44</v>
      </c>
      <c r="C3" s="173" t="s">
        <v>82</v>
      </c>
      <c r="D3" s="174" t="s">
        <v>185</v>
      </c>
      <c r="E3" s="173" t="s">
        <v>685</v>
      </c>
      <c r="F3" s="173">
        <v>9.123456789E9</v>
      </c>
      <c r="G3" s="174" t="s">
        <v>84</v>
      </c>
      <c r="H3" s="174" t="s">
        <v>91</v>
      </c>
      <c r="I3" s="174" t="s">
        <v>91</v>
      </c>
      <c r="J3" s="174" t="s">
        <v>85</v>
      </c>
      <c r="K3" s="173" t="s">
        <v>687</v>
      </c>
      <c r="L3" s="174" t="s">
        <v>688</v>
      </c>
      <c r="M3" s="178">
        <v>44158.0</v>
      </c>
      <c r="N3" s="173" t="s">
        <v>692</v>
      </c>
      <c r="O3" s="176" t="s">
        <v>690</v>
      </c>
      <c r="P3" s="174" t="s">
        <v>691</v>
      </c>
      <c r="Q3" s="174" t="s">
        <v>691</v>
      </c>
      <c r="R3" s="177"/>
    </row>
    <row r="4">
      <c r="A4" s="172" t="s">
        <v>693</v>
      </c>
      <c r="B4" s="154" t="s">
        <v>44</v>
      </c>
      <c r="C4" s="173" t="s">
        <v>444</v>
      </c>
      <c r="D4" s="174" t="s">
        <v>83</v>
      </c>
      <c r="E4" s="173" t="s">
        <v>694</v>
      </c>
      <c r="F4" s="179" t="s">
        <v>695</v>
      </c>
      <c r="G4" s="180" t="s">
        <v>445</v>
      </c>
      <c r="H4" s="174" t="s">
        <v>91</v>
      </c>
      <c r="I4" s="174" t="s">
        <v>91</v>
      </c>
      <c r="J4" s="174" t="s">
        <v>85</v>
      </c>
      <c r="K4" s="173" t="s">
        <v>687</v>
      </c>
      <c r="L4" s="174" t="s">
        <v>688</v>
      </c>
      <c r="M4" s="178">
        <v>44158.0</v>
      </c>
      <c r="N4" s="173" t="s">
        <v>692</v>
      </c>
      <c r="O4" s="176" t="s">
        <v>690</v>
      </c>
      <c r="P4" s="174" t="s">
        <v>691</v>
      </c>
      <c r="Q4" s="174" t="s">
        <v>691</v>
      </c>
      <c r="R4" s="177"/>
    </row>
    <row r="5">
      <c r="A5" s="172" t="s">
        <v>113</v>
      </c>
      <c r="B5" s="154" t="s">
        <v>696</v>
      </c>
      <c r="C5" s="173" t="s">
        <v>697</v>
      </c>
      <c r="D5" s="174" t="s">
        <v>83</v>
      </c>
      <c r="E5" s="173" t="s">
        <v>698</v>
      </c>
      <c r="F5" s="181">
        <v>43709.0</v>
      </c>
      <c r="G5" s="172" t="s">
        <v>686</v>
      </c>
      <c r="H5" s="174" t="s">
        <v>91</v>
      </c>
      <c r="I5" s="174" t="s">
        <v>91</v>
      </c>
      <c r="J5" s="174" t="s">
        <v>85</v>
      </c>
      <c r="K5" s="173" t="s">
        <v>687</v>
      </c>
      <c r="L5" s="174" t="s">
        <v>688</v>
      </c>
      <c r="M5" s="178">
        <v>44158.0</v>
      </c>
      <c r="N5" s="173" t="s">
        <v>1315</v>
      </c>
      <c r="O5" s="176" t="s">
        <v>1316</v>
      </c>
      <c r="P5" s="174" t="s">
        <v>691</v>
      </c>
      <c r="Q5" s="174" t="s">
        <v>691</v>
      </c>
      <c r="R5" s="177"/>
    </row>
    <row r="6">
      <c r="A6" s="172" t="s">
        <v>699</v>
      </c>
      <c r="B6" s="153" t="s">
        <v>696</v>
      </c>
      <c r="C6" s="173" t="s">
        <v>1317</v>
      </c>
      <c r="D6" s="174" t="s">
        <v>83</v>
      </c>
      <c r="E6" s="173" t="s">
        <v>1313</v>
      </c>
      <c r="F6" s="174">
        <v>1.2072423E7</v>
      </c>
      <c r="G6" s="172" t="s">
        <v>686</v>
      </c>
      <c r="H6" s="174" t="s">
        <v>91</v>
      </c>
      <c r="I6" s="174" t="s">
        <v>91</v>
      </c>
      <c r="J6" s="174" t="s">
        <v>85</v>
      </c>
      <c r="K6" s="173" t="s">
        <v>687</v>
      </c>
      <c r="L6" s="174" t="s">
        <v>688</v>
      </c>
      <c r="M6" s="178">
        <v>44158.0</v>
      </c>
      <c r="N6" s="173" t="s">
        <v>1318</v>
      </c>
      <c r="O6" s="176" t="s">
        <v>690</v>
      </c>
      <c r="P6" s="174" t="s">
        <v>702</v>
      </c>
      <c r="Q6" s="174" t="s">
        <v>702</v>
      </c>
      <c r="R6" s="177"/>
    </row>
    <row r="7">
      <c r="A7" s="172" t="s">
        <v>703</v>
      </c>
      <c r="B7" s="154" t="s">
        <v>696</v>
      </c>
      <c r="C7" s="173" t="s">
        <v>704</v>
      </c>
      <c r="D7" s="174" t="s">
        <v>83</v>
      </c>
      <c r="E7" s="173" t="s">
        <v>685</v>
      </c>
      <c r="F7" s="174" t="s">
        <v>466</v>
      </c>
      <c r="G7" s="172" t="s">
        <v>686</v>
      </c>
      <c r="H7" s="174" t="s">
        <v>91</v>
      </c>
      <c r="I7" s="174" t="s">
        <v>91</v>
      </c>
      <c r="J7" s="174" t="s">
        <v>85</v>
      </c>
      <c r="K7" s="173" t="s">
        <v>687</v>
      </c>
      <c r="L7" s="174" t="s">
        <v>688</v>
      </c>
      <c r="M7" s="178">
        <v>44158.0</v>
      </c>
      <c r="N7" s="173" t="s">
        <v>692</v>
      </c>
      <c r="O7" s="176" t="s">
        <v>690</v>
      </c>
      <c r="P7" s="174" t="s">
        <v>705</v>
      </c>
      <c r="Q7" s="174" t="s">
        <v>705</v>
      </c>
      <c r="R7" s="177"/>
    </row>
    <row r="8" ht="102.0" customHeight="1">
      <c r="A8" s="172" t="s">
        <v>706</v>
      </c>
      <c r="B8" s="153" t="s">
        <v>696</v>
      </c>
      <c r="C8" s="173" t="s">
        <v>707</v>
      </c>
      <c r="D8" s="174" t="s">
        <v>185</v>
      </c>
      <c r="E8" s="173" t="s">
        <v>685</v>
      </c>
      <c r="F8" s="174" t="s">
        <v>471</v>
      </c>
      <c r="G8" s="182" t="s">
        <v>686</v>
      </c>
      <c r="H8" s="174" t="s">
        <v>91</v>
      </c>
      <c r="I8" s="174" t="s">
        <v>91</v>
      </c>
      <c r="J8" s="174" t="s">
        <v>85</v>
      </c>
      <c r="K8" s="173" t="s">
        <v>687</v>
      </c>
      <c r="L8" s="174" t="s">
        <v>688</v>
      </c>
      <c r="M8" s="178">
        <v>44158.0</v>
      </c>
      <c r="N8" s="173" t="s">
        <v>689</v>
      </c>
      <c r="O8" s="176" t="s">
        <v>690</v>
      </c>
      <c r="P8" s="174" t="s">
        <v>691</v>
      </c>
      <c r="Q8" s="174" t="s">
        <v>691</v>
      </c>
      <c r="R8" s="177"/>
    </row>
    <row r="9">
      <c r="A9" s="172" t="s">
        <v>708</v>
      </c>
      <c r="B9" s="153" t="s">
        <v>696</v>
      </c>
      <c r="C9" s="173" t="s">
        <v>447</v>
      </c>
      <c r="D9" s="174" t="s">
        <v>83</v>
      </c>
      <c r="E9" s="173" t="s">
        <v>685</v>
      </c>
      <c r="F9" s="174" t="s">
        <v>448</v>
      </c>
      <c r="G9" s="172" t="s">
        <v>686</v>
      </c>
      <c r="H9" s="174" t="s">
        <v>91</v>
      </c>
      <c r="I9" s="174" t="s">
        <v>91</v>
      </c>
      <c r="J9" s="174" t="s">
        <v>85</v>
      </c>
      <c r="K9" s="173" t="s">
        <v>687</v>
      </c>
      <c r="L9" s="174" t="s">
        <v>688</v>
      </c>
      <c r="M9" s="178">
        <v>44158.0</v>
      </c>
      <c r="N9" s="173" t="s">
        <v>701</v>
      </c>
      <c r="O9" s="176" t="s">
        <v>690</v>
      </c>
      <c r="P9" s="174" t="s">
        <v>691</v>
      </c>
      <c r="Q9" s="174" t="s">
        <v>691</v>
      </c>
      <c r="R9" s="177"/>
    </row>
    <row r="10" ht="15.0" customHeight="1">
      <c r="A10" s="172" t="s">
        <v>709</v>
      </c>
      <c r="B10" s="153" t="s">
        <v>696</v>
      </c>
      <c r="C10" s="173" t="s">
        <v>450</v>
      </c>
      <c r="D10" s="174" t="s">
        <v>83</v>
      </c>
      <c r="E10" s="173" t="s">
        <v>685</v>
      </c>
      <c r="F10" s="174">
        <v>3.99253942E8</v>
      </c>
      <c r="G10" s="182" t="s">
        <v>686</v>
      </c>
      <c r="H10" s="174" t="s">
        <v>91</v>
      </c>
      <c r="I10" s="174" t="s">
        <v>91</v>
      </c>
      <c r="J10" s="174" t="s">
        <v>85</v>
      </c>
      <c r="K10" s="173" t="s">
        <v>687</v>
      </c>
      <c r="L10" s="174" t="s">
        <v>688</v>
      </c>
      <c r="M10" s="178">
        <v>44158.0</v>
      </c>
      <c r="N10" s="173" t="s">
        <v>701</v>
      </c>
      <c r="O10" s="176" t="s">
        <v>690</v>
      </c>
      <c r="P10" s="174" t="s">
        <v>691</v>
      </c>
      <c r="Q10" s="174" t="s">
        <v>691</v>
      </c>
      <c r="R10" s="177"/>
    </row>
    <row r="11">
      <c r="A11" s="172" t="s">
        <v>710</v>
      </c>
      <c r="B11" s="153" t="s">
        <v>696</v>
      </c>
      <c r="C11" s="173" t="s">
        <v>105</v>
      </c>
      <c r="D11" s="174" t="s">
        <v>83</v>
      </c>
      <c r="E11" s="173" t="s">
        <v>685</v>
      </c>
      <c r="F11" s="174" t="s">
        <v>106</v>
      </c>
      <c r="G11" s="172" t="s">
        <v>686</v>
      </c>
      <c r="H11" s="174" t="s">
        <v>91</v>
      </c>
      <c r="I11" s="174" t="s">
        <v>91</v>
      </c>
      <c r="J11" s="174" t="s">
        <v>85</v>
      </c>
      <c r="K11" s="173" t="s">
        <v>687</v>
      </c>
      <c r="L11" s="174" t="s">
        <v>688</v>
      </c>
      <c r="M11" s="178">
        <v>44158.0</v>
      </c>
      <c r="N11" s="173" t="s">
        <v>689</v>
      </c>
      <c r="O11" s="176" t="s">
        <v>690</v>
      </c>
      <c r="P11" s="174" t="s">
        <v>691</v>
      </c>
      <c r="Q11" s="174" t="s">
        <v>691</v>
      </c>
      <c r="R11" s="177"/>
    </row>
    <row r="12">
      <c r="A12" s="172" t="s">
        <v>94</v>
      </c>
      <c r="B12" s="154" t="s">
        <v>696</v>
      </c>
      <c r="C12" s="173" t="s">
        <v>711</v>
      </c>
      <c r="D12" s="174" t="s">
        <v>83</v>
      </c>
      <c r="E12" s="173" t="s">
        <v>685</v>
      </c>
      <c r="F12" s="174" t="s">
        <v>96</v>
      </c>
      <c r="G12" s="172" t="s">
        <v>686</v>
      </c>
      <c r="H12" s="174" t="s">
        <v>91</v>
      </c>
      <c r="I12" s="174" t="s">
        <v>91</v>
      </c>
      <c r="J12" s="174" t="s">
        <v>85</v>
      </c>
      <c r="K12" s="173" t="s">
        <v>687</v>
      </c>
      <c r="L12" s="174" t="s">
        <v>688</v>
      </c>
      <c r="M12" s="178">
        <v>44158.0</v>
      </c>
      <c r="N12" s="173" t="s">
        <v>689</v>
      </c>
      <c r="O12" s="176" t="s">
        <v>690</v>
      </c>
      <c r="P12" s="174" t="s">
        <v>691</v>
      </c>
      <c r="Q12" s="174" t="s">
        <v>691</v>
      </c>
      <c r="R12" s="177"/>
    </row>
    <row r="13">
      <c r="A13" s="172" t="s">
        <v>379</v>
      </c>
      <c r="B13" s="154" t="s">
        <v>696</v>
      </c>
      <c r="C13" s="173" t="s">
        <v>712</v>
      </c>
      <c r="D13" s="174" t="s">
        <v>83</v>
      </c>
      <c r="E13" s="173" t="s">
        <v>713</v>
      </c>
      <c r="F13" s="174">
        <v>1.0</v>
      </c>
      <c r="G13" s="180" t="s">
        <v>91</v>
      </c>
      <c r="H13" s="174" t="s">
        <v>91</v>
      </c>
      <c r="I13" s="174" t="s">
        <v>91</v>
      </c>
      <c r="J13" s="174" t="s">
        <v>85</v>
      </c>
      <c r="K13" s="173" t="s">
        <v>687</v>
      </c>
      <c r="L13" s="174" t="s">
        <v>714</v>
      </c>
      <c r="M13" s="178">
        <v>44158.0</v>
      </c>
      <c r="N13" s="173" t="s">
        <v>689</v>
      </c>
      <c r="O13" s="176" t="s">
        <v>690</v>
      </c>
      <c r="P13" s="174" t="s">
        <v>691</v>
      </c>
      <c r="Q13" s="174" t="s">
        <v>691</v>
      </c>
      <c r="R13" s="177"/>
    </row>
    <row r="14">
      <c r="A14" s="172" t="s">
        <v>715</v>
      </c>
      <c r="B14" s="153" t="s">
        <v>696</v>
      </c>
      <c r="C14" s="173" t="s">
        <v>716</v>
      </c>
      <c r="D14" s="174" t="s">
        <v>83</v>
      </c>
      <c r="E14" s="173" t="s">
        <v>685</v>
      </c>
      <c r="F14" s="174" t="s">
        <v>109</v>
      </c>
      <c r="G14" s="172" t="s">
        <v>686</v>
      </c>
      <c r="H14" s="174" t="s">
        <v>91</v>
      </c>
      <c r="I14" s="174" t="s">
        <v>91</v>
      </c>
      <c r="J14" s="174" t="s">
        <v>85</v>
      </c>
      <c r="K14" s="173" t="s">
        <v>687</v>
      </c>
      <c r="L14" s="174" t="s">
        <v>688</v>
      </c>
      <c r="M14" s="178">
        <v>44158.0</v>
      </c>
      <c r="N14" s="173" t="s">
        <v>692</v>
      </c>
      <c r="O14" s="176" t="s">
        <v>690</v>
      </c>
      <c r="P14" s="174" t="s">
        <v>702</v>
      </c>
      <c r="Q14" s="174" t="s">
        <v>702</v>
      </c>
      <c r="R14" s="177"/>
    </row>
    <row r="15">
      <c r="A15" s="172" t="s">
        <v>717</v>
      </c>
      <c r="B15" s="153" t="s">
        <v>696</v>
      </c>
      <c r="C15" s="173" t="s">
        <v>1319</v>
      </c>
      <c r="D15" s="174" t="s">
        <v>83</v>
      </c>
      <c r="E15" s="173" t="s">
        <v>1313</v>
      </c>
      <c r="F15" s="174" t="s">
        <v>112</v>
      </c>
      <c r="G15" s="172" t="s">
        <v>686</v>
      </c>
      <c r="H15" s="174" t="s">
        <v>91</v>
      </c>
      <c r="I15" s="174" t="s">
        <v>91</v>
      </c>
      <c r="J15" s="174" t="s">
        <v>85</v>
      </c>
      <c r="K15" s="173" t="s">
        <v>687</v>
      </c>
      <c r="L15" s="174" t="s">
        <v>688</v>
      </c>
      <c r="M15" s="178">
        <v>44158.0</v>
      </c>
      <c r="N15" s="173" t="s">
        <v>1314</v>
      </c>
      <c r="O15" s="176" t="s">
        <v>690</v>
      </c>
      <c r="P15" s="174" t="s">
        <v>691</v>
      </c>
      <c r="Q15" s="174" t="s">
        <v>691</v>
      </c>
      <c r="R15" s="177"/>
    </row>
    <row r="16">
      <c r="A16" s="172" t="s">
        <v>365</v>
      </c>
      <c r="B16" s="154" t="s">
        <v>197</v>
      </c>
      <c r="C16" s="173" t="s">
        <v>719</v>
      </c>
      <c r="D16" s="174" t="s">
        <v>185</v>
      </c>
      <c r="E16" s="173" t="s">
        <v>720</v>
      </c>
      <c r="F16" s="183" t="b">
        <v>1</v>
      </c>
      <c r="G16" s="180" t="s">
        <v>91</v>
      </c>
      <c r="H16" s="174" t="s">
        <v>91</v>
      </c>
      <c r="I16" s="174" t="s">
        <v>91</v>
      </c>
      <c r="J16" s="174" t="s">
        <v>85</v>
      </c>
      <c r="K16" s="173" t="s">
        <v>687</v>
      </c>
      <c r="L16" s="174" t="s">
        <v>688</v>
      </c>
      <c r="M16" s="178">
        <v>44158.0</v>
      </c>
      <c r="N16" s="173" t="s">
        <v>692</v>
      </c>
      <c r="O16" s="176" t="s">
        <v>690</v>
      </c>
      <c r="P16" s="174" t="s">
        <v>721</v>
      </c>
      <c r="Q16" s="174" t="s">
        <v>721</v>
      </c>
      <c r="R16" s="177"/>
    </row>
    <row r="17">
      <c r="A17" s="172" t="s">
        <v>513</v>
      </c>
      <c r="B17" s="154" t="s">
        <v>197</v>
      </c>
      <c r="C17" s="173" t="s">
        <v>722</v>
      </c>
      <c r="D17" s="174" t="s">
        <v>185</v>
      </c>
      <c r="E17" s="173" t="s">
        <v>720</v>
      </c>
      <c r="F17" s="183" t="b">
        <v>1</v>
      </c>
      <c r="G17" s="173" t="s">
        <v>723</v>
      </c>
      <c r="H17" s="174" t="s">
        <v>91</v>
      </c>
      <c r="I17" s="173" t="s">
        <v>723</v>
      </c>
      <c r="J17" s="174" t="s">
        <v>85</v>
      </c>
      <c r="K17" s="173" t="s">
        <v>687</v>
      </c>
      <c r="L17" s="174" t="s">
        <v>688</v>
      </c>
      <c r="M17" s="178">
        <v>44158.0</v>
      </c>
      <c r="N17" s="173" t="s">
        <v>692</v>
      </c>
      <c r="O17" s="176" t="s">
        <v>690</v>
      </c>
      <c r="P17" s="174" t="s">
        <v>724</v>
      </c>
      <c r="Q17" s="174" t="s">
        <v>724</v>
      </c>
      <c r="R17" s="177"/>
    </row>
    <row r="18">
      <c r="A18" s="172" t="s">
        <v>725</v>
      </c>
      <c r="B18" s="154" t="s">
        <v>52</v>
      </c>
      <c r="C18" s="173" t="s">
        <v>726</v>
      </c>
      <c r="D18" s="174" t="s">
        <v>185</v>
      </c>
      <c r="E18" s="173" t="s">
        <v>698</v>
      </c>
      <c r="F18" s="181">
        <v>43695.0</v>
      </c>
      <c r="G18" s="173" t="s">
        <v>723</v>
      </c>
      <c r="H18" s="174" t="s">
        <v>91</v>
      </c>
      <c r="I18" s="173" t="s">
        <v>723</v>
      </c>
      <c r="J18" s="174" t="s">
        <v>85</v>
      </c>
      <c r="K18" s="173" t="s">
        <v>687</v>
      </c>
      <c r="L18" s="174" t="s">
        <v>688</v>
      </c>
      <c r="M18" s="178">
        <v>44158.0</v>
      </c>
      <c r="N18" s="173" t="s">
        <v>727</v>
      </c>
      <c r="O18" s="176" t="s">
        <v>690</v>
      </c>
      <c r="P18" s="174" t="s">
        <v>721</v>
      </c>
      <c r="Q18" s="174" t="s">
        <v>721</v>
      </c>
      <c r="R18" s="177"/>
    </row>
    <row r="19">
      <c r="A19" s="172" t="s">
        <v>728</v>
      </c>
      <c r="B19" s="154" t="s">
        <v>52</v>
      </c>
      <c r="C19" s="173" t="s">
        <v>729</v>
      </c>
      <c r="D19" s="174" t="s">
        <v>185</v>
      </c>
      <c r="E19" s="173" t="s">
        <v>720</v>
      </c>
      <c r="F19" s="183" t="b">
        <v>1</v>
      </c>
      <c r="G19" s="173" t="s">
        <v>723</v>
      </c>
      <c r="H19" s="174" t="s">
        <v>91</v>
      </c>
      <c r="I19" s="173" t="s">
        <v>723</v>
      </c>
      <c r="J19" s="174" t="s">
        <v>85</v>
      </c>
      <c r="K19" s="173" t="s">
        <v>687</v>
      </c>
      <c r="L19" s="174" t="s">
        <v>688</v>
      </c>
      <c r="M19" s="178">
        <v>44158.0</v>
      </c>
      <c r="N19" s="173" t="s">
        <v>701</v>
      </c>
      <c r="O19" s="176" t="s">
        <v>690</v>
      </c>
      <c r="P19" s="174" t="s">
        <v>721</v>
      </c>
      <c r="Q19" s="174" t="s">
        <v>721</v>
      </c>
      <c r="R19" s="177"/>
    </row>
    <row r="20">
      <c r="A20" s="172" t="s">
        <v>730</v>
      </c>
      <c r="B20" s="154" t="s">
        <v>52</v>
      </c>
      <c r="C20" s="173" t="s">
        <v>731</v>
      </c>
      <c r="D20" s="174" t="s">
        <v>185</v>
      </c>
      <c r="E20" s="173" t="s">
        <v>698</v>
      </c>
      <c r="F20" s="181">
        <v>43763.0</v>
      </c>
      <c r="G20" s="173" t="s">
        <v>723</v>
      </c>
      <c r="H20" s="174" t="s">
        <v>91</v>
      </c>
      <c r="I20" s="173" t="s">
        <v>723</v>
      </c>
      <c r="J20" s="174" t="s">
        <v>85</v>
      </c>
      <c r="K20" s="173" t="s">
        <v>687</v>
      </c>
      <c r="L20" s="174" t="s">
        <v>688</v>
      </c>
      <c r="M20" s="178">
        <v>44158.0</v>
      </c>
      <c r="N20" s="173" t="s">
        <v>701</v>
      </c>
      <c r="O20" s="176" t="s">
        <v>732</v>
      </c>
      <c r="P20" s="174" t="s">
        <v>721</v>
      </c>
      <c r="Q20" s="174" t="s">
        <v>721</v>
      </c>
      <c r="R20" s="177"/>
    </row>
    <row r="21" ht="38.25" customHeight="1">
      <c r="A21" s="172" t="s">
        <v>733</v>
      </c>
      <c r="B21" s="154" t="s">
        <v>52</v>
      </c>
      <c r="C21" s="173" t="s">
        <v>734</v>
      </c>
      <c r="D21" s="174" t="s">
        <v>185</v>
      </c>
      <c r="E21" s="173" t="s">
        <v>720</v>
      </c>
      <c r="F21" s="183" t="b">
        <v>1</v>
      </c>
      <c r="G21" s="173" t="s">
        <v>723</v>
      </c>
      <c r="H21" s="174" t="s">
        <v>91</v>
      </c>
      <c r="I21" s="173" t="s">
        <v>723</v>
      </c>
      <c r="J21" s="174" t="s">
        <v>85</v>
      </c>
      <c r="K21" s="173" t="s">
        <v>687</v>
      </c>
      <c r="L21" s="174" t="s">
        <v>688</v>
      </c>
      <c r="M21" s="178">
        <v>44158.0</v>
      </c>
      <c r="N21" s="173" t="s">
        <v>735</v>
      </c>
      <c r="O21" s="184" t="s">
        <v>736</v>
      </c>
      <c r="P21" s="174" t="s">
        <v>721</v>
      </c>
      <c r="Q21" s="174" t="s">
        <v>721</v>
      </c>
      <c r="R21" s="177"/>
    </row>
    <row r="22">
      <c r="A22" s="172" t="s">
        <v>737</v>
      </c>
      <c r="B22" s="154" t="s">
        <v>52</v>
      </c>
      <c r="C22" s="173" t="s">
        <v>738</v>
      </c>
      <c r="D22" s="174" t="s">
        <v>185</v>
      </c>
      <c r="E22" s="173" t="s">
        <v>685</v>
      </c>
      <c r="F22" s="174" t="s">
        <v>318</v>
      </c>
      <c r="G22" s="173" t="s">
        <v>723</v>
      </c>
      <c r="H22" s="174" t="s">
        <v>91</v>
      </c>
      <c r="I22" s="173" t="s">
        <v>723</v>
      </c>
      <c r="J22" s="174" t="s">
        <v>85</v>
      </c>
      <c r="K22" s="173" t="s">
        <v>687</v>
      </c>
      <c r="L22" s="174" t="s">
        <v>688</v>
      </c>
      <c r="M22" s="178">
        <v>44158.0</v>
      </c>
      <c r="N22" s="173" t="s">
        <v>727</v>
      </c>
      <c r="O22" s="176" t="s">
        <v>690</v>
      </c>
      <c r="P22" s="174" t="s">
        <v>721</v>
      </c>
      <c r="Q22" s="174" t="s">
        <v>721</v>
      </c>
      <c r="R22" s="177"/>
    </row>
    <row r="23">
      <c r="A23" s="172" t="s">
        <v>739</v>
      </c>
      <c r="B23" s="154" t="s">
        <v>197</v>
      </c>
      <c r="C23" s="173" t="s">
        <v>740</v>
      </c>
      <c r="D23" s="174" t="s">
        <v>83</v>
      </c>
      <c r="E23" s="173" t="s">
        <v>720</v>
      </c>
      <c r="F23" s="183" t="b">
        <v>1</v>
      </c>
      <c r="G23" s="185" t="s">
        <v>86</v>
      </c>
      <c r="H23" s="174" t="s">
        <v>91</v>
      </c>
      <c r="I23" s="174" t="s">
        <v>91</v>
      </c>
      <c r="J23" s="185" t="s">
        <v>85</v>
      </c>
      <c r="K23" s="173" t="s">
        <v>687</v>
      </c>
      <c r="L23" s="174" t="s">
        <v>688</v>
      </c>
      <c r="M23" s="178">
        <v>44158.0</v>
      </c>
      <c r="N23" s="173" t="s">
        <v>741</v>
      </c>
      <c r="O23" s="176" t="s">
        <v>690</v>
      </c>
      <c r="P23" s="174" t="s">
        <v>702</v>
      </c>
      <c r="Q23" s="174" t="s">
        <v>702</v>
      </c>
      <c r="R23" s="177"/>
    </row>
    <row r="24">
      <c r="A24" s="172" t="s">
        <v>742</v>
      </c>
      <c r="B24" s="154" t="s">
        <v>696</v>
      </c>
      <c r="C24" s="173" t="s">
        <v>743</v>
      </c>
      <c r="D24" s="174" t="s">
        <v>83</v>
      </c>
      <c r="E24" s="173" t="s">
        <v>698</v>
      </c>
      <c r="F24" s="186">
        <v>44229.0</v>
      </c>
      <c r="G24" s="172" t="s">
        <v>686</v>
      </c>
      <c r="H24" s="174" t="s">
        <v>91</v>
      </c>
      <c r="I24" s="174" t="s">
        <v>91</v>
      </c>
      <c r="J24" s="174" t="s">
        <v>85</v>
      </c>
      <c r="K24" s="173" t="s">
        <v>687</v>
      </c>
      <c r="L24" s="174" t="s">
        <v>688</v>
      </c>
      <c r="M24" s="178">
        <v>44158.0</v>
      </c>
      <c r="N24" s="173" t="s">
        <v>701</v>
      </c>
      <c r="O24" s="176" t="s">
        <v>690</v>
      </c>
      <c r="P24" s="174" t="s">
        <v>744</v>
      </c>
      <c r="Q24" s="174" t="s">
        <v>744</v>
      </c>
      <c r="R24" s="177"/>
    </row>
    <row r="25">
      <c r="A25" s="172" t="s">
        <v>377</v>
      </c>
      <c r="B25" s="154" t="s">
        <v>197</v>
      </c>
      <c r="C25" s="173" t="s">
        <v>378</v>
      </c>
      <c r="D25" s="174" t="s">
        <v>185</v>
      </c>
      <c r="E25" s="173" t="s">
        <v>720</v>
      </c>
      <c r="F25" s="183" t="b">
        <v>1</v>
      </c>
      <c r="G25" s="180" t="s">
        <v>91</v>
      </c>
      <c r="H25" s="174" t="s">
        <v>91</v>
      </c>
      <c r="I25" s="174" t="s">
        <v>91</v>
      </c>
      <c r="J25" s="174" t="s">
        <v>85</v>
      </c>
      <c r="K25" s="173" t="s">
        <v>687</v>
      </c>
      <c r="L25" s="174" t="s">
        <v>688</v>
      </c>
      <c r="M25" s="178">
        <v>44158.0</v>
      </c>
      <c r="N25" s="173" t="s">
        <v>741</v>
      </c>
      <c r="O25" s="176" t="s">
        <v>690</v>
      </c>
      <c r="P25" s="174" t="s">
        <v>745</v>
      </c>
      <c r="Q25" s="174" t="s">
        <v>745</v>
      </c>
      <c r="R25" s="177"/>
    </row>
    <row r="26">
      <c r="A26" s="172" t="s">
        <v>746</v>
      </c>
      <c r="B26" s="154" t="s">
        <v>197</v>
      </c>
      <c r="C26" s="173" t="s">
        <v>747</v>
      </c>
      <c r="D26" s="174" t="s">
        <v>185</v>
      </c>
      <c r="E26" s="173" t="s">
        <v>698</v>
      </c>
      <c r="F26" s="181">
        <v>43704.0</v>
      </c>
      <c r="G26" s="173" t="s">
        <v>723</v>
      </c>
      <c r="H26" s="174" t="s">
        <v>91</v>
      </c>
      <c r="I26" s="173" t="s">
        <v>723</v>
      </c>
      <c r="J26" s="174" t="s">
        <v>85</v>
      </c>
      <c r="K26" s="173" t="s">
        <v>687</v>
      </c>
      <c r="L26" s="174" t="s">
        <v>688</v>
      </c>
      <c r="M26" s="178">
        <v>44158.0</v>
      </c>
      <c r="N26" s="173" t="s">
        <v>692</v>
      </c>
      <c r="O26" s="176" t="s">
        <v>690</v>
      </c>
      <c r="P26" s="174" t="s">
        <v>724</v>
      </c>
      <c r="Q26" s="174" t="s">
        <v>724</v>
      </c>
      <c r="R26" s="177"/>
    </row>
    <row r="27" ht="192.0" customHeight="1">
      <c r="A27" s="172" t="s">
        <v>395</v>
      </c>
      <c r="B27" s="154" t="s">
        <v>58</v>
      </c>
      <c r="C27" s="173" t="s">
        <v>748</v>
      </c>
      <c r="D27" s="174" t="s">
        <v>185</v>
      </c>
      <c r="E27" s="173" t="s">
        <v>685</v>
      </c>
      <c r="F27" s="174" t="s">
        <v>96</v>
      </c>
      <c r="G27" s="180" t="s">
        <v>86</v>
      </c>
      <c r="H27" s="174" t="s">
        <v>91</v>
      </c>
      <c r="I27" s="174" t="s">
        <v>91</v>
      </c>
      <c r="J27" s="174" t="s">
        <v>85</v>
      </c>
      <c r="K27" s="173" t="s">
        <v>749</v>
      </c>
      <c r="L27" s="174" t="s">
        <v>749</v>
      </c>
      <c r="M27" s="178">
        <v>44105.0</v>
      </c>
      <c r="N27" s="173" t="s">
        <v>692</v>
      </c>
      <c r="O27" s="176" t="s">
        <v>690</v>
      </c>
      <c r="P27" s="174" t="s">
        <v>750</v>
      </c>
      <c r="Q27" s="174" t="s">
        <v>750</v>
      </c>
      <c r="R27" s="177"/>
    </row>
    <row r="28" ht="15.75" customHeight="1">
      <c r="A28" s="172" t="s">
        <v>751</v>
      </c>
      <c r="B28" s="154" t="s">
        <v>197</v>
      </c>
      <c r="C28" s="173" t="s">
        <v>752</v>
      </c>
      <c r="D28" s="174" t="s">
        <v>185</v>
      </c>
      <c r="E28" s="173" t="s">
        <v>698</v>
      </c>
      <c r="F28" s="181">
        <v>43673.0</v>
      </c>
      <c r="G28" s="173" t="s">
        <v>723</v>
      </c>
      <c r="H28" s="174" t="s">
        <v>91</v>
      </c>
      <c r="I28" s="173" t="s">
        <v>723</v>
      </c>
      <c r="J28" s="174" t="s">
        <v>85</v>
      </c>
      <c r="K28" s="173" t="s">
        <v>687</v>
      </c>
      <c r="L28" s="174" t="s">
        <v>688</v>
      </c>
      <c r="M28" s="178">
        <v>44158.0</v>
      </c>
      <c r="N28" s="173" t="s">
        <v>692</v>
      </c>
      <c r="O28" s="176" t="s">
        <v>690</v>
      </c>
      <c r="P28" s="174" t="s">
        <v>724</v>
      </c>
      <c r="Q28" s="174" t="s">
        <v>724</v>
      </c>
      <c r="R28" s="177"/>
    </row>
    <row r="29" ht="15.75" customHeight="1">
      <c r="A29" s="172" t="s">
        <v>753</v>
      </c>
      <c r="B29" s="154" t="s">
        <v>52</v>
      </c>
      <c r="C29" s="173" t="s">
        <v>754</v>
      </c>
      <c r="D29" s="174" t="s">
        <v>185</v>
      </c>
      <c r="E29" s="173" t="s">
        <v>698</v>
      </c>
      <c r="F29" s="181">
        <v>43763.0</v>
      </c>
      <c r="G29" s="173" t="s">
        <v>723</v>
      </c>
      <c r="H29" s="180" t="s">
        <v>91</v>
      </c>
      <c r="I29" s="173" t="s">
        <v>723</v>
      </c>
      <c r="J29" s="174" t="s">
        <v>85</v>
      </c>
      <c r="K29" s="173" t="s">
        <v>687</v>
      </c>
      <c r="L29" s="174" t="s">
        <v>688</v>
      </c>
      <c r="M29" s="178">
        <v>44158.0</v>
      </c>
      <c r="N29" s="173" t="s">
        <v>735</v>
      </c>
      <c r="O29" s="184" t="s">
        <v>736</v>
      </c>
      <c r="P29" s="174" t="s">
        <v>721</v>
      </c>
      <c r="Q29" s="174" t="s">
        <v>721</v>
      </c>
      <c r="R29" s="177"/>
    </row>
    <row r="30" ht="15.75" customHeight="1">
      <c r="A30" s="172" t="s">
        <v>755</v>
      </c>
      <c r="B30" s="154" t="s">
        <v>52</v>
      </c>
      <c r="C30" s="173" t="s">
        <v>756</v>
      </c>
      <c r="D30" s="174" t="s">
        <v>185</v>
      </c>
      <c r="E30" s="173" t="s">
        <v>685</v>
      </c>
      <c r="F30" s="174" t="s">
        <v>757</v>
      </c>
      <c r="G30" s="173" t="s">
        <v>723</v>
      </c>
      <c r="H30" s="180" t="s">
        <v>91</v>
      </c>
      <c r="I30" s="173" t="s">
        <v>723</v>
      </c>
      <c r="J30" s="174" t="s">
        <v>85</v>
      </c>
      <c r="K30" s="173" t="s">
        <v>687</v>
      </c>
      <c r="L30" s="174" t="s">
        <v>688</v>
      </c>
      <c r="M30" s="178">
        <v>44158.0</v>
      </c>
      <c r="N30" s="173" t="s">
        <v>735</v>
      </c>
      <c r="O30" s="184" t="s">
        <v>736</v>
      </c>
      <c r="P30" s="174" t="s">
        <v>721</v>
      </c>
      <c r="Q30" s="174" t="s">
        <v>721</v>
      </c>
      <c r="R30" s="177"/>
    </row>
    <row r="31" ht="15.75" customHeight="1">
      <c r="A31" s="172" t="s">
        <v>758</v>
      </c>
      <c r="B31" s="154" t="s">
        <v>197</v>
      </c>
      <c r="C31" s="173" t="s">
        <v>759</v>
      </c>
      <c r="D31" s="174" t="s">
        <v>185</v>
      </c>
      <c r="E31" s="173" t="s">
        <v>713</v>
      </c>
      <c r="F31" s="174">
        <v>9.0</v>
      </c>
      <c r="G31" s="173" t="s">
        <v>723</v>
      </c>
      <c r="H31" s="180" t="s">
        <v>91</v>
      </c>
      <c r="I31" s="173" t="s">
        <v>723</v>
      </c>
      <c r="J31" s="174" t="s">
        <v>85</v>
      </c>
      <c r="K31" s="173" t="s">
        <v>687</v>
      </c>
      <c r="L31" s="174" t="s">
        <v>760</v>
      </c>
      <c r="M31" s="178">
        <v>44157.0</v>
      </c>
      <c r="N31" s="173" t="s">
        <v>735</v>
      </c>
      <c r="O31" s="184" t="s">
        <v>736</v>
      </c>
      <c r="P31" s="174" t="s">
        <v>761</v>
      </c>
      <c r="Q31" s="174" t="s">
        <v>761</v>
      </c>
      <c r="R31" s="177"/>
    </row>
    <row r="32">
      <c r="A32" s="172" t="s">
        <v>233</v>
      </c>
      <c r="B32" s="154" t="s">
        <v>197</v>
      </c>
      <c r="C32" s="173" t="s">
        <v>762</v>
      </c>
      <c r="D32" s="174" t="s">
        <v>135</v>
      </c>
      <c r="E32" s="173" t="s">
        <v>713</v>
      </c>
      <c r="F32" s="174">
        <v>1.0</v>
      </c>
      <c r="G32" s="174" t="s">
        <v>136</v>
      </c>
      <c r="H32" s="174" t="s">
        <v>91</v>
      </c>
      <c r="I32" s="174" t="s">
        <v>91</v>
      </c>
      <c r="J32" s="174" t="s">
        <v>85</v>
      </c>
      <c r="K32" s="172" t="s">
        <v>749</v>
      </c>
      <c r="L32" s="180" t="s">
        <v>763</v>
      </c>
      <c r="M32" s="178">
        <v>44105.0</v>
      </c>
      <c r="N32" s="173" t="s">
        <v>764</v>
      </c>
      <c r="O32" s="184" t="s">
        <v>736</v>
      </c>
      <c r="P32" s="174" t="s">
        <v>761</v>
      </c>
      <c r="Q32" s="174" t="s">
        <v>761</v>
      </c>
      <c r="R32" s="177"/>
    </row>
    <row r="33" ht="15.75" customHeight="1">
      <c r="A33" s="172" t="s">
        <v>461</v>
      </c>
      <c r="B33" s="153" t="s">
        <v>696</v>
      </c>
      <c r="C33" s="173" t="s">
        <v>462</v>
      </c>
      <c r="D33" s="174" t="s">
        <v>83</v>
      </c>
      <c r="E33" s="173" t="s">
        <v>685</v>
      </c>
      <c r="F33" s="174" t="s">
        <v>463</v>
      </c>
      <c r="G33" s="172" t="s">
        <v>686</v>
      </c>
      <c r="H33" s="174" t="s">
        <v>91</v>
      </c>
      <c r="I33" s="180" t="s">
        <v>87</v>
      </c>
      <c r="J33" s="174" t="s">
        <v>85</v>
      </c>
      <c r="K33" s="173" t="s">
        <v>687</v>
      </c>
      <c r="L33" s="174" t="s">
        <v>688</v>
      </c>
      <c r="M33" s="178">
        <v>44158.0</v>
      </c>
      <c r="N33" s="173" t="s">
        <v>692</v>
      </c>
      <c r="O33" s="176" t="s">
        <v>690</v>
      </c>
      <c r="P33" s="174" t="s">
        <v>705</v>
      </c>
      <c r="Q33" s="174" t="s">
        <v>705</v>
      </c>
      <c r="R33" s="177"/>
    </row>
    <row r="34" ht="15.75" customHeight="1">
      <c r="A34" s="172" t="s">
        <v>467</v>
      </c>
      <c r="B34" s="154" t="s">
        <v>696</v>
      </c>
      <c r="C34" s="173" t="s">
        <v>468</v>
      </c>
      <c r="D34" s="174" t="s">
        <v>83</v>
      </c>
      <c r="E34" s="173" t="s">
        <v>685</v>
      </c>
      <c r="F34" s="174">
        <v>9.40904151E8</v>
      </c>
      <c r="G34" s="182" t="s">
        <v>686</v>
      </c>
      <c r="H34" s="174" t="s">
        <v>91</v>
      </c>
      <c r="I34" s="182" t="s">
        <v>91</v>
      </c>
      <c r="J34" s="174" t="s">
        <v>85</v>
      </c>
      <c r="K34" s="173" t="s">
        <v>687</v>
      </c>
      <c r="L34" s="174" t="s">
        <v>688</v>
      </c>
      <c r="M34" s="178">
        <v>44158.0</v>
      </c>
      <c r="N34" s="173" t="s">
        <v>692</v>
      </c>
      <c r="O34" s="176" t="s">
        <v>690</v>
      </c>
      <c r="P34" s="174" t="s">
        <v>691</v>
      </c>
      <c r="Q34" s="174" t="s">
        <v>691</v>
      </c>
      <c r="R34" s="177"/>
    </row>
    <row r="35" ht="15.75" customHeight="1">
      <c r="A35" s="172" t="s">
        <v>469</v>
      </c>
      <c r="B35" s="154" t="s">
        <v>696</v>
      </c>
      <c r="C35" s="173" t="s">
        <v>765</v>
      </c>
      <c r="D35" s="174" t="s">
        <v>83</v>
      </c>
      <c r="E35" s="173" t="s">
        <v>685</v>
      </c>
      <c r="F35" s="174" t="s">
        <v>471</v>
      </c>
      <c r="G35" s="182" t="s">
        <v>686</v>
      </c>
      <c r="H35" s="174" t="s">
        <v>91</v>
      </c>
      <c r="I35" s="182" t="s">
        <v>91</v>
      </c>
      <c r="J35" s="174" t="s">
        <v>85</v>
      </c>
      <c r="K35" s="173" t="s">
        <v>687</v>
      </c>
      <c r="L35" s="174" t="s">
        <v>688</v>
      </c>
      <c r="M35" s="178">
        <v>44158.0</v>
      </c>
      <c r="N35" s="173" t="s">
        <v>692</v>
      </c>
      <c r="O35" s="176" t="s">
        <v>690</v>
      </c>
      <c r="P35" s="174" t="s">
        <v>691</v>
      </c>
      <c r="Q35" s="174" t="s">
        <v>691</v>
      </c>
      <c r="R35" s="177"/>
    </row>
    <row r="36" ht="15.75" customHeight="1">
      <c r="A36" s="172" t="s">
        <v>100</v>
      </c>
      <c r="B36" s="154" t="s">
        <v>696</v>
      </c>
      <c r="C36" s="173" t="s">
        <v>101</v>
      </c>
      <c r="D36" s="174" t="s">
        <v>83</v>
      </c>
      <c r="E36" s="173" t="s">
        <v>685</v>
      </c>
      <c r="F36" s="174" t="s">
        <v>103</v>
      </c>
      <c r="G36" s="180" t="s">
        <v>91</v>
      </c>
      <c r="H36" s="174" t="s">
        <v>91</v>
      </c>
      <c r="I36" s="174" t="s">
        <v>91</v>
      </c>
      <c r="J36" s="174" t="s">
        <v>85</v>
      </c>
      <c r="K36" s="173" t="s">
        <v>687</v>
      </c>
      <c r="L36" s="174" t="s">
        <v>688</v>
      </c>
      <c r="M36" s="178">
        <v>44158.0</v>
      </c>
      <c r="N36" s="173" t="s">
        <v>692</v>
      </c>
      <c r="O36" s="176" t="s">
        <v>690</v>
      </c>
      <c r="P36" s="174" t="s">
        <v>691</v>
      </c>
      <c r="Q36" s="174" t="s">
        <v>691</v>
      </c>
      <c r="R36" s="177"/>
    </row>
    <row r="37" ht="15.75" customHeight="1">
      <c r="A37" s="172" t="s">
        <v>766</v>
      </c>
      <c r="B37" s="154" t="s">
        <v>197</v>
      </c>
      <c r="C37" s="173" t="s">
        <v>767</v>
      </c>
      <c r="D37" s="174" t="s">
        <v>185</v>
      </c>
      <c r="E37" s="173" t="s">
        <v>768</v>
      </c>
      <c r="F37" s="174">
        <v>8.89</v>
      </c>
      <c r="G37" s="173" t="s">
        <v>723</v>
      </c>
      <c r="H37" s="174" t="s">
        <v>91</v>
      </c>
      <c r="I37" s="173" t="s">
        <v>723</v>
      </c>
      <c r="J37" s="174" t="s">
        <v>85</v>
      </c>
      <c r="K37" s="173" t="s">
        <v>687</v>
      </c>
      <c r="L37" s="174" t="s">
        <v>760</v>
      </c>
      <c r="M37" s="178">
        <v>44157.0</v>
      </c>
      <c r="N37" s="173" t="s">
        <v>735</v>
      </c>
      <c r="O37" s="184" t="s">
        <v>736</v>
      </c>
      <c r="P37" s="174" t="s">
        <v>761</v>
      </c>
      <c r="Q37" s="174" t="s">
        <v>761</v>
      </c>
      <c r="R37" s="177"/>
    </row>
    <row r="38" ht="15.75" customHeight="1">
      <c r="A38" s="172" t="s">
        <v>769</v>
      </c>
      <c r="B38" s="154" t="s">
        <v>44</v>
      </c>
      <c r="C38" s="173" t="s">
        <v>1320</v>
      </c>
      <c r="D38" s="174" t="s">
        <v>83</v>
      </c>
      <c r="E38" s="173" t="s">
        <v>698</v>
      </c>
      <c r="F38" s="187">
        <v>44023.666666666664</v>
      </c>
      <c r="G38" s="172" t="s">
        <v>1051</v>
      </c>
      <c r="H38" s="173" t="s">
        <v>1321</v>
      </c>
      <c r="I38" s="173" t="s">
        <v>1051</v>
      </c>
      <c r="J38" s="174" t="s">
        <v>85</v>
      </c>
      <c r="K38" s="173" t="s">
        <v>749</v>
      </c>
      <c r="L38" s="174" t="s">
        <v>688</v>
      </c>
      <c r="M38" s="178">
        <v>44147.0</v>
      </c>
      <c r="N38" s="173" t="s">
        <v>701</v>
      </c>
      <c r="O38" s="176" t="s">
        <v>690</v>
      </c>
      <c r="P38" s="174" t="s">
        <v>771</v>
      </c>
      <c r="Q38" s="174" t="s">
        <v>771</v>
      </c>
      <c r="R38" s="177"/>
    </row>
    <row r="39" ht="15.75" customHeight="1">
      <c r="A39" s="172" t="s">
        <v>435</v>
      </c>
      <c r="B39" s="154" t="s">
        <v>44</v>
      </c>
      <c r="C39" s="173" t="s">
        <v>772</v>
      </c>
      <c r="D39" s="174" t="s">
        <v>83</v>
      </c>
      <c r="E39" s="173" t="s">
        <v>1191</v>
      </c>
      <c r="F39" s="187">
        <v>44023.666666666664</v>
      </c>
      <c r="G39" s="172" t="s">
        <v>1051</v>
      </c>
      <c r="H39" s="173" t="s">
        <v>1321</v>
      </c>
      <c r="I39" s="173" t="s">
        <v>1051</v>
      </c>
      <c r="J39" s="174" t="s">
        <v>85</v>
      </c>
      <c r="K39" s="173" t="s">
        <v>749</v>
      </c>
      <c r="L39" s="174" t="s">
        <v>688</v>
      </c>
      <c r="M39" s="178">
        <v>44147.0</v>
      </c>
      <c r="N39" s="173" t="s">
        <v>701</v>
      </c>
      <c r="O39" s="176" t="s">
        <v>690</v>
      </c>
      <c r="P39" s="174" t="s">
        <v>771</v>
      </c>
      <c r="Q39" s="174" t="s">
        <v>771</v>
      </c>
      <c r="R39" s="177"/>
    </row>
    <row r="40" ht="15.75" customHeight="1">
      <c r="A40" s="172" t="s">
        <v>441</v>
      </c>
      <c r="B40" s="154" t="s">
        <v>44</v>
      </c>
      <c r="C40" s="173" t="s">
        <v>773</v>
      </c>
      <c r="D40" s="174" t="s">
        <v>83</v>
      </c>
      <c r="E40" s="173" t="s">
        <v>774</v>
      </c>
      <c r="F40" s="174">
        <v>50.0</v>
      </c>
      <c r="G40" s="180" t="s">
        <v>335</v>
      </c>
      <c r="H40" s="174" t="s">
        <v>91</v>
      </c>
      <c r="I40" s="174" t="s">
        <v>91</v>
      </c>
      <c r="J40" s="174" t="s">
        <v>85</v>
      </c>
      <c r="K40" s="173" t="s">
        <v>749</v>
      </c>
      <c r="L40" s="174" t="s">
        <v>688</v>
      </c>
      <c r="M40" s="178">
        <v>44147.0</v>
      </c>
      <c r="N40" s="173" t="s">
        <v>701</v>
      </c>
      <c r="O40" s="176" t="s">
        <v>690</v>
      </c>
      <c r="P40" s="174" t="s">
        <v>771</v>
      </c>
      <c r="Q40" s="174" t="s">
        <v>771</v>
      </c>
      <c r="R40" s="177"/>
    </row>
    <row r="41" ht="15.75" customHeight="1">
      <c r="A41" s="172" t="s">
        <v>372</v>
      </c>
      <c r="B41" s="154" t="s">
        <v>44</v>
      </c>
      <c r="C41" s="173" t="s">
        <v>374</v>
      </c>
      <c r="D41" s="174" t="s">
        <v>83</v>
      </c>
      <c r="E41" s="173" t="s">
        <v>774</v>
      </c>
      <c r="F41" s="174">
        <v>2265.61</v>
      </c>
      <c r="G41" s="172" t="s">
        <v>686</v>
      </c>
      <c r="H41" s="174" t="s">
        <v>91</v>
      </c>
      <c r="I41" s="174" t="s">
        <v>91</v>
      </c>
      <c r="J41" s="180" t="s">
        <v>85</v>
      </c>
      <c r="K41" s="173" t="s">
        <v>749</v>
      </c>
      <c r="L41" s="174" t="s">
        <v>688</v>
      </c>
      <c r="M41" s="178">
        <v>44147.0</v>
      </c>
      <c r="N41" s="173" t="s">
        <v>701</v>
      </c>
      <c r="O41" s="176" t="s">
        <v>690</v>
      </c>
      <c r="P41" s="174" t="s">
        <v>771</v>
      </c>
      <c r="Q41" s="174" t="s">
        <v>771</v>
      </c>
      <c r="R41" s="177"/>
    </row>
    <row r="42" ht="15.75" customHeight="1">
      <c r="A42" s="172" t="s">
        <v>431</v>
      </c>
      <c r="B42" s="154" t="s">
        <v>44</v>
      </c>
      <c r="C42" s="173" t="s">
        <v>432</v>
      </c>
      <c r="D42" s="174" t="s">
        <v>83</v>
      </c>
      <c r="E42" s="173" t="s">
        <v>774</v>
      </c>
      <c r="F42" s="174">
        <v>1499.0</v>
      </c>
      <c r="G42" s="180" t="s">
        <v>335</v>
      </c>
      <c r="H42" s="174" t="s">
        <v>91</v>
      </c>
      <c r="I42" s="174" t="s">
        <v>91</v>
      </c>
      <c r="J42" s="174" t="s">
        <v>85</v>
      </c>
      <c r="K42" s="173" t="s">
        <v>749</v>
      </c>
      <c r="L42" s="174" t="s">
        <v>688</v>
      </c>
      <c r="M42" s="178">
        <v>44147.0</v>
      </c>
      <c r="N42" s="173" t="s">
        <v>701</v>
      </c>
      <c r="O42" s="176" t="s">
        <v>690</v>
      </c>
      <c r="P42" s="174" t="s">
        <v>771</v>
      </c>
      <c r="Q42" s="174" t="s">
        <v>771</v>
      </c>
      <c r="R42" s="177"/>
    </row>
    <row r="43" ht="15.75" customHeight="1">
      <c r="A43" s="172" t="s">
        <v>437</v>
      </c>
      <c r="B43" s="154" t="s">
        <v>44</v>
      </c>
      <c r="C43" s="173" t="s">
        <v>438</v>
      </c>
      <c r="D43" s="174" t="s">
        <v>83</v>
      </c>
      <c r="E43" s="173" t="s">
        <v>774</v>
      </c>
      <c r="F43" s="174">
        <v>1498.61</v>
      </c>
      <c r="G43" s="180" t="s">
        <v>335</v>
      </c>
      <c r="H43" s="174" t="s">
        <v>91</v>
      </c>
      <c r="I43" s="174" t="s">
        <v>91</v>
      </c>
      <c r="J43" s="174" t="s">
        <v>85</v>
      </c>
      <c r="K43" s="173" t="s">
        <v>749</v>
      </c>
      <c r="L43" s="174" t="s">
        <v>688</v>
      </c>
      <c r="M43" s="178">
        <v>44147.0</v>
      </c>
      <c r="N43" s="173" t="s">
        <v>701</v>
      </c>
      <c r="O43" s="176" t="s">
        <v>690</v>
      </c>
      <c r="P43" s="174" t="s">
        <v>771</v>
      </c>
      <c r="Q43" s="174" t="s">
        <v>771</v>
      </c>
      <c r="R43" s="177"/>
    </row>
    <row r="44" ht="39.75" customHeight="1">
      <c r="A44" s="172" t="s">
        <v>405</v>
      </c>
      <c r="B44" s="154" t="s">
        <v>696</v>
      </c>
      <c r="C44" s="173" t="s">
        <v>406</v>
      </c>
      <c r="D44" s="174" t="s">
        <v>83</v>
      </c>
      <c r="E44" s="173" t="s">
        <v>685</v>
      </c>
      <c r="F44" s="173" t="s">
        <v>1478</v>
      </c>
      <c r="G44" s="180" t="s">
        <v>335</v>
      </c>
      <c r="H44" s="174" t="s">
        <v>91</v>
      </c>
      <c r="I44" s="174" t="s">
        <v>91</v>
      </c>
      <c r="J44" s="174" t="s">
        <v>85</v>
      </c>
      <c r="K44" s="173" t="s">
        <v>687</v>
      </c>
      <c r="L44" s="174" t="s">
        <v>688</v>
      </c>
      <c r="M44" s="178">
        <v>44158.0</v>
      </c>
      <c r="N44" s="173" t="s">
        <v>701</v>
      </c>
      <c r="O44" s="176" t="s">
        <v>690</v>
      </c>
      <c r="P44" s="174" t="s">
        <v>702</v>
      </c>
      <c r="Q44" s="174" t="s">
        <v>702</v>
      </c>
      <c r="R44" s="177"/>
    </row>
    <row r="45" ht="15.75" customHeight="1">
      <c r="A45" s="172" t="s">
        <v>775</v>
      </c>
      <c r="B45" s="153" t="s">
        <v>696</v>
      </c>
      <c r="C45" s="173" t="s">
        <v>1322</v>
      </c>
      <c r="D45" s="174" t="s">
        <v>83</v>
      </c>
      <c r="E45" s="173" t="s">
        <v>1323</v>
      </c>
      <c r="F45" s="174">
        <v>133.1008</v>
      </c>
      <c r="G45" s="173" t="s">
        <v>723</v>
      </c>
      <c r="H45" s="174" t="s">
        <v>91</v>
      </c>
      <c r="I45" s="173" t="s">
        <v>723</v>
      </c>
      <c r="J45" s="174" t="s">
        <v>85</v>
      </c>
      <c r="K45" s="173" t="s">
        <v>687</v>
      </c>
      <c r="L45" s="174" t="s">
        <v>688</v>
      </c>
      <c r="M45" s="178">
        <v>44158.0</v>
      </c>
      <c r="N45" s="173" t="s">
        <v>1324</v>
      </c>
      <c r="O45" s="176" t="s">
        <v>690</v>
      </c>
      <c r="P45" s="174" t="s">
        <v>744</v>
      </c>
      <c r="Q45" s="174" t="s">
        <v>744</v>
      </c>
      <c r="R45" s="177"/>
    </row>
    <row r="46" ht="15.75" customHeight="1">
      <c r="A46" s="172" t="s">
        <v>778</v>
      </c>
      <c r="B46" s="153" t="s">
        <v>44</v>
      </c>
      <c r="C46" s="173" t="s">
        <v>779</v>
      </c>
      <c r="D46" s="174" t="s">
        <v>83</v>
      </c>
      <c r="E46" s="173" t="s">
        <v>774</v>
      </c>
      <c r="F46" s="174">
        <v>800.0</v>
      </c>
      <c r="G46" s="180" t="s">
        <v>335</v>
      </c>
      <c r="H46" s="174" t="s">
        <v>91</v>
      </c>
      <c r="I46" s="174" t="s">
        <v>91</v>
      </c>
      <c r="J46" s="174" t="s">
        <v>85</v>
      </c>
      <c r="K46" s="173" t="s">
        <v>687</v>
      </c>
      <c r="L46" s="174" t="s">
        <v>688</v>
      </c>
      <c r="M46" s="178">
        <v>44158.0</v>
      </c>
      <c r="N46" s="173" t="s">
        <v>701</v>
      </c>
      <c r="O46" s="176" t="s">
        <v>690</v>
      </c>
      <c r="P46" s="174" t="s">
        <v>691</v>
      </c>
      <c r="Q46" s="174" t="s">
        <v>691</v>
      </c>
      <c r="R46" s="177"/>
    </row>
    <row r="47" ht="15.75" customHeight="1">
      <c r="A47" s="172" t="s">
        <v>780</v>
      </c>
      <c r="B47" s="154" t="s">
        <v>197</v>
      </c>
      <c r="C47" s="173" t="s">
        <v>384</v>
      </c>
      <c r="D47" s="174" t="s">
        <v>185</v>
      </c>
      <c r="E47" s="173" t="s">
        <v>768</v>
      </c>
      <c r="F47" s="174">
        <v>460.0</v>
      </c>
      <c r="G47" s="173" t="s">
        <v>723</v>
      </c>
      <c r="H47" s="174" t="s">
        <v>91</v>
      </c>
      <c r="I47" s="173" t="s">
        <v>723</v>
      </c>
      <c r="J47" s="174" t="s">
        <v>85</v>
      </c>
      <c r="K47" s="173" t="s">
        <v>687</v>
      </c>
      <c r="L47" s="174" t="s">
        <v>760</v>
      </c>
      <c r="M47" s="178">
        <v>44157.0</v>
      </c>
      <c r="N47" s="173" t="s">
        <v>735</v>
      </c>
      <c r="O47" s="184" t="s">
        <v>736</v>
      </c>
      <c r="P47" s="174" t="s">
        <v>761</v>
      </c>
      <c r="Q47" s="174" t="s">
        <v>761</v>
      </c>
      <c r="R47" s="177"/>
    </row>
    <row r="48" ht="15.75" customHeight="1">
      <c r="A48" s="172" t="s">
        <v>304</v>
      </c>
      <c r="B48" s="154" t="s">
        <v>46</v>
      </c>
      <c r="C48" s="173" t="s">
        <v>305</v>
      </c>
      <c r="D48" s="174" t="s">
        <v>135</v>
      </c>
      <c r="E48" s="173" t="s">
        <v>685</v>
      </c>
      <c r="F48" s="174" t="s">
        <v>781</v>
      </c>
      <c r="G48" s="180" t="s">
        <v>136</v>
      </c>
      <c r="H48" s="174" t="s">
        <v>91</v>
      </c>
      <c r="I48" s="180" t="s">
        <v>91</v>
      </c>
      <c r="J48" s="180" t="s">
        <v>307</v>
      </c>
      <c r="K48" s="172" t="s">
        <v>749</v>
      </c>
      <c r="L48" s="180" t="s">
        <v>763</v>
      </c>
      <c r="M48" s="178">
        <v>44105.0</v>
      </c>
      <c r="N48" s="173" t="s">
        <v>741</v>
      </c>
      <c r="O48" s="176" t="s">
        <v>732</v>
      </c>
      <c r="P48" s="174" t="s">
        <v>782</v>
      </c>
      <c r="Q48" s="174" t="s">
        <v>782</v>
      </c>
      <c r="R48" s="177"/>
    </row>
    <row r="49" ht="15.75" customHeight="1">
      <c r="A49" s="172" t="s">
        <v>228</v>
      </c>
      <c r="B49" s="154" t="s">
        <v>58</v>
      </c>
      <c r="C49" s="173" t="s">
        <v>783</v>
      </c>
      <c r="D49" s="174" t="s">
        <v>135</v>
      </c>
      <c r="E49" s="173" t="s">
        <v>685</v>
      </c>
      <c r="F49" s="174" t="s">
        <v>230</v>
      </c>
      <c r="G49" s="180" t="s">
        <v>136</v>
      </c>
      <c r="H49" s="180" t="s">
        <v>91</v>
      </c>
      <c r="I49" s="180" t="s">
        <v>91</v>
      </c>
      <c r="J49" s="174" t="s">
        <v>90</v>
      </c>
      <c r="K49" s="172" t="s">
        <v>749</v>
      </c>
      <c r="L49" s="180" t="s">
        <v>763</v>
      </c>
      <c r="M49" s="178">
        <v>44105.0</v>
      </c>
      <c r="N49" s="173" t="s">
        <v>701</v>
      </c>
      <c r="O49" s="176" t="s">
        <v>732</v>
      </c>
      <c r="P49" s="174" t="s">
        <v>750</v>
      </c>
      <c r="Q49" s="174" t="s">
        <v>750</v>
      </c>
      <c r="R49" s="177"/>
    </row>
    <row r="50" ht="15.75" customHeight="1">
      <c r="A50" s="172" t="s">
        <v>319</v>
      </c>
      <c r="B50" s="154" t="s">
        <v>60</v>
      </c>
      <c r="C50" s="173" t="s">
        <v>320</v>
      </c>
      <c r="D50" s="174" t="s">
        <v>135</v>
      </c>
      <c r="E50" s="173" t="s">
        <v>713</v>
      </c>
      <c r="F50" s="174">
        <v>1.0</v>
      </c>
      <c r="G50" s="180" t="s">
        <v>136</v>
      </c>
      <c r="H50" s="174" t="s">
        <v>91</v>
      </c>
      <c r="I50" s="180" t="s">
        <v>91</v>
      </c>
      <c r="J50" s="174" t="s">
        <v>90</v>
      </c>
      <c r="K50" s="172" t="s">
        <v>749</v>
      </c>
      <c r="L50" s="180" t="s">
        <v>763</v>
      </c>
      <c r="M50" s="178">
        <v>44105.0</v>
      </c>
      <c r="N50" s="173" t="s">
        <v>735</v>
      </c>
      <c r="O50" s="176" t="s">
        <v>732</v>
      </c>
      <c r="P50" s="174" t="s">
        <v>750</v>
      </c>
      <c r="Q50" s="174" t="s">
        <v>750</v>
      </c>
      <c r="R50" s="177"/>
    </row>
    <row r="51" ht="15.75" customHeight="1">
      <c r="A51" s="172" t="s">
        <v>321</v>
      </c>
      <c r="B51" s="154" t="s">
        <v>60</v>
      </c>
      <c r="C51" s="173" t="s">
        <v>322</v>
      </c>
      <c r="D51" s="174" t="s">
        <v>135</v>
      </c>
      <c r="E51" s="173" t="s">
        <v>784</v>
      </c>
      <c r="F51" s="188">
        <v>0.6448</v>
      </c>
      <c r="G51" s="180" t="s">
        <v>136</v>
      </c>
      <c r="H51" s="174" t="s">
        <v>91</v>
      </c>
      <c r="I51" s="180" t="s">
        <v>91</v>
      </c>
      <c r="J51" s="174" t="s">
        <v>90</v>
      </c>
      <c r="K51" s="172" t="s">
        <v>749</v>
      </c>
      <c r="L51" s="180" t="s">
        <v>763</v>
      </c>
      <c r="M51" s="178">
        <v>44105.0</v>
      </c>
      <c r="N51" s="173" t="s">
        <v>735</v>
      </c>
      <c r="O51" s="176" t="s">
        <v>732</v>
      </c>
      <c r="P51" s="174" t="s">
        <v>750</v>
      </c>
      <c r="Q51" s="174" t="s">
        <v>750</v>
      </c>
      <c r="R51" s="177"/>
    </row>
    <row r="52" ht="15.75" customHeight="1">
      <c r="A52" s="172" t="s">
        <v>248</v>
      </c>
      <c r="B52" s="154" t="s">
        <v>60</v>
      </c>
      <c r="C52" s="173" t="s">
        <v>249</v>
      </c>
      <c r="D52" s="174" t="s">
        <v>135</v>
      </c>
      <c r="E52" s="173" t="s">
        <v>784</v>
      </c>
      <c r="F52" s="189" t="s">
        <v>1325</v>
      </c>
      <c r="G52" s="180" t="s">
        <v>136</v>
      </c>
      <c r="H52" s="174" t="s">
        <v>91</v>
      </c>
      <c r="I52" s="180" t="s">
        <v>91</v>
      </c>
      <c r="J52" s="174" t="s">
        <v>90</v>
      </c>
      <c r="K52" s="172" t="s">
        <v>749</v>
      </c>
      <c r="L52" s="180" t="s">
        <v>763</v>
      </c>
      <c r="M52" s="178">
        <v>44105.0</v>
      </c>
      <c r="N52" s="173" t="s">
        <v>701</v>
      </c>
      <c r="O52" s="176" t="s">
        <v>732</v>
      </c>
      <c r="P52" s="174" t="s">
        <v>750</v>
      </c>
      <c r="Q52" s="174" t="s">
        <v>750</v>
      </c>
      <c r="R52" s="177"/>
    </row>
    <row r="53" ht="15.75" customHeight="1">
      <c r="A53" s="172" t="s">
        <v>245</v>
      </c>
      <c r="B53" s="154" t="s">
        <v>60</v>
      </c>
      <c r="C53" s="173" t="s">
        <v>247</v>
      </c>
      <c r="D53" s="174" t="s">
        <v>135</v>
      </c>
      <c r="E53" s="173" t="s">
        <v>713</v>
      </c>
      <c r="F53" s="174">
        <v>1.0</v>
      </c>
      <c r="G53" s="180" t="s">
        <v>136</v>
      </c>
      <c r="H53" s="174" t="s">
        <v>91</v>
      </c>
      <c r="I53" s="180" t="s">
        <v>91</v>
      </c>
      <c r="J53" s="174" t="s">
        <v>90</v>
      </c>
      <c r="K53" s="172" t="s">
        <v>749</v>
      </c>
      <c r="L53" s="180" t="s">
        <v>763</v>
      </c>
      <c r="M53" s="178">
        <v>44105.0</v>
      </c>
      <c r="N53" s="173" t="s">
        <v>701</v>
      </c>
      <c r="O53" s="176" t="s">
        <v>732</v>
      </c>
      <c r="P53" s="174" t="s">
        <v>750</v>
      </c>
      <c r="Q53" s="174" t="s">
        <v>750</v>
      </c>
      <c r="R53" s="177"/>
    </row>
    <row r="54" ht="15.75" customHeight="1">
      <c r="A54" s="172" t="s">
        <v>342</v>
      </c>
      <c r="B54" s="154" t="s">
        <v>197</v>
      </c>
      <c r="C54" s="173" t="s">
        <v>343</v>
      </c>
      <c r="D54" s="174" t="s">
        <v>185</v>
      </c>
      <c r="E54" s="173" t="s">
        <v>720</v>
      </c>
      <c r="F54" s="183" t="b">
        <v>1</v>
      </c>
      <c r="G54" s="173" t="s">
        <v>686</v>
      </c>
      <c r="H54" s="174" t="s">
        <v>91</v>
      </c>
      <c r="I54" s="174" t="s">
        <v>91</v>
      </c>
      <c r="J54" s="174" t="s">
        <v>85</v>
      </c>
      <c r="K54" s="173" t="s">
        <v>687</v>
      </c>
      <c r="L54" s="174" t="s">
        <v>688</v>
      </c>
      <c r="M54" s="178">
        <v>44158.0</v>
      </c>
      <c r="N54" s="173" t="s">
        <v>692</v>
      </c>
      <c r="O54" s="176" t="s">
        <v>690</v>
      </c>
      <c r="P54" s="174" t="s">
        <v>702</v>
      </c>
      <c r="Q54" s="174" t="s">
        <v>702</v>
      </c>
      <c r="R54" s="177"/>
    </row>
    <row r="55" ht="15.75" customHeight="1">
      <c r="A55" s="172" t="s">
        <v>786</v>
      </c>
      <c r="B55" s="154" t="s">
        <v>696</v>
      </c>
      <c r="C55" s="173" t="s">
        <v>787</v>
      </c>
      <c r="D55" s="174" t="s">
        <v>185</v>
      </c>
      <c r="E55" s="173" t="s">
        <v>685</v>
      </c>
      <c r="F55" s="174" t="s">
        <v>299</v>
      </c>
      <c r="G55" s="172" t="s">
        <v>686</v>
      </c>
      <c r="H55" s="174" t="s">
        <v>91</v>
      </c>
      <c r="I55" s="180" t="s">
        <v>91</v>
      </c>
      <c r="J55" s="174" t="s">
        <v>90</v>
      </c>
      <c r="K55" s="173" t="s">
        <v>687</v>
      </c>
      <c r="L55" s="174" t="s">
        <v>688</v>
      </c>
      <c r="M55" s="178">
        <v>44158.0</v>
      </c>
      <c r="N55" s="173" t="s">
        <v>701</v>
      </c>
      <c r="O55" s="176" t="s">
        <v>690</v>
      </c>
      <c r="P55" s="174" t="s">
        <v>744</v>
      </c>
      <c r="Q55" s="174" t="s">
        <v>744</v>
      </c>
      <c r="R55" s="177"/>
    </row>
    <row r="56" ht="15.75" customHeight="1">
      <c r="A56" s="172" t="s">
        <v>418</v>
      </c>
      <c r="B56" s="154" t="s">
        <v>44</v>
      </c>
      <c r="C56" s="173" t="s">
        <v>419</v>
      </c>
      <c r="D56" s="174" t="s">
        <v>83</v>
      </c>
      <c r="E56" s="173" t="s">
        <v>774</v>
      </c>
      <c r="F56" s="174">
        <v>1796.0</v>
      </c>
      <c r="G56" s="180" t="s">
        <v>335</v>
      </c>
      <c r="H56" s="174" t="s">
        <v>91</v>
      </c>
      <c r="I56" s="174" t="s">
        <v>91</v>
      </c>
      <c r="J56" s="174" t="s">
        <v>85</v>
      </c>
      <c r="K56" s="173" t="s">
        <v>687</v>
      </c>
      <c r="L56" s="174" t="s">
        <v>688</v>
      </c>
      <c r="M56" s="178">
        <v>44158.0</v>
      </c>
      <c r="N56" s="173" t="s">
        <v>701</v>
      </c>
      <c r="O56" s="176" t="s">
        <v>690</v>
      </c>
      <c r="P56" s="174" t="s">
        <v>788</v>
      </c>
      <c r="Q56" s="174" t="s">
        <v>788</v>
      </c>
      <c r="R56" s="177"/>
    </row>
    <row r="57" ht="15.75" customHeight="1">
      <c r="A57" s="172" t="s">
        <v>416</v>
      </c>
      <c r="B57" s="154" t="s">
        <v>44</v>
      </c>
      <c r="C57" s="173" t="s">
        <v>415</v>
      </c>
      <c r="D57" s="174" t="s">
        <v>83</v>
      </c>
      <c r="E57" s="173" t="s">
        <v>1326</v>
      </c>
      <c r="F57" s="173">
        <v>343.33</v>
      </c>
      <c r="G57" s="180" t="s">
        <v>335</v>
      </c>
      <c r="H57" s="174" t="s">
        <v>91</v>
      </c>
      <c r="I57" s="174" t="s">
        <v>91</v>
      </c>
      <c r="J57" s="174" t="s">
        <v>85</v>
      </c>
      <c r="K57" s="173" t="s">
        <v>687</v>
      </c>
      <c r="L57" s="174" t="s">
        <v>688</v>
      </c>
      <c r="M57" s="178">
        <v>44158.0</v>
      </c>
      <c r="N57" s="173" t="s">
        <v>1318</v>
      </c>
      <c r="O57" s="176" t="s">
        <v>690</v>
      </c>
      <c r="P57" s="174" t="s">
        <v>691</v>
      </c>
      <c r="Q57" s="174" t="s">
        <v>691</v>
      </c>
      <c r="R57" s="177"/>
    </row>
    <row r="58" ht="15.75" customHeight="1">
      <c r="A58" s="172" t="s">
        <v>789</v>
      </c>
      <c r="B58" s="153" t="s">
        <v>696</v>
      </c>
      <c r="C58" s="173" t="s">
        <v>790</v>
      </c>
      <c r="D58" s="174" t="s">
        <v>185</v>
      </c>
      <c r="E58" s="173" t="s">
        <v>777</v>
      </c>
      <c r="F58" s="174">
        <v>3023.0</v>
      </c>
      <c r="G58" s="173" t="s">
        <v>723</v>
      </c>
      <c r="H58" s="174" t="s">
        <v>91</v>
      </c>
      <c r="I58" s="173" t="s">
        <v>723</v>
      </c>
      <c r="J58" s="174" t="s">
        <v>85</v>
      </c>
      <c r="K58" s="173" t="s">
        <v>749</v>
      </c>
      <c r="L58" s="174" t="s">
        <v>688</v>
      </c>
      <c r="M58" s="178">
        <v>44140.0</v>
      </c>
      <c r="N58" s="173" t="s">
        <v>701</v>
      </c>
      <c r="O58" s="176" t="s">
        <v>690</v>
      </c>
      <c r="P58" s="174" t="s">
        <v>771</v>
      </c>
      <c r="Q58" s="174" t="s">
        <v>771</v>
      </c>
      <c r="R58" s="177"/>
    </row>
    <row r="59" ht="15.75" customHeight="1">
      <c r="A59" s="172" t="s">
        <v>180</v>
      </c>
      <c r="B59" s="154" t="s">
        <v>197</v>
      </c>
      <c r="C59" s="173" t="s">
        <v>791</v>
      </c>
      <c r="D59" s="174" t="s">
        <v>185</v>
      </c>
      <c r="E59" s="173" t="s">
        <v>720</v>
      </c>
      <c r="F59" s="183" t="b">
        <v>1</v>
      </c>
      <c r="G59" s="180" t="s">
        <v>91</v>
      </c>
      <c r="H59" s="174" t="s">
        <v>91</v>
      </c>
      <c r="I59" s="174" t="s">
        <v>91</v>
      </c>
      <c r="J59" s="174" t="s">
        <v>85</v>
      </c>
      <c r="K59" s="173" t="s">
        <v>687</v>
      </c>
      <c r="L59" s="174" t="s">
        <v>687</v>
      </c>
      <c r="M59" s="178">
        <v>44156.0</v>
      </c>
      <c r="N59" s="173" t="s">
        <v>741</v>
      </c>
      <c r="O59" s="176" t="s">
        <v>690</v>
      </c>
      <c r="P59" s="174" t="s">
        <v>782</v>
      </c>
      <c r="Q59" s="174" t="s">
        <v>782</v>
      </c>
      <c r="R59" s="177"/>
    </row>
    <row r="60" ht="15.75" customHeight="1">
      <c r="A60" s="172" t="s">
        <v>139</v>
      </c>
      <c r="B60" s="154" t="s">
        <v>44</v>
      </c>
      <c r="C60" s="173" t="s">
        <v>140</v>
      </c>
      <c r="D60" s="174" t="s">
        <v>135</v>
      </c>
      <c r="E60" s="173" t="s">
        <v>685</v>
      </c>
      <c r="F60" s="180" t="s">
        <v>142</v>
      </c>
      <c r="G60" s="180" t="s">
        <v>136</v>
      </c>
      <c r="H60" s="180" t="s">
        <v>91</v>
      </c>
      <c r="I60" s="180" t="s">
        <v>91</v>
      </c>
      <c r="J60" s="190">
        <v>0.625</v>
      </c>
      <c r="K60" s="172" t="s">
        <v>1479</v>
      </c>
      <c r="L60" s="180" t="s">
        <v>793</v>
      </c>
      <c r="M60" s="178">
        <v>44105.0</v>
      </c>
      <c r="N60" s="173" t="s">
        <v>741</v>
      </c>
      <c r="O60" s="176" t="s">
        <v>690</v>
      </c>
      <c r="P60" s="174" t="s">
        <v>691</v>
      </c>
      <c r="Q60" s="174" t="s">
        <v>691</v>
      </c>
      <c r="R60" s="177"/>
    </row>
    <row r="61" ht="15.75" customHeight="1">
      <c r="A61" s="172" t="s">
        <v>794</v>
      </c>
      <c r="B61" s="154" t="s">
        <v>44</v>
      </c>
      <c r="C61" s="173" t="s">
        <v>334</v>
      </c>
      <c r="D61" s="174" t="s">
        <v>83</v>
      </c>
      <c r="E61" s="173" t="s">
        <v>774</v>
      </c>
      <c r="F61" s="174">
        <v>20000.0</v>
      </c>
      <c r="G61" s="180" t="s">
        <v>335</v>
      </c>
      <c r="H61" s="174" t="s">
        <v>91</v>
      </c>
      <c r="I61" s="174" t="s">
        <v>91</v>
      </c>
      <c r="J61" s="174" t="s">
        <v>85</v>
      </c>
      <c r="K61" s="173" t="s">
        <v>687</v>
      </c>
      <c r="L61" s="174" t="s">
        <v>688</v>
      </c>
      <c r="M61" s="178">
        <v>44158.0</v>
      </c>
      <c r="N61" s="173" t="s">
        <v>701</v>
      </c>
      <c r="O61" s="176" t="s">
        <v>690</v>
      </c>
      <c r="P61" s="174" t="s">
        <v>691</v>
      </c>
      <c r="Q61" s="174" t="s">
        <v>691</v>
      </c>
      <c r="R61" s="177"/>
    </row>
    <row r="62" ht="15.75" customHeight="1">
      <c r="A62" s="172" t="s">
        <v>403</v>
      </c>
      <c r="B62" s="154" t="s">
        <v>197</v>
      </c>
      <c r="C62" s="173" t="s">
        <v>404</v>
      </c>
      <c r="D62" s="174" t="s">
        <v>83</v>
      </c>
      <c r="E62" s="173" t="s">
        <v>685</v>
      </c>
      <c r="F62" s="172">
        <v>5.25641638E8</v>
      </c>
      <c r="G62" s="172" t="s">
        <v>686</v>
      </c>
      <c r="H62" s="174" t="s">
        <v>91</v>
      </c>
      <c r="I62" s="174" t="s">
        <v>91</v>
      </c>
      <c r="J62" s="174" t="s">
        <v>85</v>
      </c>
      <c r="K62" s="173" t="s">
        <v>749</v>
      </c>
      <c r="L62" s="174" t="s">
        <v>688</v>
      </c>
      <c r="M62" s="178">
        <v>44147.0</v>
      </c>
      <c r="N62" s="173" t="s">
        <v>701</v>
      </c>
      <c r="O62" s="176" t="s">
        <v>690</v>
      </c>
      <c r="P62" s="174" t="s">
        <v>771</v>
      </c>
      <c r="Q62" s="174" t="s">
        <v>771</v>
      </c>
      <c r="R62" s="177"/>
    </row>
    <row r="63" ht="15.75" customHeight="1">
      <c r="A63" s="172" t="s">
        <v>420</v>
      </c>
      <c r="B63" s="154" t="s">
        <v>696</v>
      </c>
      <c r="C63" s="173" t="s">
        <v>795</v>
      </c>
      <c r="D63" s="174" t="s">
        <v>185</v>
      </c>
      <c r="E63" s="173" t="s">
        <v>685</v>
      </c>
      <c r="F63" s="174" t="s">
        <v>732</v>
      </c>
      <c r="G63" s="172" t="s">
        <v>686</v>
      </c>
      <c r="H63" s="174" t="s">
        <v>91</v>
      </c>
      <c r="I63" s="174" t="s">
        <v>91</v>
      </c>
      <c r="J63" s="174" t="s">
        <v>85</v>
      </c>
      <c r="K63" s="173" t="s">
        <v>687</v>
      </c>
      <c r="L63" s="174" t="s">
        <v>688</v>
      </c>
      <c r="M63" s="178">
        <v>44158.0</v>
      </c>
      <c r="N63" s="173" t="s">
        <v>692</v>
      </c>
      <c r="O63" s="176" t="s">
        <v>690</v>
      </c>
      <c r="P63" s="174" t="s">
        <v>691</v>
      </c>
      <c r="Q63" s="174" t="s">
        <v>691</v>
      </c>
      <c r="R63" s="177"/>
    </row>
    <row r="64">
      <c r="A64" s="172" t="s">
        <v>423</v>
      </c>
      <c r="B64" s="154" t="s">
        <v>696</v>
      </c>
      <c r="C64" s="173" t="s">
        <v>796</v>
      </c>
      <c r="D64" s="174" t="s">
        <v>83</v>
      </c>
      <c r="E64" s="173" t="s">
        <v>685</v>
      </c>
      <c r="F64" s="174" t="s">
        <v>797</v>
      </c>
      <c r="G64" s="172" t="s">
        <v>686</v>
      </c>
      <c r="H64" s="174" t="s">
        <v>91</v>
      </c>
      <c r="I64" s="174" t="s">
        <v>91</v>
      </c>
      <c r="J64" s="174" t="s">
        <v>85</v>
      </c>
      <c r="K64" s="173" t="s">
        <v>687</v>
      </c>
      <c r="L64" s="174" t="s">
        <v>688</v>
      </c>
      <c r="M64" s="178">
        <v>44158.0</v>
      </c>
      <c r="N64" s="173" t="s">
        <v>692</v>
      </c>
      <c r="O64" s="176" t="s">
        <v>690</v>
      </c>
      <c r="P64" s="174" t="s">
        <v>691</v>
      </c>
      <c r="Q64" s="174" t="s">
        <v>691</v>
      </c>
      <c r="R64" s="177"/>
    </row>
    <row r="65" ht="15.75" customHeight="1">
      <c r="A65" s="172" t="s">
        <v>439</v>
      </c>
      <c r="B65" s="154" t="s">
        <v>44</v>
      </c>
      <c r="C65" s="173" t="s">
        <v>798</v>
      </c>
      <c r="D65" s="174" t="s">
        <v>185</v>
      </c>
      <c r="E65" s="173" t="s">
        <v>698</v>
      </c>
      <c r="F65" s="187">
        <v>43678.333333333336</v>
      </c>
      <c r="G65" s="172" t="s">
        <v>1389</v>
      </c>
      <c r="H65" s="172" t="s">
        <v>1389</v>
      </c>
      <c r="I65" s="172" t="s">
        <v>1389</v>
      </c>
      <c r="J65" s="174" t="s">
        <v>85</v>
      </c>
      <c r="K65" s="173" t="s">
        <v>687</v>
      </c>
      <c r="L65" s="174" t="s">
        <v>688</v>
      </c>
      <c r="M65" s="178">
        <v>44158.0</v>
      </c>
      <c r="N65" s="173" t="s">
        <v>701</v>
      </c>
      <c r="O65" s="176" t="s">
        <v>690</v>
      </c>
      <c r="P65" s="174" t="s">
        <v>705</v>
      </c>
      <c r="Q65" s="174" t="s">
        <v>705</v>
      </c>
      <c r="R65" s="177"/>
    </row>
    <row r="66" ht="15.75" customHeight="1">
      <c r="A66" s="172" t="s">
        <v>146</v>
      </c>
      <c r="B66" s="154" t="s">
        <v>44</v>
      </c>
      <c r="C66" s="173" t="s">
        <v>800</v>
      </c>
      <c r="D66" s="174" t="s">
        <v>83</v>
      </c>
      <c r="E66" s="173" t="s">
        <v>685</v>
      </c>
      <c r="F66" s="174" t="s">
        <v>148</v>
      </c>
      <c r="G66" s="172" t="s">
        <v>686</v>
      </c>
      <c r="H66" s="174" t="s">
        <v>91</v>
      </c>
      <c r="I66" s="174" t="s">
        <v>91</v>
      </c>
      <c r="J66" s="185" t="s">
        <v>90</v>
      </c>
      <c r="K66" s="172" t="s">
        <v>687</v>
      </c>
      <c r="L66" s="180" t="s">
        <v>802</v>
      </c>
      <c r="M66" s="178">
        <v>44158.0</v>
      </c>
      <c r="N66" s="173" t="s">
        <v>701</v>
      </c>
      <c r="O66" s="176" t="s">
        <v>690</v>
      </c>
      <c r="P66" s="174" t="s">
        <v>691</v>
      </c>
      <c r="Q66" s="174" t="s">
        <v>691</v>
      </c>
      <c r="R66" s="177"/>
    </row>
    <row r="67" ht="15.75" customHeight="1">
      <c r="A67" s="172" t="s">
        <v>397</v>
      </c>
      <c r="B67" s="154" t="s">
        <v>44</v>
      </c>
      <c r="C67" s="173" t="s">
        <v>398</v>
      </c>
      <c r="D67" s="174" t="s">
        <v>83</v>
      </c>
      <c r="E67" s="173" t="s">
        <v>685</v>
      </c>
      <c r="F67" s="174" t="s">
        <v>399</v>
      </c>
      <c r="G67" s="180" t="s">
        <v>335</v>
      </c>
      <c r="H67" s="174" t="s">
        <v>91</v>
      </c>
      <c r="I67" s="174" t="s">
        <v>91</v>
      </c>
      <c r="J67" s="174" t="s">
        <v>85</v>
      </c>
      <c r="K67" s="173" t="s">
        <v>687</v>
      </c>
      <c r="L67" s="174" t="s">
        <v>688</v>
      </c>
      <c r="M67" s="178">
        <v>44158.0</v>
      </c>
      <c r="N67" s="173" t="s">
        <v>701</v>
      </c>
      <c r="O67" s="176" t="s">
        <v>690</v>
      </c>
      <c r="P67" s="174" t="s">
        <v>788</v>
      </c>
      <c r="Q67" s="174" t="s">
        <v>788</v>
      </c>
      <c r="R67" s="177"/>
    </row>
    <row r="68">
      <c r="A68" s="172" t="s">
        <v>803</v>
      </c>
      <c r="B68" s="153" t="s">
        <v>696</v>
      </c>
      <c r="C68" s="173" t="s">
        <v>804</v>
      </c>
      <c r="D68" s="174" t="s">
        <v>83</v>
      </c>
      <c r="E68" s="173" t="s">
        <v>685</v>
      </c>
      <c r="F68" s="174" t="s">
        <v>428</v>
      </c>
      <c r="G68" s="172" t="s">
        <v>686</v>
      </c>
      <c r="H68" s="174" t="s">
        <v>91</v>
      </c>
      <c r="I68" s="174" t="s">
        <v>91</v>
      </c>
      <c r="J68" s="174" t="s">
        <v>85</v>
      </c>
      <c r="K68" s="173" t="s">
        <v>687</v>
      </c>
      <c r="L68" s="174" t="s">
        <v>688</v>
      </c>
      <c r="M68" s="178">
        <v>44158.0</v>
      </c>
      <c r="N68" s="173" t="s">
        <v>692</v>
      </c>
      <c r="O68" s="176" t="s">
        <v>690</v>
      </c>
      <c r="P68" s="174" t="s">
        <v>691</v>
      </c>
      <c r="Q68" s="174" t="s">
        <v>691</v>
      </c>
      <c r="R68" s="177"/>
    </row>
    <row r="69" ht="15.75" customHeight="1">
      <c r="A69" s="172" t="s">
        <v>97</v>
      </c>
      <c r="B69" s="154" t="s">
        <v>696</v>
      </c>
      <c r="C69" s="173" t="s">
        <v>98</v>
      </c>
      <c r="D69" s="174" t="s">
        <v>83</v>
      </c>
      <c r="E69" s="173" t="s">
        <v>698</v>
      </c>
      <c r="F69" s="191">
        <v>42715.0</v>
      </c>
      <c r="G69" s="172" t="s">
        <v>686</v>
      </c>
      <c r="H69" s="174" t="s">
        <v>91</v>
      </c>
      <c r="I69" s="174" t="s">
        <v>91</v>
      </c>
      <c r="J69" s="174" t="s">
        <v>85</v>
      </c>
      <c r="K69" s="173" t="s">
        <v>687</v>
      </c>
      <c r="L69" s="174" t="s">
        <v>688</v>
      </c>
      <c r="M69" s="178">
        <v>44158.0</v>
      </c>
      <c r="N69" s="173" t="s">
        <v>692</v>
      </c>
      <c r="O69" s="176" t="s">
        <v>690</v>
      </c>
      <c r="P69" s="174" t="s">
        <v>691</v>
      </c>
      <c r="Q69" s="174" t="s">
        <v>691</v>
      </c>
      <c r="R69" s="177"/>
    </row>
    <row r="70" ht="15.75" customHeight="1">
      <c r="A70" s="172" t="s">
        <v>805</v>
      </c>
      <c r="B70" s="154" t="s">
        <v>197</v>
      </c>
      <c r="C70" s="173" t="s">
        <v>382</v>
      </c>
      <c r="D70" s="174" t="s">
        <v>185</v>
      </c>
      <c r="E70" s="173" t="s">
        <v>768</v>
      </c>
      <c r="F70" s="174">
        <v>9630.0</v>
      </c>
      <c r="G70" s="173" t="s">
        <v>723</v>
      </c>
      <c r="H70" s="174" t="s">
        <v>91</v>
      </c>
      <c r="I70" s="173" t="s">
        <v>723</v>
      </c>
      <c r="J70" s="174" t="s">
        <v>85</v>
      </c>
      <c r="K70" s="172" t="s">
        <v>687</v>
      </c>
      <c r="L70" s="180" t="s">
        <v>760</v>
      </c>
      <c r="M70" s="178">
        <v>44157.0</v>
      </c>
      <c r="N70" s="173" t="s">
        <v>735</v>
      </c>
      <c r="O70" s="184" t="s">
        <v>736</v>
      </c>
      <c r="P70" s="174" t="s">
        <v>761</v>
      </c>
      <c r="Q70" s="174" t="s">
        <v>761</v>
      </c>
      <c r="R70" s="177"/>
    </row>
    <row r="71" ht="15.75" customHeight="1">
      <c r="A71" s="172" t="s">
        <v>806</v>
      </c>
      <c r="B71" s="153" t="s">
        <v>696</v>
      </c>
      <c r="C71" s="173" t="s">
        <v>401</v>
      </c>
      <c r="D71" s="174" t="s">
        <v>83</v>
      </c>
      <c r="E71" s="173" t="s">
        <v>685</v>
      </c>
      <c r="F71" s="174" t="s">
        <v>402</v>
      </c>
      <c r="G71" s="180" t="s">
        <v>335</v>
      </c>
      <c r="H71" s="174" t="s">
        <v>91</v>
      </c>
      <c r="I71" s="174" t="s">
        <v>91</v>
      </c>
      <c r="J71" s="174" t="s">
        <v>85</v>
      </c>
      <c r="K71" s="173" t="s">
        <v>687</v>
      </c>
      <c r="L71" s="174" t="s">
        <v>688</v>
      </c>
      <c r="M71" s="178">
        <v>44158.0</v>
      </c>
      <c r="N71" s="173" t="s">
        <v>701</v>
      </c>
      <c r="O71" s="176" t="s">
        <v>690</v>
      </c>
      <c r="P71" s="174" t="s">
        <v>788</v>
      </c>
      <c r="Q71" s="174" t="s">
        <v>788</v>
      </c>
      <c r="R71" s="177"/>
    </row>
    <row r="72" ht="15.75" customHeight="1">
      <c r="A72" s="172" t="s">
        <v>807</v>
      </c>
      <c r="B72" s="154" t="s">
        <v>197</v>
      </c>
      <c r="C72" s="173" t="s">
        <v>808</v>
      </c>
      <c r="D72" s="174" t="s">
        <v>185</v>
      </c>
      <c r="E72" s="173" t="s">
        <v>698</v>
      </c>
      <c r="F72" s="181">
        <v>43733.0</v>
      </c>
      <c r="G72" s="173" t="s">
        <v>723</v>
      </c>
      <c r="H72" s="174" t="s">
        <v>91</v>
      </c>
      <c r="I72" s="173" t="s">
        <v>723</v>
      </c>
      <c r="J72" s="174" t="s">
        <v>85</v>
      </c>
      <c r="K72" s="172" t="s">
        <v>687</v>
      </c>
      <c r="L72" s="180" t="s">
        <v>760</v>
      </c>
      <c r="M72" s="178">
        <v>44157.0</v>
      </c>
      <c r="N72" s="173" t="s">
        <v>735</v>
      </c>
      <c r="O72" s="184" t="s">
        <v>736</v>
      </c>
      <c r="P72" s="174" t="s">
        <v>761</v>
      </c>
      <c r="Q72" s="174" t="s">
        <v>761</v>
      </c>
      <c r="R72" s="177"/>
    </row>
    <row r="73">
      <c r="A73" s="172" t="s">
        <v>410</v>
      </c>
      <c r="B73" s="154" t="s">
        <v>696</v>
      </c>
      <c r="C73" s="173" t="s">
        <v>411</v>
      </c>
      <c r="D73" s="174" t="s">
        <v>83</v>
      </c>
      <c r="E73" s="173" t="s">
        <v>698</v>
      </c>
      <c r="F73" s="181">
        <v>40598.0</v>
      </c>
      <c r="G73" s="182" t="s">
        <v>686</v>
      </c>
      <c r="H73" s="174" t="s">
        <v>91</v>
      </c>
      <c r="I73" s="174" t="s">
        <v>91</v>
      </c>
      <c r="J73" s="174" t="s">
        <v>85</v>
      </c>
      <c r="K73" s="173" t="s">
        <v>687</v>
      </c>
      <c r="L73" s="174" t="s">
        <v>688</v>
      </c>
      <c r="M73" s="178">
        <v>44158.0</v>
      </c>
      <c r="N73" s="173" t="s">
        <v>1327</v>
      </c>
      <c r="O73" s="176" t="s">
        <v>690</v>
      </c>
      <c r="P73" s="174" t="s">
        <v>744</v>
      </c>
      <c r="Q73" s="174" t="s">
        <v>744</v>
      </c>
      <c r="R73" s="177"/>
    </row>
    <row r="74" ht="15.75" customHeight="1">
      <c r="A74" s="172" t="s">
        <v>811</v>
      </c>
      <c r="B74" s="154" t="s">
        <v>197</v>
      </c>
      <c r="C74" s="173" t="s">
        <v>812</v>
      </c>
      <c r="D74" s="174" t="s">
        <v>185</v>
      </c>
      <c r="E74" s="173" t="s">
        <v>768</v>
      </c>
      <c r="F74" s="180">
        <v>100.0</v>
      </c>
      <c r="G74" s="173" t="s">
        <v>723</v>
      </c>
      <c r="H74" s="180" t="s">
        <v>91</v>
      </c>
      <c r="I74" s="173" t="s">
        <v>723</v>
      </c>
      <c r="J74" s="180" t="s">
        <v>85</v>
      </c>
      <c r="K74" s="172" t="s">
        <v>687</v>
      </c>
      <c r="L74" s="180" t="s">
        <v>760</v>
      </c>
      <c r="M74" s="178">
        <v>44157.0</v>
      </c>
      <c r="N74" s="173" t="s">
        <v>735</v>
      </c>
      <c r="O74" s="184" t="s">
        <v>736</v>
      </c>
      <c r="P74" s="174" t="s">
        <v>761</v>
      </c>
      <c r="Q74" s="174" t="s">
        <v>761</v>
      </c>
      <c r="R74" s="177"/>
    </row>
    <row r="75" ht="15.75" customHeight="1">
      <c r="A75" s="172" t="s">
        <v>813</v>
      </c>
      <c r="B75" s="154" t="s">
        <v>197</v>
      </c>
      <c r="C75" s="173" t="s">
        <v>814</v>
      </c>
      <c r="D75" s="174" t="s">
        <v>185</v>
      </c>
      <c r="E75" s="173" t="s">
        <v>768</v>
      </c>
      <c r="F75" s="174">
        <v>100.0</v>
      </c>
      <c r="G75" s="173" t="s">
        <v>723</v>
      </c>
      <c r="H75" s="174" t="s">
        <v>91</v>
      </c>
      <c r="I75" s="173" t="s">
        <v>723</v>
      </c>
      <c r="J75" s="174" t="s">
        <v>85</v>
      </c>
      <c r="K75" s="172" t="s">
        <v>687</v>
      </c>
      <c r="L75" s="180" t="s">
        <v>760</v>
      </c>
      <c r="M75" s="178">
        <v>44157.0</v>
      </c>
      <c r="N75" s="173" t="s">
        <v>735</v>
      </c>
      <c r="O75" s="184" t="s">
        <v>736</v>
      </c>
      <c r="P75" s="174" t="s">
        <v>761</v>
      </c>
      <c r="Q75" s="174" t="s">
        <v>761</v>
      </c>
      <c r="R75" s="177"/>
    </row>
    <row r="76" ht="15.75" customHeight="1">
      <c r="A76" s="172" t="s">
        <v>815</v>
      </c>
      <c r="B76" s="154" t="s">
        <v>197</v>
      </c>
      <c r="C76" s="173" t="s">
        <v>816</v>
      </c>
      <c r="D76" s="174" t="s">
        <v>185</v>
      </c>
      <c r="E76" s="173" t="s">
        <v>768</v>
      </c>
      <c r="F76" s="174">
        <v>15.0</v>
      </c>
      <c r="G76" s="173" t="s">
        <v>723</v>
      </c>
      <c r="H76" s="180" t="s">
        <v>91</v>
      </c>
      <c r="I76" s="173" t="s">
        <v>723</v>
      </c>
      <c r="J76" s="174" t="s">
        <v>85</v>
      </c>
      <c r="K76" s="172" t="s">
        <v>687</v>
      </c>
      <c r="L76" s="180" t="s">
        <v>760</v>
      </c>
      <c r="M76" s="178">
        <v>44157.0</v>
      </c>
      <c r="N76" s="173" t="s">
        <v>735</v>
      </c>
      <c r="O76" s="184" t="s">
        <v>736</v>
      </c>
      <c r="P76" s="174" t="s">
        <v>761</v>
      </c>
      <c r="Q76" s="174" t="s">
        <v>761</v>
      </c>
      <c r="R76" s="177"/>
    </row>
    <row r="77" ht="15.75" customHeight="1">
      <c r="A77" s="172" t="s">
        <v>817</v>
      </c>
      <c r="B77" s="154" t="s">
        <v>197</v>
      </c>
      <c r="C77" s="173" t="s">
        <v>818</v>
      </c>
      <c r="D77" s="174" t="s">
        <v>185</v>
      </c>
      <c r="E77" s="173" t="s">
        <v>768</v>
      </c>
      <c r="F77" s="174">
        <v>25.0</v>
      </c>
      <c r="G77" s="173" t="s">
        <v>723</v>
      </c>
      <c r="H77" s="174" t="s">
        <v>91</v>
      </c>
      <c r="I77" s="173" t="s">
        <v>723</v>
      </c>
      <c r="J77" s="174" t="s">
        <v>85</v>
      </c>
      <c r="K77" s="172" t="s">
        <v>687</v>
      </c>
      <c r="L77" s="180" t="s">
        <v>760</v>
      </c>
      <c r="M77" s="178">
        <v>44157.0</v>
      </c>
      <c r="N77" s="173" t="s">
        <v>735</v>
      </c>
      <c r="O77" s="184" t="s">
        <v>736</v>
      </c>
      <c r="P77" s="174" t="s">
        <v>761</v>
      </c>
      <c r="Q77" s="174" t="s">
        <v>761</v>
      </c>
      <c r="R77" s="177"/>
    </row>
    <row r="78" ht="15.75" customHeight="1">
      <c r="A78" s="172" t="s">
        <v>819</v>
      </c>
      <c r="B78" s="154" t="s">
        <v>197</v>
      </c>
      <c r="C78" s="173" t="s">
        <v>820</v>
      </c>
      <c r="D78" s="174" t="s">
        <v>185</v>
      </c>
      <c r="E78" s="173" t="s">
        <v>768</v>
      </c>
      <c r="F78" s="174">
        <v>289425.0</v>
      </c>
      <c r="G78" s="173" t="s">
        <v>723</v>
      </c>
      <c r="H78" s="174" t="s">
        <v>91</v>
      </c>
      <c r="I78" s="173" t="s">
        <v>723</v>
      </c>
      <c r="J78" s="174" t="s">
        <v>85</v>
      </c>
      <c r="K78" s="172" t="s">
        <v>687</v>
      </c>
      <c r="L78" s="180" t="s">
        <v>760</v>
      </c>
      <c r="M78" s="178">
        <v>44157.0</v>
      </c>
      <c r="N78" s="173" t="s">
        <v>735</v>
      </c>
      <c r="O78" s="184" t="s">
        <v>736</v>
      </c>
      <c r="P78" s="174" t="s">
        <v>761</v>
      </c>
      <c r="Q78" s="174" t="s">
        <v>761</v>
      </c>
      <c r="R78" s="177"/>
    </row>
    <row r="79" ht="15.75" customHeight="1">
      <c r="A79" s="172" t="s">
        <v>821</v>
      </c>
      <c r="B79" s="154" t="s">
        <v>197</v>
      </c>
      <c r="C79" s="173" t="s">
        <v>371</v>
      </c>
      <c r="D79" s="174" t="s">
        <v>185</v>
      </c>
      <c r="E79" s="173" t="s">
        <v>768</v>
      </c>
      <c r="F79" s="174">
        <v>370.0</v>
      </c>
      <c r="G79" s="173" t="s">
        <v>723</v>
      </c>
      <c r="H79" s="174" t="s">
        <v>91</v>
      </c>
      <c r="I79" s="173" t="s">
        <v>723</v>
      </c>
      <c r="J79" s="174" t="s">
        <v>85</v>
      </c>
      <c r="K79" s="172" t="s">
        <v>687</v>
      </c>
      <c r="L79" s="180" t="s">
        <v>760</v>
      </c>
      <c r="M79" s="178">
        <v>44157.0</v>
      </c>
      <c r="N79" s="173" t="s">
        <v>735</v>
      </c>
      <c r="O79" s="184" t="s">
        <v>736</v>
      </c>
      <c r="P79" s="174" t="s">
        <v>761</v>
      </c>
      <c r="Q79" s="174" t="s">
        <v>761</v>
      </c>
      <c r="R79" s="177"/>
    </row>
    <row r="80" ht="15.75" customHeight="1">
      <c r="A80" s="172" t="s">
        <v>151</v>
      </c>
      <c r="B80" s="155" t="s">
        <v>44</v>
      </c>
      <c r="C80" s="173" t="s">
        <v>822</v>
      </c>
      <c r="D80" s="174" t="s">
        <v>135</v>
      </c>
      <c r="E80" s="173" t="s">
        <v>685</v>
      </c>
      <c r="F80" s="174" t="s">
        <v>154</v>
      </c>
      <c r="G80" s="180" t="s">
        <v>136</v>
      </c>
      <c r="H80" s="174" t="s">
        <v>91</v>
      </c>
      <c r="I80" s="174" t="s">
        <v>91</v>
      </c>
      <c r="J80" s="190">
        <v>1.0</v>
      </c>
      <c r="K80" s="172" t="s">
        <v>749</v>
      </c>
      <c r="L80" s="180" t="s">
        <v>763</v>
      </c>
      <c r="M80" s="178">
        <v>44105.0</v>
      </c>
      <c r="N80" s="173" t="s">
        <v>692</v>
      </c>
      <c r="O80" s="176" t="s">
        <v>690</v>
      </c>
      <c r="P80" s="174" t="s">
        <v>782</v>
      </c>
      <c r="Q80" s="174" t="s">
        <v>782</v>
      </c>
      <c r="R80" s="177"/>
    </row>
    <row r="81" ht="15.75" customHeight="1">
      <c r="A81" s="172" t="s">
        <v>155</v>
      </c>
      <c r="B81" s="155" t="s">
        <v>44</v>
      </c>
      <c r="C81" s="173" t="s">
        <v>823</v>
      </c>
      <c r="D81" s="174" t="s">
        <v>135</v>
      </c>
      <c r="E81" s="173" t="s">
        <v>685</v>
      </c>
      <c r="F81" s="174" t="s">
        <v>157</v>
      </c>
      <c r="G81" s="180" t="s">
        <v>136</v>
      </c>
      <c r="H81" s="174" t="s">
        <v>91</v>
      </c>
      <c r="I81" s="174" t="s">
        <v>91</v>
      </c>
      <c r="J81" s="190">
        <v>1.0</v>
      </c>
      <c r="K81" s="172" t="s">
        <v>749</v>
      </c>
      <c r="L81" s="180" t="s">
        <v>763</v>
      </c>
      <c r="M81" s="178">
        <v>44105.0</v>
      </c>
      <c r="N81" s="173" t="s">
        <v>692</v>
      </c>
      <c r="O81" s="176" t="s">
        <v>690</v>
      </c>
      <c r="P81" s="174" t="s">
        <v>782</v>
      </c>
      <c r="Q81" s="174" t="s">
        <v>782</v>
      </c>
      <c r="R81" s="177"/>
    </row>
    <row r="82" ht="15.75" customHeight="1">
      <c r="A82" s="172" t="s">
        <v>158</v>
      </c>
      <c r="B82" s="155" t="s">
        <v>44</v>
      </c>
      <c r="C82" s="173" t="s">
        <v>824</v>
      </c>
      <c r="D82" s="174" t="s">
        <v>135</v>
      </c>
      <c r="E82" s="173" t="s">
        <v>685</v>
      </c>
      <c r="F82" s="174" t="s">
        <v>160</v>
      </c>
      <c r="G82" s="180" t="s">
        <v>136</v>
      </c>
      <c r="H82" s="174" t="s">
        <v>91</v>
      </c>
      <c r="I82" s="174" t="s">
        <v>91</v>
      </c>
      <c r="J82" s="190">
        <v>1.0</v>
      </c>
      <c r="K82" s="172" t="s">
        <v>749</v>
      </c>
      <c r="L82" s="180" t="s">
        <v>763</v>
      </c>
      <c r="M82" s="178">
        <v>44105.0</v>
      </c>
      <c r="N82" s="173" t="s">
        <v>692</v>
      </c>
      <c r="O82" s="176" t="s">
        <v>690</v>
      </c>
      <c r="P82" s="174" t="s">
        <v>782</v>
      </c>
      <c r="Q82" s="174" t="s">
        <v>782</v>
      </c>
      <c r="R82" s="177"/>
    </row>
    <row r="83" ht="15.75" customHeight="1">
      <c r="A83" s="172" t="s">
        <v>161</v>
      </c>
      <c r="B83" s="155" t="s">
        <v>44</v>
      </c>
      <c r="C83" s="173" t="s">
        <v>825</v>
      </c>
      <c r="D83" s="174" t="s">
        <v>135</v>
      </c>
      <c r="E83" s="173" t="s">
        <v>685</v>
      </c>
      <c r="F83" s="174" t="s">
        <v>163</v>
      </c>
      <c r="G83" s="180" t="s">
        <v>136</v>
      </c>
      <c r="H83" s="174" t="s">
        <v>91</v>
      </c>
      <c r="I83" s="174" t="s">
        <v>91</v>
      </c>
      <c r="J83" s="190">
        <v>1.0</v>
      </c>
      <c r="K83" s="172" t="s">
        <v>749</v>
      </c>
      <c r="L83" s="180" t="s">
        <v>763</v>
      </c>
      <c r="M83" s="178">
        <v>44105.0</v>
      </c>
      <c r="N83" s="173" t="s">
        <v>692</v>
      </c>
      <c r="O83" s="176" t="s">
        <v>690</v>
      </c>
      <c r="P83" s="174" t="s">
        <v>782</v>
      </c>
      <c r="Q83" s="174" t="s">
        <v>782</v>
      </c>
      <c r="R83" s="177"/>
    </row>
    <row r="84" ht="15.75" customHeight="1">
      <c r="A84" s="172" t="s">
        <v>164</v>
      </c>
      <c r="B84" s="155" t="s">
        <v>44</v>
      </c>
      <c r="C84" s="173" t="s">
        <v>826</v>
      </c>
      <c r="D84" s="174" t="s">
        <v>135</v>
      </c>
      <c r="E84" s="173" t="s">
        <v>685</v>
      </c>
      <c r="F84" s="174" t="s">
        <v>154</v>
      </c>
      <c r="G84" s="180" t="s">
        <v>136</v>
      </c>
      <c r="H84" s="174" t="s">
        <v>91</v>
      </c>
      <c r="I84" s="174" t="s">
        <v>91</v>
      </c>
      <c r="J84" s="190">
        <v>0.6765</v>
      </c>
      <c r="K84" s="172" t="s">
        <v>749</v>
      </c>
      <c r="L84" s="180" t="s">
        <v>763</v>
      </c>
      <c r="M84" s="178">
        <v>44105.0</v>
      </c>
      <c r="N84" s="173" t="s">
        <v>692</v>
      </c>
      <c r="O84" s="176" t="s">
        <v>690</v>
      </c>
      <c r="P84" s="174" t="s">
        <v>782</v>
      </c>
      <c r="Q84" s="174" t="s">
        <v>782</v>
      </c>
      <c r="R84" s="177"/>
    </row>
    <row r="85" ht="15.75" customHeight="1">
      <c r="A85" s="172" t="s">
        <v>166</v>
      </c>
      <c r="B85" s="155" t="s">
        <v>44</v>
      </c>
      <c r="C85" s="173" t="s">
        <v>827</v>
      </c>
      <c r="D85" s="174" t="s">
        <v>135</v>
      </c>
      <c r="E85" s="173" t="s">
        <v>685</v>
      </c>
      <c r="F85" s="174" t="s">
        <v>157</v>
      </c>
      <c r="G85" s="180" t="s">
        <v>136</v>
      </c>
      <c r="H85" s="174" t="s">
        <v>91</v>
      </c>
      <c r="I85" s="174" t="s">
        <v>91</v>
      </c>
      <c r="J85" s="190">
        <v>0.6765</v>
      </c>
      <c r="K85" s="172" t="s">
        <v>749</v>
      </c>
      <c r="L85" s="180" t="s">
        <v>763</v>
      </c>
      <c r="M85" s="178">
        <v>44105.0</v>
      </c>
      <c r="N85" s="173" t="s">
        <v>692</v>
      </c>
      <c r="O85" s="176" t="s">
        <v>690</v>
      </c>
      <c r="P85" s="174" t="s">
        <v>782</v>
      </c>
      <c r="Q85" s="174" t="s">
        <v>782</v>
      </c>
      <c r="R85" s="177"/>
    </row>
    <row r="86" ht="15.75" customHeight="1">
      <c r="A86" s="172" t="s">
        <v>168</v>
      </c>
      <c r="B86" s="155" t="s">
        <v>44</v>
      </c>
      <c r="C86" s="173" t="s">
        <v>828</v>
      </c>
      <c r="D86" s="174" t="s">
        <v>135</v>
      </c>
      <c r="E86" s="173" t="s">
        <v>685</v>
      </c>
      <c r="F86" s="174" t="s">
        <v>160</v>
      </c>
      <c r="G86" s="180" t="s">
        <v>136</v>
      </c>
      <c r="H86" s="174" t="s">
        <v>91</v>
      </c>
      <c r="I86" s="174" t="s">
        <v>91</v>
      </c>
      <c r="J86" s="190">
        <v>0.6765</v>
      </c>
      <c r="K86" s="172" t="s">
        <v>749</v>
      </c>
      <c r="L86" s="180" t="s">
        <v>763</v>
      </c>
      <c r="M86" s="178">
        <v>44105.0</v>
      </c>
      <c r="N86" s="173" t="s">
        <v>692</v>
      </c>
      <c r="O86" s="176" t="s">
        <v>690</v>
      </c>
      <c r="P86" s="174" t="s">
        <v>782</v>
      </c>
      <c r="Q86" s="174" t="s">
        <v>782</v>
      </c>
      <c r="R86" s="177"/>
    </row>
    <row r="87" ht="15.75" customHeight="1">
      <c r="A87" s="172" t="s">
        <v>170</v>
      </c>
      <c r="B87" s="155" t="s">
        <v>44</v>
      </c>
      <c r="C87" s="173" t="s">
        <v>829</v>
      </c>
      <c r="D87" s="174" t="s">
        <v>135</v>
      </c>
      <c r="E87" s="173" t="s">
        <v>685</v>
      </c>
      <c r="F87" s="174" t="s">
        <v>163</v>
      </c>
      <c r="G87" s="180" t="s">
        <v>136</v>
      </c>
      <c r="H87" s="174" t="s">
        <v>91</v>
      </c>
      <c r="I87" s="174" t="s">
        <v>91</v>
      </c>
      <c r="J87" s="190">
        <v>0.6765</v>
      </c>
      <c r="K87" s="172" t="s">
        <v>749</v>
      </c>
      <c r="L87" s="180" t="s">
        <v>763</v>
      </c>
      <c r="M87" s="178">
        <v>44105.0</v>
      </c>
      <c r="N87" s="173" t="s">
        <v>692</v>
      </c>
      <c r="O87" s="176" t="s">
        <v>690</v>
      </c>
      <c r="P87" s="174" t="s">
        <v>782</v>
      </c>
      <c r="Q87" s="174" t="s">
        <v>782</v>
      </c>
      <c r="R87" s="177"/>
    </row>
    <row r="88" ht="15.75" customHeight="1">
      <c r="A88" s="172" t="s">
        <v>116</v>
      </c>
      <c r="B88" s="154" t="s">
        <v>60</v>
      </c>
      <c r="C88" s="173" t="s">
        <v>830</v>
      </c>
      <c r="D88" s="174" t="s">
        <v>185</v>
      </c>
      <c r="E88" s="173" t="s">
        <v>694</v>
      </c>
      <c r="F88" s="174">
        <v>12.0</v>
      </c>
      <c r="G88" s="180" t="s">
        <v>86</v>
      </c>
      <c r="H88" s="174" t="s">
        <v>91</v>
      </c>
      <c r="I88" s="174" t="s">
        <v>91</v>
      </c>
      <c r="J88" s="174" t="s">
        <v>85</v>
      </c>
      <c r="K88" s="173" t="s">
        <v>687</v>
      </c>
      <c r="L88" s="174" t="s">
        <v>688</v>
      </c>
      <c r="M88" s="178">
        <v>44158.0</v>
      </c>
      <c r="N88" s="173" t="s">
        <v>692</v>
      </c>
      <c r="O88" s="176" t="s">
        <v>690</v>
      </c>
      <c r="P88" s="174" t="s">
        <v>691</v>
      </c>
      <c r="Q88" s="174" t="s">
        <v>691</v>
      </c>
      <c r="R88" s="177"/>
    </row>
    <row r="89" ht="15.75" customHeight="1">
      <c r="A89" s="172" t="s">
        <v>261</v>
      </c>
      <c r="B89" s="154" t="s">
        <v>197</v>
      </c>
      <c r="C89" s="173" t="s">
        <v>831</v>
      </c>
      <c r="D89" s="174" t="s">
        <v>185</v>
      </c>
      <c r="E89" s="173" t="s">
        <v>720</v>
      </c>
      <c r="F89" s="183" t="b">
        <v>1</v>
      </c>
      <c r="G89" s="172" t="s">
        <v>686</v>
      </c>
      <c r="H89" s="174" t="s">
        <v>91</v>
      </c>
      <c r="I89" s="174" t="s">
        <v>91</v>
      </c>
      <c r="J89" s="174" t="s">
        <v>85</v>
      </c>
      <c r="K89" s="173" t="s">
        <v>687</v>
      </c>
      <c r="L89" s="174" t="s">
        <v>688</v>
      </c>
      <c r="M89" s="178">
        <v>44158.0</v>
      </c>
      <c r="N89" s="173" t="s">
        <v>1327</v>
      </c>
      <c r="O89" s="184" t="s">
        <v>690</v>
      </c>
      <c r="P89" s="174" t="s">
        <v>705</v>
      </c>
      <c r="Q89" s="174" t="s">
        <v>705</v>
      </c>
      <c r="R89" s="177"/>
    </row>
    <row r="90" ht="15.75" customHeight="1">
      <c r="A90" s="172" t="s">
        <v>363</v>
      </c>
      <c r="B90" s="154" t="s">
        <v>197</v>
      </c>
      <c r="C90" s="173" t="s">
        <v>832</v>
      </c>
      <c r="D90" s="174" t="s">
        <v>185</v>
      </c>
      <c r="E90" s="173" t="s">
        <v>720</v>
      </c>
      <c r="F90" s="183" t="b">
        <v>1</v>
      </c>
      <c r="G90" s="172" t="s">
        <v>686</v>
      </c>
      <c r="H90" s="185" t="s">
        <v>91</v>
      </c>
      <c r="I90" s="185" t="s">
        <v>91</v>
      </c>
      <c r="J90" s="185" t="s">
        <v>85</v>
      </c>
      <c r="K90" s="173" t="s">
        <v>687</v>
      </c>
      <c r="L90" s="174" t="s">
        <v>688</v>
      </c>
      <c r="M90" s="178">
        <v>44158.0</v>
      </c>
      <c r="N90" s="192" t="s">
        <v>1628</v>
      </c>
      <c r="O90" s="193" t="s">
        <v>690</v>
      </c>
      <c r="P90" s="174" t="s">
        <v>702</v>
      </c>
      <c r="Q90" s="174" t="s">
        <v>702</v>
      </c>
      <c r="R90" s="177"/>
    </row>
    <row r="91" ht="15.75" customHeight="1">
      <c r="A91" s="172" t="s">
        <v>833</v>
      </c>
      <c r="B91" s="154" t="s">
        <v>44</v>
      </c>
      <c r="C91" s="173" t="s">
        <v>834</v>
      </c>
      <c r="D91" s="174" t="s">
        <v>83</v>
      </c>
      <c r="E91" s="173" t="s">
        <v>685</v>
      </c>
      <c r="F91" s="188" t="s">
        <v>346</v>
      </c>
      <c r="G91" s="182" t="s">
        <v>686</v>
      </c>
      <c r="H91" s="174" t="s">
        <v>91</v>
      </c>
      <c r="I91" s="174" t="s">
        <v>91</v>
      </c>
      <c r="J91" s="174" t="s">
        <v>85</v>
      </c>
      <c r="K91" s="173" t="s">
        <v>687</v>
      </c>
      <c r="L91" s="174" t="s">
        <v>688</v>
      </c>
      <c r="M91" s="178">
        <v>44158.0</v>
      </c>
      <c r="N91" s="173" t="s">
        <v>701</v>
      </c>
      <c r="O91" s="184" t="s">
        <v>732</v>
      </c>
      <c r="P91" s="174" t="s">
        <v>691</v>
      </c>
      <c r="Q91" s="174" t="s">
        <v>691</v>
      </c>
      <c r="R91" s="177"/>
    </row>
    <row r="92" ht="15.75" customHeight="1">
      <c r="A92" s="172" t="s">
        <v>347</v>
      </c>
      <c r="B92" s="165" t="s">
        <v>54</v>
      </c>
      <c r="C92" s="173" t="s">
        <v>348</v>
      </c>
      <c r="D92" s="174" t="s">
        <v>83</v>
      </c>
      <c r="E92" s="173" t="s">
        <v>685</v>
      </c>
      <c r="F92" s="174" t="s">
        <v>349</v>
      </c>
      <c r="G92" s="182" t="s">
        <v>835</v>
      </c>
      <c r="H92" s="174" t="s">
        <v>91</v>
      </c>
      <c r="I92" s="174" t="s">
        <v>91</v>
      </c>
      <c r="J92" s="174" t="s">
        <v>85</v>
      </c>
      <c r="K92" s="173" t="s">
        <v>687</v>
      </c>
      <c r="L92" s="174" t="s">
        <v>688</v>
      </c>
      <c r="M92" s="178">
        <v>44158.0</v>
      </c>
      <c r="N92" s="173" t="s">
        <v>701</v>
      </c>
      <c r="O92" s="176" t="s">
        <v>690</v>
      </c>
      <c r="P92" s="174" t="s">
        <v>691</v>
      </c>
      <c r="Q92" s="174" t="s">
        <v>691</v>
      </c>
      <c r="R92" s="177"/>
    </row>
    <row r="93" ht="15.75" customHeight="1">
      <c r="A93" s="172" t="s">
        <v>149</v>
      </c>
      <c r="B93" s="154" t="s">
        <v>44</v>
      </c>
      <c r="C93" s="173" t="s">
        <v>150</v>
      </c>
      <c r="D93" s="174" t="s">
        <v>83</v>
      </c>
      <c r="E93" s="173" t="s">
        <v>698</v>
      </c>
      <c r="F93" s="191">
        <v>29250.0</v>
      </c>
      <c r="G93" s="182" t="s">
        <v>835</v>
      </c>
      <c r="H93" s="174" t="s">
        <v>91</v>
      </c>
      <c r="I93" s="174" t="s">
        <v>91</v>
      </c>
      <c r="J93" s="174" t="s">
        <v>85</v>
      </c>
      <c r="K93" s="173" t="s">
        <v>687</v>
      </c>
      <c r="L93" s="174" t="s">
        <v>688</v>
      </c>
      <c r="M93" s="178">
        <v>44158.0</v>
      </c>
      <c r="N93" s="173" t="s">
        <v>1318</v>
      </c>
      <c r="O93" s="176" t="s">
        <v>690</v>
      </c>
      <c r="P93" s="174" t="s">
        <v>691</v>
      </c>
      <c r="Q93" s="174" t="s">
        <v>691</v>
      </c>
      <c r="R93" s="177"/>
    </row>
    <row r="94" ht="15.75" customHeight="1">
      <c r="A94" s="172" t="s">
        <v>92</v>
      </c>
      <c r="B94" s="153" t="s">
        <v>696</v>
      </c>
      <c r="C94" s="173" t="s">
        <v>1328</v>
      </c>
      <c r="D94" s="174" t="s">
        <v>83</v>
      </c>
      <c r="E94" s="173" t="s">
        <v>1313</v>
      </c>
      <c r="F94" s="174">
        <v>1024.0</v>
      </c>
      <c r="G94" s="172" t="s">
        <v>686</v>
      </c>
      <c r="H94" s="174" t="s">
        <v>91</v>
      </c>
      <c r="I94" s="174" t="s">
        <v>91</v>
      </c>
      <c r="J94" s="174" t="s">
        <v>85</v>
      </c>
      <c r="K94" s="173" t="s">
        <v>687</v>
      </c>
      <c r="L94" s="174" t="s">
        <v>688</v>
      </c>
      <c r="M94" s="178">
        <v>44158.0</v>
      </c>
      <c r="N94" s="173" t="s">
        <v>1314</v>
      </c>
      <c r="O94" s="176" t="s">
        <v>690</v>
      </c>
      <c r="P94" s="174" t="s">
        <v>691</v>
      </c>
      <c r="Q94" s="174" t="s">
        <v>691</v>
      </c>
      <c r="R94" s="177"/>
    </row>
    <row r="95" ht="15.75" customHeight="1">
      <c r="A95" s="172" t="s">
        <v>125</v>
      </c>
      <c r="B95" s="154" t="s">
        <v>44</v>
      </c>
      <c r="C95" s="173" t="s">
        <v>128</v>
      </c>
      <c r="D95" s="174" t="s">
        <v>83</v>
      </c>
      <c r="E95" s="173" t="s">
        <v>1313</v>
      </c>
      <c r="F95" s="174" t="s">
        <v>129</v>
      </c>
      <c r="G95" s="182" t="s">
        <v>835</v>
      </c>
      <c r="H95" s="174" t="s">
        <v>91</v>
      </c>
      <c r="I95" s="174" t="s">
        <v>91</v>
      </c>
      <c r="J95" s="174" t="s">
        <v>85</v>
      </c>
      <c r="K95" s="173" t="s">
        <v>687</v>
      </c>
      <c r="L95" s="174" t="s">
        <v>688</v>
      </c>
      <c r="M95" s="178">
        <v>44158.0</v>
      </c>
      <c r="N95" s="173" t="s">
        <v>1314</v>
      </c>
      <c r="O95" s="176" t="s">
        <v>690</v>
      </c>
      <c r="P95" s="174" t="s">
        <v>691</v>
      </c>
      <c r="Q95" s="174" t="s">
        <v>691</v>
      </c>
      <c r="R95" s="177"/>
    </row>
    <row r="96" ht="15.75" customHeight="1">
      <c r="A96" s="172" t="s">
        <v>130</v>
      </c>
      <c r="B96" s="154" t="s">
        <v>44</v>
      </c>
      <c r="C96" s="173" t="s">
        <v>131</v>
      </c>
      <c r="D96" s="174" t="s">
        <v>83</v>
      </c>
      <c r="E96" s="173" t="s">
        <v>1313</v>
      </c>
      <c r="F96" s="174" t="s">
        <v>132</v>
      </c>
      <c r="G96" s="182" t="s">
        <v>835</v>
      </c>
      <c r="H96" s="174" t="s">
        <v>91</v>
      </c>
      <c r="I96" s="174" t="s">
        <v>91</v>
      </c>
      <c r="J96" s="174" t="s">
        <v>85</v>
      </c>
      <c r="K96" s="173" t="s">
        <v>687</v>
      </c>
      <c r="L96" s="174" t="s">
        <v>688</v>
      </c>
      <c r="M96" s="178">
        <v>44158.0</v>
      </c>
      <c r="N96" s="173" t="s">
        <v>1318</v>
      </c>
      <c r="O96" s="176" t="s">
        <v>690</v>
      </c>
      <c r="P96" s="174" t="s">
        <v>691</v>
      </c>
      <c r="Q96" s="174" t="s">
        <v>691</v>
      </c>
      <c r="R96" s="177"/>
    </row>
    <row r="97" ht="15.75" customHeight="1">
      <c r="A97" s="172" t="s">
        <v>143</v>
      </c>
      <c r="B97" s="154" t="s">
        <v>44</v>
      </c>
      <c r="C97" s="173" t="s">
        <v>144</v>
      </c>
      <c r="D97" s="174" t="s">
        <v>83</v>
      </c>
      <c r="E97" s="173" t="s">
        <v>685</v>
      </c>
      <c r="F97" s="174" t="s">
        <v>145</v>
      </c>
      <c r="G97" s="182" t="s">
        <v>835</v>
      </c>
      <c r="H97" s="174" t="s">
        <v>91</v>
      </c>
      <c r="I97" s="174" t="s">
        <v>91</v>
      </c>
      <c r="J97" s="174" t="s">
        <v>85</v>
      </c>
      <c r="K97" s="173" t="s">
        <v>687</v>
      </c>
      <c r="L97" s="174" t="s">
        <v>688</v>
      </c>
      <c r="M97" s="178">
        <v>44158.0</v>
      </c>
      <c r="N97" s="173" t="s">
        <v>701</v>
      </c>
      <c r="O97" s="176" t="s">
        <v>690</v>
      </c>
      <c r="P97" s="174" t="s">
        <v>691</v>
      </c>
      <c r="Q97" s="174" t="s">
        <v>691</v>
      </c>
      <c r="R97" s="177"/>
    </row>
    <row r="98" ht="15.75" customHeight="1">
      <c r="A98" s="172" t="s">
        <v>458</v>
      </c>
      <c r="B98" s="154" t="s">
        <v>197</v>
      </c>
      <c r="C98" s="173" t="s">
        <v>1480</v>
      </c>
      <c r="D98" s="174" t="s">
        <v>83</v>
      </c>
      <c r="E98" s="173" t="s">
        <v>685</v>
      </c>
      <c r="F98" s="174" t="s">
        <v>460</v>
      </c>
      <c r="G98" s="182" t="s">
        <v>686</v>
      </c>
      <c r="H98" s="174" t="s">
        <v>91</v>
      </c>
      <c r="I98" s="174" t="s">
        <v>91</v>
      </c>
      <c r="J98" s="180" t="s">
        <v>85</v>
      </c>
      <c r="K98" s="173" t="s">
        <v>687</v>
      </c>
      <c r="L98" s="174" t="s">
        <v>688</v>
      </c>
      <c r="M98" s="178">
        <v>44158.0</v>
      </c>
      <c r="N98" s="173" t="s">
        <v>735</v>
      </c>
      <c r="O98" s="184" t="s">
        <v>736</v>
      </c>
      <c r="P98" s="174" t="s">
        <v>761</v>
      </c>
      <c r="Q98" s="174" t="s">
        <v>761</v>
      </c>
      <c r="R98" s="177"/>
    </row>
    <row r="99" ht="15.75" customHeight="1">
      <c r="A99" s="172" t="s">
        <v>258</v>
      </c>
      <c r="B99" s="154" t="s">
        <v>197</v>
      </c>
      <c r="C99" s="173" t="s">
        <v>838</v>
      </c>
      <c r="D99" s="174" t="s">
        <v>185</v>
      </c>
      <c r="E99" s="173" t="s">
        <v>685</v>
      </c>
      <c r="F99" s="174" t="s">
        <v>839</v>
      </c>
      <c r="G99" s="172" t="s">
        <v>686</v>
      </c>
      <c r="H99" s="174" t="s">
        <v>91</v>
      </c>
      <c r="I99" s="174" t="s">
        <v>91</v>
      </c>
      <c r="J99" s="174" t="s">
        <v>85</v>
      </c>
      <c r="K99" s="173" t="s">
        <v>687</v>
      </c>
      <c r="L99" s="174" t="s">
        <v>688</v>
      </c>
      <c r="M99" s="178">
        <v>44158.0</v>
      </c>
      <c r="N99" s="173" t="s">
        <v>701</v>
      </c>
      <c r="O99" s="176" t="s">
        <v>690</v>
      </c>
      <c r="P99" s="174" t="s">
        <v>691</v>
      </c>
      <c r="Q99" s="174" t="s">
        <v>691</v>
      </c>
      <c r="R99" s="177"/>
    </row>
    <row r="100" ht="15.75" customHeight="1">
      <c r="A100" s="172" t="s">
        <v>840</v>
      </c>
      <c r="B100" s="154" t="s">
        <v>197</v>
      </c>
      <c r="C100" s="173" t="s">
        <v>331</v>
      </c>
      <c r="D100" s="174" t="s">
        <v>185</v>
      </c>
      <c r="E100" s="173" t="s">
        <v>685</v>
      </c>
      <c r="F100" s="174" t="s">
        <v>332</v>
      </c>
      <c r="G100" s="173" t="s">
        <v>723</v>
      </c>
      <c r="H100" s="174" t="s">
        <v>91</v>
      </c>
      <c r="I100" s="173" t="s">
        <v>723</v>
      </c>
      <c r="J100" s="180" t="s">
        <v>85</v>
      </c>
      <c r="K100" s="173" t="s">
        <v>687</v>
      </c>
      <c r="L100" s="174" t="s">
        <v>688</v>
      </c>
      <c r="M100" s="178">
        <v>44158.0</v>
      </c>
      <c r="N100" s="173" t="s">
        <v>741</v>
      </c>
      <c r="O100" s="176" t="s">
        <v>690</v>
      </c>
      <c r="P100" s="174" t="s">
        <v>745</v>
      </c>
      <c r="Q100" s="174" t="s">
        <v>745</v>
      </c>
      <c r="R100" s="177"/>
    </row>
    <row r="101" ht="15.75" customHeight="1">
      <c r="A101" s="172" t="s">
        <v>841</v>
      </c>
      <c r="B101" s="165" t="s">
        <v>54</v>
      </c>
      <c r="C101" s="173" t="s">
        <v>199</v>
      </c>
      <c r="D101" s="174" t="s">
        <v>83</v>
      </c>
      <c r="E101" s="173" t="s">
        <v>685</v>
      </c>
      <c r="F101" s="174" t="s">
        <v>200</v>
      </c>
      <c r="G101" s="173" t="s">
        <v>394</v>
      </c>
      <c r="H101" s="173" t="s">
        <v>394</v>
      </c>
      <c r="I101" s="173" t="s">
        <v>394</v>
      </c>
      <c r="J101" s="174" t="s">
        <v>85</v>
      </c>
      <c r="K101" s="173" t="s">
        <v>749</v>
      </c>
      <c r="L101" s="174" t="s">
        <v>749</v>
      </c>
      <c r="M101" s="178">
        <v>44075.0</v>
      </c>
      <c r="N101" s="173" t="s">
        <v>741</v>
      </c>
      <c r="O101" s="176" t="s">
        <v>732</v>
      </c>
      <c r="P101" s="174" t="s">
        <v>691</v>
      </c>
      <c r="Q101" s="174" t="s">
        <v>691</v>
      </c>
      <c r="R101" s="177"/>
    </row>
    <row r="102" ht="15.75" customHeight="1">
      <c r="A102" s="172" t="s">
        <v>205</v>
      </c>
      <c r="B102" s="154" t="s">
        <v>46</v>
      </c>
      <c r="C102" s="173" t="s">
        <v>843</v>
      </c>
      <c r="D102" s="174" t="s">
        <v>83</v>
      </c>
      <c r="E102" s="173" t="s">
        <v>685</v>
      </c>
      <c r="F102" s="174" t="s">
        <v>209</v>
      </c>
      <c r="G102" s="173" t="s">
        <v>394</v>
      </c>
      <c r="H102" s="173" t="s">
        <v>394</v>
      </c>
      <c r="I102" s="173" t="s">
        <v>394</v>
      </c>
      <c r="J102" s="174" t="s">
        <v>85</v>
      </c>
      <c r="K102" s="173" t="s">
        <v>749</v>
      </c>
      <c r="L102" s="174" t="s">
        <v>749</v>
      </c>
      <c r="M102" s="178">
        <v>44075.0</v>
      </c>
      <c r="N102" s="173" t="s">
        <v>741</v>
      </c>
      <c r="O102" s="176" t="s">
        <v>732</v>
      </c>
      <c r="P102" s="174" t="s">
        <v>691</v>
      </c>
      <c r="Q102" s="174" t="s">
        <v>691</v>
      </c>
      <c r="R102" s="177"/>
    </row>
    <row r="103" ht="112.5" customHeight="1">
      <c r="A103" s="172" t="s">
        <v>202</v>
      </c>
      <c r="B103" s="154" t="s">
        <v>197</v>
      </c>
      <c r="C103" s="173" t="s">
        <v>844</v>
      </c>
      <c r="D103" s="174" t="s">
        <v>83</v>
      </c>
      <c r="E103" s="173" t="s">
        <v>685</v>
      </c>
      <c r="F103" s="174" t="s">
        <v>845</v>
      </c>
      <c r="G103" s="173" t="s">
        <v>394</v>
      </c>
      <c r="H103" s="173" t="s">
        <v>394</v>
      </c>
      <c r="I103" s="173" t="s">
        <v>394</v>
      </c>
      <c r="J103" s="174" t="s">
        <v>85</v>
      </c>
      <c r="K103" s="173" t="s">
        <v>749</v>
      </c>
      <c r="L103" s="174" t="s">
        <v>749</v>
      </c>
      <c r="M103" s="178">
        <v>44075.0</v>
      </c>
      <c r="N103" s="173" t="s">
        <v>741</v>
      </c>
      <c r="O103" s="176" t="s">
        <v>732</v>
      </c>
      <c r="P103" s="174" t="s">
        <v>724</v>
      </c>
      <c r="Q103" s="174" t="s">
        <v>724</v>
      </c>
      <c r="R103" s="177"/>
    </row>
    <row r="104" ht="15.75" customHeight="1">
      <c r="A104" s="172" t="s">
        <v>175</v>
      </c>
      <c r="B104" s="165" t="s">
        <v>54</v>
      </c>
      <c r="C104" s="173" t="s">
        <v>177</v>
      </c>
      <c r="D104" s="174" t="s">
        <v>83</v>
      </c>
      <c r="E104" s="173" t="s">
        <v>685</v>
      </c>
      <c r="F104" s="174" t="s">
        <v>178</v>
      </c>
      <c r="G104" s="172" t="s">
        <v>686</v>
      </c>
      <c r="H104" s="174" t="s">
        <v>91</v>
      </c>
      <c r="I104" s="174" t="s">
        <v>91</v>
      </c>
      <c r="J104" s="174" t="s">
        <v>85</v>
      </c>
      <c r="K104" s="172" t="s">
        <v>687</v>
      </c>
      <c r="L104" s="172" t="s">
        <v>688</v>
      </c>
      <c r="M104" s="178">
        <v>44158.0</v>
      </c>
      <c r="N104" s="173" t="s">
        <v>701</v>
      </c>
      <c r="O104" s="176" t="s">
        <v>690</v>
      </c>
      <c r="P104" s="174" t="s">
        <v>691</v>
      </c>
      <c r="Q104" s="174" t="s">
        <v>691</v>
      </c>
      <c r="R104" s="177"/>
    </row>
    <row r="105" ht="15.75" customHeight="1">
      <c r="A105" s="172" t="s">
        <v>847</v>
      </c>
      <c r="B105" s="165" t="s">
        <v>54</v>
      </c>
      <c r="C105" s="173" t="s">
        <v>848</v>
      </c>
      <c r="D105" s="174" t="s">
        <v>83</v>
      </c>
      <c r="E105" s="173" t="s">
        <v>685</v>
      </c>
      <c r="F105" s="174" t="s">
        <v>352</v>
      </c>
      <c r="G105" s="172" t="s">
        <v>686</v>
      </c>
      <c r="H105" s="174" t="s">
        <v>91</v>
      </c>
      <c r="I105" s="174" t="s">
        <v>91</v>
      </c>
      <c r="J105" s="174" t="s">
        <v>85</v>
      </c>
      <c r="K105" s="173" t="s">
        <v>687</v>
      </c>
      <c r="L105" s="174" t="s">
        <v>688</v>
      </c>
      <c r="M105" s="178">
        <v>44158.0</v>
      </c>
      <c r="N105" s="173" t="s">
        <v>701</v>
      </c>
      <c r="O105" s="176" t="s">
        <v>690</v>
      </c>
      <c r="P105" s="174" t="s">
        <v>691</v>
      </c>
      <c r="Q105" s="174" t="s">
        <v>691</v>
      </c>
      <c r="R105" s="177"/>
    </row>
    <row r="106" ht="15.75" customHeight="1">
      <c r="A106" s="172" t="s">
        <v>389</v>
      </c>
      <c r="B106" s="154" t="s">
        <v>44</v>
      </c>
      <c r="C106" s="173" t="s">
        <v>390</v>
      </c>
      <c r="D106" s="174" t="s">
        <v>185</v>
      </c>
      <c r="E106" s="173" t="s">
        <v>1326</v>
      </c>
      <c r="F106" s="173">
        <v>20.25</v>
      </c>
      <c r="G106" s="172" t="s">
        <v>913</v>
      </c>
      <c r="H106" s="173" t="s">
        <v>1321</v>
      </c>
      <c r="I106" s="173" t="s">
        <v>913</v>
      </c>
      <c r="J106" s="174" t="s">
        <v>85</v>
      </c>
      <c r="K106" s="173" t="s">
        <v>749</v>
      </c>
      <c r="L106" s="174" t="s">
        <v>688</v>
      </c>
      <c r="M106" s="178">
        <v>44147.0</v>
      </c>
      <c r="N106" s="173" t="s">
        <v>701</v>
      </c>
      <c r="O106" s="176" t="s">
        <v>690</v>
      </c>
      <c r="P106" s="174" t="s">
        <v>771</v>
      </c>
      <c r="Q106" s="174" t="s">
        <v>771</v>
      </c>
      <c r="R106" s="177"/>
    </row>
    <row r="107" ht="15.75" customHeight="1">
      <c r="A107" s="172" t="s">
        <v>120</v>
      </c>
      <c r="B107" s="154" t="s">
        <v>197</v>
      </c>
      <c r="C107" s="173" t="s">
        <v>849</v>
      </c>
      <c r="D107" s="174" t="s">
        <v>185</v>
      </c>
      <c r="E107" s="173" t="s">
        <v>720</v>
      </c>
      <c r="F107" s="183" t="b">
        <v>1</v>
      </c>
      <c r="G107" s="172" t="s">
        <v>686</v>
      </c>
      <c r="H107" s="174" t="s">
        <v>91</v>
      </c>
      <c r="I107" s="174" t="s">
        <v>91</v>
      </c>
      <c r="J107" s="174" t="s">
        <v>85</v>
      </c>
      <c r="K107" s="173" t="s">
        <v>687</v>
      </c>
      <c r="L107" s="174" t="s">
        <v>688</v>
      </c>
      <c r="M107" s="178">
        <v>44158.0</v>
      </c>
      <c r="N107" s="173" t="s">
        <v>692</v>
      </c>
      <c r="O107" s="176" t="s">
        <v>690</v>
      </c>
      <c r="P107" s="174" t="s">
        <v>724</v>
      </c>
      <c r="Q107" s="174" t="s">
        <v>724</v>
      </c>
      <c r="R107" s="177"/>
    </row>
    <row r="108" ht="15.75" customHeight="1">
      <c r="A108" s="172" t="s">
        <v>850</v>
      </c>
      <c r="B108" s="154" t="s">
        <v>197</v>
      </c>
      <c r="C108" s="173" t="s">
        <v>851</v>
      </c>
      <c r="D108" s="174" t="s">
        <v>185</v>
      </c>
      <c r="E108" s="173" t="s">
        <v>694</v>
      </c>
      <c r="F108" s="174">
        <v>1844641.0</v>
      </c>
      <c r="G108" s="173" t="s">
        <v>723</v>
      </c>
      <c r="H108" s="174" t="s">
        <v>91</v>
      </c>
      <c r="I108" s="173" t="s">
        <v>723</v>
      </c>
      <c r="J108" s="174" t="s">
        <v>85</v>
      </c>
      <c r="K108" s="172" t="s">
        <v>687</v>
      </c>
      <c r="L108" s="180" t="s">
        <v>688</v>
      </c>
      <c r="M108" s="178">
        <v>44158.0</v>
      </c>
      <c r="N108" s="173" t="s">
        <v>692</v>
      </c>
      <c r="O108" s="176" t="s">
        <v>690</v>
      </c>
      <c r="P108" s="174" t="s">
        <v>724</v>
      </c>
      <c r="Q108" s="174" t="s">
        <v>724</v>
      </c>
      <c r="R108" s="177"/>
    </row>
    <row r="109" ht="15.75" customHeight="1">
      <c r="A109" s="172" t="s">
        <v>190</v>
      </c>
      <c r="B109" s="154" t="s">
        <v>696</v>
      </c>
      <c r="C109" s="173" t="s">
        <v>191</v>
      </c>
      <c r="D109" s="174" t="s">
        <v>185</v>
      </c>
      <c r="E109" s="173" t="s">
        <v>685</v>
      </c>
      <c r="F109" s="174" t="s">
        <v>192</v>
      </c>
      <c r="G109" s="172" t="s">
        <v>686</v>
      </c>
      <c r="H109" s="174" t="s">
        <v>91</v>
      </c>
      <c r="I109" s="174" t="s">
        <v>91</v>
      </c>
      <c r="J109" s="174" t="s">
        <v>85</v>
      </c>
      <c r="K109" s="173" t="s">
        <v>687</v>
      </c>
      <c r="L109" s="174" t="s">
        <v>687</v>
      </c>
      <c r="M109" s="178">
        <v>44156.0</v>
      </c>
      <c r="N109" s="173" t="s">
        <v>741</v>
      </c>
      <c r="O109" s="176" t="s">
        <v>690</v>
      </c>
      <c r="P109" s="174" t="s">
        <v>782</v>
      </c>
      <c r="Q109" s="174" t="s">
        <v>782</v>
      </c>
      <c r="R109" s="177"/>
    </row>
    <row r="110" ht="15.75" customHeight="1">
      <c r="A110" s="172" t="s">
        <v>183</v>
      </c>
      <c r="B110" s="154" t="s">
        <v>696</v>
      </c>
      <c r="C110" s="173" t="s">
        <v>184</v>
      </c>
      <c r="D110" s="174" t="s">
        <v>185</v>
      </c>
      <c r="E110" s="173" t="s">
        <v>685</v>
      </c>
      <c r="F110" s="174" t="s">
        <v>186</v>
      </c>
      <c r="G110" s="172" t="s">
        <v>686</v>
      </c>
      <c r="H110" s="174" t="s">
        <v>91</v>
      </c>
      <c r="I110" s="174" t="s">
        <v>91</v>
      </c>
      <c r="J110" s="174" t="s">
        <v>85</v>
      </c>
      <c r="K110" s="173" t="s">
        <v>687</v>
      </c>
      <c r="L110" s="174" t="s">
        <v>687</v>
      </c>
      <c r="M110" s="178">
        <v>44156.0</v>
      </c>
      <c r="N110" s="173" t="s">
        <v>741</v>
      </c>
      <c r="O110" s="176" t="s">
        <v>690</v>
      </c>
      <c r="P110" s="174" t="s">
        <v>782</v>
      </c>
      <c r="Q110" s="174" t="s">
        <v>782</v>
      </c>
      <c r="R110" s="177"/>
    </row>
    <row r="111" ht="15.75" customHeight="1">
      <c r="A111" s="172" t="s">
        <v>187</v>
      </c>
      <c r="B111" s="154" t="s">
        <v>696</v>
      </c>
      <c r="C111" s="173" t="s">
        <v>188</v>
      </c>
      <c r="D111" s="174" t="s">
        <v>185</v>
      </c>
      <c r="E111" s="173" t="s">
        <v>685</v>
      </c>
      <c r="F111" s="174" t="s">
        <v>189</v>
      </c>
      <c r="G111" s="172" t="s">
        <v>686</v>
      </c>
      <c r="H111" s="174" t="s">
        <v>91</v>
      </c>
      <c r="I111" s="174" t="s">
        <v>91</v>
      </c>
      <c r="J111" s="174" t="s">
        <v>85</v>
      </c>
      <c r="K111" s="173" t="s">
        <v>687</v>
      </c>
      <c r="L111" s="174" t="s">
        <v>687</v>
      </c>
      <c r="M111" s="178">
        <v>44156.0</v>
      </c>
      <c r="N111" s="173" t="s">
        <v>741</v>
      </c>
      <c r="O111" s="176" t="s">
        <v>690</v>
      </c>
      <c r="P111" s="174" t="s">
        <v>782</v>
      </c>
      <c r="Q111" s="174" t="s">
        <v>782</v>
      </c>
      <c r="R111" s="177"/>
    </row>
    <row r="112" ht="15.75" customHeight="1">
      <c r="A112" s="172" t="s">
        <v>336</v>
      </c>
      <c r="B112" s="154" t="s">
        <v>197</v>
      </c>
      <c r="C112" s="173" t="s">
        <v>852</v>
      </c>
      <c r="D112" s="174" t="s">
        <v>135</v>
      </c>
      <c r="E112" s="173" t="s">
        <v>685</v>
      </c>
      <c r="F112" s="174">
        <v>1.0</v>
      </c>
      <c r="G112" s="180" t="s">
        <v>136</v>
      </c>
      <c r="H112" s="174" t="s">
        <v>91</v>
      </c>
      <c r="I112" s="194" t="s">
        <v>91</v>
      </c>
      <c r="J112" s="180" t="s">
        <v>853</v>
      </c>
      <c r="K112" s="172" t="s">
        <v>749</v>
      </c>
      <c r="L112" s="180" t="s">
        <v>763</v>
      </c>
      <c r="M112" s="178">
        <v>44105.0</v>
      </c>
      <c r="N112" s="173" t="s">
        <v>741</v>
      </c>
      <c r="O112" s="184" t="s">
        <v>732</v>
      </c>
      <c r="P112" s="174" t="s">
        <v>724</v>
      </c>
      <c r="Q112" s="174" t="s">
        <v>724</v>
      </c>
      <c r="R112" s="177"/>
    </row>
    <row r="113" ht="15.75" customHeight="1">
      <c r="A113" s="172" t="s">
        <v>263</v>
      </c>
      <c r="B113" s="154" t="s">
        <v>197</v>
      </c>
      <c r="C113" s="173" t="s">
        <v>854</v>
      </c>
      <c r="D113" s="174" t="s">
        <v>185</v>
      </c>
      <c r="E113" s="173" t="s">
        <v>720</v>
      </c>
      <c r="F113" s="183" t="b">
        <v>1</v>
      </c>
      <c r="G113" s="172" t="s">
        <v>686</v>
      </c>
      <c r="H113" s="174" t="s">
        <v>91</v>
      </c>
      <c r="I113" s="174" t="s">
        <v>91</v>
      </c>
      <c r="J113" s="174" t="s">
        <v>85</v>
      </c>
      <c r="K113" s="173" t="s">
        <v>687</v>
      </c>
      <c r="L113" s="174" t="s">
        <v>688</v>
      </c>
      <c r="M113" s="178">
        <v>44158.0</v>
      </c>
      <c r="N113" s="173" t="s">
        <v>701</v>
      </c>
      <c r="O113" s="176" t="s">
        <v>690</v>
      </c>
      <c r="P113" s="174" t="s">
        <v>691</v>
      </c>
      <c r="Q113" s="174" t="s">
        <v>691</v>
      </c>
      <c r="R113" s="177"/>
    </row>
    <row r="114" ht="15.75" customHeight="1">
      <c r="A114" s="172" t="s">
        <v>455</v>
      </c>
      <c r="B114" s="153" t="s">
        <v>696</v>
      </c>
      <c r="C114" s="173" t="s">
        <v>456</v>
      </c>
      <c r="D114" s="174" t="s">
        <v>83</v>
      </c>
      <c r="E114" s="173" t="s">
        <v>685</v>
      </c>
      <c r="F114" s="180" t="s">
        <v>457</v>
      </c>
      <c r="G114" s="180" t="s">
        <v>335</v>
      </c>
      <c r="H114" s="174" t="s">
        <v>91</v>
      </c>
      <c r="I114" s="174" t="s">
        <v>91</v>
      </c>
      <c r="J114" s="174" t="s">
        <v>85</v>
      </c>
      <c r="K114" s="173" t="s">
        <v>687</v>
      </c>
      <c r="L114" s="174" t="s">
        <v>688</v>
      </c>
      <c r="M114" s="178">
        <v>44158.0</v>
      </c>
      <c r="N114" s="173" t="s">
        <v>692</v>
      </c>
      <c r="O114" s="176" t="s">
        <v>690</v>
      </c>
      <c r="P114" s="174" t="s">
        <v>705</v>
      </c>
      <c r="Q114" s="174" t="s">
        <v>705</v>
      </c>
      <c r="R114" s="177"/>
    </row>
    <row r="115" ht="15.75" customHeight="1">
      <c r="A115" s="172" t="s">
        <v>339</v>
      </c>
      <c r="B115" s="154" t="s">
        <v>197</v>
      </c>
      <c r="C115" s="173" t="s">
        <v>340</v>
      </c>
      <c r="D115" s="174" t="s">
        <v>135</v>
      </c>
      <c r="E115" s="173" t="s">
        <v>685</v>
      </c>
      <c r="F115" s="174">
        <v>0.123</v>
      </c>
      <c r="G115" s="180" t="s">
        <v>136</v>
      </c>
      <c r="H115" s="174" t="s">
        <v>91</v>
      </c>
      <c r="I115" s="194" t="s">
        <v>91</v>
      </c>
      <c r="J115" s="180" t="s">
        <v>855</v>
      </c>
      <c r="K115" s="172" t="s">
        <v>749</v>
      </c>
      <c r="L115" s="180" t="s">
        <v>763</v>
      </c>
      <c r="M115" s="178">
        <v>44105.0</v>
      </c>
      <c r="N115" s="173" t="s">
        <v>692</v>
      </c>
      <c r="O115" s="176" t="s">
        <v>690</v>
      </c>
      <c r="P115" s="174" t="s">
        <v>724</v>
      </c>
      <c r="Q115" s="174" t="s">
        <v>724</v>
      </c>
      <c r="R115" s="177"/>
    </row>
    <row r="116" ht="15.75" customHeight="1">
      <c r="A116" s="172" t="s">
        <v>856</v>
      </c>
      <c r="B116" s="154" t="s">
        <v>197</v>
      </c>
      <c r="C116" s="173" t="s">
        <v>857</v>
      </c>
      <c r="D116" s="174" t="s">
        <v>185</v>
      </c>
      <c r="E116" s="173" t="s">
        <v>777</v>
      </c>
      <c r="F116" s="174">
        <v>1024.0</v>
      </c>
      <c r="G116" s="173" t="s">
        <v>723</v>
      </c>
      <c r="H116" s="180" t="s">
        <v>91</v>
      </c>
      <c r="I116" s="173" t="s">
        <v>723</v>
      </c>
      <c r="J116" s="174" t="e">
        <v>#N/A</v>
      </c>
      <c r="K116" s="173" t="s">
        <v>687</v>
      </c>
      <c r="L116" s="174" t="s">
        <v>688</v>
      </c>
      <c r="M116" s="178">
        <v>44158.0</v>
      </c>
      <c r="N116" s="173" t="s">
        <v>692</v>
      </c>
      <c r="O116" s="176" t="s">
        <v>690</v>
      </c>
      <c r="P116" s="174" t="s">
        <v>724</v>
      </c>
      <c r="Q116" s="174" t="s">
        <v>724</v>
      </c>
      <c r="R116" s="177"/>
    </row>
    <row r="117" ht="15.75" customHeight="1">
      <c r="A117" s="172" t="s">
        <v>858</v>
      </c>
      <c r="B117" s="154" t="s">
        <v>197</v>
      </c>
      <c r="C117" s="173" t="s">
        <v>859</v>
      </c>
      <c r="D117" s="174" t="s">
        <v>135</v>
      </c>
      <c r="E117" s="173" t="s">
        <v>698</v>
      </c>
      <c r="F117" s="195">
        <v>43709.0</v>
      </c>
      <c r="G117" s="174" t="s">
        <v>136</v>
      </c>
      <c r="H117" s="180" t="s">
        <v>359</v>
      </c>
      <c r="I117" s="180" t="s">
        <v>359</v>
      </c>
      <c r="J117" s="185" t="s">
        <v>90</v>
      </c>
      <c r="K117" s="173" t="s">
        <v>749</v>
      </c>
      <c r="L117" s="174" t="s">
        <v>749</v>
      </c>
      <c r="M117" s="178">
        <v>44105.0</v>
      </c>
      <c r="N117" s="173" t="s">
        <v>764</v>
      </c>
      <c r="O117" s="184" t="s">
        <v>732</v>
      </c>
      <c r="P117" s="174" t="s">
        <v>761</v>
      </c>
      <c r="Q117" s="174" t="s">
        <v>761</v>
      </c>
      <c r="R117" s="177"/>
    </row>
    <row r="118" ht="15.75" customHeight="1">
      <c r="A118" s="172" t="s">
        <v>860</v>
      </c>
      <c r="B118" s="153" t="s">
        <v>197</v>
      </c>
      <c r="C118" s="173" t="s">
        <v>861</v>
      </c>
      <c r="D118" s="174" t="s">
        <v>135</v>
      </c>
      <c r="E118" s="173" t="s">
        <v>713</v>
      </c>
      <c r="F118" s="174">
        <v>50.0</v>
      </c>
      <c r="G118" s="174" t="s">
        <v>136</v>
      </c>
      <c r="H118" s="180" t="s">
        <v>359</v>
      </c>
      <c r="I118" s="180" t="s">
        <v>359</v>
      </c>
      <c r="J118" s="185" t="s">
        <v>90</v>
      </c>
      <c r="K118" s="173" t="s">
        <v>749</v>
      </c>
      <c r="L118" s="174" t="s">
        <v>749</v>
      </c>
      <c r="M118" s="178">
        <v>44105.0</v>
      </c>
      <c r="N118" s="173" t="s">
        <v>764</v>
      </c>
      <c r="O118" s="184" t="s">
        <v>732</v>
      </c>
      <c r="P118" s="174" t="s">
        <v>761</v>
      </c>
      <c r="Q118" s="174" t="s">
        <v>761</v>
      </c>
      <c r="R118" s="177"/>
    </row>
    <row r="119" ht="15.75" customHeight="1">
      <c r="A119" s="172" t="s">
        <v>862</v>
      </c>
      <c r="B119" s="154" t="s">
        <v>197</v>
      </c>
      <c r="C119" s="173" t="s">
        <v>863</v>
      </c>
      <c r="D119" s="174" t="s">
        <v>135</v>
      </c>
      <c r="E119" s="173" t="s">
        <v>864</v>
      </c>
      <c r="F119" s="174">
        <v>0.18</v>
      </c>
      <c r="G119" s="174" t="s">
        <v>136</v>
      </c>
      <c r="H119" s="185" t="s">
        <v>311</v>
      </c>
      <c r="I119" s="185" t="s">
        <v>311</v>
      </c>
      <c r="J119" s="185" t="s">
        <v>90</v>
      </c>
      <c r="K119" s="173" t="s">
        <v>749</v>
      </c>
      <c r="L119" s="174" t="s">
        <v>749</v>
      </c>
      <c r="M119" s="178">
        <v>44105.0</v>
      </c>
      <c r="N119" s="173" t="s">
        <v>764</v>
      </c>
      <c r="O119" s="184" t="s">
        <v>732</v>
      </c>
      <c r="P119" s="174" t="s">
        <v>761</v>
      </c>
      <c r="Q119" s="174" t="s">
        <v>761</v>
      </c>
      <c r="R119" s="177"/>
    </row>
    <row r="120" ht="15.75" customHeight="1">
      <c r="A120" s="172" t="s">
        <v>865</v>
      </c>
      <c r="B120" s="154" t="s">
        <v>197</v>
      </c>
      <c r="C120" s="173" t="s">
        <v>866</v>
      </c>
      <c r="D120" s="174" t="s">
        <v>135</v>
      </c>
      <c r="E120" s="173" t="s">
        <v>685</v>
      </c>
      <c r="F120" s="173" t="s">
        <v>1481</v>
      </c>
      <c r="G120" s="174" t="s">
        <v>136</v>
      </c>
      <c r="H120" s="185" t="s">
        <v>311</v>
      </c>
      <c r="I120" s="185" t="s">
        <v>311</v>
      </c>
      <c r="J120" s="185" t="s">
        <v>90</v>
      </c>
      <c r="K120" s="173" t="s">
        <v>749</v>
      </c>
      <c r="L120" s="174" t="s">
        <v>749</v>
      </c>
      <c r="M120" s="178">
        <v>44105.0</v>
      </c>
      <c r="N120" s="173" t="s">
        <v>764</v>
      </c>
      <c r="O120" s="184" t="s">
        <v>732</v>
      </c>
      <c r="P120" s="174" t="s">
        <v>761</v>
      </c>
      <c r="Q120" s="174" t="s">
        <v>761</v>
      </c>
      <c r="R120" s="177"/>
    </row>
    <row r="121" ht="15.75" customHeight="1">
      <c r="A121" s="172" t="s">
        <v>868</v>
      </c>
      <c r="B121" s="154" t="s">
        <v>197</v>
      </c>
      <c r="C121" s="173" t="s">
        <v>869</v>
      </c>
      <c r="D121" s="174" t="s">
        <v>135</v>
      </c>
      <c r="E121" s="173" t="s">
        <v>685</v>
      </c>
      <c r="F121" s="173" t="s">
        <v>870</v>
      </c>
      <c r="G121" s="173" t="s">
        <v>723</v>
      </c>
      <c r="H121" s="174" t="s">
        <v>91</v>
      </c>
      <c r="I121" s="173" t="s">
        <v>723</v>
      </c>
      <c r="J121" s="174" t="s">
        <v>90</v>
      </c>
      <c r="K121" s="172" t="s">
        <v>749</v>
      </c>
      <c r="L121" s="180" t="s">
        <v>763</v>
      </c>
      <c r="M121" s="178">
        <v>44105.0</v>
      </c>
      <c r="N121" s="173" t="s">
        <v>741</v>
      </c>
      <c r="O121" s="184" t="s">
        <v>736</v>
      </c>
      <c r="P121" s="174" t="s">
        <v>745</v>
      </c>
      <c r="Q121" s="174" t="s">
        <v>745</v>
      </c>
      <c r="R121" s="177"/>
    </row>
    <row r="122" ht="15.75" customHeight="1">
      <c r="A122" s="172" t="s">
        <v>871</v>
      </c>
      <c r="B122" s="154" t="s">
        <v>197</v>
      </c>
      <c r="C122" s="173" t="s">
        <v>872</v>
      </c>
      <c r="D122" s="174" t="s">
        <v>185</v>
      </c>
      <c r="E122" s="173" t="s">
        <v>768</v>
      </c>
      <c r="F122" s="174">
        <v>50.0</v>
      </c>
      <c r="G122" s="196" t="s">
        <v>723</v>
      </c>
      <c r="H122" s="172" t="s">
        <v>723</v>
      </c>
      <c r="I122" s="173" t="s">
        <v>723</v>
      </c>
      <c r="J122" s="174" t="s">
        <v>85</v>
      </c>
      <c r="K122" s="173" t="s">
        <v>687</v>
      </c>
      <c r="L122" s="174" t="s">
        <v>760</v>
      </c>
      <c r="M122" s="178">
        <v>44157.0</v>
      </c>
      <c r="N122" s="173" t="s">
        <v>735</v>
      </c>
      <c r="O122" s="184" t="s">
        <v>736</v>
      </c>
      <c r="P122" s="174" t="s">
        <v>761</v>
      </c>
      <c r="Q122" s="174" t="s">
        <v>761</v>
      </c>
      <c r="R122" s="177"/>
    </row>
    <row r="123" ht="15.75" customHeight="1">
      <c r="A123" s="172" t="s">
        <v>873</v>
      </c>
      <c r="B123" s="154" t="s">
        <v>197</v>
      </c>
      <c r="C123" s="173" t="s">
        <v>874</v>
      </c>
      <c r="D123" s="174" t="s">
        <v>185</v>
      </c>
      <c r="E123" s="173" t="s">
        <v>713</v>
      </c>
      <c r="F123" s="174">
        <v>23.0</v>
      </c>
      <c r="G123" s="196" t="s">
        <v>723</v>
      </c>
      <c r="H123" s="172" t="s">
        <v>723</v>
      </c>
      <c r="I123" s="173" t="s">
        <v>723</v>
      </c>
      <c r="J123" s="174" t="s">
        <v>85</v>
      </c>
      <c r="K123" s="173" t="s">
        <v>687</v>
      </c>
      <c r="L123" s="174" t="s">
        <v>760</v>
      </c>
      <c r="M123" s="178">
        <v>44157.0</v>
      </c>
      <c r="N123" s="173" t="s">
        <v>735</v>
      </c>
      <c r="O123" s="184" t="s">
        <v>736</v>
      </c>
      <c r="P123" s="174" t="s">
        <v>761</v>
      </c>
      <c r="Q123" s="174" t="s">
        <v>761</v>
      </c>
      <c r="R123" s="177"/>
    </row>
    <row r="124" ht="15.75" customHeight="1">
      <c r="A124" s="172" t="s">
        <v>875</v>
      </c>
      <c r="B124" s="154" t="s">
        <v>197</v>
      </c>
      <c r="C124" s="173" t="s">
        <v>876</v>
      </c>
      <c r="D124" s="174" t="s">
        <v>185</v>
      </c>
      <c r="E124" s="173" t="s">
        <v>768</v>
      </c>
      <c r="F124" s="179" t="s">
        <v>877</v>
      </c>
      <c r="G124" s="196" t="s">
        <v>723</v>
      </c>
      <c r="H124" s="172" t="s">
        <v>723</v>
      </c>
      <c r="I124" s="173" t="s">
        <v>723</v>
      </c>
      <c r="J124" s="174" t="s">
        <v>85</v>
      </c>
      <c r="K124" s="173" t="s">
        <v>687</v>
      </c>
      <c r="L124" s="174" t="s">
        <v>760</v>
      </c>
      <c r="M124" s="178">
        <v>44157.0</v>
      </c>
      <c r="N124" s="173" t="s">
        <v>735</v>
      </c>
      <c r="O124" s="184" t="s">
        <v>736</v>
      </c>
      <c r="P124" s="174" t="s">
        <v>761</v>
      </c>
      <c r="Q124" s="174" t="s">
        <v>761</v>
      </c>
      <c r="R124" s="177"/>
    </row>
    <row r="125" ht="15.75" customHeight="1">
      <c r="A125" s="172" t="s">
        <v>878</v>
      </c>
      <c r="B125" s="154" t="s">
        <v>197</v>
      </c>
      <c r="C125" s="173" t="s">
        <v>879</v>
      </c>
      <c r="D125" s="174" t="s">
        <v>185</v>
      </c>
      <c r="E125" s="173" t="s">
        <v>768</v>
      </c>
      <c r="F125" s="179" t="s">
        <v>877</v>
      </c>
      <c r="G125" s="196" t="s">
        <v>723</v>
      </c>
      <c r="H125" s="172" t="s">
        <v>723</v>
      </c>
      <c r="I125" s="173" t="s">
        <v>723</v>
      </c>
      <c r="J125" s="174" t="s">
        <v>85</v>
      </c>
      <c r="K125" s="173" t="s">
        <v>687</v>
      </c>
      <c r="L125" s="174" t="s">
        <v>760</v>
      </c>
      <c r="M125" s="178">
        <v>44157.0</v>
      </c>
      <c r="N125" s="173" t="s">
        <v>735</v>
      </c>
      <c r="O125" s="184" t="s">
        <v>736</v>
      </c>
      <c r="P125" s="174" t="s">
        <v>761</v>
      </c>
      <c r="Q125" s="174" t="s">
        <v>761</v>
      </c>
      <c r="R125" s="177"/>
    </row>
    <row r="126" ht="15.75" customHeight="1">
      <c r="A126" s="172" t="s">
        <v>880</v>
      </c>
      <c r="B126" s="154" t="s">
        <v>197</v>
      </c>
      <c r="C126" s="173" t="s">
        <v>881</v>
      </c>
      <c r="D126" s="174" t="s">
        <v>185</v>
      </c>
      <c r="E126" s="173" t="s">
        <v>713</v>
      </c>
      <c r="F126" s="179" t="s">
        <v>877</v>
      </c>
      <c r="G126" s="196" t="s">
        <v>723</v>
      </c>
      <c r="H126" s="172" t="s">
        <v>723</v>
      </c>
      <c r="I126" s="173" t="s">
        <v>723</v>
      </c>
      <c r="J126" s="174" t="s">
        <v>85</v>
      </c>
      <c r="K126" s="173" t="s">
        <v>687</v>
      </c>
      <c r="L126" s="174" t="s">
        <v>760</v>
      </c>
      <c r="M126" s="178">
        <v>44157.0</v>
      </c>
      <c r="N126" s="173" t="s">
        <v>735</v>
      </c>
      <c r="O126" s="184" t="s">
        <v>736</v>
      </c>
      <c r="P126" s="174" t="s">
        <v>761</v>
      </c>
      <c r="Q126" s="174" t="s">
        <v>761</v>
      </c>
      <c r="R126" s="177"/>
    </row>
    <row r="127" ht="15.75" customHeight="1">
      <c r="A127" s="172" t="s">
        <v>882</v>
      </c>
      <c r="B127" s="154" t="s">
        <v>197</v>
      </c>
      <c r="C127" s="173" t="s">
        <v>883</v>
      </c>
      <c r="D127" s="174" t="s">
        <v>185</v>
      </c>
      <c r="E127" s="173" t="s">
        <v>768</v>
      </c>
      <c r="F127" s="179" t="s">
        <v>877</v>
      </c>
      <c r="G127" s="196" t="s">
        <v>723</v>
      </c>
      <c r="H127" s="172" t="s">
        <v>723</v>
      </c>
      <c r="I127" s="173" t="s">
        <v>723</v>
      </c>
      <c r="J127" s="174" t="s">
        <v>85</v>
      </c>
      <c r="K127" s="173" t="s">
        <v>687</v>
      </c>
      <c r="L127" s="174" t="s">
        <v>760</v>
      </c>
      <c r="M127" s="178">
        <v>44157.0</v>
      </c>
      <c r="N127" s="173" t="s">
        <v>735</v>
      </c>
      <c r="O127" s="184" t="s">
        <v>736</v>
      </c>
      <c r="P127" s="174" t="s">
        <v>761</v>
      </c>
      <c r="Q127" s="174" t="s">
        <v>761</v>
      </c>
      <c r="R127" s="177"/>
    </row>
    <row r="128" ht="15.75" customHeight="1">
      <c r="A128" s="172" t="s">
        <v>884</v>
      </c>
      <c r="B128" s="154" t="s">
        <v>197</v>
      </c>
      <c r="C128" s="173" t="s">
        <v>885</v>
      </c>
      <c r="D128" s="174" t="s">
        <v>185</v>
      </c>
      <c r="E128" s="173" t="s">
        <v>713</v>
      </c>
      <c r="F128" s="174">
        <v>8.0</v>
      </c>
      <c r="G128" s="196" t="s">
        <v>723</v>
      </c>
      <c r="H128" s="172" t="s">
        <v>723</v>
      </c>
      <c r="I128" s="173" t="s">
        <v>723</v>
      </c>
      <c r="J128" s="174" t="s">
        <v>85</v>
      </c>
      <c r="K128" s="173" t="s">
        <v>687</v>
      </c>
      <c r="L128" s="174" t="s">
        <v>760</v>
      </c>
      <c r="M128" s="178">
        <v>44158.0</v>
      </c>
      <c r="N128" s="173" t="s">
        <v>692</v>
      </c>
      <c r="O128" s="176" t="s">
        <v>690</v>
      </c>
      <c r="P128" s="174" t="s">
        <v>745</v>
      </c>
      <c r="Q128" s="174" t="s">
        <v>745</v>
      </c>
      <c r="R128" s="177"/>
    </row>
    <row r="129" ht="15.75" customHeight="1">
      <c r="A129" s="172" t="s">
        <v>886</v>
      </c>
      <c r="B129" s="154" t="s">
        <v>197</v>
      </c>
      <c r="C129" s="173" t="s">
        <v>887</v>
      </c>
      <c r="D129" s="174" t="s">
        <v>185</v>
      </c>
      <c r="E129" s="173" t="s">
        <v>698</v>
      </c>
      <c r="F129" s="181">
        <v>43733.0</v>
      </c>
      <c r="G129" s="196" t="s">
        <v>723</v>
      </c>
      <c r="H129" s="172" t="s">
        <v>723</v>
      </c>
      <c r="I129" s="173" t="s">
        <v>723</v>
      </c>
      <c r="J129" s="174" t="s">
        <v>85</v>
      </c>
      <c r="K129" s="173" t="s">
        <v>687</v>
      </c>
      <c r="L129" s="174" t="s">
        <v>760</v>
      </c>
      <c r="M129" s="178">
        <v>44158.0</v>
      </c>
      <c r="N129" s="173" t="s">
        <v>692</v>
      </c>
      <c r="O129" s="176" t="s">
        <v>690</v>
      </c>
      <c r="P129" s="174" t="s">
        <v>745</v>
      </c>
      <c r="Q129" s="174" t="s">
        <v>745</v>
      </c>
      <c r="R129" s="177"/>
    </row>
    <row r="130" ht="15.75" customHeight="1">
      <c r="A130" s="172" t="s">
        <v>888</v>
      </c>
      <c r="B130" s="154" t="s">
        <v>197</v>
      </c>
      <c r="C130" s="173" t="s">
        <v>889</v>
      </c>
      <c r="D130" s="174" t="s">
        <v>185</v>
      </c>
      <c r="E130" s="173" t="s">
        <v>777</v>
      </c>
      <c r="F130" s="174">
        <v>100.0</v>
      </c>
      <c r="G130" s="173" t="s">
        <v>723</v>
      </c>
      <c r="H130" s="180" t="s">
        <v>91</v>
      </c>
      <c r="I130" s="173" t="s">
        <v>723</v>
      </c>
      <c r="J130" s="174" t="s">
        <v>85</v>
      </c>
      <c r="K130" s="173" t="s">
        <v>687</v>
      </c>
      <c r="L130" s="174" t="s">
        <v>688</v>
      </c>
      <c r="M130" s="178">
        <v>44158.0</v>
      </c>
      <c r="N130" s="173" t="s">
        <v>692</v>
      </c>
      <c r="O130" s="176" t="s">
        <v>690</v>
      </c>
      <c r="P130" s="174" t="s">
        <v>724</v>
      </c>
      <c r="Q130" s="174" t="s">
        <v>724</v>
      </c>
      <c r="R130" s="177"/>
    </row>
    <row r="131" ht="15.75" customHeight="1">
      <c r="A131" s="172" t="s">
        <v>890</v>
      </c>
      <c r="B131" s="154" t="s">
        <v>197</v>
      </c>
      <c r="C131" s="173" t="s">
        <v>891</v>
      </c>
      <c r="D131" s="174" t="s">
        <v>185</v>
      </c>
      <c r="E131" s="173" t="s">
        <v>713</v>
      </c>
      <c r="F131" s="174">
        <v>62220.0</v>
      </c>
      <c r="G131" s="173" t="s">
        <v>723</v>
      </c>
      <c r="H131" s="174" t="s">
        <v>91</v>
      </c>
      <c r="I131" s="173" t="s">
        <v>723</v>
      </c>
      <c r="J131" s="174" t="s">
        <v>85</v>
      </c>
      <c r="K131" s="173" t="s">
        <v>687</v>
      </c>
      <c r="L131" s="174" t="s">
        <v>688</v>
      </c>
      <c r="M131" s="178">
        <v>44158.0</v>
      </c>
      <c r="N131" s="173" t="s">
        <v>692</v>
      </c>
      <c r="O131" s="176" t="s">
        <v>690</v>
      </c>
      <c r="P131" s="174" t="s">
        <v>724</v>
      </c>
      <c r="Q131" s="174" t="s">
        <v>724</v>
      </c>
      <c r="R131" s="177"/>
    </row>
    <row r="132" ht="15.75" customHeight="1">
      <c r="A132" s="172" t="s">
        <v>892</v>
      </c>
      <c r="B132" s="154" t="s">
        <v>52</v>
      </c>
      <c r="C132" s="173" t="s">
        <v>893</v>
      </c>
      <c r="D132" s="174" t="s">
        <v>185</v>
      </c>
      <c r="E132" s="173" t="s">
        <v>768</v>
      </c>
      <c r="F132" s="179" t="s">
        <v>894</v>
      </c>
      <c r="G132" s="196" t="s">
        <v>723</v>
      </c>
      <c r="H132" s="172" t="s">
        <v>723</v>
      </c>
      <c r="I132" s="173" t="s">
        <v>723</v>
      </c>
      <c r="J132" s="174" t="s">
        <v>85</v>
      </c>
      <c r="K132" s="173" t="s">
        <v>687</v>
      </c>
      <c r="L132" s="174" t="s">
        <v>688</v>
      </c>
      <c r="M132" s="178">
        <v>44158.0</v>
      </c>
      <c r="N132" s="173" t="s">
        <v>735</v>
      </c>
      <c r="O132" s="184" t="s">
        <v>736</v>
      </c>
      <c r="P132" s="174" t="s">
        <v>721</v>
      </c>
      <c r="Q132" s="174" t="s">
        <v>721</v>
      </c>
      <c r="R132" s="177"/>
    </row>
    <row r="133" ht="15.75" customHeight="1">
      <c r="A133" s="172" t="s">
        <v>895</v>
      </c>
      <c r="B133" s="154" t="s">
        <v>52</v>
      </c>
      <c r="C133" s="173" t="s">
        <v>896</v>
      </c>
      <c r="D133" s="174" t="s">
        <v>185</v>
      </c>
      <c r="E133" s="173" t="s">
        <v>768</v>
      </c>
      <c r="F133" s="179" t="s">
        <v>894</v>
      </c>
      <c r="G133" s="196" t="s">
        <v>723</v>
      </c>
      <c r="H133" s="172" t="s">
        <v>723</v>
      </c>
      <c r="I133" s="173" t="s">
        <v>723</v>
      </c>
      <c r="J133" s="174" t="s">
        <v>85</v>
      </c>
      <c r="K133" s="173" t="s">
        <v>687</v>
      </c>
      <c r="L133" s="174" t="s">
        <v>688</v>
      </c>
      <c r="M133" s="178">
        <v>44158.0</v>
      </c>
      <c r="N133" s="173" t="s">
        <v>735</v>
      </c>
      <c r="O133" s="184" t="s">
        <v>736</v>
      </c>
      <c r="P133" s="174" t="s">
        <v>721</v>
      </c>
      <c r="Q133" s="174" t="s">
        <v>721</v>
      </c>
      <c r="R133" s="177"/>
    </row>
    <row r="134" ht="15.75" customHeight="1">
      <c r="A134" s="172" t="s">
        <v>897</v>
      </c>
      <c r="B134" s="154" t="s">
        <v>52</v>
      </c>
      <c r="C134" s="173" t="s">
        <v>898</v>
      </c>
      <c r="D134" s="174" t="s">
        <v>185</v>
      </c>
      <c r="E134" s="173" t="s">
        <v>713</v>
      </c>
      <c r="F134" s="174">
        <v>12.0</v>
      </c>
      <c r="G134" s="196" t="s">
        <v>723</v>
      </c>
      <c r="H134" s="172" t="s">
        <v>723</v>
      </c>
      <c r="I134" s="173" t="s">
        <v>723</v>
      </c>
      <c r="J134" s="174" t="s">
        <v>85</v>
      </c>
      <c r="K134" s="173" t="s">
        <v>687</v>
      </c>
      <c r="L134" s="174" t="s">
        <v>688</v>
      </c>
      <c r="M134" s="178">
        <v>44158.0</v>
      </c>
      <c r="N134" s="173" t="s">
        <v>735</v>
      </c>
      <c r="O134" s="184" t="s">
        <v>736</v>
      </c>
      <c r="P134" s="174" t="s">
        <v>721</v>
      </c>
      <c r="Q134" s="174" t="s">
        <v>721</v>
      </c>
      <c r="R134" s="177"/>
    </row>
    <row r="135" ht="15.75" customHeight="1">
      <c r="A135" s="172" t="s">
        <v>899</v>
      </c>
      <c r="B135" s="154" t="s">
        <v>52</v>
      </c>
      <c r="C135" s="173" t="s">
        <v>900</v>
      </c>
      <c r="D135" s="174" t="s">
        <v>185</v>
      </c>
      <c r="E135" s="173" t="s">
        <v>713</v>
      </c>
      <c r="F135" s="174">
        <v>49.0</v>
      </c>
      <c r="G135" s="196" t="s">
        <v>723</v>
      </c>
      <c r="H135" s="172" t="s">
        <v>723</v>
      </c>
      <c r="I135" s="173" t="s">
        <v>723</v>
      </c>
      <c r="J135" s="174" t="s">
        <v>85</v>
      </c>
      <c r="K135" s="173" t="s">
        <v>687</v>
      </c>
      <c r="L135" s="174" t="s">
        <v>688</v>
      </c>
      <c r="M135" s="178">
        <v>44158.0</v>
      </c>
      <c r="N135" s="173" t="s">
        <v>735</v>
      </c>
      <c r="O135" s="184" t="s">
        <v>736</v>
      </c>
      <c r="P135" s="174" t="s">
        <v>721</v>
      </c>
      <c r="Q135" s="174" t="s">
        <v>721</v>
      </c>
      <c r="R135" s="177"/>
    </row>
    <row r="136" ht="15.75" customHeight="1">
      <c r="A136" s="172" t="s">
        <v>901</v>
      </c>
      <c r="B136" s="154" t="s">
        <v>52</v>
      </c>
      <c r="C136" s="173" t="s">
        <v>902</v>
      </c>
      <c r="D136" s="174" t="s">
        <v>185</v>
      </c>
      <c r="E136" s="173" t="s">
        <v>768</v>
      </c>
      <c r="F136" s="179" t="s">
        <v>894</v>
      </c>
      <c r="G136" s="196" t="s">
        <v>723</v>
      </c>
      <c r="H136" s="172" t="s">
        <v>723</v>
      </c>
      <c r="I136" s="173" t="s">
        <v>723</v>
      </c>
      <c r="J136" s="174" t="s">
        <v>85</v>
      </c>
      <c r="K136" s="173" t="s">
        <v>687</v>
      </c>
      <c r="L136" s="174" t="s">
        <v>688</v>
      </c>
      <c r="M136" s="178">
        <v>44158.0</v>
      </c>
      <c r="N136" s="173" t="s">
        <v>735</v>
      </c>
      <c r="O136" s="184" t="s">
        <v>736</v>
      </c>
      <c r="P136" s="174" t="s">
        <v>721</v>
      </c>
      <c r="Q136" s="174" t="s">
        <v>721</v>
      </c>
      <c r="R136" s="177"/>
    </row>
    <row r="137" ht="15.75" customHeight="1">
      <c r="A137" s="172" t="s">
        <v>903</v>
      </c>
      <c r="B137" s="154" t="s">
        <v>52</v>
      </c>
      <c r="C137" s="173" t="s">
        <v>904</v>
      </c>
      <c r="D137" s="174" t="s">
        <v>185</v>
      </c>
      <c r="E137" s="173" t="s">
        <v>768</v>
      </c>
      <c r="F137" s="197" t="s">
        <v>894</v>
      </c>
      <c r="G137" s="196" t="s">
        <v>723</v>
      </c>
      <c r="H137" s="172" t="s">
        <v>723</v>
      </c>
      <c r="I137" s="173" t="s">
        <v>723</v>
      </c>
      <c r="J137" s="180" t="s">
        <v>85</v>
      </c>
      <c r="K137" s="173" t="s">
        <v>687</v>
      </c>
      <c r="L137" s="174" t="s">
        <v>688</v>
      </c>
      <c r="M137" s="178">
        <v>44158.0</v>
      </c>
      <c r="N137" s="173" t="s">
        <v>735</v>
      </c>
      <c r="O137" s="184" t="s">
        <v>736</v>
      </c>
      <c r="P137" s="174" t="s">
        <v>721</v>
      </c>
      <c r="Q137" s="174" t="s">
        <v>721</v>
      </c>
      <c r="R137" s="177"/>
    </row>
    <row r="138" ht="15.75" customHeight="1">
      <c r="A138" s="172" t="s">
        <v>905</v>
      </c>
      <c r="B138" s="154" t="s">
        <v>197</v>
      </c>
      <c r="C138" s="173" t="s">
        <v>906</v>
      </c>
      <c r="D138" s="174" t="s">
        <v>185</v>
      </c>
      <c r="E138" s="173" t="s">
        <v>713</v>
      </c>
      <c r="F138" s="180">
        <v>9.0</v>
      </c>
      <c r="G138" s="196" t="s">
        <v>723</v>
      </c>
      <c r="H138" s="172" t="s">
        <v>723</v>
      </c>
      <c r="I138" s="173" t="s">
        <v>723</v>
      </c>
      <c r="J138" s="180" t="s">
        <v>85</v>
      </c>
      <c r="K138" s="173" t="s">
        <v>687</v>
      </c>
      <c r="L138" s="174" t="s">
        <v>760</v>
      </c>
      <c r="M138" s="178">
        <v>44158.0</v>
      </c>
      <c r="N138" s="173" t="s">
        <v>692</v>
      </c>
      <c r="O138" s="176" t="s">
        <v>690</v>
      </c>
      <c r="P138" s="174" t="s">
        <v>724</v>
      </c>
      <c r="Q138" s="174" t="s">
        <v>724</v>
      </c>
      <c r="R138" s="177"/>
    </row>
    <row r="139" ht="15.75" customHeight="1">
      <c r="A139" s="172" t="s">
        <v>907</v>
      </c>
      <c r="B139" s="154" t="s">
        <v>197</v>
      </c>
      <c r="C139" s="173" t="s">
        <v>908</v>
      </c>
      <c r="D139" s="174" t="s">
        <v>185</v>
      </c>
      <c r="E139" s="173" t="s">
        <v>713</v>
      </c>
      <c r="F139" s="180">
        <v>10.0</v>
      </c>
      <c r="G139" s="196" t="s">
        <v>723</v>
      </c>
      <c r="H139" s="172" t="s">
        <v>723</v>
      </c>
      <c r="I139" s="173" t="s">
        <v>723</v>
      </c>
      <c r="J139" s="180" t="s">
        <v>85</v>
      </c>
      <c r="K139" s="173" t="s">
        <v>687</v>
      </c>
      <c r="L139" s="174" t="s">
        <v>760</v>
      </c>
      <c r="M139" s="178">
        <v>44158.0</v>
      </c>
      <c r="N139" s="173" t="s">
        <v>692</v>
      </c>
      <c r="O139" s="176" t="s">
        <v>690</v>
      </c>
      <c r="P139" s="174" t="s">
        <v>724</v>
      </c>
      <c r="Q139" s="174" t="s">
        <v>724</v>
      </c>
      <c r="R139" s="177"/>
    </row>
    <row r="140" ht="15.75" customHeight="1">
      <c r="A140" s="172" t="s">
        <v>909</v>
      </c>
      <c r="B140" s="154" t="s">
        <v>197</v>
      </c>
      <c r="C140" s="173" t="s">
        <v>910</v>
      </c>
      <c r="D140" s="174" t="s">
        <v>185</v>
      </c>
      <c r="E140" s="173" t="s">
        <v>694</v>
      </c>
      <c r="F140" s="180">
        <v>41.0</v>
      </c>
      <c r="G140" s="196" t="s">
        <v>723</v>
      </c>
      <c r="H140" s="172" t="s">
        <v>723</v>
      </c>
      <c r="I140" s="173" t="s">
        <v>723</v>
      </c>
      <c r="J140" s="180" t="s">
        <v>85</v>
      </c>
      <c r="K140" s="173" t="s">
        <v>687</v>
      </c>
      <c r="L140" s="174" t="s">
        <v>760</v>
      </c>
      <c r="M140" s="178">
        <v>44158.0</v>
      </c>
      <c r="N140" s="173" t="s">
        <v>692</v>
      </c>
      <c r="O140" s="176" t="s">
        <v>690</v>
      </c>
      <c r="P140" s="174" t="s">
        <v>724</v>
      </c>
      <c r="Q140" s="174" t="s">
        <v>724</v>
      </c>
      <c r="R140" s="177"/>
    </row>
    <row r="141" ht="15.75" customHeight="1">
      <c r="A141" s="172" t="s">
        <v>481</v>
      </c>
      <c r="B141" s="154" t="s">
        <v>197</v>
      </c>
      <c r="C141" s="173" t="s">
        <v>918</v>
      </c>
      <c r="D141" s="174" t="s">
        <v>185</v>
      </c>
      <c r="E141" s="173" t="s">
        <v>768</v>
      </c>
      <c r="F141" s="180">
        <v>36.0</v>
      </c>
      <c r="G141" s="196" t="s">
        <v>723</v>
      </c>
      <c r="H141" s="172" t="s">
        <v>723</v>
      </c>
      <c r="I141" s="173" t="s">
        <v>723</v>
      </c>
      <c r="J141" s="180" t="s">
        <v>85</v>
      </c>
      <c r="K141" s="173" t="s">
        <v>687</v>
      </c>
      <c r="L141" s="174" t="s">
        <v>760</v>
      </c>
      <c r="M141" s="178">
        <v>44158.0</v>
      </c>
      <c r="N141" s="173" t="s">
        <v>692</v>
      </c>
      <c r="O141" s="176" t="s">
        <v>690</v>
      </c>
      <c r="P141" s="174" t="s">
        <v>724</v>
      </c>
      <c r="Q141" s="174" t="s">
        <v>724</v>
      </c>
      <c r="R141" s="177"/>
    </row>
    <row r="142" ht="15.75" customHeight="1">
      <c r="A142" s="172" t="s">
        <v>483</v>
      </c>
      <c r="B142" s="154" t="s">
        <v>197</v>
      </c>
      <c r="C142" s="173" t="s">
        <v>919</v>
      </c>
      <c r="D142" s="174" t="s">
        <v>185</v>
      </c>
      <c r="E142" s="173" t="s">
        <v>768</v>
      </c>
      <c r="F142" s="180">
        <v>24.0</v>
      </c>
      <c r="G142" s="196" t="s">
        <v>723</v>
      </c>
      <c r="H142" s="172" t="s">
        <v>723</v>
      </c>
      <c r="I142" s="173" t="s">
        <v>723</v>
      </c>
      <c r="J142" s="180" t="s">
        <v>85</v>
      </c>
      <c r="K142" s="173" t="s">
        <v>687</v>
      </c>
      <c r="L142" s="174" t="s">
        <v>760</v>
      </c>
      <c r="M142" s="178">
        <v>44158.0</v>
      </c>
      <c r="N142" s="173" t="s">
        <v>692</v>
      </c>
      <c r="O142" s="176" t="s">
        <v>690</v>
      </c>
      <c r="P142" s="174" t="s">
        <v>724</v>
      </c>
      <c r="Q142" s="174" t="s">
        <v>724</v>
      </c>
      <c r="R142" s="177"/>
    </row>
    <row r="143" ht="15.75" customHeight="1">
      <c r="A143" s="172" t="s">
        <v>485</v>
      </c>
      <c r="B143" s="154" t="s">
        <v>197</v>
      </c>
      <c r="C143" s="173" t="s">
        <v>920</v>
      </c>
      <c r="D143" s="174" t="s">
        <v>185</v>
      </c>
      <c r="E143" s="173" t="s">
        <v>713</v>
      </c>
      <c r="F143" s="180">
        <v>19.0</v>
      </c>
      <c r="G143" s="196" t="s">
        <v>723</v>
      </c>
      <c r="H143" s="172" t="s">
        <v>723</v>
      </c>
      <c r="I143" s="173" t="s">
        <v>723</v>
      </c>
      <c r="J143" s="180" t="s">
        <v>85</v>
      </c>
      <c r="K143" s="173" t="s">
        <v>687</v>
      </c>
      <c r="L143" s="174" t="s">
        <v>760</v>
      </c>
      <c r="M143" s="178">
        <v>44158.0</v>
      </c>
      <c r="N143" s="172" t="s">
        <v>692</v>
      </c>
      <c r="O143" s="184" t="s">
        <v>736</v>
      </c>
      <c r="P143" s="174" t="s">
        <v>724</v>
      </c>
      <c r="Q143" s="174" t="s">
        <v>724</v>
      </c>
      <c r="R143" s="177"/>
    </row>
    <row r="144" ht="15.75" customHeight="1">
      <c r="A144" s="172" t="s">
        <v>487</v>
      </c>
      <c r="B144" s="154" t="s">
        <v>197</v>
      </c>
      <c r="C144" s="173" t="s">
        <v>488</v>
      </c>
      <c r="D144" s="174" t="s">
        <v>185</v>
      </c>
      <c r="E144" s="173" t="s">
        <v>768</v>
      </c>
      <c r="F144" s="180">
        <v>23.0</v>
      </c>
      <c r="G144" s="196" t="s">
        <v>723</v>
      </c>
      <c r="H144" s="172" t="s">
        <v>723</v>
      </c>
      <c r="I144" s="173" t="s">
        <v>723</v>
      </c>
      <c r="J144" s="180" t="s">
        <v>85</v>
      </c>
      <c r="K144" s="173" t="s">
        <v>687</v>
      </c>
      <c r="L144" s="174" t="s">
        <v>760</v>
      </c>
      <c r="M144" s="178">
        <v>44158.0</v>
      </c>
      <c r="N144" s="173" t="s">
        <v>692</v>
      </c>
      <c r="O144" s="176" t="s">
        <v>690</v>
      </c>
      <c r="P144" s="174" t="s">
        <v>724</v>
      </c>
      <c r="Q144" s="174" t="s">
        <v>724</v>
      </c>
      <c r="R144" s="177"/>
    </row>
    <row r="145" ht="15.75" customHeight="1">
      <c r="A145" s="172" t="s">
        <v>489</v>
      </c>
      <c r="B145" s="155" t="s">
        <v>44</v>
      </c>
      <c r="C145" s="173" t="s">
        <v>490</v>
      </c>
      <c r="D145" s="174" t="s">
        <v>185</v>
      </c>
      <c r="E145" s="173" t="s">
        <v>685</v>
      </c>
      <c r="F145" s="174" t="s">
        <v>921</v>
      </c>
      <c r="G145" s="174" t="s">
        <v>476</v>
      </c>
      <c r="H145" s="174" t="s">
        <v>476</v>
      </c>
      <c r="I145" s="174" t="s">
        <v>476</v>
      </c>
      <c r="J145" s="174" t="s">
        <v>85</v>
      </c>
      <c r="K145" s="173" t="s">
        <v>749</v>
      </c>
      <c r="L145" s="174" t="s">
        <v>749</v>
      </c>
      <c r="M145" s="178">
        <v>44105.0</v>
      </c>
      <c r="N145" s="173" t="s">
        <v>692</v>
      </c>
      <c r="O145" s="176" t="s">
        <v>690</v>
      </c>
      <c r="P145" s="174" t="s">
        <v>782</v>
      </c>
      <c r="Q145" s="174" t="s">
        <v>782</v>
      </c>
      <c r="R145" s="177"/>
    </row>
    <row r="146" ht="15.75" customHeight="1">
      <c r="A146" s="172" t="s">
        <v>491</v>
      </c>
      <c r="B146" s="155" t="s">
        <v>44</v>
      </c>
      <c r="C146" s="173" t="s">
        <v>492</v>
      </c>
      <c r="D146" s="174" t="s">
        <v>185</v>
      </c>
      <c r="E146" s="173" t="s">
        <v>685</v>
      </c>
      <c r="F146" s="174" t="s">
        <v>922</v>
      </c>
      <c r="G146" s="174" t="s">
        <v>476</v>
      </c>
      <c r="H146" s="174" t="s">
        <v>476</v>
      </c>
      <c r="I146" s="174" t="s">
        <v>476</v>
      </c>
      <c r="J146" s="174" t="s">
        <v>85</v>
      </c>
      <c r="K146" s="173" t="s">
        <v>749</v>
      </c>
      <c r="L146" s="174" t="s">
        <v>749</v>
      </c>
      <c r="M146" s="178">
        <v>44105.0</v>
      </c>
      <c r="N146" s="173" t="s">
        <v>692</v>
      </c>
      <c r="O146" s="176" t="s">
        <v>690</v>
      </c>
      <c r="P146" s="174" t="s">
        <v>782</v>
      </c>
      <c r="Q146" s="174" t="s">
        <v>782</v>
      </c>
      <c r="R146" s="177"/>
    </row>
    <row r="147" ht="15.75" customHeight="1">
      <c r="A147" s="172" t="s">
        <v>493</v>
      </c>
      <c r="B147" s="155" t="s">
        <v>44</v>
      </c>
      <c r="C147" s="173" t="s">
        <v>494</v>
      </c>
      <c r="D147" s="174" t="s">
        <v>185</v>
      </c>
      <c r="E147" s="173" t="s">
        <v>685</v>
      </c>
      <c r="F147" s="174" t="s">
        <v>923</v>
      </c>
      <c r="G147" s="174" t="s">
        <v>476</v>
      </c>
      <c r="H147" s="174" t="s">
        <v>476</v>
      </c>
      <c r="I147" s="174" t="s">
        <v>476</v>
      </c>
      <c r="J147" s="174" t="s">
        <v>85</v>
      </c>
      <c r="K147" s="173" t="s">
        <v>749</v>
      </c>
      <c r="L147" s="174" t="s">
        <v>749</v>
      </c>
      <c r="M147" s="178">
        <v>44105.0</v>
      </c>
      <c r="N147" s="173" t="s">
        <v>692</v>
      </c>
      <c r="O147" s="176" t="s">
        <v>690</v>
      </c>
      <c r="P147" s="174" t="s">
        <v>782</v>
      </c>
      <c r="Q147" s="174" t="s">
        <v>782</v>
      </c>
      <c r="R147" s="177"/>
    </row>
    <row r="148" ht="15.75" customHeight="1">
      <c r="A148" s="172" t="s">
        <v>495</v>
      </c>
      <c r="B148" s="155" t="s">
        <v>44</v>
      </c>
      <c r="C148" s="173" t="s">
        <v>496</v>
      </c>
      <c r="D148" s="174" t="s">
        <v>185</v>
      </c>
      <c r="E148" s="173" t="s">
        <v>685</v>
      </c>
      <c r="F148" s="174" t="s">
        <v>924</v>
      </c>
      <c r="G148" s="174" t="s">
        <v>476</v>
      </c>
      <c r="H148" s="174" t="s">
        <v>476</v>
      </c>
      <c r="I148" s="174" t="s">
        <v>476</v>
      </c>
      <c r="J148" s="174" t="s">
        <v>85</v>
      </c>
      <c r="K148" s="173" t="s">
        <v>749</v>
      </c>
      <c r="L148" s="174" t="s">
        <v>749</v>
      </c>
      <c r="M148" s="178">
        <v>44105.0</v>
      </c>
      <c r="N148" s="173" t="s">
        <v>692</v>
      </c>
      <c r="O148" s="176" t="s">
        <v>690</v>
      </c>
      <c r="P148" s="174" t="s">
        <v>782</v>
      </c>
      <c r="Q148" s="174" t="s">
        <v>782</v>
      </c>
      <c r="R148" s="177"/>
    </row>
    <row r="149" ht="15.75" customHeight="1">
      <c r="A149" s="172" t="s">
        <v>497</v>
      </c>
      <c r="B149" s="155" t="s">
        <v>44</v>
      </c>
      <c r="C149" s="173" t="s">
        <v>498</v>
      </c>
      <c r="D149" s="174" t="s">
        <v>185</v>
      </c>
      <c r="E149" s="173" t="s">
        <v>685</v>
      </c>
      <c r="F149" s="174" t="s">
        <v>925</v>
      </c>
      <c r="G149" s="174" t="s">
        <v>476</v>
      </c>
      <c r="H149" s="174" t="s">
        <v>476</v>
      </c>
      <c r="I149" s="174" t="s">
        <v>476</v>
      </c>
      <c r="J149" s="174" t="s">
        <v>85</v>
      </c>
      <c r="K149" s="173" t="s">
        <v>749</v>
      </c>
      <c r="L149" s="174" t="s">
        <v>749</v>
      </c>
      <c r="M149" s="178">
        <v>44105.0</v>
      </c>
      <c r="N149" s="173" t="s">
        <v>692</v>
      </c>
      <c r="O149" s="176" t="s">
        <v>690</v>
      </c>
      <c r="P149" s="174" t="s">
        <v>782</v>
      </c>
      <c r="Q149" s="174" t="s">
        <v>782</v>
      </c>
      <c r="R149" s="177"/>
    </row>
    <row r="150" ht="15.75" customHeight="1">
      <c r="A150" s="172" t="s">
        <v>499</v>
      </c>
      <c r="B150" s="155" t="s">
        <v>44</v>
      </c>
      <c r="C150" s="173" t="s">
        <v>500</v>
      </c>
      <c r="D150" s="174" t="s">
        <v>185</v>
      </c>
      <c r="E150" s="173" t="s">
        <v>685</v>
      </c>
      <c r="F150" s="174" t="s">
        <v>926</v>
      </c>
      <c r="G150" s="174" t="s">
        <v>476</v>
      </c>
      <c r="H150" s="174" t="s">
        <v>476</v>
      </c>
      <c r="I150" s="174" t="s">
        <v>476</v>
      </c>
      <c r="J150" s="174" t="s">
        <v>85</v>
      </c>
      <c r="K150" s="173" t="s">
        <v>749</v>
      </c>
      <c r="L150" s="174" t="s">
        <v>749</v>
      </c>
      <c r="M150" s="178">
        <v>44105.0</v>
      </c>
      <c r="N150" s="173" t="s">
        <v>692</v>
      </c>
      <c r="O150" s="176" t="s">
        <v>690</v>
      </c>
      <c r="P150" s="174" t="s">
        <v>782</v>
      </c>
      <c r="Q150" s="174" t="s">
        <v>782</v>
      </c>
      <c r="R150" s="177"/>
    </row>
    <row r="151" ht="15.75" customHeight="1">
      <c r="A151" s="172" t="s">
        <v>501</v>
      </c>
      <c r="B151" s="155" t="s">
        <v>44</v>
      </c>
      <c r="C151" s="173" t="s">
        <v>502</v>
      </c>
      <c r="D151" s="174" t="s">
        <v>185</v>
      </c>
      <c r="E151" s="173" t="s">
        <v>685</v>
      </c>
      <c r="F151" s="174" t="s">
        <v>927</v>
      </c>
      <c r="G151" s="174" t="s">
        <v>476</v>
      </c>
      <c r="H151" s="174" t="s">
        <v>476</v>
      </c>
      <c r="I151" s="174" t="s">
        <v>476</v>
      </c>
      <c r="J151" s="174" t="s">
        <v>85</v>
      </c>
      <c r="K151" s="173" t="s">
        <v>749</v>
      </c>
      <c r="L151" s="174" t="s">
        <v>749</v>
      </c>
      <c r="M151" s="178">
        <v>44105.0</v>
      </c>
      <c r="N151" s="173" t="s">
        <v>692</v>
      </c>
      <c r="O151" s="176" t="s">
        <v>690</v>
      </c>
      <c r="P151" s="174" t="s">
        <v>782</v>
      </c>
      <c r="Q151" s="174" t="s">
        <v>782</v>
      </c>
      <c r="R151" s="177"/>
    </row>
    <row r="152" ht="15.75" customHeight="1">
      <c r="A152" s="172" t="s">
        <v>503</v>
      </c>
      <c r="B152" s="155" t="s">
        <v>44</v>
      </c>
      <c r="C152" s="173" t="s">
        <v>504</v>
      </c>
      <c r="D152" s="174" t="s">
        <v>185</v>
      </c>
      <c r="E152" s="173" t="s">
        <v>685</v>
      </c>
      <c r="F152" s="174" t="s">
        <v>928</v>
      </c>
      <c r="G152" s="174" t="s">
        <v>476</v>
      </c>
      <c r="H152" s="174" t="s">
        <v>476</v>
      </c>
      <c r="I152" s="174" t="s">
        <v>476</v>
      </c>
      <c r="J152" s="174" t="s">
        <v>85</v>
      </c>
      <c r="K152" s="173" t="s">
        <v>749</v>
      </c>
      <c r="L152" s="174" t="s">
        <v>749</v>
      </c>
      <c r="M152" s="178">
        <v>44105.0</v>
      </c>
      <c r="N152" s="173" t="s">
        <v>692</v>
      </c>
      <c r="O152" s="176" t="s">
        <v>690</v>
      </c>
      <c r="P152" s="174" t="s">
        <v>782</v>
      </c>
      <c r="Q152" s="174" t="s">
        <v>782</v>
      </c>
      <c r="R152" s="177"/>
    </row>
    <row r="153" ht="15.75" customHeight="1">
      <c r="A153" s="172" t="s">
        <v>505</v>
      </c>
      <c r="B153" s="155" t="s">
        <v>44</v>
      </c>
      <c r="C153" s="173" t="s">
        <v>506</v>
      </c>
      <c r="D153" s="174" t="s">
        <v>185</v>
      </c>
      <c r="E153" s="173" t="s">
        <v>685</v>
      </c>
      <c r="F153" s="174" t="s">
        <v>921</v>
      </c>
      <c r="G153" s="174" t="s">
        <v>476</v>
      </c>
      <c r="H153" s="174" t="s">
        <v>476</v>
      </c>
      <c r="I153" s="174" t="s">
        <v>476</v>
      </c>
      <c r="J153" s="174" t="s">
        <v>85</v>
      </c>
      <c r="K153" s="173" t="s">
        <v>749</v>
      </c>
      <c r="L153" s="174" t="s">
        <v>749</v>
      </c>
      <c r="M153" s="178">
        <v>44105.0</v>
      </c>
      <c r="N153" s="173" t="s">
        <v>692</v>
      </c>
      <c r="O153" s="176" t="s">
        <v>690</v>
      </c>
      <c r="P153" s="174" t="s">
        <v>782</v>
      </c>
      <c r="Q153" s="174" t="s">
        <v>782</v>
      </c>
      <c r="R153" s="177"/>
    </row>
    <row r="154" ht="15.75" customHeight="1">
      <c r="A154" s="172" t="s">
        <v>507</v>
      </c>
      <c r="B154" s="155" t="s">
        <v>44</v>
      </c>
      <c r="C154" s="173" t="s">
        <v>508</v>
      </c>
      <c r="D154" s="174" t="s">
        <v>185</v>
      </c>
      <c r="E154" s="173" t="s">
        <v>685</v>
      </c>
      <c r="F154" s="174" t="s">
        <v>929</v>
      </c>
      <c r="G154" s="174" t="s">
        <v>476</v>
      </c>
      <c r="H154" s="174" t="s">
        <v>476</v>
      </c>
      <c r="I154" s="174" t="s">
        <v>476</v>
      </c>
      <c r="J154" s="174" t="s">
        <v>85</v>
      </c>
      <c r="K154" s="173" t="s">
        <v>749</v>
      </c>
      <c r="L154" s="174" t="s">
        <v>749</v>
      </c>
      <c r="M154" s="178">
        <v>44105.0</v>
      </c>
      <c r="N154" s="173" t="s">
        <v>692</v>
      </c>
      <c r="O154" s="176" t="s">
        <v>690</v>
      </c>
      <c r="P154" s="174" t="s">
        <v>782</v>
      </c>
      <c r="Q154" s="174" t="s">
        <v>782</v>
      </c>
      <c r="R154" s="177"/>
    </row>
    <row r="155" ht="15.75" customHeight="1">
      <c r="A155" s="172" t="s">
        <v>509</v>
      </c>
      <c r="B155" s="155" t="s">
        <v>44</v>
      </c>
      <c r="C155" s="173" t="s">
        <v>510</v>
      </c>
      <c r="D155" s="174" t="s">
        <v>185</v>
      </c>
      <c r="E155" s="173" t="s">
        <v>685</v>
      </c>
      <c r="F155" s="174" t="s">
        <v>930</v>
      </c>
      <c r="G155" s="174" t="s">
        <v>476</v>
      </c>
      <c r="H155" s="174" t="s">
        <v>476</v>
      </c>
      <c r="I155" s="174" t="s">
        <v>476</v>
      </c>
      <c r="J155" s="174" t="s">
        <v>85</v>
      </c>
      <c r="K155" s="173" t="s">
        <v>749</v>
      </c>
      <c r="L155" s="174" t="s">
        <v>749</v>
      </c>
      <c r="M155" s="178">
        <v>44105.0</v>
      </c>
      <c r="N155" s="173" t="s">
        <v>692</v>
      </c>
      <c r="O155" s="176" t="s">
        <v>690</v>
      </c>
      <c r="P155" s="174" t="s">
        <v>782</v>
      </c>
      <c r="Q155" s="174" t="s">
        <v>782</v>
      </c>
      <c r="R155" s="177"/>
    </row>
    <row r="156" ht="15.75" customHeight="1">
      <c r="A156" s="172" t="s">
        <v>511</v>
      </c>
      <c r="B156" s="155" t="s">
        <v>44</v>
      </c>
      <c r="C156" s="173" t="s">
        <v>512</v>
      </c>
      <c r="D156" s="174" t="s">
        <v>185</v>
      </c>
      <c r="E156" s="173" t="s">
        <v>685</v>
      </c>
      <c r="F156" s="174" t="s">
        <v>931</v>
      </c>
      <c r="G156" s="174" t="s">
        <v>476</v>
      </c>
      <c r="H156" s="174" t="s">
        <v>476</v>
      </c>
      <c r="I156" s="174" t="s">
        <v>476</v>
      </c>
      <c r="J156" s="174" t="s">
        <v>85</v>
      </c>
      <c r="K156" s="173" t="s">
        <v>749</v>
      </c>
      <c r="L156" s="174" t="s">
        <v>749</v>
      </c>
      <c r="M156" s="178">
        <v>44105.0</v>
      </c>
      <c r="N156" s="173" t="s">
        <v>692</v>
      </c>
      <c r="O156" s="176" t="s">
        <v>690</v>
      </c>
      <c r="P156" s="174" t="s">
        <v>782</v>
      </c>
      <c r="Q156" s="174" t="s">
        <v>782</v>
      </c>
      <c r="R156" s="177"/>
    </row>
    <row r="157" ht="15.75" customHeight="1">
      <c r="A157" s="172" t="s">
        <v>932</v>
      </c>
      <c r="B157" s="154" t="s">
        <v>197</v>
      </c>
      <c r="C157" s="173" t="s">
        <v>933</v>
      </c>
      <c r="D157" s="174" t="s">
        <v>185</v>
      </c>
      <c r="E157" s="173" t="s">
        <v>694</v>
      </c>
      <c r="F157" s="180">
        <v>140769.0</v>
      </c>
      <c r="G157" s="173" t="s">
        <v>723</v>
      </c>
      <c r="H157" s="180" t="s">
        <v>91</v>
      </c>
      <c r="I157" s="173" t="s">
        <v>723</v>
      </c>
      <c r="J157" s="180" t="s">
        <v>85</v>
      </c>
      <c r="K157" s="173" t="s">
        <v>687</v>
      </c>
      <c r="L157" s="174" t="s">
        <v>688</v>
      </c>
      <c r="M157" s="178">
        <v>44158.0</v>
      </c>
      <c r="N157" s="172" t="s">
        <v>701</v>
      </c>
      <c r="O157" s="176" t="s">
        <v>690</v>
      </c>
      <c r="P157" s="174" t="s">
        <v>724</v>
      </c>
      <c r="Q157" s="174" t="s">
        <v>724</v>
      </c>
      <c r="R157" s="177"/>
    </row>
    <row r="158" ht="15.75" customHeight="1">
      <c r="A158" s="172" t="s">
        <v>1329</v>
      </c>
      <c r="B158" s="154" t="s">
        <v>46</v>
      </c>
      <c r="C158" s="173" t="s">
        <v>934</v>
      </c>
      <c r="D158" s="174" t="s">
        <v>135</v>
      </c>
      <c r="E158" s="173" t="s">
        <v>720</v>
      </c>
      <c r="F158" s="196" t="b">
        <v>1</v>
      </c>
      <c r="G158" s="185" t="s">
        <v>517</v>
      </c>
      <c r="H158" s="185" t="s">
        <v>517</v>
      </c>
      <c r="I158" s="185" t="s">
        <v>90</v>
      </c>
      <c r="J158" s="174" t="s">
        <v>85</v>
      </c>
      <c r="K158" s="173" t="s">
        <v>749</v>
      </c>
      <c r="L158" s="174" t="s">
        <v>714</v>
      </c>
      <c r="M158" s="178">
        <v>44105.0</v>
      </c>
      <c r="N158" s="173" t="s">
        <v>692</v>
      </c>
      <c r="O158" s="176" t="s">
        <v>690</v>
      </c>
      <c r="P158" s="174" t="s">
        <v>782</v>
      </c>
      <c r="Q158" s="174" t="s">
        <v>782</v>
      </c>
      <c r="R158" s="177"/>
    </row>
    <row r="159" ht="15.75" customHeight="1">
      <c r="A159" s="172" t="s">
        <v>1330</v>
      </c>
      <c r="B159" s="154" t="s">
        <v>46</v>
      </c>
      <c r="C159" s="173" t="s">
        <v>935</v>
      </c>
      <c r="D159" s="174" t="s">
        <v>135</v>
      </c>
      <c r="E159" s="173" t="s">
        <v>685</v>
      </c>
      <c r="F159" s="173" t="s">
        <v>936</v>
      </c>
      <c r="G159" s="185" t="s">
        <v>517</v>
      </c>
      <c r="H159" s="185" t="s">
        <v>517</v>
      </c>
      <c r="I159" s="185" t="s">
        <v>90</v>
      </c>
      <c r="J159" s="174" t="s">
        <v>85</v>
      </c>
      <c r="K159" s="173" t="s">
        <v>749</v>
      </c>
      <c r="L159" s="174" t="s">
        <v>714</v>
      </c>
      <c r="M159" s="178">
        <v>44105.0</v>
      </c>
      <c r="N159" s="173" t="s">
        <v>692</v>
      </c>
      <c r="O159" s="176" t="s">
        <v>690</v>
      </c>
      <c r="P159" s="174" t="s">
        <v>782</v>
      </c>
      <c r="Q159" s="174" t="s">
        <v>782</v>
      </c>
      <c r="R159" s="177"/>
    </row>
    <row r="160" ht="15.75" customHeight="1">
      <c r="A160" s="172" t="s">
        <v>1331</v>
      </c>
      <c r="B160" s="154" t="s">
        <v>46</v>
      </c>
      <c r="C160" s="173" t="s">
        <v>937</v>
      </c>
      <c r="D160" s="174" t="s">
        <v>135</v>
      </c>
      <c r="E160" s="173" t="s">
        <v>685</v>
      </c>
      <c r="F160" s="198" t="s">
        <v>938</v>
      </c>
      <c r="G160" s="185" t="s">
        <v>517</v>
      </c>
      <c r="H160" s="185" t="s">
        <v>517</v>
      </c>
      <c r="I160" s="185" t="s">
        <v>90</v>
      </c>
      <c r="J160" s="174" t="s">
        <v>85</v>
      </c>
      <c r="K160" s="173" t="s">
        <v>749</v>
      </c>
      <c r="L160" s="174" t="s">
        <v>714</v>
      </c>
      <c r="M160" s="178">
        <v>44105.0</v>
      </c>
      <c r="N160" s="173" t="s">
        <v>692</v>
      </c>
      <c r="O160" s="176" t="s">
        <v>690</v>
      </c>
      <c r="P160" s="174" t="s">
        <v>782</v>
      </c>
      <c r="Q160" s="174" t="s">
        <v>782</v>
      </c>
      <c r="R160" s="177"/>
    </row>
    <row r="161" ht="15.75" customHeight="1">
      <c r="A161" s="172" t="s">
        <v>531</v>
      </c>
      <c r="B161" s="154" t="s">
        <v>46</v>
      </c>
      <c r="C161" s="173" t="s">
        <v>943</v>
      </c>
      <c r="D161" s="174" t="s">
        <v>135</v>
      </c>
      <c r="E161" s="173" t="s">
        <v>720</v>
      </c>
      <c r="F161" s="196" t="b">
        <v>1</v>
      </c>
      <c r="G161" s="185" t="s">
        <v>517</v>
      </c>
      <c r="H161" s="185" t="s">
        <v>517</v>
      </c>
      <c r="I161" s="185" t="s">
        <v>90</v>
      </c>
      <c r="J161" s="174" t="s">
        <v>85</v>
      </c>
      <c r="K161" s="173" t="s">
        <v>749</v>
      </c>
      <c r="L161" s="174" t="s">
        <v>714</v>
      </c>
      <c r="M161" s="178">
        <v>44075.0</v>
      </c>
      <c r="N161" s="173" t="s">
        <v>692</v>
      </c>
      <c r="O161" s="176" t="s">
        <v>690</v>
      </c>
      <c r="P161" s="174" t="s">
        <v>782</v>
      </c>
      <c r="Q161" s="174" t="s">
        <v>782</v>
      </c>
      <c r="R161" s="177"/>
    </row>
    <row r="162" ht="15.75" customHeight="1">
      <c r="A162" s="172" t="s">
        <v>533</v>
      </c>
      <c r="B162" s="154" t="s">
        <v>46</v>
      </c>
      <c r="C162" s="173" t="s">
        <v>944</v>
      </c>
      <c r="D162" s="174" t="s">
        <v>135</v>
      </c>
      <c r="E162" s="173" t="s">
        <v>685</v>
      </c>
      <c r="F162" s="173" t="s">
        <v>936</v>
      </c>
      <c r="G162" s="185" t="s">
        <v>517</v>
      </c>
      <c r="H162" s="185" t="s">
        <v>517</v>
      </c>
      <c r="I162" s="185" t="s">
        <v>90</v>
      </c>
      <c r="J162" s="174" t="s">
        <v>85</v>
      </c>
      <c r="K162" s="173" t="s">
        <v>749</v>
      </c>
      <c r="L162" s="174" t="s">
        <v>714</v>
      </c>
      <c r="M162" s="178">
        <v>44075.0</v>
      </c>
      <c r="N162" s="173" t="s">
        <v>692</v>
      </c>
      <c r="O162" s="176" t="s">
        <v>690</v>
      </c>
      <c r="P162" s="174" t="s">
        <v>782</v>
      </c>
      <c r="Q162" s="174" t="s">
        <v>782</v>
      </c>
      <c r="R162" s="177"/>
    </row>
    <row r="163" ht="15.75" customHeight="1">
      <c r="A163" s="172" t="s">
        <v>535</v>
      </c>
      <c r="B163" s="154" t="s">
        <v>46</v>
      </c>
      <c r="C163" s="173" t="s">
        <v>945</v>
      </c>
      <c r="D163" s="174" t="s">
        <v>135</v>
      </c>
      <c r="E163" s="173" t="s">
        <v>685</v>
      </c>
      <c r="F163" s="173" t="s">
        <v>946</v>
      </c>
      <c r="G163" s="185" t="s">
        <v>517</v>
      </c>
      <c r="H163" s="185" t="s">
        <v>517</v>
      </c>
      <c r="I163" s="185" t="s">
        <v>90</v>
      </c>
      <c r="J163" s="174" t="s">
        <v>85</v>
      </c>
      <c r="K163" s="173" t="s">
        <v>749</v>
      </c>
      <c r="L163" s="174" t="s">
        <v>714</v>
      </c>
      <c r="M163" s="178">
        <v>44075.0</v>
      </c>
      <c r="N163" s="173" t="s">
        <v>692</v>
      </c>
      <c r="O163" s="176" t="s">
        <v>690</v>
      </c>
      <c r="P163" s="174" t="s">
        <v>782</v>
      </c>
      <c r="Q163" s="174" t="s">
        <v>782</v>
      </c>
      <c r="R163" s="177"/>
    </row>
    <row r="164" ht="15.75" customHeight="1">
      <c r="A164" s="172" t="s">
        <v>538</v>
      </c>
      <c r="B164" s="154" t="s">
        <v>46</v>
      </c>
      <c r="C164" s="173" t="s">
        <v>947</v>
      </c>
      <c r="D164" s="174" t="s">
        <v>135</v>
      </c>
      <c r="E164" s="173" t="s">
        <v>720</v>
      </c>
      <c r="F164" s="196" t="b">
        <v>1</v>
      </c>
      <c r="G164" s="185" t="s">
        <v>517</v>
      </c>
      <c r="H164" s="185" t="s">
        <v>517</v>
      </c>
      <c r="I164" s="185" t="s">
        <v>90</v>
      </c>
      <c r="J164" s="174" t="s">
        <v>85</v>
      </c>
      <c r="K164" s="173" t="s">
        <v>749</v>
      </c>
      <c r="L164" s="174" t="s">
        <v>714</v>
      </c>
      <c r="M164" s="178">
        <v>44075.0</v>
      </c>
      <c r="N164" s="173" t="s">
        <v>692</v>
      </c>
      <c r="O164" s="176" t="s">
        <v>690</v>
      </c>
      <c r="P164" s="174" t="s">
        <v>782</v>
      </c>
      <c r="Q164" s="174" t="s">
        <v>782</v>
      </c>
      <c r="R164" s="177"/>
    </row>
    <row r="165" ht="15.75" customHeight="1">
      <c r="A165" s="172" t="s">
        <v>540</v>
      </c>
      <c r="B165" s="154" t="s">
        <v>46</v>
      </c>
      <c r="C165" s="173" t="s">
        <v>948</v>
      </c>
      <c r="D165" s="174" t="s">
        <v>135</v>
      </c>
      <c r="E165" s="173" t="s">
        <v>685</v>
      </c>
      <c r="F165" s="173" t="s">
        <v>936</v>
      </c>
      <c r="G165" s="185" t="s">
        <v>517</v>
      </c>
      <c r="H165" s="185" t="s">
        <v>517</v>
      </c>
      <c r="I165" s="185" t="s">
        <v>90</v>
      </c>
      <c r="J165" s="174" t="s">
        <v>85</v>
      </c>
      <c r="K165" s="173" t="s">
        <v>749</v>
      </c>
      <c r="L165" s="174" t="s">
        <v>714</v>
      </c>
      <c r="M165" s="178">
        <v>44075.0</v>
      </c>
      <c r="N165" s="173" t="s">
        <v>692</v>
      </c>
      <c r="O165" s="176" t="s">
        <v>690</v>
      </c>
      <c r="P165" s="174" t="s">
        <v>782</v>
      </c>
      <c r="Q165" s="174" t="s">
        <v>782</v>
      </c>
      <c r="R165" s="177"/>
    </row>
    <row r="166" ht="15.75" customHeight="1">
      <c r="A166" s="172" t="s">
        <v>542</v>
      </c>
      <c r="B166" s="154" t="s">
        <v>46</v>
      </c>
      <c r="C166" s="173" t="s">
        <v>949</v>
      </c>
      <c r="D166" s="174" t="s">
        <v>135</v>
      </c>
      <c r="E166" s="173" t="s">
        <v>685</v>
      </c>
      <c r="F166" s="173" t="s">
        <v>950</v>
      </c>
      <c r="G166" s="185" t="s">
        <v>517</v>
      </c>
      <c r="H166" s="185" t="s">
        <v>517</v>
      </c>
      <c r="I166" s="185" t="s">
        <v>90</v>
      </c>
      <c r="J166" s="174" t="s">
        <v>85</v>
      </c>
      <c r="K166" s="173" t="s">
        <v>749</v>
      </c>
      <c r="L166" s="174" t="s">
        <v>714</v>
      </c>
      <c r="M166" s="178">
        <v>44075.0</v>
      </c>
      <c r="N166" s="173" t="s">
        <v>692</v>
      </c>
      <c r="O166" s="176" t="s">
        <v>690</v>
      </c>
      <c r="P166" s="174" t="s">
        <v>782</v>
      </c>
      <c r="Q166" s="174" t="s">
        <v>782</v>
      </c>
      <c r="R166" s="177"/>
    </row>
    <row r="167" ht="15.75" customHeight="1">
      <c r="A167" s="172" t="s">
        <v>545</v>
      </c>
      <c r="B167" s="154" t="s">
        <v>46</v>
      </c>
      <c r="C167" s="173" t="s">
        <v>951</v>
      </c>
      <c r="D167" s="174" t="s">
        <v>135</v>
      </c>
      <c r="E167" s="173" t="s">
        <v>720</v>
      </c>
      <c r="F167" s="196" t="b">
        <v>1</v>
      </c>
      <c r="G167" s="185" t="s">
        <v>517</v>
      </c>
      <c r="H167" s="185" t="s">
        <v>517</v>
      </c>
      <c r="I167" s="185" t="s">
        <v>90</v>
      </c>
      <c r="J167" s="174" t="s">
        <v>85</v>
      </c>
      <c r="K167" s="173" t="s">
        <v>749</v>
      </c>
      <c r="L167" s="174" t="s">
        <v>714</v>
      </c>
      <c r="M167" s="178">
        <v>44075.0</v>
      </c>
      <c r="N167" s="173" t="s">
        <v>692</v>
      </c>
      <c r="O167" s="176" t="s">
        <v>690</v>
      </c>
      <c r="P167" s="174" t="s">
        <v>782</v>
      </c>
      <c r="Q167" s="174" t="s">
        <v>782</v>
      </c>
      <c r="R167" s="177"/>
    </row>
    <row r="168" ht="15.75" customHeight="1">
      <c r="A168" s="172" t="s">
        <v>547</v>
      </c>
      <c r="B168" s="154" t="s">
        <v>46</v>
      </c>
      <c r="C168" s="173" t="s">
        <v>952</v>
      </c>
      <c r="D168" s="174" t="s">
        <v>135</v>
      </c>
      <c r="E168" s="173" t="s">
        <v>685</v>
      </c>
      <c r="F168" s="173" t="s">
        <v>936</v>
      </c>
      <c r="G168" s="185" t="s">
        <v>517</v>
      </c>
      <c r="H168" s="185" t="s">
        <v>517</v>
      </c>
      <c r="I168" s="185" t="s">
        <v>90</v>
      </c>
      <c r="J168" s="174" t="s">
        <v>85</v>
      </c>
      <c r="K168" s="173" t="s">
        <v>749</v>
      </c>
      <c r="L168" s="174" t="s">
        <v>714</v>
      </c>
      <c r="M168" s="178">
        <v>44075.0</v>
      </c>
      <c r="N168" s="173" t="s">
        <v>692</v>
      </c>
      <c r="O168" s="176" t="s">
        <v>690</v>
      </c>
      <c r="P168" s="174" t="s">
        <v>782</v>
      </c>
      <c r="Q168" s="174" t="s">
        <v>782</v>
      </c>
      <c r="R168" s="177"/>
    </row>
    <row r="169" ht="15.75" customHeight="1">
      <c r="A169" s="172" t="s">
        <v>550</v>
      </c>
      <c r="B169" s="154" t="s">
        <v>46</v>
      </c>
      <c r="C169" s="173" t="s">
        <v>953</v>
      </c>
      <c r="D169" s="174" t="s">
        <v>135</v>
      </c>
      <c r="E169" s="173" t="s">
        <v>685</v>
      </c>
      <c r="F169" s="173" t="s">
        <v>954</v>
      </c>
      <c r="G169" s="185" t="s">
        <v>517</v>
      </c>
      <c r="H169" s="185" t="s">
        <v>517</v>
      </c>
      <c r="I169" s="185" t="s">
        <v>90</v>
      </c>
      <c r="J169" s="174" t="s">
        <v>85</v>
      </c>
      <c r="K169" s="173" t="s">
        <v>749</v>
      </c>
      <c r="L169" s="174" t="s">
        <v>714</v>
      </c>
      <c r="M169" s="178">
        <v>44075.0</v>
      </c>
      <c r="N169" s="173" t="s">
        <v>692</v>
      </c>
      <c r="O169" s="176" t="s">
        <v>690</v>
      </c>
      <c r="P169" s="174" t="s">
        <v>782</v>
      </c>
      <c r="Q169" s="174" t="s">
        <v>782</v>
      </c>
      <c r="R169" s="177"/>
    </row>
    <row r="170" ht="15.75" customHeight="1">
      <c r="A170" s="172" t="s">
        <v>553</v>
      </c>
      <c r="B170" s="154" t="s">
        <v>46</v>
      </c>
      <c r="C170" s="173" t="s">
        <v>955</v>
      </c>
      <c r="D170" s="174" t="s">
        <v>135</v>
      </c>
      <c r="E170" s="173" t="s">
        <v>720</v>
      </c>
      <c r="F170" s="196" t="b">
        <v>1</v>
      </c>
      <c r="G170" s="185" t="s">
        <v>517</v>
      </c>
      <c r="H170" s="185" t="s">
        <v>517</v>
      </c>
      <c r="I170" s="185" t="s">
        <v>90</v>
      </c>
      <c r="J170" s="174" t="s">
        <v>85</v>
      </c>
      <c r="K170" s="173" t="s">
        <v>749</v>
      </c>
      <c r="L170" s="174" t="s">
        <v>714</v>
      </c>
      <c r="M170" s="178">
        <v>44075.0</v>
      </c>
      <c r="N170" s="173" t="s">
        <v>692</v>
      </c>
      <c r="O170" s="176" t="s">
        <v>690</v>
      </c>
      <c r="P170" s="174" t="s">
        <v>782</v>
      </c>
      <c r="Q170" s="174" t="s">
        <v>782</v>
      </c>
      <c r="R170" s="177"/>
    </row>
    <row r="171" ht="15.75" customHeight="1">
      <c r="A171" s="172" t="s">
        <v>555</v>
      </c>
      <c r="B171" s="154" t="s">
        <v>46</v>
      </c>
      <c r="C171" s="173" t="s">
        <v>956</v>
      </c>
      <c r="D171" s="174" t="s">
        <v>135</v>
      </c>
      <c r="E171" s="173" t="s">
        <v>685</v>
      </c>
      <c r="F171" s="173" t="s">
        <v>936</v>
      </c>
      <c r="G171" s="185" t="s">
        <v>517</v>
      </c>
      <c r="H171" s="185" t="s">
        <v>517</v>
      </c>
      <c r="I171" s="185" t="s">
        <v>90</v>
      </c>
      <c r="J171" s="174" t="s">
        <v>85</v>
      </c>
      <c r="K171" s="173" t="s">
        <v>749</v>
      </c>
      <c r="L171" s="174" t="s">
        <v>714</v>
      </c>
      <c r="M171" s="178">
        <v>44075.0</v>
      </c>
      <c r="N171" s="173" t="s">
        <v>692</v>
      </c>
      <c r="O171" s="176" t="s">
        <v>690</v>
      </c>
      <c r="P171" s="174" t="s">
        <v>782</v>
      </c>
      <c r="Q171" s="174" t="s">
        <v>782</v>
      </c>
      <c r="R171" s="177"/>
    </row>
    <row r="172" ht="15.75" customHeight="1">
      <c r="A172" s="172" t="s">
        <v>557</v>
      </c>
      <c r="B172" s="154" t="s">
        <v>46</v>
      </c>
      <c r="C172" s="173" t="s">
        <v>957</v>
      </c>
      <c r="D172" s="174" t="s">
        <v>135</v>
      </c>
      <c r="E172" s="173" t="s">
        <v>685</v>
      </c>
      <c r="F172" s="173" t="s">
        <v>958</v>
      </c>
      <c r="G172" s="185" t="s">
        <v>517</v>
      </c>
      <c r="H172" s="185" t="s">
        <v>517</v>
      </c>
      <c r="I172" s="185" t="s">
        <v>90</v>
      </c>
      <c r="J172" s="174" t="s">
        <v>85</v>
      </c>
      <c r="K172" s="173" t="s">
        <v>749</v>
      </c>
      <c r="L172" s="174" t="s">
        <v>714</v>
      </c>
      <c r="M172" s="178">
        <v>44075.0</v>
      </c>
      <c r="N172" s="173" t="s">
        <v>692</v>
      </c>
      <c r="O172" s="176" t="s">
        <v>690</v>
      </c>
      <c r="P172" s="174" t="s">
        <v>782</v>
      </c>
      <c r="Q172" s="174" t="s">
        <v>782</v>
      </c>
      <c r="R172" s="177"/>
    </row>
    <row r="173" ht="15.75" customHeight="1">
      <c r="A173" s="172" t="s">
        <v>560</v>
      </c>
      <c r="B173" s="154" t="s">
        <v>46</v>
      </c>
      <c r="C173" s="173" t="s">
        <v>959</v>
      </c>
      <c r="D173" s="174" t="s">
        <v>135</v>
      </c>
      <c r="E173" s="173" t="s">
        <v>720</v>
      </c>
      <c r="F173" s="196" t="b">
        <v>1</v>
      </c>
      <c r="G173" s="185" t="s">
        <v>517</v>
      </c>
      <c r="H173" s="185" t="s">
        <v>517</v>
      </c>
      <c r="I173" s="185" t="s">
        <v>90</v>
      </c>
      <c r="J173" s="174" t="s">
        <v>85</v>
      </c>
      <c r="K173" s="173" t="s">
        <v>749</v>
      </c>
      <c r="L173" s="174" t="s">
        <v>714</v>
      </c>
      <c r="M173" s="178">
        <v>44075.0</v>
      </c>
      <c r="N173" s="173" t="s">
        <v>692</v>
      </c>
      <c r="O173" s="176" t="s">
        <v>690</v>
      </c>
      <c r="P173" s="174" t="s">
        <v>782</v>
      </c>
      <c r="Q173" s="174" t="s">
        <v>782</v>
      </c>
      <c r="R173" s="177"/>
    </row>
    <row r="174" ht="15.75" customHeight="1">
      <c r="A174" s="172" t="s">
        <v>562</v>
      </c>
      <c r="B174" s="154" t="s">
        <v>46</v>
      </c>
      <c r="C174" s="173" t="s">
        <v>960</v>
      </c>
      <c r="D174" s="174" t="s">
        <v>135</v>
      </c>
      <c r="E174" s="173" t="s">
        <v>685</v>
      </c>
      <c r="F174" s="173" t="s">
        <v>936</v>
      </c>
      <c r="G174" s="185" t="s">
        <v>517</v>
      </c>
      <c r="H174" s="185" t="s">
        <v>517</v>
      </c>
      <c r="I174" s="185" t="s">
        <v>90</v>
      </c>
      <c r="J174" s="174" t="s">
        <v>85</v>
      </c>
      <c r="K174" s="173" t="s">
        <v>749</v>
      </c>
      <c r="L174" s="174" t="s">
        <v>714</v>
      </c>
      <c r="M174" s="178">
        <v>44075.0</v>
      </c>
      <c r="N174" s="173" t="s">
        <v>692</v>
      </c>
      <c r="O174" s="176" t="s">
        <v>690</v>
      </c>
      <c r="P174" s="174" t="s">
        <v>782</v>
      </c>
      <c r="Q174" s="174" t="s">
        <v>782</v>
      </c>
      <c r="R174" s="177"/>
    </row>
    <row r="175" ht="15.75" customHeight="1">
      <c r="A175" s="172" t="s">
        <v>564</v>
      </c>
      <c r="B175" s="154" t="s">
        <v>46</v>
      </c>
      <c r="C175" s="173" t="s">
        <v>961</v>
      </c>
      <c r="D175" s="174" t="s">
        <v>135</v>
      </c>
      <c r="E175" s="173" t="s">
        <v>685</v>
      </c>
      <c r="F175" s="173" t="s">
        <v>962</v>
      </c>
      <c r="G175" s="185" t="s">
        <v>517</v>
      </c>
      <c r="H175" s="185" t="s">
        <v>517</v>
      </c>
      <c r="I175" s="185" t="s">
        <v>90</v>
      </c>
      <c r="J175" s="174" t="s">
        <v>85</v>
      </c>
      <c r="K175" s="173" t="s">
        <v>749</v>
      </c>
      <c r="L175" s="174" t="s">
        <v>714</v>
      </c>
      <c r="M175" s="178">
        <v>44075.0</v>
      </c>
      <c r="N175" s="173" t="s">
        <v>692</v>
      </c>
      <c r="O175" s="176" t="s">
        <v>690</v>
      </c>
      <c r="P175" s="174" t="s">
        <v>782</v>
      </c>
      <c r="Q175" s="174" t="s">
        <v>782</v>
      </c>
      <c r="R175" s="177"/>
    </row>
    <row r="176" ht="15.75" customHeight="1">
      <c r="A176" s="172" t="s">
        <v>567</v>
      </c>
      <c r="B176" s="154" t="s">
        <v>46</v>
      </c>
      <c r="C176" s="173" t="s">
        <v>963</v>
      </c>
      <c r="D176" s="174" t="s">
        <v>135</v>
      </c>
      <c r="E176" s="173" t="s">
        <v>720</v>
      </c>
      <c r="F176" s="196" t="b">
        <v>1</v>
      </c>
      <c r="G176" s="185" t="s">
        <v>517</v>
      </c>
      <c r="H176" s="185" t="s">
        <v>517</v>
      </c>
      <c r="I176" s="185" t="s">
        <v>90</v>
      </c>
      <c r="J176" s="174" t="s">
        <v>85</v>
      </c>
      <c r="K176" s="173" t="s">
        <v>749</v>
      </c>
      <c r="L176" s="174" t="s">
        <v>714</v>
      </c>
      <c r="M176" s="178">
        <v>44075.0</v>
      </c>
      <c r="N176" s="173" t="s">
        <v>692</v>
      </c>
      <c r="O176" s="176" t="s">
        <v>690</v>
      </c>
      <c r="P176" s="174" t="s">
        <v>782</v>
      </c>
      <c r="Q176" s="174" t="s">
        <v>782</v>
      </c>
      <c r="R176" s="177"/>
    </row>
    <row r="177" ht="15.75" customHeight="1">
      <c r="A177" s="172" t="s">
        <v>569</v>
      </c>
      <c r="B177" s="154" t="s">
        <v>46</v>
      </c>
      <c r="C177" s="173" t="s">
        <v>964</v>
      </c>
      <c r="D177" s="174" t="s">
        <v>135</v>
      </c>
      <c r="E177" s="173" t="s">
        <v>685</v>
      </c>
      <c r="F177" s="173" t="s">
        <v>936</v>
      </c>
      <c r="G177" s="185" t="s">
        <v>517</v>
      </c>
      <c r="H177" s="185" t="s">
        <v>517</v>
      </c>
      <c r="I177" s="185" t="s">
        <v>90</v>
      </c>
      <c r="J177" s="174" t="s">
        <v>85</v>
      </c>
      <c r="K177" s="173" t="s">
        <v>749</v>
      </c>
      <c r="L177" s="174" t="s">
        <v>714</v>
      </c>
      <c r="M177" s="178">
        <v>44075.0</v>
      </c>
      <c r="N177" s="173" t="s">
        <v>692</v>
      </c>
      <c r="O177" s="176" t="s">
        <v>690</v>
      </c>
      <c r="P177" s="174" t="s">
        <v>782</v>
      </c>
      <c r="Q177" s="174" t="s">
        <v>782</v>
      </c>
      <c r="R177" s="177"/>
    </row>
    <row r="178" ht="15.75" customHeight="1">
      <c r="A178" s="172" t="s">
        <v>571</v>
      </c>
      <c r="B178" s="154" t="s">
        <v>46</v>
      </c>
      <c r="C178" s="173" t="s">
        <v>965</v>
      </c>
      <c r="D178" s="174" t="s">
        <v>135</v>
      </c>
      <c r="E178" s="173" t="s">
        <v>685</v>
      </c>
      <c r="F178" s="173" t="s">
        <v>966</v>
      </c>
      <c r="G178" s="185" t="s">
        <v>517</v>
      </c>
      <c r="H178" s="185" t="s">
        <v>517</v>
      </c>
      <c r="I178" s="185" t="s">
        <v>90</v>
      </c>
      <c r="J178" s="174" t="s">
        <v>85</v>
      </c>
      <c r="K178" s="173" t="s">
        <v>749</v>
      </c>
      <c r="L178" s="174" t="s">
        <v>714</v>
      </c>
      <c r="M178" s="178">
        <v>44075.0</v>
      </c>
      <c r="N178" s="173" t="s">
        <v>692</v>
      </c>
      <c r="O178" s="176" t="s">
        <v>690</v>
      </c>
      <c r="P178" s="174" t="s">
        <v>782</v>
      </c>
      <c r="Q178" s="174" t="s">
        <v>782</v>
      </c>
      <c r="R178" s="177"/>
    </row>
    <row r="179" ht="15.75" customHeight="1">
      <c r="A179" s="172" t="s">
        <v>574</v>
      </c>
      <c r="B179" s="154" t="s">
        <v>46</v>
      </c>
      <c r="C179" s="173" t="s">
        <v>967</v>
      </c>
      <c r="D179" s="174" t="s">
        <v>135</v>
      </c>
      <c r="E179" s="173" t="s">
        <v>720</v>
      </c>
      <c r="F179" s="196" t="b">
        <v>1</v>
      </c>
      <c r="G179" s="185" t="s">
        <v>517</v>
      </c>
      <c r="H179" s="185" t="s">
        <v>517</v>
      </c>
      <c r="I179" s="185" t="s">
        <v>90</v>
      </c>
      <c r="J179" s="174" t="s">
        <v>85</v>
      </c>
      <c r="K179" s="173" t="s">
        <v>749</v>
      </c>
      <c r="L179" s="174" t="s">
        <v>714</v>
      </c>
      <c r="M179" s="178">
        <v>44075.0</v>
      </c>
      <c r="N179" s="173" t="s">
        <v>692</v>
      </c>
      <c r="O179" s="176" t="s">
        <v>690</v>
      </c>
      <c r="P179" s="174" t="s">
        <v>782</v>
      </c>
      <c r="Q179" s="174" t="s">
        <v>782</v>
      </c>
      <c r="R179" s="177"/>
    </row>
    <row r="180" ht="15.75" customHeight="1">
      <c r="A180" s="172" t="s">
        <v>576</v>
      </c>
      <c r="B180" s="154" t="s">
        <v>46</v>
      </c>
      <c r="C180" s="173" t="s">
        <v>968</v>
      </c>
      <c r="D180" s="174" t="s">
        <v>135</v>
      </c>
      <c r="E180" s="173" t="s">
        <v>685</v>
      </c>
      <c r="F180" s="173" t="s">
        <v>936</v>
      </c>
      <c r="G180" s="185" t="s">
        <v>517</v>
      </c>
      <c r="H180" s="185" t="s">
        <v>517</v>
      </c>
      <c r="I180" s="185" t="s">
        <v>90</v>
      </c>
      <c r="J180" s="174" t="s">
        <v>85</v>
      </c>
      <c r="K180" s="173" t="s">
        <v>749</v>
      </c>
      <c r="L180" s="174" t="s">
        <v>714</v>
      </c>
      <c r="M180" s="178">
        <v>44075.0</v>
      </c>
      <c r="N180" s="173" t="s">
        <v>692</v>
      </c>
      <c r="O180" s="176" t="s">
        <v>690</v>
      </c>
      <c r="P180" s="174" t="s">
        <v>782</v>
      </c>
      <c r="Q180" s="174" t="s">
        <v>782</v>
      </c>
      <c r="R180" s="177"/>
    </row>
    <row r="181" ht="15.75" customHeight="1">
      <c r="A181" s="172" t="s">
        <v>578</v>
      </c>
      <c r="B181" s="154" t="s">
        <v>46</v>
      </c>
      <c r="C181" s="173" t="s">
        <v>969</v>
      </c>
      <c r="D181" s="174" t="s">
        <v>135</v>
      </c>
      <c r="E181" s="173" t="s">
        <v>685</v>
      </c>
      <c r="F181" s="173" t="s">
        <v>970</v>
      </c>
      <c r="G181" s="185" t="s">
        <v>517</v>
      </c>
      <c r="H181" s="185" t="s">
        <v>517</v>
      </c>
      <c r="I181" s="185" t="s">
        <v>90</v>
      </c>
      <c r="J181" s="174" t="s">
        <v>85</v>
      </c>
      <c r="K181" s="173" t="s">
        <v>749</v>
      </c>
      <c r="L181" s="174" t="s">
        <v>714</v>
      </c>
      <c r="M181" s="178">
        <v>44075.0</v>
      </c>
      <c r="N181" s="173" t="s">
        <v>692</v>
      </c>
      <c r="O181" s="176" t="s">
        <v>690</v>
      </c>
      <c r="P181" s="174" t="s">
        <v>782</v>
      </c>
      <c r="Q181" s="174" t="s">
        <v>782</v>
      </c>
      <c r="R181" s="177"/>
    </row>
    <row r="182" ht="15.75" customHeight="1">
      <c r="A182" s="172" t="s">
        <v>581</v>
      </c>
      <c r="B182" s="154" t="s">
        <v>46</v>
      </c>
      <c r="C182" s="173" t="s">
        <v>971</v>
      </c>
      <c r="D182" s="174" t="s">
        <v>135</v>
      </c>
      <c r="E182" s="173" t="s">
        <v>720</v>
      </c>
      <c r="F182" s="196" t="b">
        <v>1</v>
      </c>
      <c r="G182" s="185" t="s">
        <v>517</v>
      </c>
      <c r="H182" s="185" t="s">
        <v>517</v>
      </c>
      <c r="I182" s="185" t="s">
        <v>90</v>
      </c>
      <c r="J182" s="174" t="s">
        <v>85</v>
      </c>
      <c r="K182" s="173" t="s">
        <v>749</v>
      </c>
      <c r="L182" s="174" t="s">
        <v>714</v>
      </c>
      <c r="M182" s="178">
        <v>44075.0</v>
      </c>
      <c r="N182" s="173" t="s">
        <v>692</v>
      </c>
      <c r="O182" s="176" t="s">
        <v>690</v>
      </c>
      <c r="P182" s="174" t="s">
        <v>782</v>
      </c>
      <c r="Q182" s="174" t="s">
        <v>782</v>
      </c>
      <c r="R182" s="177"/>
    </row>
    <row r="183" ht="15.75" customHeight="1">
      <c r="A183" s="172" t="s">
        <v>583</v>
      </c>
      <c r="B183" s="154" t="s">
        <v>46</v>
      </c>
      <c r="C183" s="173" t="s">
        <v>972</v>
      </c>
      <c r="D183" s="174" t="s">
        <v>135</v>
      </c>
      <c r="E183" s="173" t="s">
        <v>685</v>
      </c>
      <c r="F183" s="173" t="s">
        <v>936</v>
      </c>
      <c r="G183" s="185" t="s">
        <v>517</v>
      </c>
      <c r="H183" s="185" t="s">
        <v>517</v>
      </c>
      <c r="I183" s="185" t="s">
        <v>90</v>
      </c>
      <c r="J183" s="174" t="s">
        <v>85</v>
      </c>
      <c r="K183" s="173" t="s">
        <v>749</v>
      </c>
      <c r="L183" s="174" t="s">
        <v>714</v>
      </c>
      <c r="M183" s="178">
        <v>44075.0</v>
      </c>
      <c r="N183" s="173" t="s">
        <v>692</v>
      </c>
      <c r="O183" s="176" t="s">
        <v>690</v>
      </c>
      <c r="P183" s="174" t="s">
        <v>782</v>
      </c>
      <c r="Q183" s="174" t="s">
        <v>782</v>
      </c>
      <c r="R183" s="177"/>
    </row>
    <row r="184" ht="15.75" customHeight="1">
      <c r="A184" s="172" t="s">
        <v>585</v>
      </c>
      <c r="B184" s="154" t="s">
        <v>46</v>
      </c>
      <c r="C184" s="173" t="s">
        <v>973</v>
      </c>
      <c r="D184" s="174" t="s">
        <v>135</v>
      </c>
      <c r="E184" s="173" t="s">
        <v>685</v>
      </c>
      <c r="F184" s="173" t="s">
        <v>974</v>
      </c>
      <c r="G184" s="185" t="s">
        <v>517</v>
      </c>
      <c r="H184" s="185" t="s">
        <v>517</v>
      </c>
      <c r="I184" s="185" t="s">
        <v>90</v>
      </c>
      <c r="J184" s="174" t="s">
        <v>85</v>
      </c>
      <c r="K184" s="173" t="s">
        <v>749</v>
      </c>
      <c r="L184" s="174" t="s">
        <v>714</v>
      </c>
      <c r="M184" s="178">
        <v>44075.0</v>
      </c>
      <c r="N184" s="173" t="s">
        <v>692</v>
      </c>
      <c r="O184" s="176" t="s">
        <v>690</v>
      </c>
      <c r="P184" s="174" t="s">
        <v>782</v>
      </c>
      <c r="Q184" s="174" t="s">
        <v>782</v>
      </c>
      <c r="R184" s="177"/>
    </row>
    <row r="185" ht="15.75" customHeight="1">
      <c r="A185" s="172" t="s">
        <v>588</v>
      </c>
      <c r="B185" s="154" t="s">
        <v>46</v>
      </c>
      <c r="C185" s="173" t="s">
        <v>975</v>
      </c>
      <c r="D185" s="174" t="s">
        <v>135</v>
      </c>
      <c r="E185" s="173" t="s">
        <v>720</v>
      </c>
      <c r="F185" s="196" t="b">
        <v>1</v>
      </c>
      <c r="G185" s="185" t="s">
        <v>517</v>
      </c>
      <c r="H185" s="185" t="s">
        <v>517</v>
      </c>
      <c r="I185" s="185" t="s">
        <v>90</v>
      </c>
      <c r="J185" s="174" t="s">
        <v>85</v>
      </c>
      <c r="K185" s="173" t="s">
        <v>749</v>
      </c>
      <c r="L185" s="174" t="s">
        <v>714</v>
      </c>
      <c r="M185" s="178">
        <v>44075.0</v>
      </c>
      <c r="N185" s="173" t="s">
        <v>692</v>
      </c>
      <c r="O185" s="176" t="s">
        <v>690</v>
      </c>
      <c r="P185" s="174" t="s">
        <v>782</v>
      </c>
      <c r="Q185" s="174" t="s">
        <v>782</v>
      </c>
      <c r="R185" s="177"/>
    </row>
    <row r="186" ht="15.75" customHeight="1">
      <c r="A186" s="172" t="s">
        <v>590</v>
      </c>
      <c r="B186" s="154" t="s">
        <v>46</v>
      </c>
      <c r="C186" s="173" t="s">
        <v>976</v>
      </c>
      <c r="D186" s="174" t="s">
        <v>135</v>
      </c>
      <c r="E186" s="173" t="s">
        <v>685</v>
      </c>
      <c r="F186" s="173" t="s">
        <v>977</v>
      </c>
      <c r="G186" s="185" t="s">
        <v>517</v>
      </c>
      <c r="H186" s="185" t="s">
        <v>517</v>
      </c>
      <c r="I186" s="185" t="s">
        <v>90</v>
      </c>
      <c r="J186" s="174" t="s">
        <v>85</v>
      </c>
      <c r="K186" s="173" t="s">
        <v>749</v>
      </c>
      <c r="L186" s="174" t="s">
        <v>714</v>
      </c>
      <c r="M186" s="178">
        <v>44075.0</v>
      </c>
      <c r="N186" s="173" t="s">
        <v>692</v>
      </c>
      <c r="O186" s="176" t="s">
        <v>690</v>
      </c>
      <c r="P186" s="174" t="s">
        <v>782</v>
      </c>
      <c r="Q186" s="174" t="s">
        <v>782</v>
      </c>
      <c r="R186" s="177"/>
    </row>
    <row r="187" ht="15.75" customHeight="1">
      <c r="A187" s="172" t="s">
        <v>592</v>
      </c>
      <c r="B187" s="154" t="s">
        <v>46</v>
      </c>
      <c r="C187" s="173" t="s">
        <v>978</v>
      </c>
      <c r="D187" s="174" t="s">
        <v>135</v>
      </c>
      <c r="E187" s="173" t="s">
        <v>685</v>
      </c>
      <c r="F187" s="173" t="s">
        <v>979</v>
      </c>
      <c r="G187" s="185" t="s">
        <v>517</v>
      </c>
      <c r="H187" s="185" t="s">
        <v>517</v>
      </c>
      <c r="I187" s="185" t="s">
        <v>90</v>
      </c>
      <c r="J187" s="174" t="s">
        <v>85</v>
      </c>
      <c r="K187" s="173" t="s">
        <v>749</v>
      </c>
      <c r="L187" s="174" t="s">
        <v>714</v>
      </c>
      <c r="M187" s="178">
        <v>44075.0</v>
      </c>
      <c r="N187" s="173" t="s">
        <v>692</v>
      </c>
      <c r="O187" s="176" t="s">
        <v>690</v>
      </c>
      <c r="P187" s="174" t="s">
        <v>782</v>
      </c>
      <c r="Q187" s="174" t="s">
        <v>782</v>
      </c>
      <c r="R187" s="177"/>
    </row>
    <row r="188" ht="15.75" customHeight="1">
      <c r="A188" s="172" t="s">
        <v>595</v>
      </c>
      <c r="B188" s="154" t="s">
        <v>46</v>
      </c>
      <c r="C188" s="173" t="s">
        <v>980</v>
      </c>
      <c r="D188" s="174" t="s">
        <v>135</v>
      </c>
      <c r="E188" s="173" t="s">
        <v>720</v>
      </c>
      <c r="F188" s="196" t="b">
        <v>1</v>
      </c>
      <c r="G188" s="185" t="s">
        <v>517</v>
      </c>
      <c r="H188" s="185" t="s">
        <v>517</v>
      </c>
      <c r="I188" s="185" t="s">
        <v>90</v>
      </c>
      <c r="J188" s="174" t="s">
        <v>85</v>
      </c>
      <c r="K188" s="173" t="s">
        <v>749</v>
      </c>
      <c r="L188" s="174" t="s">
        <v>714</v>
      </c>
      <c r="M188" s="178">
        <v>44075.0</v>
      </c>
      <c r="N188" s="173" t="s">
        <v>692</v>
      </c>
      <c r="O188" s="176" t="s">
        <v>690</v>
      </c>
      <c r="P188" s="174" t="s">
        <v>782</v>
      </c>
      <c r="Q188" s="174" t="s">
        <v>782</v>
      </c>
      <c r="R188" s="177"/>
    </row>
    <row r="189" ht="15.75" customHeight="1">
      <c r="A189" s="172" t="s">
        <v>597</v>
      </c>
      <c r="B189" s="154" t="s">
        <v>46</v>
      </c>
      <c r="C189" s="173" t="s">
        <v>981</v>
      </c>
      <c r="D189" s="174" t="s">
        <v>135</v>
      </c>
      <c r="E189" s="173" t="s">
        <v>685</v>
      </c>
      <c r="F189" s="173" t="s">
        <v>982</v>
      </c>
      <c r="G189" s="185" t="s">
        <v>517</v>
      </c>
      <c r="H189" s="185" t="s">
        <v>517</v>
      </c>
      <c r="I189" s="185" t="s">
        <v>90</v>
      </c>
      <c r="J189" s="174" t="s">
        <v>85</v>
      </c>
      <c r="K189" s="173" t="s">
        <v>749</v>
      </c>
      <c r="L189" s="174" t="s">
        <v>714</v>
      </c>
      <c r="M189" s="178">
        <v>44075.0</v>
      </c>
      <c r="N189" s="173" t="s">
        <v>692</v>
      </c>
      <c r="O189" s="176" t="s">
        <v>690</v>
      </c>
      <c r="P189" s="174" t="s">
        <v>782</v>
      </c>
      <c r="Q189" s="174" t="s">
        <v>782</v>
      </c>
      <c r="R189" s="177"/>
    </row>
    <row r="190" ht="15.75" customHeight="1">
      <c r="A190" s="172" t="s">
        <v>599</v>
      </c>
      <c r="B190" s="154" t="s">
        <v>46</v>
      </c>
      <c r="C190" s="173" t="s">
        <v>983</v>
      </c>
      <c r="D190" s="174" t="s">
        <v>135</v>
      </c>
      <c r="E190" s="173" t="s">
        <v>685</v>
      </c>
      <c r="F190" s="173" t="s">
        <v>984</v>
      </c>
      <c r="G190" s="185" t="s">
        <v>517</v>
      </c>
      <c r="H190" s="185" t="s">
        <v>517</v>
      </c>
      <c r="I190" s="185" t="s">
        <v>90</v>
      </c>
      <c r="J190" s="174" t="s">
        <v>85</v>
      </c>
      <c r="K190" s="173" t="s">
        <v>749</v>
      </c>
      <c r="L190" s="174" t="s">
        <v>714</v>
      </c>
      <c r="M190" s="178">
        <v>44075.0</v>
      </c>
      <c r="N190" s="173" t="s">
        <v>692</v>
      </c>
      <c r="O190" s="176" t="s">
        <v>690</v>
      </c>
      <c r="P190" s="174" t="s">
        <v>782</v>
      </c>
      <c r="Q190" s="174" t="s">
        <v>782</v>
      </c>
      <c r="R190" s="177"/>
    </row>
    <row r="191" ht="15.75" customHeight="1">
      <c r="A191" s="172" t="s">
        <v>602</v>
      </c>
      <c r="B191" s="154" t="s">
        <v>46</v>
      </c>
      <c r="C191" s="173" t="s">
        <v>985</v>
      </c>
      <c r="D191" s="174" t="s">
        <v>135</v>
      </c>
      <c r="E191" s="173" t="s">
        <v>720</v>
      </c>
      <c r="F191" s="196" t="b">
        <v>1</v>
      </c>
      <c r="G191" s="185" t="s">
        <v>517</v>
      </c>
      <c r="H191" s="185" t="s">
        <v>517</v>
      </c>
      <c r="I191" s="185" t="s">
        <v>90</v>
      </c>
      <c r="J191" s="174" t="s">
        <v>85</v>
      </c>
      <c r="K191" s="173" t="s">
        <v>749</v>
      </c>
      <c r="L191" s="174" t="s">
        <v>714</v>
      </c>
      <c r="M191" s="178">
        <v>44075.0</v>
      </c>
      <c r="N191" s="173" t="s">
        <v>692</v>
      </c>
      <c r="O191" s="176" t="s">
        <v>690</v>
      </c>
      <c r="P191" s="174" t="s">
        <v>782</v>
      </c>
      <c r="Q191" s="174" t="s">
        <v>782</v>
      </c>
      <c r="R191" s="177"/>
    </row>
    <row r="192" ht="15.75" customHeight="1">
      <c r="A192" s="172" t="s">
        <v>604</v>
      </c>
      <c r="B192" s="154" t="s">
        <v>46</v>
      </c>
      <c r="C192" s="173" t="s">
        <v>986</v>
      </c>
      <c r="D192" s="174" t="s">
        <v>135</v>
      </c>
      <c r="E192" s="173" t="s">
        <v>685</v>
      </c>
      <c r="F192" s="173" t="s">
        <v>936</v>
      </c>
      <c r="G192" s="185" t="s">
        <v>517</v>
      </c>
      <c r="H192" s="185" t="s">
        <v>517</v>
      </c>
      <c r="I192" s="185" t="s">
        <v>90</v>
      </c>
      <c r="J192" s="174" t="s">
        <v>85</v>
      </c>
      <c r="K192" s="173" t="s">
        <v>749</v>
      </c>
      <c r="L192" s="174" t="s">
        <v>714</v>
      </c>
      <c r="M192" s="178">
        <v>44075.0</v>
      </c>
      <c r="N192" s="173" t="s">
        <v>692</v>
      </c>
      <c r="O192" s="176" t="s">
        <v>690</v>
      </c>
      <c r="P192" s="174" t="s">
        <v>782</v>
      </c>
      <c r="Q192" s="174" t="s">
        <v>782</v>
      </c>
      <c r="R192" s="177"/>
    </row>
    <row r="193" ht="15.75" customHeight="1">
      <c r="A193" s="172" t="s">
        <v>606</v>
      </c>
      <c r="B193" s="154" t="s">
        <v>46</v>
      </c>
      <c r="C193" s="173" t="s">
        <v>987</v>
      </c>
      <c r="D193" s="174" t="s">
        <v>135</v>
      </c>
      <c r="E193" s="173" t="s">
        <v>685</v>
      </c>
      <c r="F193" s="173" t="s">
        <v>988</v>
      </c>
      <c r="G193" s="194" t="s">
        <v>517</v>
      </c>
      <c r="H193" s="194" t="s">
        <v>517</v>
      </c>
      <c r="I193" s="185" t="s">
        <v>90</v>
      </c>
      <c r="J193" s="180" t="s">
        <v>85</v>
      </c>
      <c r="K193" s="173" t="s">
        <v>749</v>
      </c>
      <c r="L193" s="174" t="s">
        <v>714</v>
      </c>
      <c r="M193" s="178">
        <v>44075.0</v>
      </c>
      <c r="N193" s="173" t="s">
        <v>692</v>
      </c>
      <c r="O193" s="176" t="s">
        <v>690</v>
      </c>
      <c r="P193" s="174" t="s">
        <v>782</v>
      </c>
      <c r="Q193" s="174" t="s">
        <v>782</v>
      </c>
      <c r="R193" s="177"/>
    </row>
    <row r="194" ht="15.75" customHeight="1">
      <c r="A194" s="172" t="s">
        <v>609</v>
      </c>
      <c r="B194" s="154" t="s">
        <v>46</v>
      </c>
      <c r="C194" s="173" t="s">
        <v>989</v>
      </c>
      <c r="D194" s="174" t="s">
        <v>135</v>
      </c>
      <c r="E194" s="173" t="s">
        <v>720</v>
      </c>
      <c r="F194" s="196" t="b">
        <v>1</v>
      </c>
      <c r="G194" s="185" t="s">
        <v>517</v>
      </c>
      <c r="H194" s="185" t="s">
        <v>517</v>
      </c>
      <c r="I194" s="185" t="s">
        <v>90</v>
      </c>
      <c r="J194" s="174" t="s">
        <v>85</v>
      </c>
      <c r="K194" s="173" t="s">
        <v>749</v>
      </c>
      <c r="L194" s="174" t="s">
        <v>714</v>
      </c>
      <c r="M194" s="178">
        <v>44075.0</v>
      </c>
      <c r="N194" s="173" t="s">
        <v>692</v>
      </c>
      <c r="O194" s="176" t="s">
        <v>690</v>
      </c>
      <c r="P194" s="174" t="s">
        <v>782</v>
      </c>
      <c r="Q194" s="174" t="s">
        <v>782</v>
      </c>
      <c r="R194" s="177"/>
    </row>
    <row r="195" ht="15.75" customHeight="1">
      <c r="A195" s="172" t="s">
        <v>611</v>
      </c>
      <c r="B195" s="154" t="s">
        <v>46</v>
      </c>
      <c r="C195" s="173" t="s">
        <v>990</v>
      </c>
      <c r="D195" s="174" t="s">
        <v>135</v>
      </c>
      <c r="E195" s="173" t="s">
        <v>685</v>
      </c>
      <c r="F195" s="173" t="s">
        <v>982</v>
      </c>
      <c r="G195" s="185" t="s">
        <v>517</v>
      </c>
      <c r="H195" s="185" t="s">
        <v>517</v>
      </c>
      <c r="I195" s="185" t="s">
        <v>90</v>
      </c>
      <c r="J195" s="174" t="s">
        <v>85</v>
      </c>
      <c r="K195" s="173" t="s">
        <v>749</v>
      </c>
      <c r="L195" s="174" t="s">
        <v>714</v>
      </c>
      <c r="M195" s="178">
        <v>44075.0</v>
      </c>
      <c r="N195" s="173" t="s">
        <v>692</v>
      </c>
      <c r="O195" s="176" t="s">
        <v>690</v>
      </c>
      <c r="P195" s="174" t="s">
        <v>782</v>
      </c>
      <c r="Q195" s="174" t="s">
        <v>782</v>
      </c>
      <c r="R195" s="177"/>
    </row>
    <row r="196" ht="15.75" customHeight="1">
      <c r="A196" s="172" t="s">
        <v>613</v>
      </c>
      <c r="B196" s="154" t="s">
        <v>46</v>
      </c>
      <c r="C196" s="173" t="s">
        <v>991</v>
      </c>
      <c r="D196" s="174" t="s">
        <v>135</v>
      </c>
      <c r="E196" s="173" t="s">
        <v>685</v>
      </c>
      <c r="F196" s="173" t="s">
        <v>992</v>
      </c>
      <c r="G196" s="185" t="s">
        <v>517</v>
      </c>
      <c r="H196" s="185" t="s">
        <v>517</v>
      </c>
      <c r="I196" s="185" t="s">
        <v>90</v>
      </c>
      <c r="J196" s="174" t="s">
        <v>85</v>
      </c>
      <c r="K196" s="173" t="s">
        <v>749</v>
      </c>
      <c r="L196" s="174" t="s">
        <v>714</v>
      </c>
      <c r="M196" s="178">
        <v>44075.0</v>
      </c>
      <c r="N196" s="173" t="s">
        <v>692</v>
      </c>
      <c r="O196" s="176" t="s">
        <v>690</v>
      </c>
      <c r="P196" s="174" t="s">
        <v>782</v>
      </c>
      <c r="Q196" s="174" t="s">
        <v>782</v>
      </c>
      <c r="R196" s="177"/>
    </row>
    <row r="197" ht="15.75" customHeight="1">
      <c r="A197" s="199" t="s">
        <v>1332</v>
      </c>
      <c r="B197" s="154" t="s">
        <v>46</v>
      </c>
      <c r="C197" s="173" t="s">
        <v>993</v>
      </c>
      <c r="D197" s="174" t="s">
        <v>135</v>
      </c>
      <c r="E197" s="173" t="s">
        <v>720</v>
      </c>
      <c r="F197" s="196" t="b">
        <v>1</v>
      </c>
      <c r="G197" s="185" t="s">
        <v>517</v>
      </c>
      <c r="H197" s="185" t="s">
        <v>517</v>
      </c>
      <c r="I197" s="185" t="s">
        <v>90</v>
      </c>
      <c r="J197" s="174" t="s">
        <v>85</v>
      </c>
      <c r="K197" s="173" t="s">
        <v>749</v>
      </c>
      <c r="L197" s="174" t="s">
        <v>714</v>
      </c>
      <c r="M197" s="178">
        <v>44075.0</v>
      </c>
      <c r="N197" s="173" t="s">
        <v>692</v>
      </c>
      <c r="O197" s="176" t="s">
        <v>690</v>
      </c>
      <c r="P197" s="174" t="s">
        <v>782</v>
      </c>
      <c r="Q197" s="174" t="s">
        <v>782</v>
      </c>
      <c r="R197" s="177"/>
    </row>
    <row r="198" ht="15.75" customHeight="1">
      <c r="A198" s="172" t="s">
        <v>1333</v>
      </c>
      <c r="B198" s="154" t="s">
        <v>46</v>
      </c>
      <c r="C198" s="173" t="s">
        <v>994</v>
      </c>
      <c r="D198" s="174" t="s">
        <v>135</v>
      </c>
      <c r="E198" s="173" t="s">
        <v>685</v>
      </c>
      <c r="F198" s="173" t="s">
        <v>977</v>
      </c>
      <c r="G198" s="185" t="s">
        <v>517</v>
      </c>
      <c r="H198" s="185" t="s">
        <v>517</v>
      </c>
      <c r="I198" s="185" t="s">
        <v>90</v>
      </c>
      <c r="J198" s="174" t="s">
        <v>85</v>
      </c>
      <c r="K198" s="173" t="s">
        <v>749</v>
      </c>
      <c r="L198" s="174" t="s">
        <v>714</v>
      </c>
      <c r="M198" s="178">
        <v>44075.0</v>
      </c>
      <c r="N198" s="173" t="s">
        <v>692</v>
      </c>
      <c r="O198" s="176" t="s">
        <v>690</v>
      </c>
      <c r="P198" s="174" t="s">
        <v>782</v>
      </c>
      <c r="Q198" s="174" t="s">
        <v>782</v>
      </c>
      <c r="R198" s="177"/>
    </row>
    <row r="199" ht="15.75" customHeight="1">
      <c r="A199" s="172" t="s">
        <v>1334</v>
      </c>
      <c r="B199" s="154" t="s">
        <v>46</v>
      </c>
      <c r="C199" s="173" t="s">
        <v>995</v>
      </c>
      <c r="D199" s="174" t="s">
        <v>135</v>
      </c>
      <c r="E199" s="173" t="s">
        <v>685</v>
      </c>
      <c r="F199" s="173" t="s">
        <v>996</v>
      </c>
      <c r="G199" s="185" t="s">
        <v>517</v>
      </c>
      <c r="H199" s="185" t="s">
        <v>517</v>
      </c>
      <c r="I199" s="185" t="s">
        <v>90</v>
      </c>
      <c r="J199" s="174" t="s">
        <v>85</v>
      </c>
      <c r="K199" s="173" t="s">
        <v>749</v>
      </c>
      <c r="L199" s="174" t="s">
        <v>714</v>
      </c>
      <c r="M199" s="178">
        <v>44075.0</v>
      </c>
      <c r="N199" s="173" t="s">
        <v>692</v>
      </c>
      <c r="O199" s="176" t="s">
        <v>690</v>
      </c>
      <c r="P199" s="174" t="s">
        <v>782</v>
      </c>
      <c r="Q199" s="174" t="s">
        <v>782</v>
      </c>
      <c r="R199" s="177"/>
    </row>
    <row r="200" ht="15.75" customHeight="1">
      <c r="A200" s="172" t="s">
        <v>630</v>
      </c>
      <c r="B200" s="154" t="s">
        <v>46</v>
      </c>
      <c r="C200" s="173" t="s">
        <v>997</v>
      </c>
      <c r="D200" s="174" t="s">
        <v>135</v>
      </c>
      <c r="E200" s="173" t="s">
        <v>720</v>
      </c>
      <c r="F200" s="196" t="b">
        <v>1</v>
      </c>
      <c r="G200" s="185" t="s">
        <v>517</v>
      </c>
      <c r="H200" s="185" t="s">
        <v>517</v>
      </c>
      <c r="I200" s="185" t="s">
        <v>90</v>
      </c>
      <c r="J200" s="174" t="s">
        <v>85</v>
      </c>
      <c r="K200" s="173" t="s">
        <v>749</v>
      </c>
      <c r="L200" s="174" t="s">
        <v>714</v>
      </c>
      <c r="M200" s="178">
        <v>44075.0</v>
      </c>
      <c r="N200" s="173" t="s">
        <v>692</v>
      </c>
      <c r="O200" s="176" t="s">
        <v>690</v>
      </c>
      <c r="P200" s="174" t="s">
        <v>782</v>
      </c>
      <c r="Q200" s="174" t="s">
        <v>782</v>
      </c>
      <c r="R200" s="177"/>
    </row>
    <row r="201" ht="15.75" customHeight="1">
      <c r="A201" s="172" t="s">
        <v>632</v>
      </c>
      <c r="B201" s="154" t="s">
        <v>46</v>
      </c>
      <c r="C201" s="173" t="s">
        <v>998</v>
      </c>
      <c r="D201" s="174" t="s">
        <v>135</v>
      </c>
      <c r="E201" s="173" t="s">
        <v>685</v>
      </c>
      <c r="F201" s="173" t="s">
        <v>982</v>
      </c>
      <c r="G201" s="185" t="s">
        <v>517</v>
      </c>
      <c r="H201" s="185" t="s">
        <v>517</v>
      </c>
      <c r="I201" s="185" t="s">
        <v>90</v>
      </c>
      <c r="J201" s="174" t="s">
        <v>85</v>
      </c>
      <c r="K201" s="173" t="s">
        <v>749</v>
      </c>
      <c r="L201" s="174" t="s">
        <v>714</v>
      </c>
      <c r="M201" s="178">
        <v>44075.0</v>
      </c>
      <c r="N201" s="173" t="s">
        <v>692</v>
      </c>
      <c r="O201" s="176" t="s">
        <v>690</v>
      </c>
      <c r="P201" s="174" t="s">
        <v>782</v>
      </c>
      <c r="Q201" s="174" t="s">
        <v>782</v>
      </c>
      <c r="R201" s="177"/>
    </row>
    <row r="202" ht="15.75" customHeight="1">
      <c r="A202" s="172" t="s">
        <v>634</v>
      </c>
      <c r="B202" s="154" t="s">
        <v>46</v>
      </c>
      <c r="C202" s="173" t="s">
        <v>999</v>
      </c>
      <c r="D202" s="174" t="s">
        <v>135</v>
      </c>
      <c r="E202" s="173" t="s">
        <v>685</v>
      </c>
      <c r="F202" s="173" t="s">
        <v>1000</v>
      </c>
      <c r="G202" s="185" t="s">
        <v>517</v>
      </c>
      <c r="H202" s="185" t="s">
        <v>517</v>
      </c>
      <c r="I202" s="185" t="s">
        <v>90</v>
      </c>
      <c r="J202" s="174" t="s">
        <v>85</v>
      </c>
      <c r="K202" s="173" t="s">
        <v>749</v>
      </c>
      <c r="L202" s="174" t="s">
        <v>714</v>
      </c>
      <c r="M202" s="178">
        <v>44075.0</v>
      </c>
      <c r="N202" s="173" t="s">
        <v>692</v>
      </c>
      <c r="O202" s="176" t="s">
        <v>690</v>
      </c>
      <c r="P202" s="174" t="s">
        <v>782</v>
      </c>
      <c r="Q202" s="174" t="s">
        <v>782</v>
      </c>
      <c r="R202" s="177"/>
    </row>
    <row r="203" ht="15.75" customHeight="1">
      <c r="A203" s="172" t="s">
        <v>637</v>
      </c>
      <c r="B203" s="154" t="s">
        <v>46</v>
      </c>
      <c r="C203" s="173" t="s">
        <v>1001</v>
      </c>
      <c r="D203" s="174" t="s">
        <v>135</v>
      </c>
      <c r="E203" s="173" t="s">
        <v>720</v>
      </c>
      <c r="F203" s="196" t="b">
        <v>1</v>
      </c>
      <c r="G203" s="185" t="s">
        <v>517</v>
      </c>
      <c r="H203" s="185" t="s">
        <v>517</v>
      </c>
      <c r="I203" s="185" t="s">
        <v>90</v>
      </c>
      <c r="J203" s="174" t="s">
        <v>85</v>
      </c>
      <c r="K203" s="173" t="s">
        <v>749</v>
      </c>
      <c r="L203" s="174" t="s">
        <v>714</v>
      </c>
      <c r="M203" s="178">
        <v>44075.0</v>
      </c>
      <c r="N203" s="173" t="s">
        <v>692</v>
      </c>
      <c r="O203" s="176" t="s">
        <v>690</v>
      </c>
      <c r="P203" s="174" t="s">
        <v>782</v>
      </c>
      <c r="Q203" s="174" t="s">
        <v>782</v>
      </c>
      <c r="R203" s="177"/>
    </row>
    <row r="204" ht="15.75" customHeight="1">
      <c r="A204" s="172" t="s">
        <v>639</v>
      </c>
      <c r="B204" s="154" t="s">
        <v>46</v>
      </c>
      <c r="C204" s="173" t="s">
        <v>1002</v>
      </c>
      <c r="D204" s="174" t="s">
        <v>135</v>
      </c>
      <c r="E204" s="173" t="s">
        <v>685</v>
      </c>
      <c r="F204" s="173" t="s">
        <v>977</v>
      </c>
      <c r="G204" s="185" t="s">
        <v>517</v>
      </c>
      <c r="H204" s="185" t="s">
        <v>517</v>
      </c>
      <c r="I204" s="185" t="s">
        <v>90</v>
      </c>
      <c r="J204" s="174" t="s">
        <v>85</v>
      </c>
      <c r="K204" s="173" t="s">
        <v>749</v>
      </c>
      <c r="L204" s="174" t="s">
        <v>714</v>
      </c>
      <c r="M204" s="178">
        <v>44075.0</v>
      </c>
      <c r="N204" s="173" t="s">
        <v>692</v>
      </c>
      <c r="O204" s="176" t="s">
        <v>690</v>
      </c>
      <c r="P204" s="174" t="s">
        <v>782</v>
      </c>
      <c r="Q204" s="174" t="s">
        <v>782</v>
      </c>
      <c r="R204" s="177"/>
    </row>
    <row r="205" ht="15.75" customHeight="1">
      <c r="A205" s="172" t="s">
        <v>641</v>
      </c>
      <c r="B205" s="154" t="s">
        <v>46</v>
      </c>
      <c r="C205" s="173" t="s">
        <v>1003</v>
      </c>
      <c r="D205" s="174" t="s">
        <v>135</v>
      </c>
      <c r="E205" s="173" t="s">
        <v>685</v>
      </c>
      <c r="F205" s="173" t="s">
        <v>1000</v>
      </c>
      <c r="G205" s="185" t="s">
        <v>517</v>
      </c>
      <c r="H205" s="185" t="s">
        <v>517</v>
      </c>
      <c r="I205" s="185" t="s">
        <v>90</v>
      </c>
      <c r="J205" s="174" t="s">
        <v>85</v>
      </c>
      <c r="K205" s="173" t="s">
        <v>749</v>
      </c>
      <c r="L205" s="174" t="s">
        <v>714</v>
      </c>
      <c r="M205" s="178">
        <v>44075.0</v>
      </c>
      <c r="N205" s="173" t="s">
        <v>692</v>
      </c>
      <c r="O205" s="176" t="s">
        <v>690</v>
      </c>
      <c r="P205" s="174" t="s">
        <v>782</v>
      </c>
      <c r="Q205" s="174" t="s">
        <v>782</v>
      </c>
      <c r="R205" s="177"/>
    </row>
    <row r="206" ht="15.75" customHeight="1">
      <c r="A206" s="172" t="s">
        <v>644</v>
      </c>
      <c r="B206" s="154" t="s">
        <v>46</v>
      </c>
      <c r="C206" s="173" t="s">
        <v>1004</v>
      </c>
      <c r="D206" s="174" t="s">
        <v>135</v>
      </c>
      <c r="E206" s="173" t="s">
        <v>720</v>
      </c>
      <c r="F206" s="196" t="b">
        <v>1</v>
      </c>
      <c r="G206" s="185" t="s">
        <v>517</v>
      </c>
      <c r="H206" s="185" t="s">
        <v>517</v>
      </c>
      <c r="I206" s="185" t="s">
        <v>90</v>
      </c>
      <c r="J206" s="174" t="s">
        <v>85</v>
      </c>
      <c r="K206" s="173" t="s">
        <v>749</v>
      </c>
      <c r="L206" s="174" t="s">
        <v>714</v>
      </c>
      <c r="M206" s="178">
        <v>44075.0</v>
      </c>
      <c r="N206" s="173" t="s">
        <v>692</v>
      </c>
      <c r="O206" s="176" t="s">
        <v>690</v>
      </c>
      <c r="P206" s="174" t="s">
        <v>782</v>
      </c>
      <c r="Q206" s="174" t="s">
        <v>782</v>
      </c>
      <c r="R206" s="177"/>
    </row>
    <row r="207" ht="15.75" customHeight="1">
      <c r="A207" s="172" t="s">
        <v>646</v>
      </c>
      <c r="B207" s="154" t="s">
        <v>46</v>
      </c>
      <c r="C207" s="173" t="s">
        <v>1005</v>
      </c>
      <c r="D207" s="174" t="s">
        <v>135</v>
      </c>
      <c r="E207" s="173" t="s">
        <v>685</v>
      </c>
      <c r="F207" s="173" t="s">
        <v>936</v>
      </c>
      <c r="G207" s="185" t="s">
        <v>517</v>
      </c>
      <c r="H207" s="185" t="s">
        <v>517</v>
      </c>
      <c r="I207" s="185" t="s">
        <v>90</v>
      </c>
      <c r="J207" s="174" t="s">
        <v>85</v>
      </c>
      <c r="K207" s="173" t="s">
        <v>749</v>
      </c>
      <c r="L207" s="174" t="s">
        <v>714</v>
      </c>
      <c r="M207" s="178">
        <v>44075.0</v>
      </c>
      <c r="N207" s="173" t="s">
        <v>692</v>
      </c>
      <c r="O207" s="176" t="s">
        <v>690</v>
      </c>
      <c r="P207" s="174" t="s">
        <v>782</v>
      </c>
      <c r="Q207" s="174" t="s">
        <v>782</v>
      </c>
      <c r="R207" s="177"/>
    </row>
    <row r="208" ht="15.75" customHeight="1">
      <c r="A208" s="172" t="s">
        <v>648</v>
      </c>
      <c r="B208" s="154" t="s">
        <v>46</v>
      </c>
      <c r="C208" s="173" t="s">
        <v>1006</v>
      </c>
      <c r="D208" s="174" t="s">
        <v>135</v>
      </c>
      <c r="E208" s="173" t="s">
        <v>685</v>
      </c>
      <c r="F208" s="173" t="s">
        <v>1007</v>
      </c>
      <c r="G208" s="185" t="s">
        <v>517</v>
      </c>
      <c r="H208" s="185" t="s">
        <v>517</v>
      </c>
      <c r="I208" s="185" t="s">
        <v>90</v>
      </c>
      <c r="J208" s="174" t="s">
        <v>85</v>
      </c>
      <c r="K208" s="173" t="s">
        <v>749</v>
      </c>
      <c r="L208" s="174" t="s">
        <v>714</v>
      </c>
      <c r="M208" s="178">
        <v>44075.0</v>
      </c>
      <c r="N208" s="173" t="s">
        <v>692</v>
      </c>
      <c r="O208" s="176" t="s">
        <v>690</v>
      </c>
      <c r="P208" s="174" t="s">
        <v>782</v>
      </c>
      <c r="Q208" s="174" t="s">
        <v>782</v>
      </c>
      <c r="R208" s="177"/>
    </row>
    <row r="209" ht="15.75" customHeight="1">
      <c r="A209" s="172" t="s">
        <v>651</v>
      </c>
      <c r="B209" s="154" t="s">
        <v>46</v>
      </c>
      <c r="C209" s="173" t="s">
        <v>1008</v>
      </c>
      <c r="D209" s="174" t="s">
        <v>135</v>
      </c>
      <c r="E209" s="173" t="s">
        <v>720</v>
      </c>
      <c r="F209" s="196" t="b">
        <v>1</v>
      </c>
      <c r="G209" s="185" t="s">
        <v>517</v>
      </c>
      <c r="H209" s="185" t="s">
        <v>517</v>
      </c>
      <c r="I209" s="185" t="s">
        <v>90</v>
      </c>
      <c r="J209" s="174" t="s">
        <v>85</v>
      </c>
      <c r="K209" s="173" t="s">
        <v>749</v>
      </c>
      <c r="L209" s="174" t="s">
        <v>714</v>
      </c>
      <c r="M209" s="178">
        <v>44075.0</v>
      </c>
      <c r="N209" s="173" t="s">
        <v>692</v>
      </c>
      <c r="O209" s="176" t="s">
        <v>690</v>
      </c>
      <c r="P209" s="174" t="s">
        <v>782</v>
      </c>
      <c r="Q209" s="174" t="s">
        <v>782</v>
      </c>
      <c r="R209" s="177"/>
    </row>
    <row r="210" ht="15.75" customHeight="1">
      <c r="A210" s="172" t="s">
        <v>653</v>
      </c>
      <c r="B210" s="154" t="s">
        <v>46</v>
      </c>
      <c r="C210" s="173" t="s">
        <v>1009</v>
      </c>
      <c r="D210" s="174" t="s">
        <v>135</v>
      </c>
      <c r="E210" s="173" t="s">
        <v>685</v>
      </c>
      <c r="F210" s="173" t="s">
        <v>936</v>
      </c>
      <c r="G210" s="185" t="s">
        <v>517</v>
      </c>
      <c r="H210" s="185" t="s">
        <v>517</v>
      </c>
      <c r="I210" s="185" t="s">
        <v>90</v>
      </c>
      <c r="J210" s="174" t="s">
        <v>85</v>
      </c>
      <c r="K210" s="173" t="s">
        <v>749</v>
      </c>
      <c r="L210" s="174" t="s">
        <v>714</v>
      </c>
      <c r="M210" s="178">
        <v>44075.0</v>
      </c>
      <c r="N210" s="173" t="s">
        <v>692</v>
      </c>
      <c r="O210" s="176" t="s">
        <v>690</v>
      </c>
      <c r="P210" s="174" t="s">
        <v>782</v>
      </c>
      <c r="Q210" s="174" t="s">
        <v>782</v>
      </c>
      <c r="R210" s="177"/>
    </row>
    <row r="211" ht="15.75" customHeight="1">
      <c r="A211" s="172" t="s">
        <v>655</v>
      </c>
      <c r="B211" s="154" t="s">
        <v>46</v>
      </c>
      <c r="C211" s="173" t="s">
        <v>1010</v>
      </c>
      <c r="D211" s="174" t="s">
        <v>135</v>
      </c>
      <c r="E211" s="173" t="s">
        <v>685</v>
      </c>
      <c r="F211" s="173" t="s">
        <v>1011</v>
      </c>
      <c r="G211" s="185" t="s">
        <v>517</v>
      </c>
      <c r="H211" s="185" t="s">
        <v>517</v>
      </c>
      <c r="I211" s="185" t="s">
        <v>90</v>
      </c>
      <c r="J211" s="174" t="s">
        <v>85</v>
      </c>
      <c r="K211" s="173" t="s">
        <v>749</v>
      </c>
      <c r="L211" s="174" t="s">
        <v>714</v>
      </c>
      <c r="M211" s="178">
        <v>44075.0</v>
      </c>
      <c r="N211" s="173" t="s">
        <v>692</v>
      </c>
      <c r="O211" s="176" t="s">
        <v>690</v>
      </c>
      <c r="P211" s="174" t="s">
        <v>782</v>
      </c>
      <c r="Q211" s="174" t="s">
        <v>782</v>
      </c>
      <c r="R211" s="177"/>
    </row>
    <row r="212" ht="15.75" customHeight="1">
      <c r="A212" s="172" t="s">
        <v>658</v>
      </c>
      <c r="B212" s="154" t="s">
        <v>46</v>
      </c>
      <c r="C212" s="173" t="s">
        <v>1012</v>
      </c>
      <c r="D212" s="174" t="s">
        <v>135</v>
      </c>
      <c r="E212" s="173" t="s">
        <v>720</v>
      </c>
      <c r="F212" s="196" t="b">
        <v>1</v>
      </c>
      <c r="G212" s="185" t="s">
        <v>517</v>
      </c>
      <c r="H212" s="185" t="s">
        <v>517</v>
      </c>
      <c r="I212" s="185" t="s">
        <v>90</v>
      </c>
      <c r="J212" s="174" t="s">
        <v>85</v>
      </c>
      <c r="K212" s="173" t="s">
        <v>749</v>
      </c>
      <c r="L212" s="174" t="s">
        <v>714</v>
      </c>
      <c r="M212" s="178">
        <v>44075.0</v>
      </c>
      <c r="N212" s="173" t="s">
        <v>692</v>
      </c>
      <c r="O212" s="176" t="s">
        <v>690</v>
      </c>
      <c r="P212" s="174" t="s">
        <v>782</v>
      </c>
      <c r="Q212" s="174" t="s">
        <v>782</v>
      </c>
      <c r="R212" s="177"/>
    </row>
    <row r="213" ht="15.75" customHeight="1">
      <c r="A213" s="172" t="s">
        <v>660</v>
      </c>
      <c r="B213" s="154" t="s">
        <v>46</v>
      </c>
      <c r="C213" s="173" t="s">
        <v>1013</v>
      </c>
      <c r="D213" s="174" t="s">
        <v>135</v>
      </c>
      <c r="E213" s="173" t="s">
        <v>685</v>
      </c>
      <c r="F213" s="173" t="s">
        <v>936</v>
      </c>
      <c r="G213" s="185" t="s">
        <v>517</v>
      </c>
      <c r="H213" s="185" t="s">
        <v>517</v>
      </c>
      <c r="I213" s="185" t="s">
        <v>90</v>
      </c>
      <c r="J213" s="174" t="s">
        <v>85</v>
      </c>
      <c r="K213" s="173" t="s">
        <v>749</v>
      </c>
      <c r="L213" s="174" t="s">
        <v>714</v>
      </c>
      <c r="M213" s="178">
        <v>44075.0</v>
      </c>
      <c r="N213" s="173" t="s">
        <v>692</v>
      </c>
      <c r="O213" s="176" t="s">
        <v>690</v>
      </c>
      <c r="P213" s="174" t="s">
        <v>782</v>
      </c>
      <c r="Q213" s="174" t="s">
        <v>782</v>
      </c>
      <c r="R213" s="177"/>
    </row>
    <row r="214" ht="15.75" customHeight="1">
      <c r="A214" s="172" t="s">
        <v>662</v>
      </c>
      <c r="B214" s="154" t="s">
        <v>46</v>
      </c>
      <c r="C214" s="173" t="s">
        <v>1014</v>
      </c>
      <c r="D214" s="174" t="s">
        <v>135</v>
      </c>
      <c r="E214" s="173" t="s">
        <v>685</v>
      </c>
      <c r="F214" s="173" t="s">
        <v>1015</v>
      </c>
      <c r="G214" s="194" t="s">
        <v>517</v>
      </c>
      <c r="H214" s="194" t="s">
        <v>517</v>
      </c>
      <c r="I214" s="185" t="s">
        <v>90</v>
      </c>
      <c r="J214" s="180" t="s">
        <v>85</v>
      </c>
      <c r="K214" s="173" t="s">
        <v>749</v>
      </c>
      <c r="L214" s="174" t="s">
        <v>714</v>
      </c>
      <c r="M214" s="178">
        <v>44075.0</v>
      </c>
      <c r="N214" s="173" t="s">
        <v>692</v>
      </c>
      <c r="O214" s="176" t="s">
        <v>690</v>
      </c>
      <c r="P214" s="174" t="s">
        <v>782</v>
      </c>
      <c r="Q214" s="174" t="s">
        <v>782</v>
      </c>
      <c r="R214" s="177"/>
    </row>
    <row r="215" ht="15.75" customHeight="1">
      <c r="A215" s="172" t="s">
        <v>665</v>
      </c>
      <c r="B215" s="154" t="s">
        <v>46</v>
      </c>
      <c r="C215" s="173" t="s">
        <v>1016</v>
      </c>
      <c r="D215" s="174" t="s">
        <v>135</v>
      </c>
      <c r="E215" s="173" t="s">
        <v>720</v>
      </c>
      <c r="F215" s="196" t="b">
        <v>1</v>
      </c>
      <c r="G215" s="185" t="s">
        <v>517</v>
      </c>
      <c r="H215" s="185" t="s">
        <v>517</v>
      </c>
      <c r="I215" s="185" t="s">
        <v>90</v>
      </c>
      <c r="J215" s="174" t="s">
        <v>85</v>
      </c>
      <c r="K215" s="173" t="s">
        <v>749</v>
      </c>
      <c r="L215" s="174" t="s">
        <v>714</v>
      </c>
      <c r="M215" s="178">
        <v>44075.0</v>
      </c>
      <c r="N215" s="173" t="s">
        <v>692</v>
      </c>
      <c r="O215" s="176" t="s">
        <v>690</v>
      </c>
      <c r="P215" s="174" t="s">
        <v>782</v>
      </c>
      <c r="Q215" s="174" t="s">
        <v>782</v>
      </c>
      <c r="R215" s="177"/>
    </row>
    <row r="216" ht="15.75" customHeight="1">
      <c r="A216" s="172" t="s">
        <v>667</v>
      </c>
      <c r="B216" s="154" t="s">
        <v>46</v>
      </c>
      <c r="C216" s="173" t="s">
        <v>1335</v>
      </c>
      <c r="D216" s="174" t="s">
        <v>135</v>
      </c>
      <c r="E216" s="173" t="s">
        <v>685</v>
      </c>
      <c r="F216" s="173" t="s">
        <v>936</v>
      </c>
      <c r="G216" s="185" t="s">
        <v>517</v>
      </c>
      <c r="H216" s="185" t="s">
        <v>517</v>
      </c>
      <c r="I216" s="185" t="s">
        <v>90</v>
      </c>
      <c r="J216" s="174" t="s">
        <v>85</v>
      </c>
      <c r="K216" s="173" t="s">
        <v>749</v>
      </c>
      <c r="L216" s="174" t="s">
        <v>714</v>
      </c>
      <c r="M216" s="178">
        <v>44075.0</v>
      </c>
      <c r="N216" s="173" t="s">
        <v>692</v>
      </c>
      <c r="O216" s="176" t="s">
        <v>690</v>
      </c>
      <c r="P216" s="174" t="s">
        <v>782</v>
      </c>
      <c r="Q216" s="174" t="s">
        <v>782</v>
      </c>
      <c r="R216" s="177"/>
    </row>
    <row r="217" ht="15.75" customHeight="1">
      <c r="A217" s="172" t="s">
        <v>669</v>
      </c>
      <c r="B217" s="154" t="s">
        <v>46</v>
      </c>
      <c r="C217" s="173" t="s">
        <v>1018</v>
      </c>
      <c r="D217" s="174" t="s">
        <v>135</v>
      </c>
      <c r="E217" s="173" t="s">
        <v>685</v>
      </c>
      <c r="F217" s="173" t="s">
        <v>1019</v>
      </c>
      <c r="G217" s="185" t="s">
        <v>517</v>
      </c>
      <c r="H217" s="185" t="s">
        <v>517</v>
      </c>
      <c r="I217" s="185" t="s">
        <v>90</v>
      </c>
      <c r="J217" s="174" t="s">
        <v>85</v>
      </c>
      <c r="K217" s="173" t="s">
        <v>749</v>
      </c>
      <c r="L217" s="174" t="s">
        <v>714</v>
      </c>
      <c r="M217" s="178">
        <v>44075.0</v>
      </c>
      <c r="N217" s="173" t="s">
        <v>692</v>
      </c>
      <c r="O217" s="176" t="s">
        <v>690</v>
      </c>
      <c r="P217" s="174" t="s">
        <v>782</v>
      </c>
      <c r="Q217" s="174" t="s">
        <v>782</v>
      </c>
      <c r="R217" s="177"/>
    </row>
    <row r="218" ht="15.75" customHeight="1">
      <c r="A218" s="172" t="s">
        <v>672</v>
      </c>
      <c r="B218" s="154" t="s">
        <v>46</v>
      </c>
      <c r="C218" s="173" t="s">
        <v>1020</v>
      </c>
      <c r="D218" s="174" t="s">
        <v>135</v>
      </c>
      <c r="E218" s="173" t="s">
        <v>720</v>
      </c>
      <c r="F218" s="196" t="b">
        <v>1</v>
      </c>
      <c r="G218" s="185" t="s">
        <v>517</v>
      </c>
      <c r="H218" s="185" t="s">
        <v>517</v>
      </c>
      <c r="I218" s="185" t="s">
        <v>90</v>
      </c>
      <c r="J218" s="174" t="s">
        <v>85</v>
      </c>
      <c r="K218" s="173" t="s">
        <v>749</v>
      </c>
      <c r="L218" s="174" t="s">
        <v>714</v>
      </c>
      <c r="M218" s="178">
        <v>44075.0</v>
      </c>
      <c r="N218" s="173" t="s">
        <v>692</v>
      </c>
      <c r="O218" s="176" t="s">
        <v>690</v>
      </c>
      <c r="P218" s="174" t="s">
        <v>782</v>
      </c>
      <c r="Q218" s="174" t="s">
        <v>782</v>
      </c>
      <c r="R218" s="177"/>
    </row>
    <row r="219" ht="15.75" customHeight="1">
      <c r="A219" s="172" t="s">
        <v>674</v>
      </c>
      <c r="B219" s="154" t="s">
        <v>46</v>
      </c>
      <c r="C219" s="173" t="s">
        <v>1021</v>
      </c>
      <c r="D219" s="174" t="s">
        <v>135</v>
      </c>
      <c r="E219" s="173" t="s">
        <v>685</v>
      </c>
      <c r="F219" s="173" t="s">
        <v>936</v>
      </c>
      <c r="G219" s="185" t="s">
        <v>517</v>
      </c>
      <c r="H219" s="185" t="s">
        <v>517</v>
      </c>
      <c r="I219" s="185" t="s">
        <v>90</v>
      </c>
      <c r="J219" s="174" t="s">
        <v>85</v>
      </c>
      <c r="K219" s="173" t="s">
        <v>749</v>
      </c>
      <c r="L219" s="174" t="s">
        <v>714</v>
      </c>
      <c r="M219" s="178">
        <v>44075.0</v>
      </c>
      <c r="N219" s="173" t="s">
        <v>692</v>
      </c>
      <c r="O219" s="176" t="s">
        <v>690</v>
      </c>
      <c r="P219" s="174" t="s">
        <v>782</v>
      </c>
      <c r="Q219" s="174" t="s">
        <v>782</v>
      </c>
      <c r="R219" s="177"/>
    </row>
    <row r="220" ht="15.75" customHeight="1">
      <c r="A220" s="172" t="s">
        <v>676</v>
      </c>
      <c r="B220" s="154" t="s">
        <v>46</v>
      </c>
      <c r="C220" s="173" t="s">
        <v>1022</v>
      </c>
      <c r="D220" s="174" t="s">
        <v>135</v>
      </c>
      <c r="E220" s="173" t="s">
        <v>685</v>
      </c>
      <c r="F220" s="173" t="s">
        <v>1023</v>
      </c>
      <c r="G220" s="185" t="s">
        <v>517</v>
      </c>
      <c r="H220" s="185" t="s">
        <v>517</v>
      </c>
      <c r="I220" s="185" t="s">
        <v>90</v>
      </c>
      <c r="J220" s="174" t="s">
        <v>85</v>
      </c>
      <c r="K220" s="173" t="s">
        <v>749</v>
      </c>
      <c r="L220" s="174" t="s">
        <v>714</v>
      </c>
      <c r="M220" s="178">
        <v>44075.0</v>
      </c>
      <c r="N220" s="173" t="s">
        <v>692</v>
      </c>
      <c r="O220" s="176" t="s">
        <v>690</v>
      </c>
      <c r="P220" s="174" t="s">
        <v>782</v>
      </c>
      <c r="Q220" s="174" t="s">
        <v>782</v>
      </c>
      <c r="R220" s="177"/>
    </row>
    <row r="221" ht="15.75" customHeight="1">
      <c r="A221" s="172" t="s">
        <v>472</v>
      </c>
      <c r="B221" s="154" t="s">
        <v>197</v>
      </c>
      <c r="C221" s="173" t="s">
        <v>475</v>
      </c>
      <c r="D221" s="174" t="s">
        <v>185</v>
      </c>
      <c r="E221" s="173" t="s">
        <v>713</v>
      </c>
      <c r="F221" s="174">
        <v>1.0</v>
      </c>
      <c r="G221" s="174" t="s">
        <v>476</v>
      </c>
      <c r="H221" s="174" t="s">
        <v>476</v>
      </c>
      <c r="I221" s="174" t="s">
        <v>476</v>
      </c>
      <c r="J221" s="174" t="s">
        <v>85</v>
      </c>
      <c r="K221" s="173" t="s">
        <v>749</v>
      </c>
      <c r="L221" s="174" t="s">
        <v>749</v>
      </c>
      <c r="M221" s="178">
        <v>44105.0</v>
      </c>
      <c r="N221" s="173" t="s">
        <v>692</v>
      </c>
      <c r="O221" s="176" t="s">
        <v>690</v>
      </c>
      <c r="P221" s="174" t="s">
        <v>724</v>
      </c>
      <c r="Q221" s="174" t="s">
        <v>724</v>
      </c>
      <c r="R221" s="177"/>
    </row>
    <row r="222" ht="15.75" customHeight="1">
      <c r="A222" s="172" t="s">
        <v>477</v>
      </c>
      <c r="B222" s="154" t="s">
        <v>197</v>
      </c>
      <c r="C222" s="173" t="s">
        <v>1024</v>
      </c>
      <c r="D222" s="174" t="s">
        <v>185</v>
      </c>
      <c r="E222" s="173" t="s">
        <v>713</v>
      </c>
      <c r="F222" s="174">
        <v>1.0</v>
      </c>
      <c r="G222" s="174" t="s">
        <v>476</v>
      </c>
      <c r="H222" s="174" t="s">
        <v>476</v>
      </c>
      <c r="I222" s="174" t="s">
        <v>476</v>
      </c>
      <c r="J222" s="174" t="s">
        <v>85</v>
      </c>
      <c r="K222" s="173" t="s">
        <v>749</v>
      </c>
      <c r="L222" s="174" t="s">
        <v>749</v>
      </c>
      <c r="M222" s="178">
        <v>44105.0</v>
      </c>
      <c r="N222" s="173" t="s">
        <v>692</v>
      </c>
      <c r="O222" s="176" t="s">
        <v>690</v>
      </c>
      <c r="P222" s="174" t="s">
        <v>724</v>
      </c>
      <c r="Q222" s="174" t="s">
        <v>724</v>
      </c>
      <c r="R222" s="177"/>
    </row>
    <row r="223" ht="15.75" customHeight="1">
      <c r="A223" s="172" t="s">
        <v>479</v>
      </c>
      <c r="B223" s="154" t="s">
        <v>197</v>
      </c>
      <c r="C223" s="173" t="s">
        <v>1025</v>
      </c>
      <c r="D223" s="174" t="s">
        <v>185</v>
      </c>
      <c r="E223" s="173" t="s">
        <v>694</v>
      </c>
      <c r="F223" s="174">
        <v>2.242180288E9</v>
      </c>
      <c r="G223" s="174" t="s">
        <v>476</v>
      </c>
      <c r="H223" s="174" t="s">
        <v>476</v>
      </c>
      <c r="I223" s="174" t="s">
        <v>476</v>
      </c>
      <c r="J223" s="174" t="s">
        <v>85</v>
      </c>
      <c r="K223" s="173" t="s">
        <v>749</v>
      </c>
      <c r="L223" s="174" t="s">
        <v>749</v>
      </c>
      <c r="M223" s="178">
        <v>44105.0</v>
      </c>
      <c r="N223" s="173" t="s">
        <v>692</v>
      </c>
      <c r="O223" s="176" t="s">
        <v>690</v>
      </c>
      <c r="P223" s="174" t="s">
        <v>724</v>
      </c>
      <c r="Q223" s="174" t="s">
        <v>724</v>
      </c>
      <c r="R223" s="177"/>
    </row>
    <row r="224" ht="15.75" customHeight="1">
      <c r="A224" s="172" t="s">
        <v>1026</v>
      </c>
      <c r="B224" s="154" t="s">
        <v>46</v>
      </c>
      <c r="C224" s="173" t="s">
        <v>1027</v>
      </c>
      <c r="D224" s="174" t="s">
        <v>135</v>
      </c>
      <c r="E224" s="173" t="s">
        <v>720</v>
      </c>
      <c r="F224" s="196" t="b">
        <v>1</v>
      </c>
      <c r="G224" s="185" t="s">
        <v>517</v>
      </c>
      <c r="H224" s="185" t="s">
        <v>517</v>
      </c>
      <c r="I224" s="185" t="s">
        <v>90</v>
      </c>
      <c r="J224" s="174" t="s">
        <v>85</v>
      </c>
      <c r="K224" s="173" t="s">
        <v>749</v>
      </c>
      <c r="L224" s="174" t="s">
        <v>714</v>
      </c>
      <c r="M224" s="178">
        <v>44075.0</v>
      </c>
      <c r="N224" s="173" t="s">
        <v>692</v>
      </c>
      <c r="O224" s="176" t="s">
        <v>690</v>
      </c>
      <c r="P224" s="174" t="s">
        <v>782</v>
      </c>
      <c r="Q224" s="174" t="s">
        <v>782</v>
      </c>
      <c r="R224" s="177"/>
    </row>
    <row r="225" ht="15.75" customHeight="1">
      <c r="A225" s="172" t="s">
        <v>1028</v>
      </c>
      <c r="B225" s="154" t="s">
        <v>46</v>
      </c>
      <c r="C225" s="173" t="s">
        <v>1029</v>
      </c>
      <c r="D225" s="174" t="s">
        <v>135</v>
      </c>
      <c r="E225" s="173" t="s">
        <v>685</v>
      </c>
      <c r="F225" s="173" t="s">
        <v>936</v>
      </c>
      <c r="G225" s="185" t="s">
        <v>517</v>
      </c>
      <c r="H225" s="185" t="s">
        <v>517</v>
      </c>
      <c r="I225" s="185" t="s">
        <v>90</v>
      </c>
      <c r="J225" s="174" t="s">
        <v>85</v>
      </c>
      <c r="K225" s="173" t="s">
        <v>749</v>
      </c>
      <c r="L225" s="174" t="s">
        <v>714</v>
      </c>
      <c r="M225" s="178">
        <v>44075.0</v>
      </c>
      <c r="N225" s="173" t="s">
        <v>692</v>
      </c>
      <c r="O225" s="176" t="s">
        <v>690</v>
      </c>
      <c r="P225" s="174" t="s">
        <v>782</v>
      </c>
      <c r="Q225" s="174" t="s">
        <v>782</v>
      </c>
      <c r="R225" s="177"/>
    </row>
    <row r="226" ht="15.75" customHeight="1">
      <c r="A226" s="172" t="s">
        <v>1030</v>
      </c>
      <c r="B226" s="154" t="s">
        <v>46</v>
      </c>
      <c r="C226" s="173" t="s">
        <v>1031</v>
      </c>
      <c r="D226" s="174" t="s">
        <v>135</v>
      </c>
      <c r="E226" s="173" t="s">
        <v>685</v>
      </c>
      <c r="F226" s="173" t="s">
        <v>1032</v>
      </c>
      <c r="G226" s="185" t="s">
        <v>517</v>
      </c>
      <c r="H226" s="185" t="s">
        <v>517</v>
      </c>
      <c r="I226" s="185" t="s">
        <v>90</v>
      </c>
      <c r="J226" s="174" t="s">
        <v>85</v>
      </c>
      <c r="K226" s="173" t="s">
        <v>749</v>
      </c>
      <c r="L226" s="174" t="s">
        <v>714</v>
      </c>
      <c r="M226" s="178">
        <v>44075.0</v>
      </c>
      <c r="N226" s="173" t="s">
        <v>692</v>
      </c>
      <c r="O226" s="176" t="s">
        <v>690</v>
      </c>
      <c r="P226" s="174" t="s">
        <v>782</v>
      </c>
      <c r="Q226" s="174" t="s">
        <v>782</v>
      </c>
      <c r="R226" s="177"/>
    </row>
    <row r="227" ht="15.75" customHeight="1">
      <c r="A227" s="172" t="s">
        <v>1336</v>
      </c>
      <c r="B227" s="154" t="s">
        <v>46</v>
      </c>
      <c r="C227" s="173" t="s">
        <v>1034</v>
      </c>
      <c r="D227" s="174" t="s">
        <v>135</v>
      </c>
      <c r="E227" s="173" t="s">
        <v>720</v>
      </c>
      <c r="F227" s="196" t="b">
        <v>1</v>
      </c>
      <c r="G227" s="185" t="s">
        <v>517</v>
      </c>
      <c r="H227" s="185" t="s">
        <v>517</v>
      </c>
      <c r="I227" s="185" t="s">
        <v>90</v>
      </c>
      <c r="J227" s="174" t="s">
        <v>85</v>
      </c>
      <c r="K227" s="173" t="s">
        <v>749</v>
      </c>
      <c r="L227" s="174" t="s">
        <v>714</v>
      </c>
      <c r="M227" s="178">
        <v>44075.0</v>
      </c>
      <c r="N227" s="173" t="s">
        <v>692</v>
      </c>
      <c r="O227" s="176" t="s">
        <v>690</v>
      </c>
      <c r="P227" s="174" t="s">
        <v>782</v>
      </c>
      <c r="Q227" s="174" t="s">
        <v>782</v>
      </c>
      <c r="R227" s="177"/>
    </row>
    <row r="228" ht="15.75" customHeight="1">
      <c r="A228" s="172" t="s">
        <v>1337</v>
      </c>
      <c r="B228" s="154" t="s">
        <v>46</v>
      </c>
      <c r="C228" s="173" t="s">
        <v>1036</v>
      </c>
      <c r="D228" s="174" t="s">
        <v>135</v>
      </c>
      <c r="E228" s="173" t="s">
        <v>685</v>
      </c>
      <c r="F228" s="173" t="s">
        <v>936</v>
      </c>
      <c r="G228" s="185" t="s">
        <v>517</v>
      </c>
      <c r="H228" s="185" t="s">
        <v>517</v>
      </c>
      <c r="I228" s="185" t="s">
        <v>90</v>
      </c>
      <c r="J228" s="174" t="s">
        <v>85</v>
      </c>
      <c r="K228" s="173" t="s">
        <v>749</v>
      </c>
      <c r="L228" s="174" t="s">
        <v>714</v>
      </c>
      <c r="M228" s="178">
        <v>44075.0</v>
      </c>
      <c r="N228" s="173" t="s">
        <v>692</v>
      </c>
      <c r="O228" s="176" t="s">
        <v>690</v>
      </c>
      <c r="P228" s="174" t="s">
        <v>782</v>
      </c>
      <c r="Q228" s="174" t="s">
        <v>782</v>
      </c>
      <c r="R228" s="177"/>
    </row>
    <row r="229" ht="15.75" customHeight="1">
      <c r="A229" s="172" t="s">
        <v>1338</v>
      </c>
      <c r="B229" s="154" t="s">
        <v>46</v>
      </c>
      <c r="C229" s="173" t="s">
        <v>1038</v>
      </c>
      <c r="D229" s="174" t="s">
        <v>135</v>
      </c>
      <c r="E229" s="173" t="s">
        <v>685</v>
      </c>
      <c r="F229" s="173" t="s">
        <v>1032</v>
      </c>
      <c r="G229" s="185" t="s">
        <v>517</v>
      </c>
      <c r="H229" s="185" t="s">
        <v>517</v>
      </c>
      <c r="I229" s="185" t="s">
        <v>90</v>
      </c>
      <c r="J229" s="174" t="s">
        <v>85</v>
      </c>
      <c r="K229" s="173" t="s">
        <v>749</v>
      </c>
      <c r="L229" s="174" t="s">
        <v>714</v>
      </c>
      <c r="M229" s="178">
        <v>44075.0</v>
      </c>
      <c r="N229" s="173" t="s">
        <v>692</v>
      </c>
      <c r="O229" s="176" t="s">
        <v>690</v>
      </c>
      <c r="P229" s="174" t="s">
        <v>782</v>
      </c>
      <c r="Q229" s="174" t="s">
        <v>782</v>
      </c>
      <c r="R229" s="177"/>
    </row>
    <row r="230" ht="15.75" customHeight="1">
      <c r="A230" s="172" t="s">
        <v>1039</v>
      </c>
      <c r="B230" s="154" t="s">
        <v>52</v>
      </c>
      <c r="C230" s="173" t="s">
        <v>1040</v>
      </c>
      <c r="D230" s="174" t="s">
        <v>185</v>
      </c>
      <c r="E230" s="173" t="s">
        <v>698</v>
      </c>
      <c r="F230" s="195">
        <v>43787.0</v>
      </c>
      <c r="G230" s="196" t="s">
        <v>723</v>
      </c>
      <c r="H230" s="172" t="s">
        <v>723</v>
      </c>
      <c r="I230" s="173" t="s">
        <v>723</v>
      </c>
      <c r="J230" s="174" t="s">
        <v>85</v>
      </c>
      <c r="K230" s="173" t="s">
        <v>687</v>
      </c>
      <c r="L230" s="174" t="s">
        <v>688</v>
      </c>
      <c r="M230" s="178">
        <v>44158.0</v>
      </c>
      <c r="N230" s="173" t="s">
        <v>735</v>
      </c>
      <c r="O230" s="184" t="s">
        <v>736</v>
      </c>
      <c r="P230" s="174" t="s">
        <v>721</v>
      </c>
      <c r="Q230" s="174" t="s">
        <v>721</v>
      </c>
      <c r="R230" s="177"/>
    </row>
    <row r="231" ht="15.75" customHeight="1">
      <c r="A231" s="172" t="s">
        <v>1041</v>
      </c>
      <c r="B231" s="154" t="s">
        <v>52</v>
      </c>
      <c r="C231" s="173" t="s">
        <v>1042</v>
      </c>
      <c r="D231" s="174" t="s">
        <v>185</v>
      </c>
      <c r="E231" s="173" t="s">
        <v>698</v>
      </c>
      <c r="F231" s="195">
        <v>43796.51299768518</v>
      </c>
      <c r="G231" s="196" t="s">
        <v>723</v>
      </c>
      <c r="H231" s="172" t="s">
        <v>723</v>
      </c>
      <c r="I231" s="173" t="s">
        <v>723</v>
      </c>
      <c r="J231" s="174" t="s">
        <v>85</v>
      </c>
      <c r="K231" s="173" t="s">
        <v>687</v>
      </c>
      <c r="L231" s="174" t="s">
        <v>688</v>
      </c>
      <c r="M231" s="178">
        <v>44158.0</v>
      </c>
      <c r="N231" s="173" t="s">
        <v>735</v>
      </c>
      <c r="O231" s="184" t="s">
        <v>736</v>
      </c>
      <c r="P231" s="174" t="s">
        <v>721</v>
      </c>
      <c r="Q231" s="174" t="s">
        <v>721</v>
      </c>
      <c r="R231" s="177"/>
    </row>
    <row r="232" ht="15.75" customHeight="1">
      <c r="A232" s="172" t="s">
        <v>1043</v>
      </c>
      <c r="B232" s="154" t="s">
        <v>52</v>
      </c>
      <c r="C232" s="173" t="s">
        <v>1044</v>
      </c>
      <c r="D232" s="174" t="s">
        <v>185</v>
      </c>
      <c r="E232" s="173" t="s">
        <v>713</v>
      </c>
      <c r="F232" s="185">
        <v>20.0</v>
      </c>
      <c r="G232" s="196" t="s">
        <v>723</v>
      </c>
      <c r="H232" s="172" t="s">
        <v>723</v>
      </c>
      <c r="I232" s="173" t="s">
        <v>723</v>
      </c>
      <c r="J232" s="174" t="s">
        <v>85</v>
      </c>
      <c r="K232" s="173" t="s">
        <v>687</v>
      </c>
      <c r="L232" s="174" t="s">
        <v>688</v>
      </c>
      <c r="M232" s="178">
        <v>44158.0</v>
      </c>
      <c r="N232" s="173" t="s">
        <v>735</v>
      </c>
      <c r="O232" s="184" t="s">
        <v>736</v>
      </c>
      <c r="P232" s="174" t="s">
        <v>721</v>
      </c>
      <c r="Q232" s="174" t="s">
        <v>721</v>
      </c>
      <c r="R232" s="177"/>
    </row>
    <row r="233" ht="15.75" customHeight="1">
      <c r="A233" s="172" t="s">
        <v>1045</v>
      </c>
      <c r="B233" s="154" t="s">
        <v>52</v>
      </c>
      <c r="C233" s="173" t="s">
        <v>1046</v>
      </c>
      <c r="D233" s="174" t="s">
        <v>185</v>
      </c>
      <c r="E233" s="173" t="s">
        <v>713</v>
      </c>
      <c r="F233" s="185">
        <v>36.0</v>
      </c>
      <c r="G233" s="196" t="s">
        <v>723</v>
      </c>
      <c r="H233" s="172" t="s">
        <v>723</v>
      </c>
      <c r="I233" s="173" t="s">
        <v>723</v>
      </c>
      <c r="J233" s="174" t="s">
        <v>85</v>
      </c>
      <c r="K233" s="173" t="s">
        <v>687</v>
      </c>
      <c r="L233" s="174" t="s">
        <v>688</v>
      </c>
      <c r="M233" s="178">
        <v>44158.0</v>
      </c>
      <c r="N233" s="173" t="s">
        <v>735</v>
      </c>
      <c r="O233" s="184" t="s">
        <v>736</v>
      </c>
      <c r="P233" s="174" t="s">
        <v>721</v>
      </c>
      <c r="Q233" s="174" t="s">
        <v>721</v>
      </c>
      <c r="R233" s="177"/>
    </row>
    <row r="234" ht="15.75" customHeight="1">
      <c r="A234" s="172" t="s">
        <v>1047</v>
      </c>
      <c r="B234" s="154" t="s">
        <v>197</v>
      </c>
      <c r="C234" s="173" t="s">
        <v>1048</v>
      </c>
      <c r="D234" s="174" t="s">
        <v>185</v>
      </c>
      <c r="E234" s="173" t="s">
        <v>768</v>
      </c>
      <c r="F234" s="185">
        <v>50.0</v>
      </c>
      <c r="G234" s="196" t="s">
        <v>723</v>
      </c>
      <c r="H234" s="172" t="s">
        <v>723</v>
      </c>
      <c r="I234" s="173" t="s">
        <v>723</v>
      </c>
      <c r="J234" s="174" t="s">
        <v>85</v>
      </c>
      <c r="K234" s="173" t="s">
        <v>687</v>
      </c>
      <c r="L234" s="174" t="s">
        <v>760</v>
      </c>
      <c r="M234" s="178">
        <v>44157.0</v>
      </c>
      <c r="N234" s="173" t="s">
        <v>735</v>
      </c>
      <c r="O234" s="184" t="s">
        <v>736</v>
      </c>
      <c r="P234" s="174" t="s">
        <v>761</v>
      </c>
      <c r="Q234" s="174" t="s">
        <v>761</v>
      </c>
      <c r="R234" s="177"/>
    </row>
    <row r="235" ht="15.75" customHeight="1">
      <c r="A235" s="172" t="s">
        <v>1049</v>
      </c>
      <c r="B235" s="154" t="s">
        <v>197</v>
      </c>
      <c r="C235" s="173" t="s">
        <v>1050</v>
      </c>
      <c r="D235" s="174" t="s">
        <v>135</v>
      </c>
      <c r="E235" s="173" t="s">
        <v>720</v>
      </c>
      <c r="F235" s="183" t="b">
        <v>1</v>
      </c>
      <c r="G235" s="173" t="s">
        <v>1051</v>
      </c>
      <c r="H235" s="174" t="s">
        <v>1052</v>
      </c>
      <c r="I235" s="174" t="s">
        <v>1052</v>
      </c>
      <c r="J235" s="174" t="s">
        <v>85</v>
      </c>
      <c r="K235" s="173" t="s">
        <v>749</v>
      </c>
      <c r="L235" s="174" t="s">
        <v>688</v>
      </c>
      <c r="M235" s="178">
        <v>44105.0</v>
      </c>
      <c r="N235" s="173" t="s">
        <v>913</v>
      </c>
      <c r="O235" s="176" t="s">
        <v>914</v>
      </c>
      <c r="P235" s="174" t="s">
        <v>724</v>
      </c>
      <c r="Q235" s="174" t="s">
        <v>724</v>
      </c>
      <c r="R235" s="177"/>
    </row>
    <row r="236" ht="15.75" customHeight="1">
      <c r="A236" s="172" t="s">
        <v>1053</v>
      </c>
      <c r="B236" s="154" t="s">
        <v>197</v>
      </c>
      <c r="C236" s="173" t="s">
        <v>1054</v>
      </c>
      <c r="D236" s="174" t="s">
        <v>185</v>
      </c>
      <c r="E236" s="173" t="s">
        <v>720</v>
      </c>
      <c r="F236" s="183" t="b">
        <v>1</v>
      </c>
      <c r="G236" s="173" t="s">
        <v>1051</v>
      </c>
      <c r="H236" s="174" t="s">
        <v>1052</v>
      </c>
      <c r="I236" s="174" t="s">
        <v>1052</v>
      </c>
      <c r="J236" s="174" t="s">
        <v>85</v>
      </c>
      <c r="K236" s="173" t="s">
        <v>687</v>
      </c>
      <c r="L236" s="174" t="s">
        <v>688</v>
      </c>
      <c r="M236" s="178">
        <v>44150.0</v>
      </c>
      <c r="N236" s="173" t="s">
        <v>913</v>
      </c>
      <c r="O236" s="176" t="s">
        <v>914</v>
      </c>
      <c r="P236" s="174" t="s">
        <v>691</v>
      </c>
      <c r="Q236" s="174" t="s">
        <v>691</v>
      </c>
      <c r="R236" s="177"/>
    </row>
    <row r="237" ht="40.5" customHeight="1">
      <c r="A237" s="172" t="s">
        <v>1055</v>
      </c>
      <c r="B237" s="154" t="s">
        <v>44</v>
      </c>
      <c r="C237" s="173" t="s">
        <v>1056</v>
      </c>
      <c r="D237" s="174" t="s">
        <v>185</v>
      </c>
      <c r="E237" s="173" t="s">
        <v>685</v>
      </c>
      <c r="F237" s="185">
        <v>9.052912593E9</v>
      </c>
      <c r="G237" s="173" t="s">
        <v>1051</v>
      </c>
      <c r="H237" s="174" t="s">
        <v>1052</v>
      </c>
      <c r="I237" s="174" t="s">
        <v>1052</v>
      </c>
      <c r="J237" s="174" t="s">
        <v>85</v>
      </c>
      <c r="K237" s="173" t="s">
        <v>687</v>
      </c>
      <c r="L237" s="174" t="s">
        <v>760</v>
      </c>
      <c r="M237" s="178">
        <v>44157.0</v>
      </c>
      <c r="N237" s="173" t="s">
        <v>735</v>
      </c>
      <c r="O237" s="184" t="s">
        <v>736</v>
      </c>
      <c r="P237" s="174" t="s">
        <v>761</v>
      </c>
      <c r="Q237" s="174" t="s">
        <v>761</v>
      </c>
      <c r="R237" s="177"/>
    </row>
    <row r="238" ht="15.75" customHeight="1">
      <c r="A238" s="172" t="s">
        <v>1057</v>
      </c>
      <c r="B238" s="154" t="s">
        <v>696</v>
      </c>
      <c r="C238" s="173" t="s">
        <v>1058</v>
      </c>
      <c r="D238" s="174" t="s">
        <v>185</v>
      </c>
      <c r="E238" s="173" t="s">
        <v>685</v>
      </c>
      <c r="F238" s="185">
        <v>6.49390994E8</v>
      </c>
      <c r="G238" s="173" t="s">
        <v>1051</v>
      </c>
      <c r="H238" s="174" t="s">
        <v>1052</v>
      </c>
      <c r="I238" s="174" t="s">
        <v>1052</v>
      </c>
      <c r="J238" s="174" t="s">
        <v>85</v>
      </c>
      <c r="K238" s="173" t="s">
        <v>687</v>
      </c>
      <c r="L238" s="174" t="s">
        <v>760</v>
      </c>
      <c r="M238" s="178">
        <v>44157.0</v>
      </c>
      <c r="N238" s="173" t="s">
        <v>735</v>
      </c>
      <c r="O238" s="184" t="s">
        <v>736</v>
      </c>
      <c r="P238" s="174" t="s">
        <v>761</v>
      </c>
      <c r="Q238" s="174" t="s">
        <v>761</v>
      </c>
      <c r="R238" s="177"/>
    </row>
    <row r="239" ht="15.75" customHeight="1">
      <c r="A239" s="172" t="s">
        <v>1059</v>
      </c>
      <c r="B239" s="154" t="s">
        <v>197</v>
      </c>
      <c r="C239" s="173" t="s">
        <v>1060</v>
      </c>
      <c r="D239" s="174" t="s">
        <v>185</v>
      </c>
      <c r="E239" s="173" t="s">
        <v>720</v>
      </c>
      <c r="F239" s="183" t="b">
        <v>1</v>
      </c>
      <c r="G239" s="196" t="s">
        <v>686</v>
      </c>
      <c r="H239" s="174" t="s">
        <v>91</v>
      </c>
      <c r="I239" s="174" t="s">
        <v>91</v>
      </c>
      <c r="J239" s="174" t="s">
        <v>85</v>
      </c>
      <c r="K239" s="173" t="s">
        <v>687</v>
      </c>
      <c r="L239" s="174" t="s">
        <v>688</v>
      </c>
      <c r="M239" s="178">
        <v>44158.0</v>
      </c>
      <c r="N239" s="173" t="s">
        <v>692</v>
      </c>
      <c r="O239" s="176" t="s">
        <v>690</v>
      </c>
      <c r="P239" s="174" t="s">
        <v>724</v>
      </c>
      <c r="Q239" s="174" t="s">
        <v>724</v>
      </c>
      <c r="R239" s="177"/>
    </row>
    <row r="240" ht="15.75" customHeight="1">
      <c r="A240" s="172" t="s">
        <v>1061</v>
      </c>
      <c r="B240" s="154" t="s">
        <v>197</v>
      </c>
      <c r="C240" s="173" t="s">
        <v>1062</v>
      </c>
      <c r="D240" s="174" t="s">
        <v>185</v>
      </c>
      <c r="E240" s="173" t="s">
        <v>768</v>
      </c>
      <c r="F240" s="185">
        <v>65.0</v>
      </c>
      <c r="G240" s="196" t="s">
        <v>723</v>
      </c>
      <c r="H240" s="172" t="s">
        <v>723</v>
      </c>
      <c r="I240" s="173" t="s">
        <v>723</v>
      </c>
      <c r="J240" s="174" t="s">
        <v>85</v>
      </c>
      <c r="K240" s="173" t="s">
        <v>687</v>
      </c>
      <c r="L240" s="174" t="s">
        <v>760</v>
      </c>
      <c r="M240" s="178">
        <v>44157.0</v>
      </c>
      <c r="N240" s="173" t="s">
        <v>735</v>
      </c>
      <c r="O240" s="184" t="s">
        <v>736</v>
      </c>
      <c r="P240" s="174" t="s">
        <v>761</v>
      </c>
      <c r="Q240" s="174" t="s">
        <v>761</v>
      </c>
      <c r="R240" s="177"/>
    </row>
    <row r="241" ht="15.75" customHeight="1">
      <c r="A241" s="172" t="s">
        <v>1063</v>
      </c>
      <c r="B241" s="154" t="s">
        <v>197</v>
      </c>
      <c r="C241" s="173" t="s">
        <v>1064</v>
      </c>
      <c r="D241" s="174" t="s">
        <v>185</v>
      </c>
      <c r="E241" s="173" t="s">
        <v>768</v>
      </c>
      <c r="F241" s="185">
        <v>55.0</v>
      </c>
      <c r="G241" s="196" t="s">
        <v>723</v>
      </c>
      <c r="H241" s="172" t="s">
        <v>723</v>
      </c>
      <c r="I241" s="173" t="s">
        <v>723</v>
      </c>
      <c r="J241" s="174" t="s">
        <v>85</v>
      </c>
      <c r="K241" s="173" t="s">
        <v>687</v>
      </c>
      <c r="L241" s="174" t="s">
        <v>760</v>
      </c>
      <c r="M241" s="178">
        <v>44157.0</v>
      </c>
      <c r="N241" s="173" t="s">
        <v>735</v>
      </c>
      <c r="O241" s="184" t="s">
        <v>736</v>
      </c>
      <c r="P241" s="174" t="s">
        <v>761</v>
      </c>
      <c r="Q241" s="174" t="s">
        <v>761</v>
      </c>
      <c r="R241" s="177"/>
    </row>
    <row r="242" ht="15.75" customHeight="1">
      <c r="A242" s="172" t="s">
        <v>1065</v>
      </c>
      <c r="B242" s="154" t="s">
        <v>44</v>
      </c>
      <c r="C242" s="173" t="s">
        <v>1066</v>
      </c>
      <c r="D242" s="174" t="s">
        <v>185</v>
      </c>
      <c r="E242" s="173" t="s">
        <v>768</v>
      </c>
      <c r="F242" s="185">
        <v>19401.0</v>
      </c>
      <c r="G242" s="173" t="s">
        <v>723</v>
      </c>
      <c r="H242" s="174" t="s">
        <v>1067</v>
      </c>
      <c r="I242" s="173" t="s">
        <v>723</v>
      </c>
      <c r="J242" s="174" t="s">
        <v>85</v>
      </c>
      <c r="K242" s="173" t="s">
        <v>749</v>
      </c>
      <c r="L242" s="174" t="s">
        <v>688</v>
      </c>
      <c r="M242" s="178">
        <v>44105.0</v>
      </c>
      <c r="N242" s="173" t="s">
        <v>701</v>
      </c>
      <c r="O242" s="176" t="s">
        <v>736</v>
      </c>
      <c r="P242" s="173" t="s">
        <v>750</v>
      </c>
      <c r="Q242" s="173" t="s">
        <v>750</v>
      </c>
      <c r="R242" s="177"/>
    </row>
    <row r="243" ht="15.75" customHeight="1">
      <c r="A243" s="172" t="s">
        <v>1068</v>
      </c>
      <c r="B243" s="154" t="s">
        <v>197</v>
      </c>
      <c r="C243" s="173" t="s">
        <v>1069</v>
      </c>
      <c r="D243" s="174" t="s">
        <v>185</v>
      </c>
      <c r="E243" s="173" t="s">
        <v>720</v>
      </c>
      <c r="F243" s="183" t="b">
        <v>1</v>
      </c>
      <c r="G243" s="173" t="s">
        <v>723</v>
      </c>
      <c r="H243" s="174" t="s">
        <v>1067</v>
      </c>
      <c r="I243" s="173" t="s">
        <v>723</v>
      </c>
      <c r="J243" s="174" t="s">
        <v>85</v>
      </c>
      <c r="K243" s="173" t="s">
        <v>687</v>
      </c>
      <c r="L243" s="174" t="s">
        <v>688</v>
      </c>
      <c r="M243" s="178">
        <v>44158.0</v>
      </c>
      <c r="N243" s="173" t="s">
        <v>701</v>
      </c>
      <c r="O243" s="176" t="s">
        <v>690</v>
      </c>
      <c r="P243" s="174" t="s">
        <v>744</v>
      </c>
      <c r="Q243" s="174" t="s">
        <v>744</v>
      </c>
      <c r="R243" s="177"/>
    </row>
    <row r="244" ht="15.75" customHeight="1">
      <c r="A244" s="172" t="s">
        <v>1070</v>
      </c>
      <c r="B244" s="154" t="s">
        <v>197</v>
      </c>
      <c r="C244" s="173" t="s">
        <v>1071</v>
      </c>
      <c r="D244" s="174" t="s">
        <v>185</v>
      </c>
      <c r="E244" s="173" t="s">
        <v>768</v>
      </c>
      <c r="F244" s="185">
        <v>8374.31</v>
      </c>
      <c r="G244" s="173" t="s">
        <v>723</v>
      </c>
      <c r="H244" s="174" t="s">
        <v>1067</v>
      </c>
      <c r="I244" s="173" t="s">
        <v>723</v>
      </c>
      <c r="J244" s="174" t="s">
        <v>85</v>
      </c>
      <c r="K244" s="173" t="s">
        <v>749</v>
      </c>
      <c r="L244" s="174" t="s">
        <v>688</v>
      </c>
      <c r="M244" s="178">
        <v>44140.0</v>
      </c>
      <c r="N244" s="173" t="s">
        <v>701</v>
      </c>
      <c r="O244" s="176" t="s">
        <v>690</v>
      </c>
      <c r="P244" s="174" t="s">
        <v>771</v>
      </c>
      <c r="Q244" s="174" t="s">
        <v>771</v>
      </c>
      <c r="R244" s="177"/>
    </row>
    <row r="245" ht="15.75" customHeight="1">
      <c r="A245" s="172" t="s">
        <v>1072</v>
      </c>
      <c r="B245" s="154" t="s">
        <v>58</v>
      </c>
      <c r="C245" s="173" t="s">
        <v>1073</v>
      </c>
      <c r="D245" s="174" t="s">
        <v>185</v>
      </c>
      <c r="E245" s="173" t="s">
        <v>768</v>
      </c>
      <c r="F245" s="185">
        <v>1383.48</v>
      </c>
      <c r="G245" s="173" t="s">
        <v>723</v>
      </c>
      <c r="H245" s="174" t="s">
        <v>1067</v>
      </c>
      <c r="I245" s="173" t="s">
        <v>723</v>
      </c>
      <c r="J245" s="174" t="s">
        <v>85</v>
      </c>
      <c r="K245" s="173" t="s">
        <v>749</v>
      </c>
      <c r="L245" s="174" t="s">
        <v>688</v>
      </c>
      <c r="M245" s="178">
        <v>44140.0</v>
      </c>
      <c r="N245" s="173" t="s">
        <v>701</v>
      </c>
      <c r="O245" s="176" t="s">
        <v>690</v>
      </c>
      <c r="P245" s="174" t="s">
        <v>771</v>
      </c>
      <c r="Q245" s="174" t="s">
        <v>771</v>
      </c>
      <c r="R245" s="177"/>
    </row>
    <row r="246" ht="15.75" customHeight="1">
      <c r="A246" s="172" t="s">
        <v>1074</v>
      </c>
      <c r="B246" s="154" t="s">
        <v>58</v>
      </c>
      <c r="C246" s="173" t="s">
        <v>1075</v>
      </c>
      <c r="D246" s="174" t="s">
        <v>185</v>
      </c>
      <c r="E246" s="173" t="s">
        <v>768</v>
      </c>
      <c r="F246" s="185">
        <v>8374.31</v>
      </c>
      <c r="G246" s="173" t="s">
        <v>1051</v>
      </c>
      <c r="H246" s="180" t="s">
        <v>1052</v>
      </c>
      <c r="I246" s="173" t="s">
        <v>1052</v>
      </c>
      <c r="J246" s="174" t="s">
        <v>85</v>
      </c>
      <c r="K246" s="173" t="s">
        <v>749</v>
      </c>
      <c r="L246" s="174" t="s">
        <v>688</v>
      </c>
      <c r="M246" s="178">
        <v>44140.0</v>
      </c>
      <c r="N246" s="173" t="s">
        <v>701</v>
      </c>
      <c r="O246" s="176" t="s">
        <v>690</v>
      </c>
      <c r="P246" s="174" t="s">
        <v>771</v>
      </c>
      <c r="Q246" s="174" t="s">
        <v>771</v>
      </c>
      <c r="R246" s="177"/>
    </row>
    <row r="247" ht="15.75" customHeight="1">
      <c r="A247" s="172" t="s">
        <v>1076</v>
      </c>
      <c r="B247" s="154" t="s">
        <v>696</v>
      </c>
      <c r="C247" s="173" t="s">
        <v>1077</v>
      </c>
      <c r="D247" s="174" t="s">
        <v>83</v>
      </c>
      <c r="E247" s="173" t="s">
        <v>698</v>
      </c>
      <c r="F247" s="195">
        <v>44229.0</v>
      </c>
      <c r="G247" s="173" t="s">
        <v>1051</v>
      </c>
      <c r="H247" s="180" t="s">
        <v>1052</v>
      </c>
      <c r="I247" s="196" t="s">
        <v>1052</v>
      </c>
      <c r="J247" s="174" t="s">
        <v>85</v>
      </c>
      <c r="K247" s="173" t="s">
        <v>687</v>
      </c>
      <c r="L247" s="174" t="s">
        <v>688</v>
      </c>
      <c r="M247" s="178">
        <v>44158.0</v>
      </c>
      <c r="N247" s="173" t="s">
        <v>735</v>
      </c>
      <c r="O247" s="184" t="s">
        <v>736</v>
      </c>
      <c r="P247" s="174" t="s">
        <v>691</v>
      </c>
      <c r="Q247" s="174" t="s">
        <v>691</v>
      </c>
      <c r="R247" s="177"/>
    </row>
    <row r="248" ht="15.75" customHeight="1">
      <c r="A248" s="172" t="s">
        <v>1078</v>
      </c>
      <c r="B248" s="154" t="s">
        <v>197</v>
      </c>
      <c r="C248" s="173" t="s">
        <v>1079</v>
      </c>
      <c r="D248" s="174" t="s">
        <v>185</v>
      </c>
      <c r="E248" s="173" t="s">
        <v>720</v>
      </c>
      <c r="F248" s="183" t="b">
        <v>1</v>
      </c>
      <c r="G248" s="173" t="s">
        <v>1051</v>
      </c>
      <c r="H248" s="180" t="s">
        <v>1052</v>
      </c>
      <c r="I248" s="196" t="s">
        <v>1052</v>
      </c>
      <c r="J248" s="174" t="s">
        <v>85</v>
      </c>
      <c r="K248" s="173" t="s">
        <v>687</v>
      </c>
      <c r="L248" s="174" t="s">
        <v>760</v>
      </c>
      <c r="M248" s="178">
        <v>44157.0</v>
      </c>
      <c r="N248" s="173" t="s">
        <v>735</v>
      </c>
      <c r="O248" s="184" t="s">
        <v>736</v>
      </c>
      <c r="P248" s="174" t="s">
        <v>761</v>
      </c>
      <c r="Q248" s="174" t="s">
        <v>761</v>
      </c>
      <c r="R248" s="177"/>
    </row>
    <row r="249" ht="15.75" customHeight="1">
      <c r="A249" s="172" t="s">
        <v>1080</v>
      </c>
      <c r="B249" s="154" t="s">
        <v>197</v>
      </c>
      <c r="C249" s="173" t="s">
        <v>1081</v>
      </c>
      <c r="D249" s="174" t="s">
        <v>185</v>
      </c>
      <c r="E249" s="173" t="s">
        <v>720</v>
      </c>
      <c r="F249" s="183" t="b">
        <v>1</v>
      </c>
      <c r="G249" s="173" t="s">
        <v>1051</v>
      </c>
      <c r="H249" s="180" t="s">
        <v>1052</v>
      </c>
      <c r="I249" s="196" t="s">
        <v>1052</v>
      </c>
      <c r="J249" s="174" t="s">
        <v>85</v>
      </c>
      <c r="K249" s="173" t="s">
        <v>687</v>
      </c>
      <c r="L249" s="174" t="s">
        <v>760</v>
      </c>
      <c r="M249" s="178">
        <v>44157.0</v>
      </c>
      <c r="N249" s="173" t="s">
        <v>735</v>
      </c>
      <c r="O249" s="184" t="s">
        <v>736</v>
      </c>
      <c r="P249" s="174" t="s">
        <v>761</v>
      </c>
      <c r="Q249" s="174" t="s">
        <v>761</v>
      </c>
      <c r="R249" s="177"/>
    </row>
    <row r="250" ht="15.75" customHeight="1">
      <c r="A250" s="172" t="s">
        <v>1082</v>
      </c>
      <c r="B250" s="154" t="s">
        <v>197</v>
      </c>
      <c r="C250" s="173" t="s">
        <v>1083</v>
      </c>
      <c r="D250" s="174" t="s">
        <v>135</v>
      </c>
      <c r="E250" s="173" t="s">
        <v>768</v>
      </c>
      <c r="F250" s="185">
        <v>0.05</v>
      </c>
      <c r="G250" s="173" t="s">
        <v>1051</v>
      </c>
      <c r="H250" s="180" t="s">
        <v>1052</v>
      </c>
      <c r="I250" s="196" t="s">
        <v>1052</v>
      </c>
      <c r="J250" s="174"/>
      <c r="K250" s="173" t="s">
        <v>749</v>
      </c>
      <c r="L250" s="174" t="s">
        <v>763</v>
      </c>
      <c r="M250" s="178">
        <v>44105.0</v>
      </c>
      <c r="N250" s="196" t="s">
        <v>913</v>
      </c>
      <c r="O250" s="176" t="s">
        <v>914</v>
      </c>
      <c r="P250" s="174" t="s">
        <v>724</v>
      </c>
      <c r="Q250" s="174" t="s">
        <v>724</v>
      </c>
      <c r="R250" s="177"/>
    </row>
    <row r="251" ht="15.75" customHeight="1">
      <c r="A251" s="172" t="s">
        <v>1084</v>
      </c>
      <c r="B251" s="153" t="s">
        <v>696</v>
      </c>
      <c r="C251" s="173" t="s">
        <v>1085</v>
      </c>
      <c r="D251" s="174" t="s">
        <v>135</v>
      </c>
      <c r="E251" s="173" t="s">
        <v>685</v>
      </c>
      <c r="F251" s="185">
        <v>2999.0</v>
      </c>
      <c r="G251" s="173" t="s">
        <v>723</v>
      </c>
      <c r="H251" s="185" t="s">
        <v>1067</v>
      </c>
      <c r="I251" s="173" t="s">
        <v>723</v>
      </c>
      <c r="J251" s="174"/>
      <c r="K251" s="173" t="s">
        <v>749</v>
      </c>
      <c r="L251" s="174" t="s">
        <v>763</v>
      </c>
      <c r="M251" s="178">
        <v>44105.0</v>
      </c>
      <c r="N251" s="196" t="s">
        <v>701</v>
      </c>
      <c r="O251" s="176" t="s">
        <v>690</v>
      </c>
      <c r="P251" s="174" t="s">
        <v>702</v>
      </c>
      <c r="Q251" s="174" t="s">
        <v>702</v>
      </c>
      <c r="R251" s="177"/>
    </row>
    <row r="252" ht="15.75" customHeight="1">
      <c r="A252" s="172" t="s">
        <v>1086</v>
      </c>
      <c r="B252" s="154" t="s">
        <v>197</v>
      </c>
      <c r="C252" s="173" t="s">
        <v>1087</v>
      </c>
      <c r="D252" s="174" t="s">
        <v>185</v>
      </c>
      <c r="E252" s="173" t="s">
        <v>720</v>
      </c>
      <c r="F252" s="183" t="b">
        <v>1</v>
      </c>
      <c r="G252" s="173" t="s">
        <v>723</v>
      </c>
      <c r="H252" s="185" t="s">
        <v>1067</v>
      </c>
      <c r="I252" s="173" t="s">
        <v>723</v>
      </c>
      <c r="J252" s="174" t="s">
        <v>85</v>
      </c>
      <c r="K252" s="173" t="s">
        <v>687</v>
      </c>
      <c r="L252" s="174" t="s">
        <v>688</v>
      </c>
      <c r="M252" s="178">
        <v>44158.0</v>
      </c>
      <c r="N252" s="196" t="s">
        <v>701</v>
      </c>
      <c r="O252" s="184" t="s">
        <v>732</v>
      </c>
      <c r="P252" s="174" t="s">
        <v>771</v>
      </c>
      <c r="Q252" s="174" t="s">
        <v>771</v>
      </c>
      <c r="R252" s="177"/>
    </row>
    <row r="253" ht="15.75" customHeight="1">
      <c r="A253" s="172" t="s">
        <v>1088</v>
      </c>
      <c r="B253" s="154" t="s">
        <v>52</v>
      </c>
      <c r="C253" s="173" t="s">
        <v>1089</v>
      </c>
      <c r="D253" s="174" t="s">
        <v>185</v>
      </c>
      <c r="E253" s="173" t="s">
        <v>685</v>
      </c>
      <c r="F253" s="185" t="s">
        <v>1090</v>
      </c>
      <c r="G253" s="173" t="s">
        <v>1051</v>
      </c>
      <c r="H253" s="180" t="s">
        <v>1052</v>
      </c>
      <c r="I253" s="196" t="s">
        <v>1052</v>
      </c>
      <c r="J253" s="174" t="s">
        <v>85</v>
      </c>
      <c r="K253" s="173" t="s">
        <v>687</v>
      </c>
      <c r="L253" s="174" t="s">
        <v>688</v>
      </c>
      <c r="M253" s="178">
        <v>44158.0</v>
      </c>
      <c r="N253" s="173" t="s">
        <v>735</v>
      </c>
      <c r="O253" s="184" t="s">
        <v>736</v>
      </c>
      <c r="P253" s="174" t="s">
        <v>721</v>
      </c>
      <c r="Q253" s="174" t="s">
        <v>721</v>
      </c>
      <c r="R253" s="177"/>
    </row>
    <row r="254" ht="15.75" customHeight="1">
      <c r="A254" s="172" t="s">
        <v>1091</v>
      </c>
      <c r="B254" s="154" t="s">
        <v>52</v>
      </c>
      <c r="C254" s="173" t="s">
        <v>1092</v>
      </c>
      <c r="D254" s="174" t="s">
        <v>185</v>
      </c>
      <c r="E254" s="173" t="s">
        <v>685</v>
      </c>
      <c r="F254" s="185" t="s">
        <v>1093</v>
      </c>
      <c r="G254" s="173" t="s">
        <v>1051</v>
      </c>
      <c r="H254" s="180" t="s">
        <v>1052</v>
      </c>
      <c r="I254" s="196" t="s">
        <v>1052</v>
      </c>
      <c r="J254" s="174" t="s">
        <v>85</v>
      </c>
      <c r="K254" s="173" t="s">
        <v>687</v>
      </c>
      <c r="L254" s="174" t="s">
        <v>688</v>
      </c>
      <c r="M254" s="178">
        <v>44158.0</v>
      </c>
      <c r="N254" s="173" t="s">
        <v>735</v>
      </c>
      <c r="O254" s="184" t="s">
        <v>736</v>
      </c>
      <c r="P254" s="174" t="s">
        <v>721</v>
      </c>
      <c r="Q254" s="174" t="s">
        <v>721</v>
      </c>
      <c r="R254" s="177"/>
    </row>
    <row r="255" ht="15.75" customHeight="1">
      <c r="A255" s="172" t="s">
        <v>1094</v>
      </c>
      <c r="B255" s="154" t="s">
        <v>58</v>
      </c>
      <c r="C255" s="173" t="s">
        <v>1095</v>
      </c>
      <c r="D255" s="174" t="s">
        <v>83</v>
      </c>
      <c r="E255" s="173" t="s">
        <v>768</v>
      </c>
      <c r="F255" s="185">
        <v>3030.15</v>
      </c>
      <c r="G255" s="173" t="s">
        <v>1051</v>
      </c>
      <c r="H255" s="180" t="s">
        <v>1052</v>
      </c>
      <c r="I255" s="196" t="s">
        <v>1052</v>
      </c>
      <c r="J255" s="174" t="s">
        <v>85</v>
      </c>
      <c r="K255" s="196" t="s">
        <v>749</v>
      </c>
      <c r="L255" s="185" t="s">
        <v>749</v>
      </c>
      <c r="M255" s="178">
        <v>44105.0</v>
      </c>
      <c r="N255" s="173" t="s">
        <v>692</v>
      </c>
      <c r="O255" s="176" t="s">
        <v>690</v>
      </c>
      <c r="P255" s="174" t="s">
        <v>750</v>
      </c>
      <c r="Q255" s="174" t="s">
        <v>750</v>
      </c>
      <c r="R255" s="177"/>
    </row>
    <row r="256" ht="15.75" customHeight="1">
      <c r="A256" s="172" t="s">
        <v>1096</v>
      </c>
      <c r="B256" s="153" t="s">
        <v>44</v>
      </c>
      <c r="C256" s="173" t="s">
        <v>1097</v>
      </c>
      <c r="D256" s="174" t="s">
        <v>185</v>
      </c>
      <c r="E256" s="173" t="s">
        <v>768</v>
      </c>
      <c r="F256" s="185">
        <v>3000.0</v>
      </c>
      <c r="G256" s="185" t="s">
        <v>835</v>
      </c>
      <c r="H256" s="185" t="s">
        <v>91</v>
      </c>
      <c r="I256" s="185" t="s">
        <v>91</v>
      </c>
      <c r="J256" s="174" t="s">
        <v>85</v>
      </c>
      <c r="K256" s="173" t="s">
        <v>687</v>
      </c>
      <c r="L256" s="174" t="s">
        <v>688</v>
      </c>
      <c r="M256" s="178">
        <v>44158.0</v>
      </c>
      <c r="N256" s="196" t="s">
        <v>1327</v>
      </c>
      <c r="O256" s="184" t="s">
        <v>690</v>
      </c>
      <c r="P256" s="173" t="s">
        <v>750</v>
      </c>
      <c r="Q256" s="173" t="s">
        <v>750</v>
      </c>
      <c r="R256" s="177"/>
    </row>
    <row r="257" ht="15.75" customHeight="1">
      <c r="A257" s="172" t="s">
        <v>1098</v>
      </c>
      <c r="B257" s="154" t="s">
        <v>44</v>
      </c>
      <c r="C257" s="173" t="s">
        <v>1099</v>
      </c>
      <c r="D257" s="174" t="s">
        <v>185</v>
      </c>
      <c r="E257" s="173" t="s">
        <v>768</v>
      </c>
      <c r="F257" s="194">
        <v>1499.0</v>
      </c>
      <c r="G257" s="173" t="s">
        <v>723</v>
      </c>
      <c r="H257" s="194" t="s">
        <v>1067</v>
      </c>
      <c r="I257" s="173" t="s">
        <v>723</v>
      </c>
      <c r="J257" s="194" t="s">
        <v>85</v>
      </c>
      <c r="K257" s="182" t="s">
        <v>749</v>
      </c>
      <c r="L257" s="194" t="s">
        <v>688</v>
      </c>
      <c r="M257" s="178">
        <v>44158.0</v>
      </c>
      <c r="N257" s="196" t="s">
        <v>701</v>
      </c>
      <c r="O257" s="176" t="s">
        <v>690</v>
      </c>
      <c r="P257" s="174" t="s">
        <v>705</v>
      </c>
      <c r="Q257" s="174" t="s">
        <v>705</v>
      </c>
      <c r="R257" s="177"/>
    </row>
    <row r="258" ht="15.75" customHeight="1">
      <c r="A258" s="172" t="s">
        <v>1100</v>
      </c>
      <c r="B258" s="154" t="s">
        <v>58</v>
      </c>
      <c r="C258" s="173" t="s">
        <v>1629</v>
      </c>
      <c r="D258" s="174" t="s">
        <v>185</v>
      </c>
      <c r="E258" s="173" t="s">
        <v>1102</v>
      </c>
      <c r="F258" s="196">
        <v>15142.27</v>
      </c>
      <c r="G258" s="200" t="s">
        <v>1630</v>
      </c>
      <c r="H258" s="200" t="s">
        <v>1630</v>
      </c>
      <c r="I258" s="200" t="s">
        <v>1630</v>
      </c>
      <c r="J258" s="196" t="s">
        <v>85</v>
      </c>
      <c r="K258" s="196" t="s">
        <v>749</v>
      </c>
      <c r="L258" s="196" t="s">
        <v>749</v>
      </c>
      <c r="M258" s="178">
        <v>44105.0</v>
      </c>
      <c r="N258" s="196" t="s">
        <v>1318</v>
      </c>
      <c r="O258" s="184" t="s">
        <v>690</v>
      </c>
      <c r="P258" s="196" t="s">
        <v>750</v>
      </c>
      <c r="Q258" s="196" t="s">
        <v>750</v>
      </c>
      <c r="R258" s="201"/>
    </row>
    <row r="259" ht="15.75" customHeight="1">
      <c r="A259" s="172" t="s">
        <v>1103</v>
      </c>
      <c r="B259" s="154" t="s">
        <v>58</v>
      </c>
      <c r="C259" s="173" t="s">
        <v>1631</v>
      </c>
      <c r="D259" s="174" t="s">
        <v>185</v>
      </c>
      <c r="E259" s="173" t="s">
        <v>1102</v>
      </c>
      <c r="F259" s="196">
        <v>504.0</v>
      </c>
      <c r="G259" s="200" t="s">
        <v>1630</v>
      </c>
      <c r="H259" s="200" t="s">
        <v>1630</v>
      </c>
      <c r="I259" s="200" t="s">
        <v>1630</v>
      </c>
      <c r="J259" s="196" t="s">
        <v>85</v>
      </c>
      <c r="K259" s="196" t="s">
        <v>749</v>
      </c>
      <c r="L259" s="196" t="s">
        <v>749</v>
      </c>
      <c r="M259" s="178">
        <v>44105.0</v>
      </c>
      <c r="N259" s="196" t="s">
        <v>1318</v>
      </c>
      <c r="O259" s="184" t="s">
        <v>690</v>
      </c>
      <c r="P259" s="196" t="s">
        <v>750</v>
      </c>
      <c r="Q259" s="196" t="s">
        <v>750</v>
      </c>
      <c r="R259" s="201"/>
    </row>
    <row r="260" ht="15.75" customHeight="1">
      <c r="A260" s="172" t="s">
        <v>1105</v>
      </c>
      <c r="B260" s="154" t="s">
        <v>58</v>
      </c>
      <c r="C260" s="173" t="s">
        <v>1632</v>
      </c>
      <c r="D260" s="174" t="s">
        <v>185</v>
      </c>
      <c r="E260" s="173" t="s">
        <v>1102</v>
      </c>
      <c r="F260" s="196">
        <v>1602.75</v>
      </c>
      <c r="G260" s="200" t="s">
        <v>1630</v>
      </c>
      <c r="H260" s="200" t="s">
        <v>1630</v>
      </c>
      <c r="I260" s="200" t="s">
        <v>1630</v>
      </c>
      <c r="J260" s="196" t="s">
        <v>85</v>
      </c>
      <c r="K260" s="196" t="s">
        <v>749</v>
      </c>
      <c r="L260" s="196" t="s">
        <v>749</v>
      </c>
      <c r="M260" s="178">
        <v>44105.0</v>
      </c>
      <c r="N260" s="202" t="s">
        <v>1318</v>
      </c>
      <c r="O260" s="184" t="s">
        <v>690</v>
      </c>
      <c r="P260" s="196" t="s">
        <v>750</v>
      </c>
      <c r="Q260" s="196" t="s">
        <v>750</v>
      </c>
      <c r="R260" s="201"/>
    </row>
    <row r="261" ht="15.75" customHeight="1">
      <c r="A261" s="172" t="s">
        <v>1107</v>
      </c>
      <c r="B261" s="154" t="s">
        <v>58</v>
      </c>
      <c r="C261" s="173" t="s">
        <v>1633</v>
      </c>
      <c r="D261" s="174" t="s">
        <v>185</v>
      </c>
      <c r="E261" s="173" t="s">
        <v>1102</v>
      </c>
      <c r="F261" s="196">
        <v>0.0</v>
      </c>
      <c r="G261" s="200" t="s">
        <v>1630</v>
      </c>
      <c r="H261" s="200" t="s">
        <v>1630</v>
      </c>
      <c r="I261" s="200" t="s">
        <v>1630</v>
      </c>
      <c r="J261" s="196" t="s">
        <v>85</v>
      </c>
      <c r="K261" s="196" t="s">
        <v>749</v>
      </c>
      <c r="L261" s="196" t="s">
        <v>749</v>
      </c>
      <c r="M261" s="178">
        <v>44105.0</v>
      </c>
      <c r="N261" s="203" t="s">
        <v>1318</v>
      </c>
      <c r="O261" s="184" t="s">
        <v>690</v>
      </c>
      <c r="P261" s="196" t="s">
        <v>750</v>
      </c>
      <c r="Q261" s="196" t="s">
        <v>750</v>
      </c>
      <c r="R261" s="201"/>
    </row>
    <row r="262" ht="15.75" customHeight="1">
      <c r="A262" s="172" t="s">
        <v>1109</v>
      </c>
      <c r="B262" s="154" t="s">
        <v>58</v>
      </c>
      <c r="C262" s="173" t="s">
        <v>1634</v>
      </c>
      <c r="D262" s="174" t="s">
        <v>185</v>
      </c>
      <c r="E262" s="173" t="s">
        <v>1102</v>
      </c>
      <c r="F262" s="196">
        <v>99.0</v>
      </c>
      <c r="G262" s="200" t="s">
        <v>1630</v>
      </c>
      <c r="H262" s="200" t="s">
        <v>1630</v>
      </c>
      <c r="I262" s="200" t="s">
        <v>1630</v>
      </c>
      <c r="J262" s="196" t="s">
        <v>85</v>
      </c>
      <c r="K262" s="196" t="s">
        <v>749</v>
      </c>
      <c r="L262" s="196" t="s">
        <v>749</v>
      </c>
      <c r="M262" s="178">
        <v>44105.0</v>
      </c>
      <c r="N262" s="202" t="s">
        <v>1318</v>
      </c>
      <c r="O262" s="184" t="s">
        <v>690</v>
      </c>
      <c r="P262" s="196" t="s">
        <v>750</v>
      </c>
      <c r="Q262" s="196" t="s">
        <v>750</v>
      </c>
      <c r="R262" s="201"/>
    </row>
    <row r="263" ht="15.75" customHeight="1">
      <c r="A263" s="172" t="s">
        <v>1111</v>
      </c>
      <c r="B263" s="154" t="s">
        <v>58</v>
      </c>
      <c r="C263" s="173" t="s">
        <v>1635</v>
      </c>
      <c r="D263" s="174" t="s">
        <v>185</v>
      </c>
      <c r="E263" s="173" t="s">
        <v>1102</v>
      </c>
      <c r="F263" s="196">
        <v>49.5</v>
      </c>
      <c r="G263" s="200" t="s">
        <v>1630</v>
      </c>
      <c r="H263" s="200" t="s">
        <v>1630</v>
      </c>
      <c r="I263" s="200" t="s">
        <v>1630</v>
      </c>
      <c r="J263" s="196" t="s">
        <v>85</v>
      </c>
      <c r="K263" s="196" t="s">
        <v>749</v>
      </c>
      <c r="L263" s="196" t="s">
        <v>749</v>
      </c>
      <c r="M263" s="178">
        <v>44105.0</v>
      </c>
      <c r="N263" s="203" t="s">
        <v>1318</v>
      </c>
      <c r="O263" s="184" t="s">
        <v>690</v>
      </c>
      <c r="P263" s="196" t="s">
        <v>750</v>
      </c>
      <c r="Q263" s="196" t="s">
        <v>750</v>
      </c>
      <c r="R263" s="201"/>
    </row>
    <row r="264" ht="15.75" customHeight="1">
      <c r="A264" s="172" t="s">
        <v>1113</v>
      </c>
      <c r="B264" s="154" t="s">
        <v>197</v>
      </c>
      <c r="C264" s="173" t="s">
        <v>1114</v>
      </c>
      <c r="D264" s="174" t="s">
        <v>185</v>
      </c>
      <c r="E264" s="173" t="s">
        <v>1115</v>
      </c>
      <c r="F264" s="196">
        <v>15.0</v>
      </c>
      <c r="G264" s="172" t="s">
        <v>394</v>
      </c>
      <c r="H264" s="196" t="s">
        <v>394</v>
      </c>
      <c r="I264" s="196" t="s">
        <v>394</v>
      </c>
      <c r="J264" s="196" t="s">
        <v>85</v>
      </c>
      <c r="K264" s="196" t="s">
        <v>687</v>
      </c>
      <c r="L264" s="196" t="s">
        <v>760</v>
      </c>
      <c r="M264" s="178">
        <v>44157.0</v>
      </c>
      <c r="N264" s="204" t="s">
        <v>735</v>
      </c>
      <c r="O264" s="165" t="s">
        <v>736</v>
      </c>
      <c r="P264" s="196" t="s">
        <v>761</v>
      </c>
      <c r="Q264" s="196" t="s">
        <v>761</v>
      </c>
      <c r="R264" s="201"/>
    </row>
    <row r="265" ht="15.75" customHeight="1">
      <c r="A265" s="172" t="s">
        <v>1116</v>
      </c>
      <c r="B265" s="154" t="s">
        <v>197</v>
      </c>
      <c r="C265" s="173" t="s">
        <v>1117</v>
      </c>
      <c r="D265" s="174" t="s">
        <v>185</v>
      </c>
      <c r="E265" s="173" t="s">
        <v>1115</v>
      </c>
      <c r="F265" s="196">
        <v>15.0</v>
      </c>
      <c r="G265" s="172" t="s">
        <v>394</v>
      </c>
      <c r="H265" s="196" t="s">
        <v>394</v>
      </c>
      <c r="I265" s="196" t="s">
        <v>394</v>
      </c>
      <c r="J265" s="196" t="s">
        <v>85</v>
      </c>
      <c r="K265" s="196" t="s">
        <v>687</v>
      </c>
      <c r="L265" s="196" t="s">
        <v>760</v>
      </c>
      <c r="M265" s="178">
        <v>44157.0</v>
      </c>
      <c r="N265" s="205" t="s">
        <v>735</v>
      </c>
      <c r="O265" s="165" t="s">
        <v>736</v>
      </c>
      <c r="P265" s="196" t="s">
        <v>761</v>
      </c>
      <c r="Q265" s="196" t="s">
        <v>761</v>
      </c>
      <c r="R265" s="201"/>
    </row>
    <row r="266" ht="15.75" customHeight="1">
      <c r="A266" s="172" t="s">
        <v>1118</v>
      </c>
      <c r="B266" s="154" t="s">
        <v>197</v>
      </c>
      <c r="C266" s="173" t="s">
        <v>1119</v>
      </c>
      <c r="D266" s="174" t="s">
        <v>185</v>
      </c>
      <c r="E266" s="173" t="s">
        <v>1115</v>
      </c>
      <c r="F266" s="196">
        <v>15.0</v>
      </c>
      <c r="G266" s="172" t="s">
        <v>394</v>
      </c>
      <c r="H266" s="196" t="s">
        <v>394</v>
      </c>
      <c r="I266" s="196" t="s">
        <v>394</v>
      </c>
      <c r="J266" s="196" t="s">
        <v>85</v>
      </c>
      <c r="K266" s="196" t="s">
        <v>687</v>
      </c>
      <c r="L266" s="196" t="s">
        <v>760</v>
      </c>
      <c r="M266" s="178">
        <v>44157.0</v>
      </c>
      <c r="N266" s="205" t="s">
        <v>735</v>
      </c>
      <c r="O266" s="165" t="s">
        <v>736</v>
      </c>
      <c r="P266" s="196" t="s">
        <v>761</v>
      </c>
      <c r="Q266" s="196" t="s">
        <v>761</v>
      </c>
      <c r="R266" s="201"/>
    </row>
    <row r="267" ht="15.75" customHeight="1">
      <c r="A267" s="172" t="s">
        <v>1120</v>
      </c>
      <c r="B267" s="154" t="s">
        <v>197</v>
      </c>
      <c r="C267" s="173" t="s">
        <v>1121</v>
      </c>
      <c r="D267" s="174" t="s">
        <v>135</v>
      </c>
      <c r="E267" s="173" t="s">
        <v>685</v>
      </c>
      <c r="F267" s="196" t="s">
        <v>1122</v>
      </c>
      <c r="G267" s="196" t="s">
        <v>723</v>
      </c>
      <c r="H267" s="196" t="s">
        <v>91</v>
      </c>
      <c r="I267" s="196" t="s">
        <v>723</v>
      </c>
      <c r="J267" s="196" t="s">
        <v>85</v>
      </c>
      <c r="K267" s="196" t="s">
        <v>749</v>
      </c>
      <c r="L267" s="196" t="s">
        <v>763</v>
      </c>
      <c r="M267" s="178">
        <v>44105.0</v>
      </c>
      <c r="N267" s="173" t="s">
        <v>741</v>
      </c>
      <c r="O267" s="165" t="s">
        <v>736</v>
      </c>
      <c r="P267" s="196" t="s">
        <v>745</v>
      </c>
      <c r="Q267" s="196" t="s">
        <v>745</v>
      </c>
      <c r="R267" s="201"/>
    </row>
    <row r="268" ht="15.75" customHeight="1">
      <c r="A268" s="172" t="s">
        <v>133</v>
      </c>
      <c r="B268" s="154" t="s">
        <v>44</v>
      </c>
      <c r="C268" s="173" t="s">
        <v>1123</v>
      </c>
      <c r="D268" s="174" t="s">
        <v>1339</v>
      </c>
      <c r="E268" s="173" t="s">
        <v>1115</v>
      </c>
      <c r="F268" s="196">
        <v>58.0</v>
      </c>
      <c r="G268" s="196" t="s">
        <v>136</v>
      </c>
      <c r="H268" s="196" t="s">
        <v>1124</v>
      </c>
      <c r="I268" s="196" t="s">
        <v>1124</v>
      </c>
      <c r="J268" s="196" t="s">
        <v>85</v>
      </c>
      <c r="K268" s="196" t="s">
        <v>749</v>
      </c>
      <c r="L268" s="196" t="s">
        <v>763</v>
      </c>
      <c r="M268" s="178">
        <v>44105.0</v>
      </c>
      <c r="N268" s="173" t="s">
        <v>701</v>
      </c>
      <c r="O268" s="176" t="s">
        <v>690</v>
      </c>
      <c r="P268" s="196" t="s">
        <v>691</v>
      </c>
      <c r="Q268" s="196" t="s">
        <v>691</v>
      </c>
      <c r="R268" s="201"/>
    </row>
    <row r="269" ht="15.75" customHeight="1">
      <c r="A269" s="172" t="s">
        <v>172</v>
      </c>
      <c r="B269" s="165" t="s">
        <v>54</v>
      </c>
      <c r="C269" s="173" t="s">
        <v>1125</v>
      </c>
      <c r="D269" s="174" t="s">
        <v>1339</v>
      </c>
      <c r="E269" s="173" t="s">
        <v>685</v>
      </c>
      <c r="F269" s="196" t="s">
        <v>1126</v>
      </c>
      <c r="G269" s="196" t="s">
        <v>136</v>
      </c>
      <c r="H269" s="196" t="s">
        <v>1124</v>
      </c>
      <c r="I269" s="196" t="s">
        <v>1124</v>
      </c>
      <c r="J269" s="196" t="s">
        <v>85</v>
      </c>
      <c r="K269" s="196" t="s">
        <v>749</v>
      </c>
      <c r="L269" s="196" t="s">
        <v>763</v>
      </c>
      <c r="M269" s="178">
        <v>44105.0</v>
      </c>
      <c r="N269" s="173" t="s">
        <v>689</v>
      </c>
      <c r="O269" s="176" t="s">
        <v>690</v>
      </c>
      <c r="P269" s="196" t="s">
        <v>691</v>
      </c>
      <c r="Q269" s="196" t="s">
        <v>691</v>
      </c>
      <c r="R269" s="201"/>
    </row>
    <row r="270" ht="15.75" customHeight="1">
      <c r="A270" s="172" t="s">
        <v>1127</v>
      </c>
      <c r="B270" s="154" t="s">
        <v>58</v>
      </c>
      <c r="C270" s="173" t="s">
        <v>1636</v>
      </c>
      <c r="D270" s="174" t="s">
        <v>185</v>
      </c>
      <c r="E270" s="173" t="s">
        <v>1102</v>
      </c>
      <c r="F270" s="196">
        <v>8437.33</v>
      </c>
      <c r="G270" s="200" t="s">
        <v>1630</v>
      </c>
      <c r="H270" s="200" t="s">
        <v>1630</v>
      </c>
      <c r="I270" s="200" t="s">
        <v>1630</v>
      </c>
      <c r="J270" s="196" t="s">
        <v>85</v>
      </c>
      <c r="K270" s="196" t="s">
        <v>749</v>
      </c>
      <c r="L270" s="196" t="s">
        <v>749</v>
      </c>
      <c r="M270" s="178">
        <v>44105.0</v>
      </c>
      <c r="N270" s="173" t="s">
        <v>1318</v>
      </c>
      <c r="O270" s="184" t="s">
        <v>690</v>
      </c>
      <c r="P270" s="196" t="s">
        <v>750</v>
      </c>
      <c r="Q270" s="196" t="s">
        <v>750</v>
      </c>
      <c r="R270" s="201"/>
    </row>
    <row r="271" ht="15.75" customHeight="1">
      <c r="A271" s="172" t="s">
        <v>1129</v>
      </c>
      <c r="B271" s="154" t="s">
        <v>58</v>
      </c>
      <c r="C271" s="173" t="s">
        <v>1637</v>
      </c>
      <c r="D271" s="174" t="s">
        <v>185</v>
      </c>
      <c r="E271" s="173" t="s">
        <v>1102</v>
      </c>
      <c r="F271" s="196">
        <v>998.5</v>
      </c>
      <c r="G271" s="200" t="s">
        <v>1630</v>
      </c>
      <c r="H271" s="200" t="s">
        <v>1630</v>
      </c>
      <c r="I271" s="200" t="s">
        <v>1630</v>
      </c>
      <c r="J271" s="196" t="s">
        <v>85</v>
      </c>
      <c r="K271" s="196" t="s">
        <v>749</v>
      </c>
      <c r="L271" s="196" t="s">
        <v>749</v>
      </c>
      <c r="M271" s="178">
        <v>44105.0</v>
      </c>
      <c r="N271" s="173" t="s">
        <v>1318</v>
      </c>
      <c r="O271" s="184" t="s">
        <v>690</v>
      </c>
      <c r="P271" s="196" t="s">
        <v>750</v>
      </c>
      <c r="Q271" s="196" t="s">
        <v>750</v>
      </c>
      <c r="R271" s="201"/>
    </row>
    <row r="272" ht="15.75" customHeight="1">
      <c r="A272" s="172" t="s">
        <v>1131</v>
      </c>
      <c r="B272" s="154" t="s">
        <v>58</v>
      </c>
      <c r="C272" s="173" t="s">
        <v>1638</v>
      </c>
      <c r="D272" s="174" t="s">
        <v>185</v>
      </c>
      <c r="E272" s="173" t="s">
        <v>1102</v>
      </c>
      <c r="F272" s="196">
        <v>25312.0</v>
      </c>
      <c r="G272" s="200" t="s">
        <v>1630</v>
      </c>
      <c r="H272" s="200" t="s">
        <v>1630</v>
      </c>
      <c r="I272" s="200" t="s">
        <v>1630</v>
      </c>
      <c r="J272" s="196" t="s">
        <v>85</v>
      </c>
      <c r="K272" s="196" t="s">
        <v>749</v>
      </c>
      <c r="L272" s="196" t="s">
        <v>749</v>
      </c>
      <c r="M272" s="178">
        <v>44105.0</v>
      </c>
      <c r="N272" s="173" t="s">
        <v>1318</v>
      </c>
      <c r="O272" s="184" t="s">
        <v>690</v>
      </c>
      <c r="P272" s="196" t="s">
        <v>750</v>
      </c>
      <c r="Q272" s="196" t="s">
        <v>750</v>
      </c>
      <c r="R272" s="201"/>
    </row>
    <row r="273" ht="15.75" customHeight="1">
      <c r="A273" s="172" t="s">
        <v>1133</v>
      </c>
      <c r="B273" s="154" t="s">
        <v>197</v>
      </c>
      <c r="C273" s="173" t="s">
        <v>1134</v>
      </c>
      <c r="D273" s="174" t="s">
        <v>185</v>
      </c>
      <c r="E273" s="173" t="s">
        <v>1102</v>
      </c>
      <c r="F273" s="196">
        <v>340.0</v>
      </c>
      <c r="G273" s="196" t="s">
        <v>723</v>
      </c>
      <c r="H273" s="172" t="s">
        <v>723</v>
      </c>
      <c r="I273" s="173" t="s">
        <v>723</v>
      </c>
      <c r="J273" s="196" t="s">
        <v>85</v>
      </c>
      <c r="K273" s="196" t="s">
        <v>687</v>
      </c>
      <c r="L273" s="196" t="s">
        <v>760</v>
      </c>
      <c r="M273" s="178">
        <v>44158.0</v>
      </c>
      <c r="N273" s="173" t="s">
        <v>692</v>
      </c>
      <c r="O273" s="176" t="s">
        <v>690</v>
      </c>
      <c r="P273" s="196" t="s">
        <v>724</v>
      </c>
      <c r="Q273" s="196" t="s">
        <v>724</v>
      </c>
      <c r="R273" s="201"/>
    </row>
    <row r="274" ht="15.75" customHeight="1">
      <c r="A274" s="172" t="s">
        <v>1135</v>
      </c>
      <c r="B274" s="154" t="s">
        <v>197</v>
      </c>
      <c r="C274" s="173" t="s">
        <v>1136</v>
      </c>
      <c r="D274" s="174" t="s">
        <v>185</v>
      </c>
      <c r="E274" s="173" t="s">
        <v>1102</v>
      </c>
      <c r="F274" s="196">
        <v>37.0</v>
      </c>
      <c r="G274" s="196" t="s">
        <v>723</v>
      </c>
      <c r="H274" s="172" t="s">
        <v>723</v>
      </c>
      <c r="I274" s="173" t="s">
        <v>723</v>
      </c>
      <c r="J274" s="196" t="s">
        <v>85</v>
      </c>
      <c r="K274" s="196" t="s">
        <v>687</v>
      </c>
      <c r="L274" s="196" t="s">
        <v>760</v>
      </c>
      <c r="M274" s="178">
        <v>44158.0</v>
      </c>
      <c r="N274" s="173" t="s">
        <v>741</v>
      </c>
      <c r="O274" s="176" t="s">
        <v>690</v>
      </c>
      <c r="P274" s="196" t="s">
        <v>724</v>
      </c>
      <c r="Q274" s="196" t="s">
        <v>724</v>
      </c>
      <c r="R274" s="201"/>
    </row>
    <row r="275" ht="15.75" customHeight="1">
      <c r="A275" s="172" t="s">
        <v>1137</v>
      </c>
      <c r="B275" s="154" t="s">
        <v>197</v>
      </c>
      <c r="C275" s="173" t="s">
        <v>1138</v>
      </c>
      <c r="D275" s="174" t="s">
        <v>185</v>
      </c>
      <c r="E275" s="173" t="s">
        <v>1102</v>
      </c>
      <c r="F275" s="196">
        <v>73.0</v>
      </c>
      <c r="G275" s="196" t="s">
        <v>723</v>
      </c>
      <c r="H275" s="172" t="s">
        <v>723</v>
      </c>
      <c r="I275" s="173" t="s">
        <v>723</v>
      </c>
      <c r="J275" s="196" t="s">
        <v>85</v>
      </c>
      <c r="K275" s="196" t="s">
        <v>687</v>
      </c>
      <c r="L275" s="196" t="s">
        <v>760</v>
      </c>
      <c r="M275" s="178">
        <v>44158.0</v>
      </c>
      <c r="N275" s="173" t="s">
        <v>741</v>
      </c>
      <c r="O275" s="176" t="s">
        <v>690</v>
      </c>
      <c r="P275" s="196" t="s">
        <v>724</v>
      </c>
      <c r="Q275" s="196" t="s">
        <v>724</v>
      </c>
      <c r="R275" s="201"/>
    </row>
    <row r="276" ht="15.75" customHeight="1">
      <c r="A276" s="172" t="s">
        <v>1139</v>
      </c>
      <c r="B276" s="154" t="s">
        <v>197</v>
      </c>
      <c r="C276" s="173" t="s">
        <v>1140</v>
      </c>
      <c r="D276" s="174" t="s">
        <v>185</v>
      </c>
      <c r="E276" s="173" t="s">
        <v>1115</v>
      </c>
      <c r="F276" s="196">
        <v>1.0</v>
      </c>
      <c r="G276" s="196" t="s">
        <v>394</v>
      </c>
      <c r="H276" s="196" t="s">
        <v>394</v>
      </c>
      <c r="I276" s="196" t="s">
        <v>394</v>
      </c>
      <c r="J276" s="196" t="s">
        <v>85</v>
      </c>
      <c r="K276" s="196" t="s">
        <v>687</v>
      </c>
      <c r="L276" s="196" t="s">
        <v>760</v>
      </c>
      <c r="M276" s="178">
        <v>44157.0</v>
      </c>
      <c r="N276" s="173" t="s">
        <v>735</v>
      </c>
      <c r="O276" s="184" t="s">
        <v>736</v>
      </c>
      <c r="P276" s="196" t="s">
        <v>761</v>
      </c>
      <c r="Q276" s="196" t="s">
        <v>761</v>
      </c>
      <c r="R276" s="201"/>
    </row>
    <row r="277" ht="15.75" customHeight="1">
      <c r="A277" s="172" t="s">
        <v>1141</v>
      </c>
      <c r="B277" s="154" t="s">
        <v>197</v>
      </c>
      <c r="C277" s="173" t="s">
        <v>1142</v>
      </c>
      <c r="D277" s="174" t="s">
        <v>185</v>
      </c>
      <c r="E277" s="173" t="s">
        <v>1115</v>
      </c>
      <c r="F277" s="196">
        <v>4.0</v>
      </c>
      <c r="G277" s="196" t="s">
        <v>394</v>
      </c>
      <c r="H277" s="196" t="s">
        <v>394</v>
      </c>
      <c r="I277" s="196" t="s">
        <v>394</v>
      </c>
      <c r="J277" s="196" t="s">
        <v>85</v>
      </c>
      <c r="K277" s="196" t="s">
        <v>687</v>
      </c>
      <c r="L277" s="196" t="s">
        <v>760</v>
      </c>
      <c r="M277" s="178">
        <v>44157.0</v>
      </c>
      <c r="N277" s="173" t="s">
        <v>735</v>
      </c>
      <c r="O277" s="184" t="s">
        <v>736</v>
      </c>
      <c r="P277" s="196" t="s">
        <v>761</v>
      </c>
      <c r="Q277" s="196" t="s">
        <v>761</v>
      </c>
      <c r="R277" s="201"/>
    </row>
    <row r="278" ht="15.75" customHeight="1">
      <c r="A278" s="172" t="s">
        <v>1143</v>
      </c>
      <c r="B278" s="154" t="s">
        <v>197</v>
      </c>
      <c r="C278" s="173" t="s">
        <v>1144</v>
      </c>
      <c r="D278" s="174" t="s">
        <v>185</v>
      </c>
      <c r="E278" s="173" t="s">
        <v>1115</v>
      </c>
      <c r="F278" s="196">
        <v>6.0</v>
      </c>
      <c r="G278" s="196" t="s">
        <v>394</v>
      </c>
      <c r="H278" s="196" t="s">
        <v>394</v>
      </c>
      <c r="I278" s="196" t="s">
        <v>394</v>
      </c>
      <c r="J278" s="196" t="s">
        <v>85</v>
      </c>
      <c r="K278" s="196" t="s">
        <v>687</v>
      </c>
      <c r="L278" s="196" t="s">
        <v>760</v>
      </c>
      <c r="M278" s="178">
        <v>44157.0</v>
      </c>
      <c r="N278" s="173" t="s">
        <v>692</v>
      </c>
      <c r="O278" s="176" t="s">
        <v>690</v>
      </c>
      <c r="P278" s="196" t="s">
        <v>761</v>
      </c>
      <c r="Q278" s="196" t="s">
        <v>761</v>
      </c>
      <c r="R278" s="201"/>
    </row>
    <row r="279" ht="15.75" customHeight="1">
      <c r="A279" s="172" t="s">
        <v>1145</v>
      </c>
      <c r="B279" s="154" t="s">
        <v>58</v>
      </c>
      <c r="C279" s="173" t="s">
        <v>1639</v>
      </c>
      <c r="D279" s="174" t="s">
        <v>185</v>
      </c>
      <c r="E279" s="173" t="s">
        <v>1102</v>
      </c>
      <c r="F279" s="196">
        <v>932.0</v>
      </c>
      <c r="G279" s="200" t="s">
        <v>1630</v>
      </c>
      <c r="H279" s="200" t="s">
        <v>1630</v>
      </c>
      <c r="I279" s="200" t="s">
        <v>1630</v>
      </c>
      <c r="J279" s="196" t="s">
        <v>85</v>
      </c>
      <c r="K279" s="196" t="s">
        <v>749</v>
      </c>
      <c r="L279" s="196" t="s">
        <v>749</v>
      </c>
      <c r="M279" s="178">
        <v>44105.0</v>
      </c>
      <c r="N279" s="173" t="s">
        <v>1318</v>
      </c>
      <c r="O279" s="184" t="s">
        <v>690</v>
      </c>
      <c r="P279" s="196" t="s">
        <v>750</v>
      </c>
      <c r="Q279" s="196" t="s">
        <v>750</v>
      </c>
      <c r="R279" s="201"/>
    </row>
    <row r="280" ht="15.75" customHeight="1">
      <c r="A280" s="172" t="s">
        <v>1147</v>
      </c>
      <c r="B280" s="154" t="s">
        <v>58</v>
      </c>
      <c r="C280" s="173" t="s">
        <v>1640</v>
      </c>
      <c r="D280" s="174" t="s">
        <v>185</v>
      </c>
      <c r="E280" s="173" t="s">
        <v>1102</v>
      </c>
      <c r="F280" s="196">
        <v>51.66</v>
      </c>
      <c r="G280" s="200" t="s">
        <v>1630</v>
      </c>
      <c r="H280" s="200" t="s">
        <v>1630</v>
      </c>
      <c r="I280" s="200" t="s">
        <v>1630</v>
      </c>
      <c r="J280" s="196" t="s">
        <v>85</v>
      </c>
      <c r="K280" s="196" t="s">
        <v>749</v>
      </c>
      <c r="L280" s="196" t="s">
        <v>749</v>
      </c>
      <c r="M280" s="178">
        <v>44105.0</v>
      </c>
      <c r="N280" s="173" t="s">
        <v>1318</v>
      </c>
      <c r="O280" s="184" t="s">
        <v>690</v>
      </c>
      <c r="P280" s="196" t="s">
        <v>750</v>
      </c>
      <c r="Q280" s="196" t="s">
        <v>750</v>
      </c>
      <c r="R280" s="201"/>
    </row>
    <row r="281" ht="15.75" customHeight="1">
      <c r="A281" s="172" t="s">
        <v>1149</v>
      </c>
      <c r="B281" s="154" t="s">
        <v>58</v>
      </c>
      <c r="C281" s="173" t="s">
        <v>1641</v>
      </c>
      <c r="D281" s="174" t="s">
        <v>185</v>
      </c>
      <c r="E281" s="173" t="s">
        <v>1102</v>
      </c>
      <c r="F281" s="196">
        <v>33.0</v>
      </c>
      <c r="G281" s="200" t="s">
        <v>1630</v>
      </c>
      <c r="H281" s="200" t="s">
        <v>1630</v>
      </c>
      <c r="I281" s="200" t="s">
        <v>1630</v>
      </c>
      <c r="J281" s="196" t="s">
        <v>85</v>
      </c>
      <c r="K281" s="196" t="s">
        <v>749</v>
      </c>
      <c r="L281" s="196" t="s">
        <v>749</v>
      </c>
      <c r="M281" s="178">
        <v>44105.0</v>
      </c>
      <c r="N281" s="173" t="s">
        <v>1318</v>
      </c>
      <c r="O281" s="184" t="s">
        <v>690</v>
      </c>
      <c r="P281" s="196" t="s">
        <v>750</v>
      </c>
      <c r="Q281" s="196" t="s">
        <v>750</v>
      </c>
      <c r="R281" s="201"/>
    </row>
    <row r="282" ht="15.75" customHeight="1">
      <c r="A282" s="172" t="s">
        <v>1151</v>
      </c>
      <c r="B282" s="154" t="s">
        <v>197</v>
      </c>
      <c r="C282" s="173" t="s">
        <v>1152</v>
      </c>
      <c r="D282" s="174" t="s">
        <v>135</v>
      </c>
      <c r="E282" s="173" t="s">
        <v>1102</v>
      </c>
      <c r="F282" s="196">
        <v>66.78</v>
      </c>
      <c r="G282" s="196" t="s">
        <v>136</v>
      </c>
      <c r="H282" s="196" t="s">
        <v>136</v>
      </c>
      <c r="I282" s="196" t="s">
        <v>835</v>
      </c>
      <c r="J282" s="185" t="s">
        <v>85</v>
      </c>
      <c r="K282" s="196" t="s">
        <v>749</v>
      </c>
      <c r="L282" s="196" t="s">
        <v>1153</v>
      </c>
      <c r="M282" s="178">
        <v>44105.0</v>
      </c>
      <c r="N282" s="192" t="s">
        <v>692</v>
      </c>
      <c r="O282" s="193" t="s">
        <v>732</v>
      </c>
      <c r="P282" s="196" t="s">
        <v>721</v>
      </c>
      <c r="Q282" s="196" t="s">
        <v>721</v>
      </c>
      <c r="R282" s="201"/>
    </row>
    <row r="283" ht="15.75" customHeight="1">
      <c r="A283" s="172" t="s">
        <v>1154</v>
      </c>
      <c r="B283" s="154" t="s">
        <v>197</v>
      </c>
      <c r="C283" s="173" t="s">
        <v>1155</v>
      </c>
      <c r="D283" s="174" t="s">
        <v>185</v>
      </c>
      <c r="E283" s="173" t="s">
        <v>1115</v>
      </c>
      <c r="F283" s="196">
        <v>289.0</v>
      </c>
      <c r="G283" s="196" t="s">
        <v>723</v>
      </c>
      <c r="H283" s="196" t="s">
        <v>91</v>
      </c>
      <c r="I283" s="173" t="s">
        <v>723</v>
      </c>
      <c r="J283" s="185" t="s">
        <v>85</v>
      </c>
      <c r="K283" s="196" t="s">
        <v>687</v>
      </c>
      <c r="L283" s="196" t="s">
        <v>688</v>
      </c>
      <c r="M283" s="178">
        <v>44158.0</v>
      </c>
      <c r="N283" s="173" t="s">
        <v>692</v>
      </c>
      <c r="O283" s="176" t="s">
        <v>690</v>
      </c>
      <c r="P283" s="196" t="s">
        <v>724</v>
      </c>
      <c r="Q283" s="196" t="s">
        <v>724</v>
      </c>
      <c r="R283" s="201"/>
    </row>
    <row r="284" ht="15.75" customHeight="1">
      <c r="A284" s="172" t="s">
        <v>1156</v>
      </c>
      <c r="B284" s="154" t="s">
        <v>52</v>
      </c>
      <c r="C284" s="173" t="s">
        <v>1157</v>
      </c>
      <c r="D284" s="174" t="s">
        <v>185</v>
      </c>
      <c r="E284" s="173" t="s">
        <v>698</v>
      </c>
      <c r="F284" s="183">
        <v>43971.333333333336</v>
      </c>
      <c r="G284" s="196" t="s">
        <v>723</v>
      </c>
      <c r="H284" s="196" t="s">
        <v>723</v>
      </c>
      <c r="I284" s="196" t="s">
        <v>723</v>
      </c>
      <c r="J284" s="185" t="s">
        <v>85</v>
      </c>
      <c r="K284" s="196" t="s">
        <v>687</v>
      </c>
      <c r="L284" s="196" t="s">
        <v>688</v>
      </c>
      <c r="M284" s="178">
        <v>44158.0</v>
      </c>
      <c r="N284" s="173" t="s">
        <v>735</v>
      </c>
      <c r="O284" s="184" t="s">
        <v>736</v>
      </c>
      <c r="P284" s="196" t="s">
        <v>721</v>
      </c>
      <c r="Q284" s="196" t="s">
        <v>721</v>
      </c>
      <c r="R284" s="201"/>
    </row>
    <row r="285" ht="15.75" customHeight="1">
      <c r="A285" s="172" t="s">
        <v>1158</v>
      </c>
      <c r="B285" s="154" t="s">
        <v>52</v>
      </c>
      <c r="C285" s="173" t="s">
        <v>1159</v>
      </c>
      <c r="D285" s="174" t="s">
        <v>185</v>
      </c>
      <c r="E285" s="173" t="s">
        <v>1102</v>
      </c>
      <c r="F285" s="196">
        <v>33.5</v>
      </c>
      <c r="G285" s="196" t="s">
        <v>723</v>
      </c>
      <c r="H285" s="196" t="s">
        <v>723</v>
      </c>
      <c r="I285" s="196" t="s">
        <v>723</v>
      </c>
      <c r="J285" s="185" t="s">
        <v>85</v>
      </c>
      <c r="K285" s="196" t="s">
        <v>687</v>
      </c>
      <c r="L285" s="196" t="s">
        <v>688</v>
      </c>
      <c r="M285" s="178">
        <v>44158.0</v>
      </c>
      <c r="N285" s="173" t="s">
        <v>735</v>
      </c>
      <c r="O285" s="184" t="s">
        <v>736</v>
      </c>
      <c r="P285" s="196" t="s">
        <v>721</v>
      </c>
      <c r="Q285" s="196" t="s">
        <v>721</v>
      </c>
      <c r="R285" s="201"/>
    </row>
    <row r="286" ht="15.75" customHeight="1">
      <c r="A286" s="172" t="s">
        <v>1160</v>
      </c>
      <c r="B286" s="154" t="s">
        <v>52</v>
      </c>
      <c r="C286" s="173" t="s">
        <v>1161</v>
      </c>
      <c r="D286" s="174" t="s">
        <v>185</v>
      </c>
      <c r="E286" s="173" t="s">
        <v>698</v>
      </c>
      <c r="F286" s="183">
        <v>43971.333333333336</v>
      </c>
      <c r="G286" s="196" t="s">
        <v>723</v>
      </c>
      <c r="H286" s="196" t="s">
        <v>723</v>
      </c>
      <c r="I286" s="196" t="s">
        <v>723</v>
      </c>
      <c r="J286" s="185" t="s">
        <v>85</v>
      </c>
      <c r="K286" s="196" t="s">
        <v>687</v>
      </c>
      <c r="L286" s="196" t="s">
        <v>688</v>
      </c>
      <c r="M286" s="178">
        <v>44158.0</v>
      </c>
      <c r="N286" s="173" t="s">
        <v>735</v>
      </c>
      <c r="O286" s="184" t="s">
        <v>736</v>
      </c>
      <c r="P286" s="196" t="s">
        <v>721</v>
      </c>
      <c r="Q286" s="196" t="s">
        <v>721</v>
      </c>
      <c r="R286" s="201"/>
    </row>
    <row r="287" ht="15.75" customHeight="1">
      <c r="A287" s="172" t="s">
        <v>1162</v>
      </c>
      <c r="B287" s="154" t="s">
        <v>52</v>
      </c>
      <c r="C287" s="173" t="s">
        <v>1163</v>
      </c>
      <c r="D287" s="174" t="s">
        <v>185</v>
      </c>
      <c r="E287" s="173" t="s">
        <v>1102</v>
      </c>
      <c r="F287" s="196">
        <v>33.5</v>
      </c>
      <c r="G287" s="196" t="s">
        <v>723</v>
      </c>
      <c r="H287" s="196" t="s">
        <v>723</v>
      </c>
      <c r="I287" s="196" t="s">
        <v>723</v>
      </c>
      <c r="J287" s="185" t="s">
        <v>85</v>
      </c>
      <c r="K287" s="196" t="s">
        <v>687</v>
      </c>
      <c r="L287" s="196" t="s">
        <v>688</v>
      </c>
      <c r="M287" s="178">
        <v>44158.0</v>
      </c>
      <c r="N287" s="173" t="s">
        <v>735</v>
      </c>
      <c r="O287" s="184" t="s">
        <v>736</v>
      </c>
      <c r="P287" s="196" t="s">
        <v>721</v>
      </c>
      <c r="Q287" s="196" t="s">
        <v>721</v>
      </c>
      <c r="R287" s="201"/>
    </row>
    <row r="288" ht="15.75" customHeight="1">
      <c r="A288" s="172" t="s">
        <v>1164</v>
      </c>
      <c r="B288" s="154" t="s">
        <v>52</v>
      </c>
      <c r="C288" s="173" t="s">
        <v>1165</v>
      </c>
      <c r="D288" s="174" t="s">
        <v>185</v>
      </c>
      <c r="E288" s="173" t="s">
        <v>1115</v>
      </c>
      <c r="F288" s="196">
        <v>12.0</v>
      </c>
      <c r="G288" s="196" t="s">
        <v>723</v>
      </c>
      <c r="H288" s="196" t="s">
        <v>723</v>
      </c>
      <c r="I288" s="196" t="s">
        <v>723</v>
      </c>
      <c r="J288" s="185" t="s">
        <v>85</v>
      </c>
      <c r="K288" s="196" t="s">
        <v>687</v>
      </c>
      <c r="L288" s="196" t="s">
        <v>688</v>
      </c>
      <c r="M288" s="178">
        <v>44158.0</v>
      </c>
      <c r="N288" s="173" t="s">
        <v>735</v>
      </c>
      <c r="O288" s="184" t="s">
        <v>736</v>
      </c>
      <c r="P288" s="196" t="s">
        <v>721</v>
      </c>
      <c r="Q288" s="196" t="s">
        <v>721</v>
      </c>
      <c r="R288" s="201"/>
    </row>
    <row r="289" ht="15.75" customHeight="1">
      <c r="A289" s="172" t="s">
        <v>1166</v>
      </c>
      <c r="B289" s="154" t="s">
        <v>52</v>
      </c>
      <c r="C289" s="173" t="s">
        <v>1167</v>
      </c>
      <c r="D289" s="174" t="s">
        <v>185</v>
      </c>
      <c r="E289" s="173" t="s">
        <v>1102</v>
      </c>
      <c r="F289" s="196">
        <v>33.5</v>
      </c>
      <c r="G289" s="196" t="s">
        <v>723</v>
      </c>
      <c r="H289" s="196" t="s">
        <v>723</v>
      </c>
      <c r="I289" s="196" t="s">
        <v>723</v>
      </c>
      <c r="J289" s="185" t="s">
        <v>85</v>
      </c>
      <c r="K289" s="196" t="s">
        <v>687</v>
      </c>
      <c r="L289" s="196" t="s">
        <v>688</v>
      </c>
      <c r="M289" s="178">
        <v>44158.0</v>
      </c>
      <c r="N289" s="173" t="s">
        <v>735</v>
      </c>
      <c r="O289" s="184" t="s">
        <v>736</v>
      </c>
      <c r="P289" s="196" t="s">
        <v>721</v>
      </c>
      <c r="Q289" s="196" t="s">
        <v>721</v>
      </c>
      <c r="R289" s="201"/>
    </row>
    <row r="290" ht="15.75" customHeight="1">
      <c r="A290" s="172" t="s">
        <v>1168</v>
      </c>
      <c r="B290" s="154" t="s">
        <v>52</v>
      </c>
      <c r="C290" s="173" t="s">
        <v>1169</v>
      </c>
      <c r="D290" s="174" t="s">
        <v>185</v>
      </c>
      <c r="E290" s="173" t="s">
        <v>1102</v>
      </c>
      <c r="F290" s="196">
        <v>33.5</v>
      </c>
      <c r="G290" s="196" t="s">
        <v>723</v>
      </c>
      <c r="H290" s="196" t="s">
        <v>723</v>
      </c>
      <c r="I290" s="196" t="s">
        <v>723</v>
      </c>
      <c r="J290" s="185" t="s">
        <v>85</v>
      </c>
      <c r="K290" s="196" t="s">
        <v>687</v>
      </c>
      <c r="L290" s="196" t="s">
        <v>688</v>
      </c>
      <c r="M290" s="178">
        <v>44158.0</v>
      </c>
      <c r="N290" s="173" t="s">
        <v>735</v>
      </c>
      <c r="O290" s="184" t="s">
        <v>736</v>
      </c>
      <c r="P290" s="196" t="s">
        <v>721</v>
      </c>
      <c r="Q290" s="196" t="s">
        <v>721</v>
      </c>
      <c r="R290" s="201"/>
    </row>
    <row r="291" ht="15.75" customHeight="1">
      <c r="A291" s="172" t="s">
        <v>1170</v>
      </c>
      <c r="B291" s="154" t="s">
        <v>52</v>
      </c>
      <c r="C291" s="173" t="s">
        <v>1171</v>
      </c>
      <c r="D291" s="174" t="s">
        <v>185</v>
      </c>
      <c r="E291" s="173" t="s">
        <v>698</v>
      </c>
      <c r="F291" s="183">
        <v>43971.333333333336</v>
      </c>
      <c r="G291" s="196" t="s">
        <v>723</v>
      </c>
      <c r="H291" s="196" t="s">
        <v>723</v>
      </c>
      <c r="I291" s="196" t="s">
        <v>723</v>
      </c>
      <c r="J291" s="185" t="s">
        <v>85</v>
      </c>
      <c r="K291" s="196" t="s">
        <v>687</v>
      </c>
      <c r="L291" s="196" t="s">
        <v>688</v>
      </c>
      <c r="M291" s="178">
        <v>44158.0</v>
      </c>
      <c r="N291" s="173" t="s">
        <v>735</v>
      </c>
      <c r="O291" s="184" t="s">
        <v>736</v>
      </c>
      <c r="P291" s="196" t="s">
        <v>721</v>
      </c>
      <c r="Q291" s="196" t="s">
        <v>721</v>
      </c>
      <c r="R291" s="201"/>
    </row>
    <row r="292" ht="15.75" customHeight="1">
      <c r="A292" s="172" t="s">
        <v>1172</v>
      </c>
      <c r="B292" s="154" t="s">
        <v>52</v>
      </c>
      <c r="C292" s="173" t="s">
        <v>1173</v>
      </c>
      <c r="D292" s="174" t="s">
        <v>185</v>
      </c>
      <c r="E292" s="173" t="s">
        <v>698</v>
      </c>
      <c r="F292" s="183">
        <v>43971.333333333336</v>
      </c>
      <c r="G292" s="196" t="s">
        <v>723</v>
      </c>
      <c r="H292" s="196" t="s">
        <v>723</v>
      </c>
      <c r="I292" s="196" t="s">
        <v>723</v>
      </c>
      <c r="J292" s="185" t="s">
        <v>85</v>
      </c>
      <c r="K292" s="196" t="s">
        <v>687</v>
      </c>
      <c r="L292" s="196" t="s">
        <v>688</v>
      </c>
      <c r="M292" s="178">
        <v>44158.0</v>
      </c>
      <c r="N292" s="173" t="s">
        <v>735</v>
      </c>
      <c r="O292" s="184" t="s">
        <v>736</v>
      </c>
      <c r="P292" s="196" t="s">
        <v>721</v>
      </c>
      <c r="Q292" s="196" t="s">
        <v>721</v>
      </c>
      <c r="R292" s="201"/>
    </row>
    <row r="293" ht="15.75" customHeight="1">
      <c r="A293" s="172" t="s">
        <v>1174</v>
      </c>
      <c r="B293" s="154" t="s">
        <v>52</v>
      </c>
      <c r="C293" s="173" t="s">
        <v>1175</v>
      </c>
      <c r="D293" s="174" t="s">
        <v>185</v>
      </c>
      <c r="E293" s="173" t="s">
        <v>1102</v>
      </c>
      <c r="F293" s="196">
        <v>33.5</v>
      </c>
      <c r="G293" s="196" t="s">
        <v>723</v>
      </c>
      <c r="H293" s="196" t="s">
        <v>723</v>
      </c>
      <c r="I293" s="196" t="s">
        <v>723</v>
      </c>
      <c r="J293" s="185" t="s">
        <v>85</v>
      </c>
      <c r="K293" s="196" t="s">
        <v>687</v>
      </c>
      <c r="L293" s="196" t="s">
        <v>688</v>
      </c>
      <c r="M293" s="178">
        <v>44158.0</v>
      </c>
      <c r="N293" s="173" t="s">
        <v>735</v>
      </c>
      <c r="O293" s="184" t="s">
        <v>736</v>
      </c>
      <c r="P293" s="196" t="s">
        <v>721</v>
      </c>
      <c r="Q293" s="196" t="s">
        <v>721</v>
      </c>
      <c r="R293" s="201"/>
    </row>
    <row r="294" ht="15.75" customHeight="1">
      <c r="A294" s="172" t="s">
        <v>1176</v>
      </c>
      <c r="B294" s="154" t="s">
        <v>52</v>
      </c>
      <c r="C294" s="173" t="s">
        <v>1177</v>
      </c>
      <c r="D294" s="174" t="s">
        <v>185</v>
      </c>
      <c r="E294" s="173" t="s">
        <v>698</v>
      </c>
      <c r="F294" s="183">
        <v>43971.333333333336</v>
      </c>
      <c r="G294" s="196" t="s">
        <v>723</v>
      </c>
      <c r="H294" s="196" t="s">
        <v>723</v>
      </c>
      <c r="I294" s="196" t="s">
        <v>723</v>
      </c>
      <c r="J294" s="185" t="s">
        <v>85</v>
      </c>
      <c r="K294" s="196" t="s">
        <v>687</v>
      </c>
      <c r="L294" s="196" t="s">
        <v>688</v>
      </c>
      <c r="M294" s="178">
        <v>44158.0</v>
      </c>
      <c r="N294" s="173" t="s">
        <v>735</v>
      </c>
      <c r="O294" s="184" t="s">
        <v>736</v>
      </c>
      <c r="P294" s="196" t="s">
        <v>721</v>
      </c>
      <c r="Q294" s="196" t="s">
        <v>721</v>
      </c>
      <c r="R294" s="201"/>
    </row>
    <row r="295" ht="15.75" customHeight="1">
      <c r="A295" s="172" t="s">
        <v>1178</v>
      </c>
      <c r="B295" s="154" t="s">
        <v>60</v>
      </c>
      <c r="C295" s="173" t="s">
        <v>1179</v>
      </c>
      <c r="D295" s="174" t="s">
        <v>135</v>
      </c>
      <c r="E295" s="173" t="s">
        <v>720</v>
      </c>
      <c r="F295" s="183" t="b">
        <v>1</v>
      </c>
      <c r="G295" s="196" t="s">
        <v>136</v>
      </c>
      <c r="H295" s="196" t="s">
        <v>1180</v>
      </c>
      <c r="I295" s="196" t="s">
        <v>1180</v>
      </c>
      <c r="J295" s="185" t="s">
        <v>85</v>
      </c>
      <c r="K295" s="196" t="s">
        <v>749</v>
      </c>
      <c r="L295" s="196"/>
      <c r="M295" s="178">
        <v>44105.0</v>
      </c>
      <c r="N295" s="196" t="s">
        <v>701</v>
      </c>
      <c r="O295" s="184" t="s">
        <v>736</v>
      </c>
      <c r="P295" s="196" t="s">
        <v>782</v>
      </c>
      <c r="Q295" s="196" t="s">
        <v>782</v>
      </c>
      <c r="R295" s="201"/>
    </row>
    <row r="296" ht="15.75" customHeight="1">
      <c r="A296" s="172" t="s">
        <v>1181</v>
      </c>
      <c r="B296" s="154" t="s">
        <v>60</v>
      </c>
      <c r="C296" s="173" t="s">
        <v>1182</v>
      </c>
      <c r="D296" s="174" t="s">
        <v>135</v>
      </c>
      <c r="E296" s="173" t="s">
        <v>1183</v>
      </c>
      <c r="F296" s="196">
        <v>0.435</v>
      </c>
      <c r="G296" s="196" t="s">
        <v>136</v>
      </c>
      <c r="H296" s="196" t="s">
        <v>1180</v>
      </c>
      <c r="I296" s="196" t="s">
        <v>1180</v>
      </c>
      <c r="J296" s="185" t="s">
        <v>85</v>
      </c>
      <c r="K296" s="196" t="s">
        <v>749</v>
      </c>
      <c r="L296" s="196"/>
      <c r="M296" s="178">
        <v>44105.0</v>
      </c>
      <c r="N296" s="196" t="s">
        <v>701</v>
      </c>
      <c r="O296" s="184" t="s">
        <v>736</v>
      </c>
      <c r="P296" s="196" t="s">
        <v>782</v>
      </c>
      <c r="Q296" s="196" t="s">
        <v>782</v>
      </c>
      <c r="R296" s="201"/>
    </row>
    <row r="297" ht="15.75" customHeight="1">
      <c r="A297" s="172" t="s">
        <v>193</v>
      </c>
      <c r="B297" s="154" t="s">
        <v>696</v>
      </c>
      <c r="C297" s="173" t="s">
        <v>1184</v>
      </c>
      <c r="D297" s="174" t="s">
        <v>185</v>
      </c>
      <c r="E297" s="173" t="s">
        <v>685</v>
      </c>
      <c r="F297" s="196" t="s">
        <v>195</v>
      </c>
      <c r="G297" s="196" t="s">
        <v>686</v>
      </c>
      <c r="H297" s="196" t="s">
        <v>91</v>
      </c>
      <c r="I297" s="196" t="s">
        <v>91</v>
      </c>
      <c r="J297" s="196" t="s">
        <v>85</v>
      </c>
      <c r="K297" s="196" t="s">
        <v>687</v>
      </c>
      <c r="L297" s="196"/>
      <c r="M297" s="178">
        <v>44156.0</v>
      </c>
      <c r="N297" s="173" t="s">
        <v>692</v>
      </c>
      <c r="O297" s="176" t="s">
        <v>690</v>
      </c>
      <c r="P297" s="196" t="s">
        <v>782</v>
      </c>
      <c r="Q297" s="196" t="s">
        <v>782</v>
      </c>
      <c r="R297" s="201"/>
    </row>
    <row r="298" ht="15.75" customHeight="1">
      <c r="A298" s="172" t="s">
        <v>1189</v>
      </c>
      <c r="B298" s="154" t="s">
        <v>52</v>
      </c>
      <c r="C298" s="173" t="s">
        <v>1190</v>
      </c>
      <c r="D298" s="174" t="s">
        <v>185</v>
      </c>
      <c r="E298" s="173" t="s">
        <v>1191</v>
      </c>
      <c r="F298" s="183">
        <v>43967.333333333336</v>
      </c>
      <c r="G298" s="196" t="s">
        <v>723</v>
      </c>
      <c r="H298" s="196" t="s">
        <v>723</v>
      </c>
      <c r="I298" s="196" t="s">
        <v>723</v>
      </c>
      <c r="J298" s="196" t="s">
        <v>85</v>
      </c>
      <c r="K298" s="196" t="s">
        <v>687</v>
      </c>
      <c r="L298" s="196" t="s">
        <v>760</v>
      </c>
      <c r="M298" s="178">
        <v>44158.0</v>
      </c>
      <c r="N298" s="196" t="s">
        <v>735</v>
      </c>
      <c r="O298" s="184" t="s">
        <v>736</v>
      </c>
      <c r="P298" s="196" t="s">
        <v>721</v>
      </c>
      <c r="Q298" s="196" t="s">
        <v>721</v>
      </c>
      <c r="R298" s="206"/>
    </row>
    <row r="299" ht="15.75" customHeight="1">
      <c r="A299" s="172" t="s">
        <v>1192</v>
      </c>
      <c r="B299" s="154" t="s">
        <v>197</v>
      </c>
      <c r="C299" s="173" t="s">
        <v>1193</v>
      </c>
      <c r="D299" s="174" t="s">
        <v>185</v>
      </c>
      <c r="E299" s="173" t="s">
        <v>685</v>
      </c>
      <c r="F299" s="196" t="s">
        <v>1194</v>
      </c>
      <c r="G299" s="196" t="s">
        <v>723</v>
      </c>
      <c r="H299" s="196" t="s">
        <v>723</v>
      </c>
      <c r="I299" s="196" t="s">
        <v>723</v>
      </c>
      <c r="J299" s="196" t="s">
        <v>85</v>
      </c>
      <c r="K299" s="196" t="s">
        <v>687</v>
      </c>
      <c r="L299" s="196" t="s">
        <v>688</v>
      </c>
      <c r="M299" s="178">
        <v>44158.0</v>
      </c>
      <c r="N299" s="196" t="s">
        <v>692</v>
      </c>
      <c r="O299" s="184" t="s">
        <v>690</v>
      </c>
      <c r="P299" s="196" t="s">
        <v>745</v>
      </c>
      <c r="Q299" s="196" t="s">
        <v>745</v>
      </c>
      <c r="R299" s="206"/>
    </row>
    <row r="300" ht="15.75" customHeight="1">
      <c r="A300" s="172" t="s">
        <v>1195</v>
      </c>
      <c r="B300" s="154" t="s">
        <v>197</v>
      </c>
      <c r="C300" s="173" t="s">
        <v>1196</v>
      </c>
      <c r="D300" s="174" t="s">
        <v>185</v>
      </c>
      <c r="E300" s="173" t="s">
        <v>1115</v>
      </c>
      <c r="F300" s="196">
        <v>35.0</v>
      </c>
      <c r="G300" s="196" t="s">
        <v>723</v>
      </c>
      <c r="H300" s="196" t="s">
        <v>723</v>
      </c>
      <c r="I300" s="196" t="s">
        <v>723</v>
      </c>
      <c r="J300" s="196" t="s">
        <v>85</v>
      </c>
      <c r="K300" s="196" t="s">
        <v>687</v>
      </c>
      <c r="L300" s="196" t="s">
        <v>688</v>
      </c>
      <c r="M300" s="178">
        <v>44158.0</v>
      </c>
      <c r="N300" s="196" t="s">
        <v>692</v>
      </c>
      <c r="O300" s="184" t="s">
        <v>690</v>
      </c>
      <c r="P300" s="196" t="s">
        <v>745</v>
      </c>
      <c r="Q300" s="196" t="s">
        <v>745</v>
      </c>
      <c r="R300" s="206"/>
    </row>
    <row r="301" ht="15.75" customHeight="1">
      <c r="A301" s="172" t="s">
        <v>1242</v>
      </c>
      <c r="B301" s="154" t="s">
        <v>197</v>
      </c>
      <c r="C301" s="173" t="s">
        <v>1243</v>
      </c>
      <c r="D301" s="174" t="s">
        <v>185</v>
      </c>
      <c r="E301" s="173" t="s">
        <v>1115</v>
      </c>
      <c r="F301" s="196">
        <v>35.0</v>
      </c>
      <c r="G301" s="196" t="s">
        <v>723</v>
      </c>
      <c r="H301" s="196" t="s">
        <v>723</v>
      </c>
      <c r="I301" s="196" t="s">
        <v>723</v>
      </c>
      <c r="J301" s="196" t="s">
        <v>85</v>
      </c>
      <c r="K301" s="196" t="s">
        <v>687</v>
      </c>
      <c r="L301" s="196" t="s">
        <v>760</v>
      </c>
      <c r="M301" s="178">
        <v>44157.0</v>
      </c>
      <c r="N301" s="196" t="s">
        <v>735</v>
      </c>
      <c r="O301" s="184" t="s">
        <v>736</v>
      </c>
      <c r="P301" s="196" t="s">
        <v>761</v>
      </c>
      <c r="Q301" s="196" t="s">
        <v>761</v>
      </c>
      <c r="R301" s="206"/>
    </row>
    <row r="302" ht="15.75" customHeight="1">
      <c r="A302" s="172" t="s">
        <v>1244</v>
      </c>
      <c r="B302" s="154" t="s">
        <v>197</v>
      </c>
      <c r="C302" s="173" t="s">
        <v>1245</v>
      </c>
      <c r="D302" s="174" t="s">
        <v>185</v>
      </c>
      <c r="E302" s="173" t="s">
        <v>1102</v>
      </c>
      <c r="F302" s="196">
        <v>23.56</v>
      </c>
      <c r="G302" s="196" t="s">
        <v>723</v>
      </c>
      <c r="H302" s="196" t="s">
        <v>723</v>
      </c>
      <c r="I302" s="196" t="s">
        <v>723</v>
      </c>
      <c r="J302" s="196" t="s">
        <v>85</v>
      </c>
      <c r="K302" s="196" t="s">
        <v>687</v>
      </c>
      <c r="L302" s="196" t="s">
        <v>760</v>
      </c>
      <c r="M302" s="178">
        <v>44157.0</v>
      </c>
      <c r="N302" s="196" t="s">
        <v>735</v>
      </c>
      <c r="O302" s="184" t="s">
        <v>736</v>
      </c>
      <c r="P302" s="196" t="s">
        <v>761</v>
      </c>
      <c r="Q302" s="196" t="s">
        <v>761</v>
      </c>
      <c r="R302" s="206"/>
    </row>
    <row r="303" ht="15.75" customHeight="1">
      <c r="A303" s="172" t="s">
        <v>1246</v>
      </c>
      <c r="B303" s="154" t="s">
        <v>197</v>
      </c>
      <c r="C303" s="173" t="s">
        <v>1247</v>
      </c>
      <c r="D303" s="174" t="s">
        <v>185</v>
      </c>
      <c r="E303" s="173" t="s">
        <v>1102</v>
      </c>
      <c r="F303" s="196">
        <v>23.56</v>
      </c>
      <c r="G303" s="196" t="s">
        <v>723</v>
      </c>
      <c r="H303" s="196" t="s">
        <v>723</v>
      </c>
      <c r="I303" s="196" t="s">
        <v>723</v>
      </c>
      <c r="J303" s="196" t="s">
        <v>85</v>
      </c>
      <c r="K303" s="196" t="s">
        <v>687</v>
      </c>
      <c r="L303" s="196" t="s">
        <v>760</v>
      </c>
      <c r="M303" s="178">
        <v>44157.0</v>
      </c>
      <c r="N303" s="196" t="s">
        <v>735</v>
      </c>
      <c r="O303" s="184" t="s">
        <v>736</v>
      </c>
      <c r="P303" s="196" t="s">
        <v>761</v>
      </c>
      <c r="Q303" s="196" t="s">
        <v>761</v>
      </c>
      <c r="R303" s="206"/>
    </row>
    <row r="304" ht="15.75" customHeight="1">
      <c r="A304" s="172" t="s">
        <v>1248</v>
      </c>
      <c r="B304" s="154" t="s">
        <v>197</v>
      </c>
      <c r="C304" s="173" t="s">
        <v>1249</v>
      </c>
      <c r="D304" s="174" t="s">
        <v>185</v>
      </c>
      <c r="E304" s="173" t="s">
        <v>1102</v>
      </c>
      <c r="F304" s="196">
        <v>35.0</v>
      </c>
      <c r="G304" s="196" t="s">
        <v>394</v>
      </c>
      <c r="H304" s="196" t="s">
        <v>394</v>
      </c>
      <c r="I304" s="196" t="s">
        <v>394</v>
      </c>
      <c r="J304" s="196" t="s">
        <v>85</v>
      </c>
      <c r="K304" s="196" t="s">
        <v>687</v>
      </c>
      <c r="L304" s="196" t="s">
        <v>688</v>
      </c>
      <c r="M304" s="178">
        <v>44157.0</v>
      </c>
      <c r="N304" s="196" t="s">
        <v>735</v>
      </c>
      <c r="O304" s="184" t="s">
        <v>736</v>
      </c>
      <c r="P304" s="196" t="s">
        <v>761</v>
      </c>
      <c r="Q304" s="196" t="s">
        <v>761</v>
      </c>
      <c r="R304" s="206"/>
    </row>
    <row r="305" ht="15.75" customHeight="1">
      <c r="A305" s="172" t="s">
        <v>1250</v>
      </c>
      <c r="B305" s="154" t="s">
        <v>197</v>
      </c>
      <c r="C305" s="173" t="s">
        <v>1251</v>
      </c>
      <c r="D305" s="174" t="s">
        <v>185</v>
      </c>
      <c r="E305" s="173" t="s">
        <v>1102</v>
      </c>
      <c r="F305" s="196">
        <v>23.56</v>
      </c>
      <c r="G305" s="196" t="s">
        <v>394</v>
      </c>
      <c r="H305" s="196" t="s">
        <v>394</v>
      </c>
      <c r="I305" s="196" t="s">
        <v>394</v>
      </c>
      <c r="J305" s="196" t="s">
        <v>85</v>
      </c>
      <c r="K305" s="196" t="s">
        <v>687</v>
      </c>
      <c r="L305" s="196" t="s">
        <v>688</v>
      </c>
      <c r="M305" s="178">
        <v>44157.0</v>
      </c>
      <c r="N305" s="196" t="s">
        <v>735</v>
      </c>
      <c r="O305" s="184" t="s">
        <v>736</v>
      </c>
      <c r="P305" s="196" t="s">
        <v>761</v>
      </c>
      <c r="Q305" s="196" t="s">
        <v>761</v>
      </c>
      <c r="R305" s="206"/>
    </row>
    <row r="306" ht="15.75" customHeight="1">
      <c r="A306" s="172" t="s">
        <v>1252</v>
      </c>
      <c r="B306" s="154" t="s">
        <v>197</v>
      </c>
      <c r="C306" s="173" t="s">
        <v>1253</v>
      </c>
      <c r="D306" s="174" t="s">
        <v>185</v>
      </c>
      <c r="E306" s="173" t="s">
        <v>1102</v>
      </c>
      <c r="F306" s="207">
        <v>100.0</v>
      </c>
      <c r="G306" s="196" t="s">
        <v>394</v>
      </c>
      <c r="H306" s="196" t="s">
        <v>394</v>
      </c>
      <c r="I306" s="196" t="s">
        <v>394</v>
      </c>
      <c r="J306" s="196" t="s">
        <v>85</v>
      </c>
      <c r="K306" s="196" t="s">
        <v>687</v>
      </c>
      <c r="L306" s="196" t="s">
        <v>688</v>
      </c>
      <c r="M306" s="178">
        <v>44157.0</v>
      </c>
      <c r="N306" s="196" t="s">
        <v>735</v>
      </c>
      <c r="O306" s="184" t="s">
        <v>736</v>
      </c>
      <c r="P306" s="196" t="s">
        <v>761</v>
      </c>
      <c r="Q306" s="196" t="s">
        <v>761</v>
      </c>
      <c r="R306" s="206"/>
    </row>
    <row r="307" ht="15.75" customHeight="1">
      <c r="A307" s="172" t="s">
        <v>1254</v>
      </c>
      <c r="B307" s="154" t="s">
        <v>197</v>
      </c>
      <c r="C307" s="173" t="s">
        <v>1255</v>
      </c>
      <c r="D307" s="174" t="s">
        <v>185</v>
      </c>
      <c r="E307" s="173" t="s">
        <v>1115</v>
      </c>
      <c r="F307" s="196">
        <v>8.0</v>
      </c>
      <c r="G307" s="196" t="s">
        <v>394</v>
      </c>
      <c r="H307" s="196" t="s">
        <v>394</v>
      </c>
      <c r="I307" s="196" t="s">
        <v>394</v>
      </c>
      <c r="J307" s="196" t="s">
        <v>85</v>
      </c>
      <c r="K307" s="196" t="s">
        <v>687</v>
      </c>
      <c r="L307" s="196" t="s">
        <v>688</v>
      </c>
      <c r="M307" s="178">
        <v>44157.0</v>
      </c>
      <c r="N307" s="196" t="s">
        <v>735</v>
      </c>
      <c r="O307" s="184" t="s">
        <v>736</v>
      </c>
      <c r="P307" s="196" t="s">
        <v>761</v>
      </c>
      <c r="Q307" s="196" t="s">
        <v>761</v>
      </c>
      <c r="R307" s="206"/>
    </row>
    <row r="308" ht="15.75" customHeight="1">
      <c r="A308" s="172" t="s">
        <v>1256</v>
      </c>
      <c r="B308" s="154" t="s">
        <v>197</v>
      </c>
      <c r="C308" s="173" t="s">
        <v>1048</v>
      </c>
      <c r="D308" s="174" t="s">
        <v>185</v>
      </c>
      <c r="E308" s="173" t="s">
        <v>1115</v>
      </c>
      <c r="F308" s="196">
        <v>20.0</v>
      </c>
      <c r="G308" s="196" t="s">
        <v>723</v>
      </c>
      <c r="H308" s="196" t="s">
        <v>723</v>
      </c>
      <c r="I308" s="196" t="s">
        <v>723</v>
      </c>
      <c r="J308" s="196" t="s">
        <v>85</v>
      </c>
      <c r="K308" s="196" t="s">
        <v>687</v>
      </c>
      <c r="L308" s="196" t="s">
        <v>688</v>
      </c>
      <c r="M308" s="178">
        <v>44157.0</v>
      </c>
      <c r="N308" s="196" t="s">
        <v>735</v>
      </c>
      <c r="O308" s="184" t="s">
        <v>736</v>
      </c>
      <c r="P308" s="196" t="s">
        <v>761</v>
      </c>
      <c r="Q308" s="196" t="s">
        <v>761</v>
      </c>
      <c r="R308" s="206"/>
    </row>
    <row r="309" ht="15.75" customHeight="1">
      <c r="A309" s="172" t="s">
        <v>1281</v>
      </c>
      <c r="B309" s="154" t="s">
        <v>197</v>
      </c>
      <c r="C309" s="173" t="s">
        <v>1282</v>
      </c>
      <c r="D309" s="174" t="s">
        <v>185</v>
      </c>
      <c r="E309" s="173" t="s">
        <v>685</v>
      </c>
      <c r="F309" s="196" t="s">
        <v>1283</v>
      </c>
      <c r="G309" s="196" t="s">
        <v>394</v>
      </c>
      <c r="H309" s="196" t="s">
        <v>394</v>
      </c>
      <c r="I309" s="196" t="s">
        <v>394</v>
      </c>
      <c r="J309" s="196" t="s">
        <v>85</v>
      </c>
      <c r="K309" s="196" t="s">
        <v>687</v>
      </c>
      <c r="L309" s="196" t="s">
        <v>760</v>
      </c>
      <c r="M309" s="178">
        <v>44157.0</v>
      </c>
      <c r="N309" s="196" t="s">
        <v>735</v>
      </c>
      <c r="O309" s="184" t="s">
        <v>736</v>
      </c>
      <c r="P309" s="196" t="s">
        <v>761</v>
      </c>
      <c r="Q309" s="196" t="s">
        <v>761</v>
      </c>
      <c r="R309" s="206"/>
    </row>
    <row r="310" ht="15.75" customHeight="1">
      <c r="A310" s="172" t="s">
        <v>1284</v>
      </c>
      <c r="B310" s="154" t="s">
        <v>197</v>
      </c>
      <c r="C310" s="173" t="s">
        <v>1285</v>
      </c>
      <c r="D310" s="174" t="s">
        <v>185</v>
      </c>
      <c r="E310" s="173" t="s">
        <v>685</v>
      </c>
      <c r="F310" s="196" t="s">
        <v>1283</v>
      </c>
      <c r="G310" s="196" t="s">
        <v>394</v>
      </c>
      <c r="H310" s="196" t="s">
        <v>394</v>
      </c>
      <c r="I310" s="196" t="s">
        <v>394</v>
      </c>
      <c r="J310" s="196" t="s">
        <v>85</v>
      </c>
      <c r="K310" s="196" t="s">
        <v>687</v>
      </c>
      <c r="L310" s="196" t="s">
        <v>760</v>
      </c>
      <c r="M310" s="178">
        <v>44157.0</v>
      </c>
      <c r="N310" s="196" t="s">
        <v>735</v>
      </c>
      <c r="O310" s="184" t="s">
        <v>736</v>
      </c>
      <c r="P310" s="196" t="s">
        <v>761</v>
      </c>
      <c r="Q310" s="196" t="s">
        <v>761</v>
      </c>
      <c r="R310" s="206"/>
    </row>
    <row r="311" ht="15.75" customHeight="1">
      <c r="A311" s="172" t="s">
        <v>1286</v>
      </c>
      <c r="B311" s="154" t="s">
        <v>197</v>
      </c>
      <c r="C311" s="173" t="s">
        <v>1287</v>
      </c>
      <c r="D311" s="174" t="s">
        <v>185</v>
      </c>
      <c r="E311" s="173" t="s">
        <v>685</v>
      </c>
      <c r="F311" s="196" t="s">
        <v>1283</v>
      </c>
      <c r="G311" s="196" t="s">
        <v>394</v>
      </c>
      <c r="H311" s="196" t="s">
        <v>394</v>
      </c>
      <c r="I311" s="196" t="s">
        <v>394</v>
      </c>
      <c r="J311" s="196" t="s">
        <v>85</v>
      </c>
      <c r="K311" s="196" t="s">
        <v>687</v>
      </c>
      <c r="L311" s="196" t="s">
        <v>760</v>
      </c>
      <c r="M311" s="178">
        <v>44157.0</v>
      </c>
      <c r="N311" s="196" t="s">
        <v>735</v>
      </c>
      <c r="O311" s="184" t="s">
        <v>736</v>
      </c>
      <c r="P311" s="196" t="s">
        <v>761</v>
      </c>
      <c r="Q311" s="196" t="s">
        <v>761</v>
      </c>
      <c r="R311" s="206"/>
    </row>
    <row r="312" ht="15.75" customHeight="1">
      <c r="A312" s="172" t="s">
        <v>1288</v>
      </c>
      <c r="B312" s="154" t="s">
        <v>197</v>
      </c>
      <c r="C312" s="173" t="s">
        <v>1289</v>
      </c>
      <c r="D312" s="174" t="s">
        <v>185</v>
      </c>
      <c r="E312" s="173" t="s">
        <v>685</v>
      </c>
      <c r="F312" s="196" t="s">
        <v>1283</v>
      </c>
      <c r="G312" s="196" t="s">
        <v>394</v>
      </c>
      <c r="H312" s="196" t="s">
        <v>394</v>
      </c>
      <c r="I312" s="196" t="s">
        <v>394</v>
      </c>
      <c r="J312" s="196" t="s">
        <v>85</v>
      </c>
      <c r="K312" s="196" t="s">
        <v>687</v>
      </c>
      <c r="L312" s="196" t="s">
        <v>760</v>
      </c>
      <c r="M312" s="178">
        <v>44157.0</v>
      </c>
      <c r="N312" s="196" t="s">
        <v>735</v>
      </c>
      <c r="O312" s="184" t="s">
        <v>736</v>
      </c>
      <c r="P312" s="196" t="s">
        <v>761</v>
      </c>
      <c r="Q312" s="196" t="s">
        <v>761</v>
      </c>
      <c r="R312" s="206"/>
    </row>
    <row r="313" ht="15.75" customHeight="1">
      <c r="A313" s="172" t="s">
        <v>1290</v>
      </c>
      <c r="B313" s="154" t="s">
        <v>197</v>
      </c>
      <c r="C313" s="173" t="s">
        <v>1291</v>
      </c>
      <c r="D313" s="174" t="s">
        <v>185</v>
      </c>
      <c r="E313" s="173" t="s">
        <v>685</v>
      </c>
      <c r="F313" s="196" t="s">
        <v>1283</v>
      </c>
      <c r="G313" s="196" t="s">
        <v>394</v>
      </c>
      <c r="H313" s="196" t="s">
        <v>394</v>
      </c>
      <c r="I313" s="196" t="s">
        <v>394</v>
      </c>
      <c r="J313" s="196" t="s">
        <v>85</v>
      </c>
      <c r="K313" s="196" t="s">
        <v>687</v>
      </c>
      <c r="L313" s="196" t="s">
        <v>760</v>
      </c>
      <c r="M313" s="178">
        <v>44157.0</v>
      </c>
      <c r="N313" s="196" t="s">
        <v>735</v>
      </c>
      <c r="O313" s="184" t="s">
        <v>736</v>
      </c>
      <c r="P313" s="196" t="s">
        <v>761</v>
      </c>
      <c r="Q313" s="196" t="s">
        <v>761</v>
      </c>
      <c r="R313" s="206"/>
    </row>
    <row r="314" ht="15.75" customHeight="1">
      <c r="A314" s="172" t="s">
        <v>1292</v>
      </c>
      <c r="B314" s="154" t="s">
        <v>197</v>
      </c>
      <c r="C314" s="173" t="s">
        <v>1293</v>
      </c>
      <c r="D314" s="174" t="s">
        <v>185</v>
      </c>
      <c r="E314" s="173" t="s">
        <v>685</v>
      </c>
      <c r="F314" s="196" t="s">
        <v>1483</v>
      </c>
      <c r="G314" s="196" t="s">
        <v>394</v>
      </c>
      <c r="H314" s="196" t="s">
        <v>394</v>
      </c>
      <c r="I314" s="196" t="s">
        <v>394</v>
      </c>
      <c r="J314" s="196" t="s">
        <v>85</v>
      </c>
      <c r="K314" s="196" t="s">
        <v>687</v>
      </c>
      <c r="L314" s="196" t="s">
        <v>760</v>
      </c>
      <c r="M314" s="178">
        <v>44157.0</v>
      </c>
      <c r="N314" s="196" t="s">
        <v>735</v>
      </c>
      <c r="O314" s="184" t="s">
        <v>736</v>
      </c>
      <c r="P314" s="196" t="s">
        <v>761</v>
      </c>
      <c r="Q314" s="196" t="s">
        <v>761</v>
      </c>
      <c r="R314" s="206"/>
    </row>
    <row r="315" ht="15.75" customHeight="1">
      <c r="A315" s="172" t="s">
        <v>1294</v>
      </c>
      <c r="B315" s="153" t="s">
        <v>696</v>
      </c>
      <c r="C315" s="173" t="s">
        <v>1295</v>
      </c>
      <c r="D315" s="174" t="s">
        <v>185</v>
      </c>
      <c r="E315" s="173" t="s">
        <v>685</v>
      </c>
      <c r="F315" s="196" t="s">
        <v>1296</v>
      </c>
      <c r="G315" s="196" t="s">
        <v>394</v>
      </c>
      <c r="H315" s="196" t="s">
        <v>394</v>
      </c>
      <c r="I315" s="196" t="s">
        <v>394</v>
      </c>
      <c r="J315" s="196" t="s">
        <v>85</v>
      </c>
      <c r="K315" s="196" t="s">
        <v>687</v>
      </c>
      <c r="L315" s="196" t="s">
        <v>688</v>
      </c>
      <c r="M315" s="178">
        <v>44158.0</v>
      </c>
      <c r="N315" s="196" t="s">
        <v>701</v>
      </c>
      <c r="O315" s="184" t="s">
        <v>736</v>
      </c>
      <c r="P315" s="196" t="s">
        <v>744</v>
      </c>
      <c r="Q315" s="196" t="s">
        <v>744</v>
      </c>
      <c r="R315" s="206"/>
    </row>
    <row r="316" ht="15.75" customHeight="1">
      <c r="A316" s="172" t="s">
        <v>1297</v>
      </c>
      <c r="B316" s="154" t="s">
        <v>197</v>
      </c>
      <c r="C316" s="173" t="s">
        <v>1298</v>
      </c>
      <c r="D316" s="174" t="s">
        <v>185</v>
      </c>
      <c r="E316" s="173" t="s">
        <v>1299</v>
      </c>
      <c r="F316" s="208">
        <v>56.67</v>
      </c>
      <c r="G316" s="180" t="s">
        <v>394</v>
      </c>
      <c r="H316" s="180" t="s">
        <v>394</v>
      </c>
      <c r="I316" s="180" t="s">
        <v>394</v>
      </c>
      <c r="J316" s="209" t="s">
        <v>85</v>
      </c>
      <c r="K316" s="210" t="s">
        <v>687</v>
      </c>
      <c r="L316" s="209" t="s">
        <v>760</v>
      </c>
      <c r="M316" s="211">
        <v>44157.0</v>
      </c>
      <c r="N316" s="212" t="s">
        <v>1340</v>
      </c>
      <c r="O316" s="184" t="s">
        <v>736</v>
      </c>
      <c r="P316" s="208" t="s">
        <v>750</v>
      </c>
      <c r="Q316" s="208" t="s">
        <v>750</v>
      </c>
      <c r="R316" s="206"/>
    </row>
    <row r="317" ht="15.75" customHeight="1">
      <c r="A317" s="172" t="s">
        <v>1300</v>
      </c>
      <c r="B317" s="154" t="s">
        <v>197</v>
      </c>
      <c r="C317" s="173" t="s">
        <v>1301</v>
      </c>
      <c r="D317" s="174" t="s">
        <v>185</v>
      </c>
      <c r="E317" s="173" t="s">
        <v>1299</v>
      </c>
      <c r="F317" s="208">
        <v>86.5</v>
      </c>
      <c r="G317" s="180" t="s">
        <v>394</v>
      </c>
      <c r="H317" s="180" t="s">
        <v>394</v>
      </c>
      <c r="I317" s="180" t="s">
        <v>394</v>
      </c>
      <c r="J317" s="209" t="s">
        <v>85</v>
      </c>
      <c r="K317" s="210" t="s">
        <v>687</v>
      </c>
      <c r="L317" s="209" t="s">
        <v>760</v>
      </c>
      <c r="M317" s="211">
        <v>44157.0</v>
      </c>
      <c r="N317" s="212" t="s">
        <v>1340</v>
      </c>
      <c r="O317" s="184" t="s">
        <v>736</v>
      </c>
      <c r="P317" s="208" t="s">
        <v>750</v>
      </c>
      <c r="Q317" s="208" t="s">
        <v>750</v>
      </c>
      <c r="R317" s="206"/>
    </row>
    <row r="318" ht="15.75" customHeight="1">
      <c r="A318" s="172" t="s">
        <v>1302</v>
      </c>
      <c r="B318" s="154" t="s">
        <v>197</v>
      </c>
      <c r="C318" s="173" t="s">
        <v>1303</v>
      </c>
      <c r="D318" s="174" t="s">
        <v>185</v>
      </c>
      <c r="E318" s="173" t="s">
        <v>1299</v>
      </c>
      <c r="F318" s="208">
        <v>61.0</v>
      </c>
      <c r="G318" s="180" t="s">
        <v>394</v>
      </c>
      <c r="H318" s="180" t="s">
        <v>394</v>
      </c>
      <c r="I318" s="180" t="s">
        <v>394</v>
      </c>
      <c r="J318" s="209" t="s">
        <v>85</v>
      </c>
      <c r="K318" s="210" t="s">
        <v>687</v>
      </c>
      <c r="L318" s="209" t="s">
        <v>760</v>
      </c>
      <c r="M318" s="211">
        <v>44157.0</v>
      </c>
      <c r="N318" s="212" t="s">
        <v>1340</v>
      </c>
      <c r="O318" s="184" t="s">
        <v>736</v>
      </c>
      <c r="P318" s="208" t="s">
        <v>750</v>
      </c>
      <c r="Q318" s="208" t="s">
        <v>750</v>
      </c>
      <c r="R318" s="206"/>
    </row>
    <row r="319" ht="15.75" customHeight="1">
      <c r="A319" s="172" t="s">
        <v>1304</v>
      </c>
      <c r="B319" s="154" t="s">
        <v>696</v>
      </c>
      <c r="C319" s="173" t="s">
        <v>1305</v>
      </c>
      <c r="D319" s="174" t="s">
        <v>83</v>
      </c>
      <c r="E319" s="173" t="s">
        <v>1306</v>
      </c>
      <c r="F319" s="208" t="s">
        <v>1307</v>
      </c>
      <c r="G319" s="180" t="s">
        <v>394</v>
      </c>
      <c r="H319" s="180" t="s">
        <v>394</v>
      </c>
      <c r="I319" s="180" t="s">
        <v>394</v>
      </c>
      <c r="J319" s="209" t="s">
        <v>85</v>
      </c>
      <c r="K319" s="210" t="s">
        <v>687</v>
      </c>
      <c r="L319" s="212" t="s">
        <v>688</v>
      </c>
      <c r="M319" s="211">
        <v>44157.0</v>
      </c>
      <c r="N319" s="212" t="s">
        <v>1327</v>
      </c>
      <c r="O319" s="184" t="s">
        <v>736</v>
      </c>
      <c r="P319" s="208" t="s">
        <v>744</v>
      </c>
      <c r="Q319" s="213" t="s">
        <v>744</v>
      </c>
      <c r="R319" s="206"/>
    </row>
    <row r="320" ht="15.75" customHeight="1">
      <c r="A320" s="172" t="s">
        <v>1308</v>
      </c>
      <c r="B320" s="154" t="s">
        <v>197</v>
      </c>
      <c r="C320" s="173" t="s">
        <v>1341</v>
      </c>
      <c r="D320" s="174" t="s">
        <v>185</v>
      </c>
      <c r="E320" s="173" t="s">
        <v>1299</v>
      </c>
      <c r="F320" s="208">
        <v>25.0</v>
      </c>
      <c r="G320" s="180" t="s">
        <v>394</v>
      </c>
      <c r="H320" s="180" t="s">
        <v>1310</v>
      </c>
      <c r="I320" s="180" t="s">
        <v>394</v>
      </c>
      <c r="J320" s="209" t="s">
        <v>85</v>
      </c>
      <c r="K320" s="210" t="s">
        <v>687</v>
      </c>
      <c r="L320" s="209" t="s">
        <v>760</v>
      </c>
      <c r="M320" s="211">
        <v>44158.0</v>
      </c>
      <c r="N320" s="173" t="s">
        <v>692</v>
      </c>
      <c r="O320" s="176" t="s">
        <v>690</v>
      </c>
      <c r="P320" s="208" t="s">
        <v>724</v>
      </c>
      <c r="Q320" s="208" t="s">
        <v>724</v>
      </c>
      <c r="R320" s="206"/>
    </row>
    <row r="321" ht="15.75" customHeight="1">
      <c r="A321" s="172" t="s">
        <v>1311</v>
      </c>
      <c r="B321" s="154" t="s">
        <v>197</v>
      </c>
      <c r="C321" s="173" t="s">
        <v>1342</v>
      </c>
      <c r="D321" s="174" t="s">
        <v>185</v>
      </c>
      <c r="E321" s="173" t="s">
        <v>1299</v>
      </c>
      <c r="F321" s="208">
        <v>5.0</v>
      </c>
      <c r="G321" s="180" t="s">
        <v>394</v>
      </c>
      <c r="H321" s="180" t="s">
        <v>1310</v>
      </c>
      <c r="I321" s="180" t="s">
        <v>394</v>
      </c>
      <c r="J321" s="209" t="s">
        <v>85</v>
      </c>
      <c r="K321" s="210" t="s">
        <v>687</v>
      </c>
      <c r="L321" s="209" t="s">
        <v>760</v>
      </c>
      <c r="M321" s="211">
        <v>44158.0</v>
      </c>
      <c r="N321" s="173" t="s">
        <v>692</v>
      </c>
      <c r="O321" s="176" t="s">
        <v>690</v>
      </c>
      <c r="P321" s="208" t="s">
        <v>724</v>
      </c>
      <c r="Q321" s="208" t="s">
        <v>724</v>
      </c>
      <c r="R321" s="206"/>
    </row>
    <row r="322" ht="15.75" customHeight="1">
      <c r="A322" s="172" t="s">
        <v>210</v>
      </c>
      <c r="B322" s="154" t="s">
        <v>197</v>
      </c>
      <c r="C322" s="173" t="s">
        <v>211</v>
      </c>
      <c r="D322" s="174" t="s">
        <v>185</v>
      </c>
      <c r="E322" s="173" t="s">
        <v>720</v>
      </c>
      <c r="F322" s="208" t="b">
        <v>1</v>
      </c>
      <c r="G322" s="180" t="s">
        <v>394</v>
      </c>
      <c r="H322" s="180" t="s">
        <v>91</v>
      </c>
      <c r="I322" s="180" t="s">
        <v>394</v>
      </c>
      <c r="J322" s="209" t="s">
        <v>85</v>
      </c>
      <c r="K322" s="210" t="s">
        <v>749</v>
      </c>
      <c r="L322" s="209"/>
      <c r="M322" s="214">
        <v>44075.0</v>
      </c>
      <c r="N322" s="212" t="s">
        <v>735</v>
      </c>
      <c r="O322" s="212" t="s">
        <v>732</v>
      </c>
      <c r="P322" s="208" t="s">
        <v>702</v>
      </c>
      <c r="Q322" s="208" t="s">
        <v>702</v>
      </c>
      <c r="R322" s="206"/>
    </row>
    <row r="323" ht="15.75" customHeight="1">
      <c r="A323" s="172" t="s">
        <v>1343</v>
      </c>
      <c r="B323" s="154" t="s">
        <v>197</v>
      </c>
      <c r="C323" s="173" t="s">
        <v>1344</v>
      </c>
      <c r="D323" s="174" t="s">
        <v>185</v>
      </c>
      <c r="E323" s="173" t="s">
        <v>1191</v>
      </c>
      <c r="F323" s="215">
        <v>43666.333333333336</v>
      </c>
      <c r="G323" s="172" t="s">
        <v>1346</v>
      </c>
      <c r="H323" s="172" t="s">
        <v>1346</v>
      </c>
      <c r="I323" s="172" t="s">
        <v>1346</v>
      </c>
      <c r="J323" s="209" t="s">
        <v>85</v>
      </c>
      <c r="K323" s="210" t="s">
        <v>687</v>
      </c>
      <c r="L323" s="209" t="s">
        <v>760</v>
      </c>
      <c r="M323" s="211">
        <v>44158.0</v>
      </c>
      <c r="N323" s="173" t="s">
        <v>692</v>
      </c>
      <c r="O323" s="176" t="s">
        <v>690</v>
      </c>
      <c r="P323" s="208" t="s">
        <v>724</v>
      </c>
      <c r="Q323" s="208" t="s">
        <v>724</v>
      </c>
      <c r="R323" s="206"/>
    </row>
    <row r="324" ht="15.75" customHeight="1">
      <c r="A324" s="172" t="s">
        <v>1347</v>
      </c>
      <c r="B324" s="154" t="s">
        <v>52</v>
      </c>
      <c r="C324" s="173" t="s">
        <v>1348</v>
      </c>
      <c r="D324" s="174" t="s">
        <v>185</v>
      </c>
      <c r="E324" s="173" t="s">
        <v>1299</v>
      </c>
      <c r="F324" s="208">
        <v>120.0</v>
      </c>
      <c r="G324" s="172" t="s">
        <v>1346</v>
      </c>
      <c r="H324" s="172" t="s">
        <v>1346</v>
      </c>
      <c r="I324" s="172" t="s">
        <v>1346</v>
      </c>
      <c r="J324" s="209" t="s">
        <v>85</v>
      </c>
      <c r="K324" s="210" t="s">
        <v>687</v>
      </c>
      <c r="L324" s="209" t="s">
        <v>760</v>
      </c>
      <c r="M324" s="211">
        <v>44158.0</v>
      </c>
      <c r="N324" s="173" t="s">
        <v>735</v>
      </c>
      <c r="O324" s="184" t="s">
        <v>736</v>
      </c>
      <c r="P324" s="208" t="s">
        <v>721</v>
      </c>
      <c r="Q324" s="208" t="s">
        <v>721</v>
      </c>
      <c r="R324" s="206"/>
    </row>
    <row r="325" ht="15.75" customHeight="1">
      <c r="A325" s="172" t="s">
        <v>1349</v>
      </c>
      <c r="B325" s="154" t="s">
        <v>52</v>
      </c>
      <c r="C325" s="173" t="s">
        <v>1350</v>
      </c>
      <c r="D325" s="174" t="s">
        <v>185</v>
      </c>
      <c r="E325" s="173" t="s">
        <v>1299</v>
      </c>
      <c r="F325" s="208">
        <v>120.0</v>
      </c>
      <c r="G325" s="172" t="s">
        <v>1346</v>
      </c>
      <c r="H325" s="172" t="s">
        <v>1346</v>
      </c>
      <c r="I325" s="172" t="s">
        <v>1346</v>
      </c>
      <c r="J325" s="209" t="s">
        <v>85</v>
      </c>
      <c r="K325" s="210" t="s">
        <v>687</v>
      </c>
      <c r="L325" s="209" t="s">
        <v>760</v>
      </c>
      <c r="M325" s="211">
        <v>44158.0</v>
      </c>
      <c r="N325" s="173" t="s">
        <v>735</v>
      </c>
      <c r="O325" s="184" t="s">
        <v>736</v>
      </c>
      <c r="P325" s="208" t="s">
        <v>721</v>
      </c>
      <c r="Q325" s="208" t="s">
        <v>721</v>
      </c>
      <c r="R325" s="206"/>
    </row>
    <row r="326" ht="15.75" customHeight="1">
      <c r="A326" s="172" t="s">
        <v>1351</v>
      </c>
      <c r="B326" s="154" t="s">
        <v>197</v>
      </c>
      <c r="C326" s="173" t="s">
        <v>1352</v>
      </c>
      <c r="D326" s="174" t="s">
        <v>185</v>
      </c>
      <c r="E326" s="173" t="s">
        <v>1299</v>
      </c>
      <c r="F326" s="208">
        <v>20.25</v>
      </c>
      <c r="G326" s="172" t="s">
        <v>1346</v>
      </c>
      <c r="H326" s="172" t="s">
        <v>1346</v>
      </c>
      <c r="I326" s="172" t="s">
        <v>1346</v>
      </c>
      <c r="J326" s="209" t="s">
        <v>85</v>
      </c>
      <c r="K326" s="210" t="s">
        <v>687</v>
      </c>
      <c r="L326" s="209" t="s">
        <v>760</v>
      </c>
      <c r="M326" s="211">
        <v>44157.0</v>
      </c>
      <c r="N326" s="212" t="s">
        <v>1340</v>
      </c>
      <c r="O326" s="212" t="s">
        <v>736</v>
      </c>
      <c r="P326" s="208" t="s">
        <v>750</v>
      </c>
      <c r="Q326" s="208" t="s">
        <v>750</v>
      </c>
      <c r="R326" s="206"/>
    </row>
    <row r="327" ht="15.75" customHeight="1">
      <c r="A327" s="172" t="s">
        <v>1353</v>
      </c>
      <c r="B327" s="154" t="s">
        <v>52</v>
      </c>
      <c r="C327" s="173" t="s">
        <v>1354</v>
      </c>
      <c r="D327" s="174" t="s">
        <v>185</v>
      </c>
      <c r="E327" s="173" t="s">
        <v>1191</v>
      </c>
      <c r="F327" s="215">
        <v>43678.333333333336</v>
      </c>
      <c r="G327" s="172" t="s">
        <v>1346</v>
      </c>
      <c r="H327" s="172" t="s">
        <v>1346</v>
      </c>
      <c r="I327" s="172" t="s">
        <v>1346</v>
      </c>
      <c r="J327" s="209" t="s">
        <v>85</v>
      </c>
      <c r="K327" s="210" t="s">
        <v>687</v>
      </c>
      <c r="L327" s="209" t="s">
        <v>760</v>
      </c>
      <c r="M327" s="211">
        <v>44158.0</v>
      </c>
      <c r="N327" s="212" t="s">
        <v>913</v>
      </c>
      <c r="O327" s="184" t="s">
        <v>736</v>
      </c>
      <c r="P327" s="208" t="s">
        <v>721</v>
      </c>
      <c r="Q327" s="208" t="s">
        <v>721</v>
      </c>
      <c r="R327" s="206"/>
    </row>
    <row r="328" ht="15.75" customHeight="1">
      <c r="A328" s="172" t="s">
        <v>1355</v>
      </c>
      <c r="B328" s="155" t="s">
        <v>44</v>
      </c>
      <c r="C328" s="173" t="s">
        <v>1356</v>
      </c>
      <c r="D328" s="174" t="s">
        <v>185</v>
      </c>
      <c r="E328" s="173" t="s">
        <v>1306</v>
      </c>
      <c r="F328" s="208" t="s">
        <v>1357</v>
      </c>
      <c r="G328" s="172" t="s">
        <v>1358</v>
      </c>
      <c r="H328" s="172" t="s">
        <v>1358</v>
      </c>
      <c r="I328" s="172" t="s">
        <v>1358</v>
      </c>
      <c r="J328" s="209" t="s">
        <v>85</v>
      </c>
      <c r="K328" s="172" t="s">
        <v>1479</v>
      </c>
      <c r="L328" s="209" t="s">
        <v>1360</v>
      </c>
      <c r="M328" s="214">
        <v>44105.0</v>
      </c>
      <c r="N328" s="173" t="s">
        <v>692</v>
      </c>
      <c r="O328" s="176" t="s">
        <v>690</v>
      </c>
      <c r="P328" s="208" t="s">
        <v>782</v>
      </c>
      <c r="Q328" s="208" t="s">
        <v>782</v>
      </c>
      <c r="R328" s="206"/>
    </row>
    <row r="329" ht="15.75" customHeight="1">
      <c r="A329" s="172" t="s">
        <v>1361</v>
      </c>
      <c r="B329" s="155" t="s">
        <v>44</v>
      </c>
      <c r="C329" s="173" t="s">
        <v>1362</v>
      </c>
      <c r="D329" s="174" t="s">
        <v>185</v>
      </c>
      <c r="E329" s="173" t="s">
        <v>1306</v>
      </c>
      <c r="F329" s="208" t="s">
        <v>1363</v>
      </c>
      <c r="G329" s="172" t="s">
        <v>1358</v>
      </c>
      <c r="H329" s="172" t="s">
        <v>1358</v>
      </c>
      <c r="I329" s="172" t="s">
        <v>1358</v>
      </c>
      <c r="J329" s="209" t="s">
        <v>85</v>
      </c>
      <c r="K329" s="172" t="s">
        <v>1479</v>
      </c>
      <c r="L329" s="209" t="s">
        <v>1360</v>
      </c>
      <c r="M329" s="214">
        <v>44105.0</v>
      </c>
      <c r="N329" s="173" t="s">
        <v>692</v>
      </c>
      <c r="O329" s="176" t="s">
        <v>690</v>
      </c>
      <c r="P329" s="208" t="s">
        <v>782</v>
      </c>
      <c r="Q329" s="208" t="s">
        <v>782</v>
      </c>
      <c r="R329" s="206"/>
    </row>
    <row r="330" ht="15.75" customHeight="1">
      <c r="A330" s="172" t="s">
        <v>1364</v>
      </c>
      <c r="B330" s="155" t="s">
        <v>44</v>
      </c>
      <c r="C330" s="173" t="s">
        <v>1365</v>
      </c>
      <c r="D330" s="174" t="s">
        <v>185</v>
      </c>
      <c r="E330" s="173" t="s">
        <v>1306</v>
      </c>
      <c r="F330" s="208" t="s">
        <v>1357</v>
      </c>
      <c r="G330" s="172" t="s">
        <v>1358</v>
      </c>
      <c r="H330" s="172" t="s">
        <v>1358</v>
      </c>
      <c r="I330" s="172" t="s">
        <v>1358</v>
      </c>
      <c r="J330" s="209" t="s">
        <v>85</v>
      </c>
      <c r="K330" s="172" t="s">
        <v>1479</v>
      </c>
      <c r="L330" s="209" t="s">
        <v>1360</v>
      </c>
      <c r="M330" s="214">
        <v>44105.0</v>
      </c>
      <c r="N330" s="173" t="s">
        <v>692</v>
      </c>
      <c r="O330" s="176" t="s">
        <v>690</v>
      </c>
      <c r="P330" s="208" t="s">
        <v>782</v>
      </c>
      <c r="Q330" s="208" t="s">
        <v>782</v>
      </c>
      <c r="R330" s="206"/>
    </row>
    <row r="331" ht="15.75" customHeight="1">
      <c r="A331" s="172" t="s">
        <v>1366</v>
      </c>
      <c r="B331" s="155" t="s">
        <v>44</v>
      </c>
      <c r="C331" s="173" t="s">
        <v>1367</v>
      </c>
      <c r="D331" s="174" t="s">
        <v>185</v>
      </c>
      <c r="E331" s="173" t="s">
        <v>1306</v>
      </c>
      <c r="F331" s="208" t="s">
        <v>1363</v>
      </c>
      <c r="G331" s="172" t="s">
        <v>1358</v>
      </c>
      <c r="H331" s="172" t="s">
        <v>1358</v>
      </c>
      <c r="I331" s="172" t="s">
        <v>1358</v>
      </c>
      <c r="J331" s="209" t="s">
        <v>85</v>
      </c>
      <c r="K331" s="172" t="s">
        <v>1479</v>
      </c>
      <c r="L331" s="209" t="s">
        <v>1360</v>
      </c>
      <c r="M331" s="214">
        <v>44105.0</v>
      </c>
      <c r="N331" s="173" t="s">
        <v>692</v>
      </c>
      <c r="O331" s="176" t="s">
        <v>690</v>
      </c>
      <c r="P331" s="208" t="s">
        <v>782</v>
      </c>
      <c r="Q331" s="208" t="s">
        <v>782</v>
      </c>
      <c r="R331" s="206"/>
    </row>
    <row r="332" ht="15.75" customHeight="1">
      <c r="A332" s="172" t="s">
        <v>1368</v>
      </c>
      <c r="B332" s="155" t="s">
        <v>44</v>
      </c>
      <c r="C332" s="173" t="s">
        <v>1369</v>
      </c>
      <c r="D332" s="174" t="s">
        <v>83</v>
      </c>
      <c r="E332" s="173" t="s">
        <v>685</v>
      </c>
      <c r="F332" s="208" t="s">
        <v>1370</v>
      </c>
      <c r="G332" s="180" t="s">
        <v>1371</v>
      </c>
      <c r="H332" s="180" t="s">
        <v>686</v>
      </c>
      <c r="I332" s="180" t="s">
        <v>686</v>
      </c>
      <c r="J332" s="209" t="s">
        <v>85</v>
      </c>
      <c r="K332" s="210" t="s">
        <v>749</v>
      </c>
      <c r="L332" s="210" t="s">
        <v>749</v>
      </c>
      <c r="M332" s="178">
        <v>44013.0</v>
      </c>
      <c r="N332" s="212" t="s">
        <v>692</v>
      </c>
      <c r="O332" s="212" t="s">
        <v>1372</v>
      </c>
      <c r="P332" s="208" t="s">
        <v>782</v>
      </c>
      <c r="Q332" s="208" t="s">
        <v>782</v>
      </c>
      <c r="R332" s="206"/>
    </row>
    <row r="333" ht="15.75" customHeight="1">
      <c r="A333" s="172" t="s">
        <v>1373</v>
      </c>
      <c r="B333" s="155" t="s">
        <v>44</v>
      </c>
      <c r="C333" s="173" t="s">
        <v>1374</v>
      </c>
      <c r="D333" s="174" t="s">
        <v>83</v>
      </c>
      <c r="E333" s="173" t="s">
        <v>685</v>
      </c>
      <c r="F333" s="208" t="s">
        <v>1375</v>
      </c>
      <c r="G333" s="180" t="s">
        <v>1371</v>
      </c>
      <c r="H333" s="180" t="s">
        <v>686</v>
      </c>
      <c r="I333" s="180" t="s">
        <v>686</v>
      </c>
      <c r="J333" s="209" t="s">
        <v>85</v>
      </c>
      <c r="K333" s="210" t="s">
        <v>749</v>
      </c>
      <c r="L333" s="210" t="s">
        <v>749</v>
      </c>
      <c r="M333" s="178">
        <v>44013.0</v>
      </c>
      <c r="N333" s="212" t="s">
        <v>692</v>
      </c>
      <c r="O333" s="212" t="s">
        <v>1372</v>
      </c>
      <c r="P333" s="208" t="s">
        <v>782</v>
      </c>
      <c r="Q333" s="208" t="s">
        <v>782</v>
      </c>
      <c r="R333" s="206"/>
    </row>
    <row r="334" ht="15.75" customHeight="1">
      <c r="A334" s="172" t="s">
        <v>1484</v>
      </c>
      <c r="B334" s="155" t="s">
        <v>44</v>
      </c>
      <c r="C334" s="173" t="s">
        <v>1377</v>
      </c>
      <c r="D334" s="174" t="s">
        <v>83</v>
      </c>
      <c r="E334" s="173" t="s">
        <v>685</v>
      </c>
      <c r="F334" s="208" t="s">
        <v>1378</v>
      </c>
      <c r="G334" s="180" t="s">
        <v>1371</v>
      </c>
      <c r="H334" s="180" t="s">
        <v>686</v>
      </c>
      <c r="I334" s="180" t="s">
        <v>686</v>
      </c>
      <c r="J334" s="209" t="s">
        <v>85</v>
      </c>
      <c r="K334" s="210" t="s">
        <v>749</v>
      </c>
      <c r="L334" s="210" t="s">
        <v>749</v>
      </c>
      <c r="M334" s="178">
        <v>44013.0</v>
      </c>
      <c r="N334" s="212" t="s">
        <v>692</v>
      </c>
      <c r="O334" s="212" t="s">
        <v>1372</v>
      </c>
      <c r="P334" s="208" t="s">
        <v>782</v>
      </c>
      <c r="Q334" s="208" t="s">
        <v>782</v>
      </c>
      <c r="R334" s="206"/>
    </row>
    <row r="335" ht="15.75" customHeight="1">
      <c r="A335" s="172" t="s">
        <v>1379</v>
      </c>
      <c r="B335" s="155" t="s">
        <v>44</v>
      </c>
      <c r="C335" s="173" t="s">
        <v>1380</v>
      </c>
      <c r="D335" s="174" t="s">
        <v>83</v>
      </c>
      <c r="E335" s="173" t="s">
        <v>685</v>
      </c>
      <c r="F335" s="208" t="s">
        <v>1381</v>
      </c>
      <c r="G335" s="180" t="s">
        <v>1371</v>
      </c>
      <c r="H335" s="180" t="s">
        <v>686</v>
      </c>
      <c r="I335" s="180" t="s">
        <v>686</v>
      </c>
      <c r="J335" s="209" t="s">
        <v>85</v>
      </c>
      <c r="K335" s="210" t="s">
        <v>749</v>
      </c>
      <c r="L335" s="210" t="s">
        <v>749</v>
      </c>
      <c r="M335" s="178">
        <v>44013.0</v>
      </c>
      <c r="N335" s="212" t="s">
        <v>692</v>
      </c>
      <c r="O335" s="212" t="s">
        <v>1372</v>
      </c>
      <c r="P335" s="208" t="s">
        <v>782</v>
      </c>
      <c r="Q335" s="208" t="s">
        <v>782</v>
      </c>
      <c r="R335" s="206"/>
    </row>
    <row r="336" ht="15.75" customHeight="1">
      <c r="A336" s="172" t="s">
        <v>1382</v>
      </c>
      <c r="B336" s="154" t="s">
        <v>197</v>
      </c>
      <c r="C336" s="173" t="s">
        <v>1383</v>
      </c>
      <c r="D336" s="174" t="s">
        <v>185</v>
      </c>
      <c r="E336" s="173" t="s">
        <v>1102</v>
      </c>
      <c r="F336" s="180">
        <v>23.55</v>
      </c>
      <c r="G336" s="172" t="s">
        <v>1346</v>
      </c>
      <c r="H336" s="172" t="s">
        <v>1346</v>
      </c>
      <c r="I336" s="172" t="s">
        <v>1346</v>
      </c>
      <c r="J336" s="209" t="s">
        <v>85</v>
      </c>
      <c r="K336" s="212" t="s">
        <v>687</v>
      </c>
      <c r="L336" s="209" t="s">
        <v>760</v>
      </c>
      <c r="M336" s="211">
        <v>44157.0</v>
      </c>
      <c r="N336" s="212" t="s">
        <v>692</v>
      </c>
      <c r="O336" s="212" t="s">
        <v>690</v>
      </c>
      <c r="P336" s="216" t="s">
        <v>761</v>
      </c>
      <c r="Q336" s="216" t="s">
        <v>761</v>
      </c>
      <c r="R336" s="206"/>
    </row>
    <row r="337" ht="15.75" customHeight="1">
      <c r="A337" s="172" t="s">
        <v>1384</v>
      </c>
      <c r="B337" s="154" t="s">
        <v>197</v>
      </c>
      <c r="C337" s="173" t="s">
        <v>1385</v>
      </c>
      <c r="D337" s="174" t="s">
        <v>185</v>
      </c>
      <c r="E337" s="173" t="s">
        <v>1306</v>
      </c>
      <c r="F337" s="216" t="s">
        <v>1386</v>
      </c>
      <c r="G337" s="172" t="s">
        <v>1346</v>
      </c>
      <c r="H337" s="172" t="s">
        <v>1346</v>
      </c>
      <c r="I337" s="172" t="s">
        <v>1346</v>
      </c>
      <c r="J337" s="209" t="s">
        <v>85</v>
      </c>
      <c r="K337" s="212" t="s">
        <v>749</v>
      </c>
      <c r="L337" s="180" t="s">
        <v>749</v>
      </c>
      <c r="M337" s="214">
        <v>44105.0</v>
      </c>
      <c r="N337" s="212" t="s">
        <v>692</v>
      </c>
      <c r="O337" s="212" t="s">
        <v>690</v>
      </c>
      <c r="P337" s="216" t="s">
        <v>761</v>
      </c>
      <c r="Q337" s="216" t="s">
        <v>761</v>
      </c>
      <c r="R337" s="206"/>
    </row>
    <row r="338" ht="15.75" customHeight="1">
      <c r="A338" s="172" t="s">
        <v>1387</v>
      </c>
      <c r="B338" s="154" t="s">
        <v>696</v>
      </c>
      <c r="C338" s="173" t="s">
        <v>1388</v>
      </c>
      <c r="D338" s="174" t="s">
        <v>185</v>
      </c>
      <c r="E338" s="173" t="s">
        <v>1313</v>
      </c>
      <c r="F338" s="216">
        <v>4977716.0</v>
      </c>
      <c r="G338" s="172" t="s">
        <v>1389</v>
      </c>
      <c r="H338" s="172" t="s">
        <v>1389</v>
      </c>
      <c r="I338" s="172" t="s">
        <v>1389</v>
      </c>
      <c r="J338" s="209" t="s">
        <v>85</v>
      </c>
      <c r="K338" s="212" t="s">
        <v>687</v>
      </c>
      <c r="L338" s="212" t="s">
        <v>688</v>
      </c>
      <c r="M338" s="211">
        <v>44158.0</v>
      </c>
      <c r="N338" s="212" t="s">
        <v>1318</v>
      </c>
      <c r="O338" s="212" t="s">
        <v>690</v>
      </c>
      <c r="P338" s="216" t="s">
        <v>702</v>
      </c>
      <c r="Q338" s="216" t="s">
        <v>702</v>
      </c>
      <c r="R338" s="206"/>
    </row>
    <row r="339" ht="15.75" customHeight="1">
      <c r="A339" s="172" t="s">
        <v>1390</v>
      </c>
      <c r="B339" s="154" t="s">
        <v>696</v>
      </c>
      <c r="C339" s="173" t="s">
        <v>1391</v>
      </c>
      <c r="D339" s="174" t="s">
        <v>83</v>
      </c>
      <c r="E339" s="173" t="s">
        <v>1313</v>
      </c>
      <c r="F339" s="216" t="s">
        <v>1392</v>
      </c>
      <c r="G339" s="172" t="s">
        <v>1389</v>
      </c>
      <c r="H339" s="205" t="s">
        <v>1389</v>
      </c>
      <c r="I339" s="205" t="s">
        <v>1389</v>
      </c>
      <c r="J339" s="209" t="s">
        <v>85</v>
      </c>
      <c r="K339" s="212" t="s">
        <v>687</v>
      </c>
      <c r="L339" s="212" t="s">
        <v>688</v>
      </c>
      <c r="M339" s="211">
        <v>44158.0</v>
      </c>
      <c r="N339" s="212" t="s">
        <v>1318</v>
      </c>
      <c r="O339" s="212" t="s">
        <v>690</v>
      </c>
      <c r="P339" s="216" t="s">
        <v>702</v>
      </c>
      <c r="Q339" s="216" t="s">
        <v>702</v>
      </c>
      <c r="R339" s="206"/>
    </row>
    <row r="340" ht="15.75" customHeight="1">
      <c r="A340" s="172" t="s">
        <v>1393</v>
      </c>
      <c r="B340" s="153" t="s">
        <v>696</v>
      </c>
      <c r="C340" s="173" t="s">
        <v>1394</v>
      </c>
      <c r="D340" s="174" t="s">
        <v>185</v>
      </c>
      <c r="E340" s="173" t="s">
        <v>1323</v>
      </c>
      <c r="F340" s="180">
        <v>2500.0055</v>
      </c>
      <c r="G340" s="196" t="s">
        <v>1389</v>
      </c>
      <c r="H340" s="172" t="s">
        <v>1389</v>
      </c>
      <c r="I340" s="196" t="s">
        <v>1389</v>
      </c>
      <c r="J340" s="209" t="s">
        <v>85</v>
      </c>
      <c r="K340" s="212" t="s">
        <v>687</v>
      </c>
      <c r="L340" s="212" t="s">
        <v>688</v>
      </c>
      <c r="M340" s="211">
        <v>44158.0</v>
      </c>
      <c r="N340" s="212" t="s">
        <v>1324</v>
      </c>
      <c r="O340" s="212" t="s">
        <v>690</v>
      </c>
      <c r="P340" s="216" t="s">
        <v>744</v>
      </c>
      <c r="Q340" s="216" t="s">
        <v>744</v>
      </c>
      <c r="R340" s="206"/>
    </row>
    <row r="341" ht="15.75" customHeight="1">
      <c r="A341" s="172" t="s">
        <v>1395</v>
      </c>
      <c r="B341" s="154" t="s">
        <v>696</v>
      </c>
      <c r="C341" s="173" t="s">
        <v>1396</v>
      </c>
      <c r="D341" s="174" t="s">
        <v>185</v>
      </c>
      <c r="E341" s="173" t="s">
        <v>698</v>
      </c>
      <c r="F341" s="217">
        <v>44044.333333333336</v>
      </c>
      <c r="G341" s="172" t="s">
        <v>1397</v>
      </c>
      <c r="H341" s="172" t="s">
        <v>1397</v>
      </c>
      <c r="I341" s="172" t="s">
        <v>1397</v>
      </c>
      <c r="J341" s="209" t="s">
        <v>85</v>
      </c>
      <c r="K341" s="212" t="s">
        <v>687</v>
      </c>
      <c r="L341" s="212" t="s">
        <v>688</v>
      </c>
      <c r="M341" s="211">
        <v>44158.0</v>
      </c>
      <c r="N341" s="212" t="s">
        <v>1327</v>
      </c>
      <c r="O341" s="212" t="s">
        <v>690</v>
      </c>
      <c r="P341" s="216" t="s">
        <v>744</v>
      </c>
      <c r="Q341" s="216" t="s">
        <v>744</v>
      </c>
      <c r="R341" s="206"/>
    </row>
    <row r="342" ht="15.75" customHeight="1">
      <c r="A342" s="172" t="s">
        <v>1398</v>
      </c>
      <c r="B342" s="153" t="s">
        <v>696</v>
      </c>
      <c r="C342" s="173" t="s">
        <v>1399</v>
      </c>
      <c r="D342" s="174" t="s">
        <v>83</v>
      </c>
      <c r="E342" s="173" t="s">
        <v>1313</v>
      </c>
      <c r="F342" s="216" t="s">
        <v>1400</v>
      </c>
      <c r="G342" s="172" t="s">
        <v>1389</v>
      </c>
      <c r="H342" s="196" t="s">
        <v>1389</v>
      </c>
      <c r="I342" s="196" t="s">
        <v>1389</v>
      </c>
      <c r="J342" s="209" t="s">
        <v>85</v>
      </c>
      <c r="K342" s="212" t="s">
        <v>687</v>
      </c>
      <c r="L342" s="212" t="s">
        <v>688</v>
      </c>
      <c r="M342" s="211">
        <v>44158.0</v>
      </c>
      <c r="N342" s="212" t="s">
        <v>1401</v>
      </c>
      <c r="O342" s="212" t="s">
        <v>1402</v>
      </c>
      <c r="P342" s="216" t="s">
        <v>744</v>
      </c>
      <c r="Q342" s="216" t="s">
        <v>744</v>
      </c>
      <c r="R342" s="206"/>
    </row>
    <row r="343" ht="15.75" customHeight="1">
      <c r="A343" s="172" t="s">
        <v>1403</v>
      </c>
      <c r="B343" s="153" t="s">
        <v>696</v>
      </c>
      <c r="C343" s="173" t="s">
        <v>1404</v>
      </c>
      <c r="D343" s="174" t="s">
        <v>185</v>
      </c>
      <c r="E343" s="173" t="s">
        <v>1313</v>
      </c>
      <c r="F343" s="216" t="s">
        <v>1400</v>
      </c>
      <c r="G343" s="172" t="s">
        <v>1389</v>
      </c>
      <c r="H343" s="196" t="s">
        <v>1389</v>
      </c>
      <c r="I343" s="196" t="s">
        <v>1389</v>
      </c>
      <c r="J343" s="209" t="s">
        <v>85</v>
      </c>
      <c r="K343" s="212" t="s">
        <v>687</v>
      </c>
      <c r="L343" s="212" t="s">
        <v>688</v>
      </c>
      <c r="M343" s="211">
        <v>44158.0</v>
      </c>
      <c r="N343" s="212" t="s">
        <v>1401</v>
      </c>
      <c r="O343" s="212" t="s">
        <v>1402</v>
      </c>
      <c r="P343" s="216" t="s">
        <v>744</v>
      </c>
      <c r="Q343" s="216" t="s">
        <v>744</v>
      </c>
      <c r="R343" s="206"/>
    </row>
    <row r="344" ht="15.75" customHeight="1">
      <c r="A344" s="172" t="s">
        <v>1405</v>
      </c>
      <c r="B344" s="153" t="s">
        <v>696</v>
      </c>
      <c r="C344" s="173" t="s">
        <v>1406</v>
      </c>
      <c r="D344" s="174" t="s">
        <v>185</v>
      </c>
      <c r="E344" s="173" t="s">
        <v>713</v>
      </c>
      <c r="F344" s="216">
        <v>15.0</v>
      </c>
      <c r="G344" s="172" t="s">
        <v>1389</v>
      </c>
      <c r="H344" s="196" t="s">
        <v>1389</v>
      </c>
      <c r="I344" s="196" t="s">
        <v>1389</v>
      </c>
      <c r="J344" s="209" t="s">
        <v>85</v>
      </c>
      <c r="K344" s="212" t="s">
        <v>687</v>
      </c>
      <c r="L344" s="212" t="s">
        <v>688</v>
      </c>
      <c r="M344" s="211">
        <v>44158.0</v>
      </c>
      <c r="N344" s="212" t="s">
        <v>1327</v>
      </c>
      <c r="O344" s="212" t="s">
        <v>690</v>
      </c>
      <c r="P344" s="216" t="s">
        <v>744</v>
      </c>
      <c r="Q344" s="216" t="s">
        <v>744</v>
      </c>
      <c r="R344" s="206"/>
    </row>
    <row r="345" ht="15.75" customHeight="1">
      <c r="A345" s="172" t="s">
        <v>1407</v>
      </c>
      <c r="B345" s="153" t="s">
        <v>696</v>
      </c>
      <c r="C345" s="173" t="s">
        <v>1408</v>
      </c>
      <c r="D345" s="174" t="s">
        <v>185</v>
      </c>
      <c r="E345" s="173" t="s">
        <v>713</v>
      </c>
      <c r="F345" s="216">
        <v>15.0</v>
      </c>
      <c r="G345" s="172" t="s">
        <v>1389</v>
      </c>
      <c r="H345" s="196" t="s">
        <v>1389</v>
      </c>
      <c r="I345" s="196" t="s">
        <v>1389</v>
      </c>
      <c r="J345" s="209" t="s">
        <v>85</v>
      </c>
      <c r="K345" s="212" t="s">
        <v>687</v>
      </c>
      <c r="L345" s="212" t="s">
        <v>688</v>
      </c>
      <c r="M345" s="211">
        <v>44158.0</v>
      </c>
      <c r="N345" s="212" t="s">
        <v>1327</v>
      </c>
      <c r="O345" s="212" t="s">
        <v>690</v>
      </c>
      <c r="P345" s="216" t="s">
        <v>744</v>
      </c>
      <c r="Q345" s="216" t="s">
        <v>744</v>
      </c>
      <c r="R345" s="206"/>
    </row>
    <row r="346" ht="15.75" customHeight="1">
      <c r="A346" s="172" t="s">
        <v>1409</v>
      </c>
      <c r="B346" s="154" t="s">
        <v>696</v>
      </c>
      <c r="C346" s="173" t="s">
        <v>1410</v>
      </c>
      <c r="D346" s="174" t="s">
        <v>83</v>
      </c>
      <c r="E346" s="173" t="s">
        <v>713</v>
      </c>
      <c r="F346" s="216">
        <v>15.0</v>
      </c>
      <c r="G346" s="172" t="s">
        <v>1389</v>
      </c>
      <c r="H346" s="205" t="s">
        <v>1389</v>
      </c>
      <c r="I346" s="205" t="s">
        <v>1389</v>
      </c>
      <c r="J346" s="209" t="s">
        <v>85</v>
      </c>
      <c r="K346" s="212" t="s">
        <v>687</v>
      </c>
      <c r="L346" s="212" t="s">
        <v>688</v>
      </c>
      <c r="M346" s="211">
        <v>44158.0</v>
      </c>
      <c r="N346" s="212" t="s">
        <v>1318</v>
      </c>
      <c r="O346" s="212" t="s">
        <v>690</v>
      </c>
      <c r="P346" s="216" t="s">
        <v>788</v>
      </c>
      <c r="Q346" s="216" t="s">
        <v>788</v>
      </c>
      <c r="R346" s="206"/>
    </row>
    <row r="347" ht="15.75" customHeight="1">
      <c r="A347" s="172" t="s">
        <v>1411</v>
      </c>
      <c r="B347" s="154" t="s">
        <v>44</v>
      </c>
      <c r="C347" s="173" t="s">
        <v>1412</v>
      </c>
      <c r="D347" s="174" t="s">
        <v>83</v>
      </c>
      <c r="E347" s="173" t="s">
        <v>1313</v>
      </c>
      <c r="F347" s="218" t="s">
        <v>1413</v>
      </c>
      <c r="G347" s="172" t="s">
        <v>1389</v>
      </c>
      <c r="H347" s="205" t="s">
        <v>1389</v>
      </c>
      <c r="I347" s="205" t="s">
        <v>1389</v>
      </c>
      <c r="J347" s="209" t="s">
        <v>85</v>
      </c>
      <c r="K347" s="212" t="s">
        <v>687</v>
      </c>
      <c r="L347" s="212" t="s">
        <v>688</v>
      </c>
      <c r="M347" s="211">
        <v>44158.0</v>
      </c>
      <c r="N347" s="212" t="s">
        <v>1318</v>
      </c>
      <c r="O347" s="212" t="s">
        <v>690</v>
      </c>
      <c r="P347" s="216" t="s">
        <v>691</v>
      </c>
      <c r="Q347" s="216" t="s">
        <v>691</v>
      </c>
      <c r="R347" s="206"/>
    </row>
    <row r="348" ht="15.75" customHeight="1">
      <c r="A348" s="172" t="s">
        <v>1414</v>
      </c>
      <c r="B348" s="154" t="s">
        <v>44</v>
      </c>
      <c r="C348" s="173" t="s">
        <v>1415</v>
      </c>
      <c r="D348" s="174" t="s">
        <v>185</v>
      </c>
      <c r="E348" s="173" t="s">
        <v>1313</v>
      </c>
      <c r="F348" s="180">
        <v>9.176888895E9</v>
      </c>
      <c r="G348" s="172" t="s">
        <v>1389</v>
      </c>
      <c r="H348" s="205" t="s">
        <v>1389</v>
      </c>
      <c r="I348" s="205" t="s">
        <v>1389</v>
      </c>
      <c r="J348" s="209" t="s">
        <v>85</v>
      </c>
      <c r="K348" s="212" t="s">
        <v>687</v>
      </c>
      <c r="L348" s="212" t="s">
        <v>688</v>
      </c>
      <c r="M348" s="211">
        <v>44158.0</v>
      </c>
      <c r="N348" s="212" t="s">
        <v>1318</v>
      </c>
      <c r="O348" s="212" t="s">
        <v>690</v>
      </c>
      <c r="P348" s="216" t="s">
        <v>691</v>
      </c>
      <c r="Q348" s="216" t="s">
        <v>691</v>
      </c>
      <c r="R348" s="206"/>
    </row>
    <row r="349" ht="15.75" customHeight="1">
      <c r="A349" s="172" t="s">
        <v>1416</v>
      </c>
      <c r="B349" s="154" t="s">
        <v>696</v>
      </c>
      <c r="C349" s="173" t="s">
        <v>1417</v>
      </c>
      <c r="D349" s="174" t="s">
        <v>83</v>
      </c>
      <c r="E349" s="173" t="s">
        <v>1313</v>
      </c>
      <c r="F349" s="216">
        <v>1.0</v>
      </c>
      <c r="G349" s="172" t="s">
        <v>1389</v>
      </c>
      <c r="H349" s="196" t="s">
        <v>1389</v>
      </c>
      <c r="I349" s="196" t="s">
        <v>1389</v>
      </c>
      <c r="J349" s="209" t="s">
        <v>85</v>
      </c>
      <c r="K349" s="212" t="s">
        <v>687</v>
      </c>
      <c r="L349" s="212" t="s">
        <v>688</v>
      </c>
      <c r="M349" s="211">
        <v>44158.0</v>
      </c>
      <c r="N349" s="212" t="s">
        <v>1418</v>
      </c>
      <c r="O349" s="212" t="s">
        <v>1419</v>
      </c>
      <c r="P349" s="216" t="s">
        <v>744</v>
      </c>
      <c r="Q349" s="216" t="s">
        <v>744</v>
      </c>
      <c r="R349" s="206"/>
    </row>
    <row r="350" ht="15.75" customHeight="1">
      <c r="A350" s="172" t="s">
        <v>1420</v>
      </c>
      <c r="B350" s="153" t="s">
        <v>60</v>
      </c>
      <c r="C350" s="173" t="s">
        <v>1421</v>
      </c>
      <c r="D350" s="174" t="s">
        <v>185</v>
      </c>
      <c r="E350" s="173" t="s">
        <v>720</v>
      </c>
      <c r="F350" s="185" t="s">
        <v>839</v>
      </c>
      <c r="G350" s="172" t="s">
        <v>1422</v>
      </c>
      <c r="H350" s="172" t="s">
        <v>1422</v>
      </c>
      <c r="I350" s="172" t="s">
        <v>1422</v>
      </c>
      <c r="J350" s="209" t="s">
        <v>85</v>
      </c>
      <c r="K350" s="219" t="s">
        <v>749</v>
      </c>
      <c r="L350" s="209"/>
      <c r="M350" s="214">
        <v>44105.0</v>
      </c>
      <c r="N350" s="212" t="s">
        <v>764</v>
      </c>
      <c r="O350" s="212" t="s">
        <v>732</v>
      </c>
      <c r="P350" s="216" t="s">
        <v>782</v>
      </c>
      <c r="Q350" s="216" t="s">
        <v>782</v>
      </c>
      <c r="R350" s="206"/>
    </row>
    <row r="351" ht="15.75" customHeight="1">
      <c r="A351" s="172" t="s">
        <v>1423</v>
      </c>
      <c r="B351" s="153" t="s">
        <v>60</v>
      </c>
      <c r="C351" s="173" t="s">
        <v>1424</v>
      </c>
      <c r="D351" s="174" t="s">
        <v>185</v>
      </c>
      <c r="E351" s="173" t="s">
        <v>720</v>
      </c>
      <c r="F351" s="185" t="s">
        <v>839</v>
      </c>
      <c r="G351" s="172" t="s">
        <v>1422</v>
      </c>
      <c r="H351" s="172" t="s">
        <v>1422</v>
      </c>
      <c r="I351" s="172" t="s">
        <v>1422</v>
      </c>
      <c r="J351" s="209" t="s">
        <v>85</v>
      </c>
      <c r="K351" s="219" t="s">
        <v>749</v>
      </c>
      <c r="L351" s="209"/>
      <c r="M351" s="214">
        <v>44105.0</v>
      </c>
      <c r="N351" s="212" t="s">
        <v>764</v>
      </c>
      <c r="O351" s="212" t="s">
        <v>732</v>
      </c>
      <c r="P351" s="216" t="s">
        <v>782</v>
      </c>
      <c r="Q351" s="216" t="s">
        <v>782</v>
      </c>
      <c r="R351" s="206"/>
    </row>
    <row r="352" ht="15.75" customHeight="1">
      <c r="A352" s="172" t="s">
        <v>1425</v>
      </c>
      <c r="B352" s="153" t="s">
        <v>60</v>
      </c>
      <c r="C352" s="173" t="s">
        <v>1426</v>
      </c>
      <c r="D352" s="174" t="s">
        <v>185</v>
      </c>
      <c r="E352" s="173" t="s">
        <v>720</v>
      </c>
      <c r="F352" s="185" t="s">
        <v>839</v>
      </c>
      <c r="G352" s="172" t="s">
        <v>1422</v>
      </c>
      <c r="H352" s="172" t="s">
        <v>1422</v>
      </c>
      <c r="I352" s="172" t="s">
        <v>1422</v>
      </c>
      <c r="J352" s="209" t="s">
        <v>85</v>
      </c>
      <c r="K352" s="219" t="s">
        <v>749</v>
      </c>
      <c r="L352" s="209"/>
      <c r="M352" s="214">
        <v>44105.0</v>
      </c>
      <c r="N352" s="212" t="s">
        <v>764</v>
      </c>
      <c r="O352" s="212" t="s">
        <v>732</v>
      </c>
      <c r="P352" s="216" t="s">
        <v>782</v>
      </c>
      <c r="Q352" s="216" t="s">
        <v>782</v>
      </c>
      <c r="R352" s="206"/>
    </row>
    <row r="353" ht="15.75" customHeight="1">
      <c r="A353" s="172" t="s">
        <v>1427</v>
      </c>
      <c r="B353" s="153" t="s">
        <v>60</v>
      </c>
      <c r="C353" s="173" t="s">
        <v>1428</v>
      </c>
      <c r="D353" s="174" t="s">
        <v>185</v>
      </c>
      <c r="E353" s="173" t="s">
        <v>720</v>
      </c>
      <c r="F353" s="185" t="s">
        <v>839</v>
      </c>
      <c r="G353" s="172" t="s">
        <v>1422</v>
      </c>
      <c r="H353" s="172" t="s">
        <v>1422</v>
      </c>
      <c r="I353" s="172" t="s">
        <v>1422</v>
      </c>
      <c r="J353" s="209" t="s">
        <v>85</v>
      </c>
      <c r="K353" s="219" t="s">
        <v>749</v>
      </c>
      <c r="L353" s="209"/>
      <c r="M353" s="214">
        <v>44105.0</v>
      </c>
      <c r="N353" s="212" t="s">
        <v>764</v>
      </c>
      <c r="O353" s="212" t="s">
        <v>732</v>
      </c>
      <c r="P353" s="216" t="s">
        <v>782</v>
      </c>
      <c r="Q353" s="216" t="s">
        <v>782</v>
      </c>
      <c r="R353" s="206"/>
    </row>
    <row r="354" ht="15.75" customHeight="1">
      <c r="A354" s="172" t="s">
        <v>1429</v>
      </c>
      <c r="B354" s="153" t="s">
        <v>60</v>
      </c>
      <c r="C354" s="173" t="s">
        <v>1430</v>
      </c>
      <c r="D354" s="174" t="s">
        <v>185</v>
      </c>
      <c r="E354" s="173" t="s">
        <v>720</v>
      </c>
      <c r="F354" s="185" t="s">
        <v>839</v>
      </c>
      <c r="G354" s="172" t="s">
        <v>1422</v>
      </c>
      <c r="H354" s="172" t="s">
        <v>1422</v>
      </c>
      <c r="I354" s="172" t="s">
        <v>1422</v>
      </c>
      <c r="J354" s="209" t="s">
        <v>85</v>
      </c>
      <c r="K354" s="219" t="s">
        <v>749</v>
      </c>
      <c r="L354" s="209"/>
      <c r="M354" s="214">
        <v>44105.0</v>
      </c>
      <c r="N354" s="212" t="s">
        <v>764</v>
      </c>
      <c r="O354" s="212" t="s">
        <v>732</v>
      </c>
      <c r="P354" s="216" t="s">
        <v>782</v>
      </c>
      <c r="Q354" s="216" t="s">
        <v>782</v>
      </c>
      <c r="R354" s="206"/>
    </row>
    <row r="355" ht="15.75" customHeight="1">
      <c r="A355" s="172" t="s">
        <v>1431</v>
      </c>
      <c r="B355" s="153" t="s">
        <v>60</v>
      </c>
      <c r="C355" s="173" t="s">
        <v>1432</v>
      </c>
      <c r="D355" s="174" t="s">
        <v>185</v>
      </c>
      <c r="E355" s="173" t="s">
        <v>720</v>
      </c>
      <c r="F355" s="185" t="s">
        <v>839</v>
      </c>
      <c r="G355" s="172" t="s">
        <v>1422</v>
      </c>
      <c r="H355" s="172" t="s">
        <v>1422</v>
      </c>
      <c r="I355" s="172" t="s">
        <v>1422</v>
      </c>
      <c r="J355" s="209" t="s">
        <v>85</v>
      </c>
      <c r="K355" s="219" t="s">
        <v>749</v>
      </c>
      <c r="L355" s="209"/>
      <c r="M355" s="214">
        <v>44105.0</v>
      </c>
      <c r="N355" s="212" t="s">
        <v>764</v>
      </c>
      <c r="O355" s="212" t="s">
        <v>732</v>
      </c>
      <c r="P355" s="216" t="s">
        <v>782</v>
      </c>
      <c r="Q355" s="216" t="s">
        <v>782</v>
      </c>
      <c r="R355" s="206"/>
    </row>
    <row r="356" ht="15.75" customHeight="1">
      <c r="A356" s="172" t="s">
        <v>1433</v>
      </c>
      <c r="B356" s="154" t="s">
        <v>46</v>
      </c>
      <c r="C356" s="173" t="s">
        <v>1434</v>
      </c>
      <c r="D356" s="174" t="s">
        <v>185</v>
      </c>
      <c r="E356" s="173" t="s">
        <v>720</v>
      </c>
      <c r="F356" s="185" t="s">
        <v>839</v>
      </c>
      <c r="G356" s="172" t="s">
        <v>686</v>
      </c>
      <c r="H356" s="172" t="s">
        <v>686</v>
      </c>
      <c r="I356" s="172" t="s">
        <v>686</v>
      </c>
      <c r="J356" s="209" t="s">
        <v>85</v>
      </c>
      <c r="K356" s="219" t="s">
        <v>749</v>
      </c>
      <c r="L356" s="209"/>
      <c r="M356" s="214">
        <v>44075.0</v>
      </c>
      <c r="N356" s="212" t="s">
        <v>692</v>
      </c>
      <c r="O356" s="212" t="s">
        <v>690</v>
      </c>
      <c r="P356" s="216" t="s">
        <v>782</v>
      </c>
      <c r="Q356" s="216" t="s">
        <v>782</v>
      </c>
      <c r="R356" s="206"/>
    </row>
    <row r="357" ht="15.75" customHeight="1">
      <c r="A357" s="172" t="s">
        <v>1435</v>
      </c>
      <c r="B357" s="154" t="s">
        <v>46</v>
      </c>
      <c r="C357" s="173" t="s">
        <v>1436</v>
      </c>
      <c r="D357" s="174" t="s">
        <v>83</v>
      </c>
      <c r="E357" s="173" t="s">
        <v>1306</v>
      </c>
      <c r="F357" s="185" t="s">
        <v>977</v>
      </c>
      <c r="G357" s="172" t="s">
        <v>686</v>
      </c>
      <c r="H357" s="172" t="s">
        <v>686</v>
      </c>
      <c r="I357" s="172" t="s">
        <v>686</v>
      </c>
      <c r="J357" s="209" t="s">
        <v>85</v>
      </c>
      <c r="K357" s="219" t="s">
        <v>749</v>
      </c>
      <c r="L357" s="209"/>
      <c r="M357" s="214">
        <v>44075.0</v>
      </c>
      <c r="N357" s="212" t="s">
        <v>692</v>
      </c>
      <c r="O357" s="212" t="s">
        <v>690</v>
      </c>
      <c r="P357" s="216" t="s">
        <v>782</v>
      </c>
      <c r="Q357" s="216" t="s">
        <v>782</v>
      </c>
      <c r="R357" s="206"/>
    </row>
    <row r="358" ht="15.75" customHeight="1">
      <c r="A358" s="172" t="s">
        <v>1437</v>
      </c>
      <c r="B358" s="154" t="s">
        <v>46</v>
      </c>
      <c r="C358" s="173" t="s">
        <v>1438</v>
      </c>
      <c r="D358" s="174" t="s">
        <v>185</v>
      </c>
      <c r="E358" s="173" t="s">
        <v>1439</v>
      </c>
      <c r="F358" s="185" t="s">
        <v>1440</v>
      </c>
      <c r="G358" s="172" t="s">
        <v>686</v>
      </c>
      <c r="H358" s="172" t="s">
        <v>686</v>
      </c>
      <c r="I358" s="172" t="s">
        <v>686</v>
      </c>
      <c r="J358" s="209" t="s">
        <v>85</v>
      </c>
      <c r="K358" s="219" t="s">
        <v>714</v>
      </c>
      <c r="L358" s="209"/>
      <c r="M358" s="214">
        <v>44075.0</v>
      </c>
      <c r="N358" s="212" t="s">
        <v>692</v>
      </c>
      <c r="O358" s="212" t="s">
        <v>690</v>
      </c>
      <c r="P358" s="216" t="s">
        <v>782</v>
      </c>
      <c r="Q358" s="216" t="s">
        <v>782</v>
      </c>
      <c r="R358" s="206"/>
    </row>
    <row r="359" ht="15.75" customHeight="1">
      <c r="A359" s="172" t="s">
        <v>1441</v>
      </c>
      <c r="B359" s="154" t="s">
        <v>46</v>
      </c>
      <c r="C359" s="173" t="s">
        <v>1442</v>
      </c>
      <c r="D359" s="174" t="s">
        <v>185</v>
      </c>
      <c r="E359" s="173" t="s">
        <v>720</v>
      </c>
      <c r="F359" s="185" t="s">
        <v>839</v>
      </c>
      <c r="G359" s="172" t="s">
        <v>686</v>
      </c>
      <c r="H359" s="172" t="s">
        <v>686</v>
      </c>
      <c r="I359" s="172" t="s">
        <v>686</v>
      </c>
      <c r="J359" s="209" t="s">
        <v>85</v>
      </c>
      <c r="K359" s="219" t="s">
        <v>714</v>
      </c>
      <c r="L359" s="209"/>
      <c r="M359" s="214">
        <v>44075.0</v>
      </c>
      <c r="N359" s="212" t="s">
        <v>692</v>
      </c>
      <c r="O359" s="212" t="s">
        <v>690</v>
      </c>
      <c r="P359" s="216" t="s">
        <v>782</v>
      </c>
      <c r="Q359" s="216" t="s">
        <v>782</v>
      </c>
      <c r="R359" s="206"/>
    </row>
    <row r="360" ht="15.75" customHeight="1">
      <c r="A360" s="172" t="s">
        <v>1443</v>
      </c>
      <c r="B360" s="154" t="s">
        <v>46</v>
      </c>
      <c r="C360" s="173" t="s">
        <v>1444</v>
      </c>
      <c r="D360" s="174" t="s">
        <v>83</v>
      </c>
      <c r="E360" s="173" t="s">
        <v>1306</v>
      </c>
      <c r="F360" s="185" t="s">
        <v>977</v>
      </c>
      <c r="G360" s="172" t="s">
        <v>686</v>
      </c>
      <c r="H360" s="172" t="s">
        <v>686</v>
      </c>
      <c r="I360" s="172" t="s">
        <v>686</v>
      </c>
      <c r="J360" s="209" t="s">
        <v>85</v>
      </c>
      <c r="K360" s="219" t="s">
        <v>714</v>
      </c>
      <c r="L360" s="209"/>
      <c r="M360" s="214">
        <v>44075.0</v>
      </c>
      <c r="N360" s="212" t="s">
        <v>692</v>
      </c>
      <c r="O360" s="212" t="s">
        <v>690</v>
      </c>
      <c r="P360" s="216" t="s">
        <v>782</v>
      </c>
      <c r="Q360" s="216" t="s">
        <v>782</v>
      </c>
      <c r="R360" s="206"/>
    </row>
    <row r="361" ht="15.75" customHeight="1">
      <c r="A361" s="172" t="s">
        <v>1445</v>
      </c>
      <c r="B361" s="154" t="s">
        <v>46</v>
      </c>
      <c r="C361" s="173" t="s">
        <v>1446</v>
      </c>
      <c r="D361" s="174" t="s">
        <v>185</v>
      </c>
      <c r="E361" s="173" t="s">
        <v>1439</v>
      </c>
      <c r="F361" s="220" t="s">
        <v>1447</v>
      </c>
      <c r="G361" s="172" t="s">
        <v>686</v>
      </c>
      <c r="H361" s="172" t="s">
        <v>686</v>
      </c>
      <c r="I361" s="172" t="s">
        <v>686</v>
      </c>
      <c r="J361" s="221" t="s">
        <v>85</v>
      </c>
      <c r="K361" s="222" t="s">
        <v>714</v>
      </c>
      <c r="L361" s="221"/>
      <c r="M361" s="214">
        <v>44075.0</v>
      </c>
      <c r="N361" s="223" t="s">
        <v>692</v>
      </c>
      <c r="O361" s="223" t="s">
        <v>690</v>
      </c>
      <c r="P361" s="216" t="s">
        <v>782</v>
      </c>
      <c r="Q361" s="216" t="s">
        <v>782</v>
      </c>
      <c r="R361" s="206"/>
    </row>
    <row r="362" ht="15.75" customHeight="1">
      <c r="A362" s="172" t="s">
        <v>1448</v>
      </c>
      <c r="B362" s="154" t="s">
        <v>197</v>
      </c>
      <c r="C362" s="173" t="s">
        <v>1449</v>
      </c>
      <c r="D362" s="174" t="s">
        <v>185</v>
      </c>
      <c r="E362" s="173" t="s">
        <v>720</v>
      </c>
      <c r="F362" s="185" t="b">
        <v>1</v>
      </c>
      <c r="G362" s="180" t="s">
        <v>686</v>
      </c>
      <c r="H362" s="180" t="s">
        <v>686</v>
      </c>
      <c r="I362" s="180" t="s">
        <v>90</v>
      </c>
      <c r="J362" s="209" t="s">
        <v>85</v>
      </c>
      <c r="K362" s="219" t="s">
        <v>749</v>
      </c>
      <c r="L362" s="209"/>
      <c r="M362" s="224"/>
      <c r="N362" s="173" t="s">
        <v>741</v>
      </c>
      <c r="O362" s="176" t="s">
        <v>690</v>
      </c>
      <c r="P362" s="216" t="s">
        <v>702</v>
      </c>
      <c r="Q362" s="216" t="s">
        <v>702</v>
      </c>
      <c r="R362" s="206"/>
    </row>
    <row r="363" ht="15.75" customHeight="1">
      <c r="A363" s="172" t="s">
        <v>1450</v>
      </c>
      <c r="B363" s="154" t="s">
        <v>696</v>
      </c>
      <c r="C363" s="173" t="s">
        <v>1451</v>
      </c>
      <c r="D363" s="173" t="s">
        <v>83</v>
      </c>
      <c r="E363" s="173" t="s">
        <v>1313</v>
      </c>
      <c r="F363" s="196" t="s">
        <v>1452</v>
      </c>
      <c r="G363" s="172" t="s">
        <v>1389</v>
      </c>
      <c r="H363" s="172" t="s">
        <v>1389</v>
      </c>
      <c r="I363" s="172" t="s">
        <v>1389</v>
      </c>
      <c r="J363" s="209" t="s">
        <v>85</v>
      </c>
      <c r="K363" s="219" t="s">
        <v>687</v>
      </c>
      <c r="L363" s="212" t="s">
        <v>688</v>
      </c>
      <c r="M363" s="224"/>
      <c r="N363" s="212" t="s">
        <v>1401</v>
      </c>
      <c r="O363" s="212" t="s">
        <v>1419</v>
      </c>
      <c r="P363" s="225" t="s">
        <v>744</v>
      </c>
      <c r="Q363" s="225" t="s">
        <v>744</v>
      </c>
      <c r="R363" s="206"/>
    </row>
    <row r="364" ht="15.75" customHeight="1">
      <c r="A364" s="172" t="s">
        <v>1453</v>
      </c>
      <c r="B364" s="154" t="s">
        <v>44</v>
      </c>
      <c r="C364" s="173" t="s">
        <v>1454</v>
      </c>
      <c r="D364" s="173" t="s">
        <v>83</v>
      </c>
      <c r="E364" s="173" t="s">
        <v>1313</v>
      </c>
      <c r="F364" s="196">
        <v>6.3220000097E11</v>
      </c>
      <c r="G364" s="172" t="s">
        <v>1389</v>
      </c>
      <c r="H364" s="172" t="s">
        <v>1389</v>
      </c>
      <c r="I364" s="172" t="s">
        <v>1389</v>
      </c>
      <c r="J364" s="209" t="s">
        <v>85</v>
      </c>
      <c r="K364" s="219" t="s">
        <v>687</v>
      </c>
      <c r="L364" s="212" t="s">
        <v>688</v>
      </c>
      <c r="M364" s="224"/>
      <c r="N364" s="212" t="s">
        <v>1401</v>
      </c>
      <c r="O364" s="212" t="s">
        <v>1419</v>
      </c>
      <c r="P364" s="225" t="s">
        <v>744</v>
      </c>
      <c r="Q364" s="225" t="s">
        <v>744</v>
      </c>
      <c r="R364" s="206"/>
    </row>
    <row r="365" ht="15.75" customHeight="1">
      <c r="A365" s="172" t="s">
        <v>1455</v>
      </c>
      <c r="B365" s="154" t="s">
        <v>44</v>
      </c>
      <c r="C365" s="173" t="s">
        <v>1456</v>
      </c>
      <c r="D365" s="173" t="s">
        <v>83</v>
      </c>
      <c r="E365" s="173" t="s">
        <v>1313</v>
      </c>
      <c r="F365" s="196" t="s">
        <v>1457</v>
      </c>
      <c r="G365" s="172" t="s">
        <v>1389</v>
      </c>
      <c r="H365" s="172" t="s">
        <v>1389</v>
      </c>
      <c r="I365" s="172" t="s">
        <v>1389</v>
      </c>
      <c r="J365" s="209" t="s">
        <v>85</v>
      </c>
      <c r="K365" s="219" t="s">
        <v>687</v>
      </c>
      <c r="L365" s="212" t="s">
        <v>688</v>
      </c>
      <c r="M365" s="224"/>
      <c r="N365" s="212" t="s">
        <v>1401</v>
      </c>
      <c r="O365" s="212" t="s">
        <v>1419</v>
      </c>
      <c r="P365" s="225" t="s">
        <v>744</v>
      </c>
      <c r="Q365" s="225" t="s">
        <v>744</v>
      </c>
      <c r="R365" s="206"/>
    </row>
    <row r="366" ht="15.75" customHeight="1">
      <c r="A366" s="172" t="s">
        <v>1458</v>
      </c>
      <c r="B366" s="154" t="s">
        <v>696</v>
      </c>
      <c r="C366" s="173" t="s">
        <v>1459</v>
      </c>
      <c r="D366" s="173" t="s">
        <v>83</v>
      </c>
      <c r="E366" s="173" t="s">
        <v>1460</v>
      </c>
      <c r="F366" s="196">
        <v>8.0</v>
      </c>
      <c r="G366" s="172" t="s">
        <v>1389</v>
      </c>
      <c r="H366" s="172" t="s">
        <v>1389</v>
      </c>
      <c r="I366" s="172" t="s">
        <v>1389</v>
      </c>
      <c r="J366" s="209" t="s">
        <v>85</v>
      </c>
      <c r="K366" s="219" t="s">
        <v>687</v>
      </c>
      <c r="L366" s="212" t="s">
        <v>688</v>
      </c>
      <c r="M366" s="224"/>
      <c r="N366" s="212" t="s">
        <v>1401</v>
      </c>
      <c r="O366" s="212" t="s">
        <v>1419</v>
      </c>
      <c r="P366" s="225" t="s">
        <v>744</v>
      </c>
      <c r="Q366" s="225" t="s">
        <v>744</v>
      </c>
      <c r="R366" s="206"/>
    </row>
    <row r="367" ht="15.75" customHeight="1">
      <c r="A367" s="172" t="s">
        <v>1461</v>
      </c>
      <c r="B367" s="154" t="s">
        <v>696</v>
      </c>
      <c r="C367" s="173" t="s">
        <v>1462</v>
      </c>
      <c r="D367" s="173" t="s">
        <v>83</v>
      </c>
      <c r="E367" s="173" t="s">
        <v>1313</v>
      </c>
      <c r="F367" s="196" t="s">
        <v>1463</v>
      </c>
      <c r="G367" s="172" t="s">
        <v>1389</v>
      </c>
      <c r="H367" s="172" t="s">
        <v>1389</v>
      </c>
      <c r="I367" s="172" t="s">
        <v>1389</v>
      </c>
      <c r="J367" s="209" t="s">
        <v>85</v>
      </c>
      <c r="K367" s="219" t="s">
        <v>687</v>
      </c>
      <c r="L367" s="212" t="s">
        <v>688</v>
      </c>
      <c r="M367" s="224"/>
      <c r="N367" s="212" t="s">
        <v>1401</v>
      </c>
      <c r="O367" s="212" t="s">
        <v>1419</v>
      </c>
      <c r="P367" s="225" t="s">
        <v>744</v>
      </c>
      <c r="Q367" s="225" t="s">
        <v>744</v>
      </c>
      <c r="R367" s="206"/>
    </row>
    <row r="368" ht="15.75" customHeight="1">
      <c r="A368" s="172" t="s">
        <v>1464</v>
      </c>
      <c r="B368" s="154" t="s">
        <v>197</v>
      </c>
      <c r="C368" s="173" t="s">
        <v>1465</v>
      </c>
      <c r="D368" s="173" t="s">
        <v>185</v>
      </c>
      <c r="E368" s="173" t="s">
        <v>1466</v>
      </c>
      <c r="F368" s="196">
        <v>-66.0</v>
      </c>
      <c r="G368" s="172" t="s">
        <v>1397</v>
      </c>
      <c r="H368" s="172" t="s">
        <v>1397</v>
      </c>
      <c r="I368" s="172" t="s">
        <v>1397</v>
      </c>
      <c r="J368" s="209" t="s">
        <v>85</v>
      </c>
      <c r="K368" s="219" t="s">
        <v>687</v>
      </c>
      <c r="L368" s="212" t="s">
        <v>760</v>
      </c>
      <c r="M368" s="224"/>
      <c r="N368" s="212" t="s">
        <v>1340</v>
      </c>
      <c r="O368" s="212" t="s">
        <v>1419</v>
      </c>
      <c r="P368" s="225" t="s">
        <v>761</v>
      </c>
      <c r="Q368" s="225" t="s">
        <v>761</v>
      </c>
      <c r="R368" s="206"/>
    </row>
    <row r="369" ht="15.75" customHeight="1">
      <c r="A369" s="172" t="s">
        <v>1467</v>
      </c>
      <c r="B369" s="154" t="s">
        <v>44</v>
      </c>
      <c r="C369" s="173" t="s">
        <v>1468</v>
      </c>
      <c r="D369" s="173" t="s">
        <v>185</v>
      </c>
      <c r="E369" s="173" t="s">
        <v>1466</v>
      </c>
      <c r="F369" s="196">
        <v>58.5</v>
      </c>
      <c r="G369" s="172" t="s">
        <v>1346</v>
      </c>
      <c r="H369" s="172" t="s">
        <v>1346</v>
      </c>
      <c r="I369" s="172" t="s">
        <v>1346</v>
      </c>
      <c r="J369" s="209" t="s">
        <v>85</v>
      </c>
      <c r="K369" s="219" t="s">
        <v>687</v>
      </c>
      <c r="L369" s="212" t="s">
        <v>688</v>
      </c>
      <c r="M369" s="224"/>
      <c r="N369" s="212" t="s">
        <v>1340</v>
      </c>
      <c r="O369" s="212" t="s">
        <v>1419</v>
      </c>
      <c r="P369" s="225" t="s">
        <v>761</v>
      </c>
      <c r="Q369" s="225" t="s">
        <v>761</v>
      </c>
      <c r="R369" s="206"/>
    </row>
    <row r="370" ht="15.75" customHeight="1">
      <c r="A370" s="172" t="s">
        <v>1469</v>
      </c>
      <c r="B370" s="154" t="s">
        <v>197</v>
      </c>
      <c r="C370" s="173" t="s">
        <v>1470</v>
      </c>
      <c r="D370" s="173" t="s">
        <v>185</v>
      </c>
      <c r="E370" s="173" t="s">
        <v>1466</v>
      </c>
      <c r="F370" s="196">
        <v>10.94</v>
      </c>
      <c r="G370" s="172" t="s">
        <v>1389</v>
      </c>
      <c r="H370" s="172" t="s">
        <v>1389</v>
      </c>
      <c r="I370" s="172" t="s">
        <v>1389</v>
      </c>
      <c r="J370" s="209" t="s">
        <v>85</v>
      </c>
      <c r="K370" s="219" t="s">
        <v>687</v>
      </c>
      <c r="L370" s="212" t="s">
        <v>760</v>
      </c>
      <c r="M370" s="224"/>
      <c r="N370" s="173" t="s">
        <v>701</v>
      </c>
      <c r="O370" s="176" t="s">
        <v>690</v>
      </c>
      <c r="P370" s="225" t="s">
        <v>724</v>
      </c>
      <c r="Q370" s="225" t="s">
        <v>724</v>
      </c>
      <c r="R370" s="206"/>
    </row>
    <row r="371" ht="15.75" customHeight="1">
      <c r="A371" s="172" t="s">
        <v>1471</v>
      </c>
      <c r="B371" s="154" t="s">
        <v>197</v>
      </c>
      <c r="C371" s="173" t="s">
        <v>1472</v>
      </c>
      <c r="D371" s="173" t="s">
        <v>185</v>
      </c>
      <c r="E371" s="173" t="s">
        <v>1466</v>
      </c>
      <c r="F371" s="196">
        <v>22.0</v>
      </c>
      <c r="G371" s="172" t="s">
        <v>1473</v>
      </c>
      <c r="H371" s="172" t="s">
        <v>1473</v>
      </c>
      <c r="I371" s="172" t="s">
        <v>1473</v>
      </c>
      <c r="J371" s="209" t="s">
        <v>85</v>
      </c>
      <c r="K371" s="219" t="s">
        <v>687</v>
      </c>
      <c r="L371" s="212" t="s">
        <v>760</v>
      </c>
      <c r="M371" s="226"/>
      <c r="N371" s="173" t="s">
        <v>741</v>
      </c>
      <c r="O371" s="176" t="s">
        <v>690</v>
      </c>
      <c r="P371" s="225" t="s">
        <v>724</v>
      </c>
      <c r="Q371" s="225" t="s">
        <v>724</v>
      </c>
      <c r="R371" s="206"/>
    </row>
    <row r="372" ht="15.75" customHeight="1">
      <c r="A372" s="172" t="s">
        <v>1474</v>
      </c>
      <c r="B372" s="154" t="s">
        <v>197</v>
      </c>
      <c r="C372" s="173" t="s">
        <v>1475</v>
      </c>
      <c r="D372" s="173" t="s">
        <v>185</v>
      </c>
      <c r="E372" s="173" t="s">
        <v>1466</v>
      </c>
      <c r="F372" s="196">
        <v>446.32</v>
      </c>
      <c r="G372" s="172" t="s">
        <v>1473</v>
      </c>
      <c r="H372" s="172" t="s">
        <v>1473</v>
      </c>
      <c r="I372" s="172" t="s">
        <v>1473</v>
      </c>
      <c r="J372" s="209" t="s">
        <v>85</v>
      </c>
      <c r="K372" s="219" t="s">
        <v>687</v>
      </c>
      <c r="L372" s="212" t="s">
        <v>760</v>
      </c>
      <c r="M372" s="224"/>
      <c r="N372" s="173" t="s">
        <v>741</v>
      </c>
      <c r="O372" s="176" t="s">
        <v>690</v>
      </c>
      <c r="P372" s="225" t="s">
        <v>724</v>
      </c>
      <c r="Q372" s="225" t="s">
        <v>724</v>
      </c>
      <c r="R372" s="206"/>
    </row>
    <row r="373" ht="15.75" customHeight="1">
      <c r="A373" s="172" t="s">
        <v>1476</v>
      </c>
      <c r="B373" s="154" t="s">
        <v>197</v>
      </c>
      <c r="C373" s="173" t="s">
        <v>1477</v>
      </c>
      <c r="D373" s="173" t="s">
        <v>185</v>
      </c>
      <c r="E373" s="173" t="s">
        <v>1460</v>
      </c>
      <c r="F373" s="196">
        <v>25.0</v>
      </c>
      <c r="G373" s="172" t="s">
        <v>1473</v>
      </c>
      <c r="H373" s="172" t="s">
        <v>1473</v>
      </c>
      <c r="I373" s="172" t="s">
        <v>1473</v>
      </c>
      <c r="J373" s="209" t="s">
        <v>85</v>
      </c>
      <c r="K373" s="219" t="s">
        <v>687</v>
      </c>
      <c r="L373" s="212" t="s">
        <v>760</v>
      </c>
      <c r="M373" s="224"/>
      <c r="N373" s="173" t="s">
        <v>1327</v>
      </c>
      <c r="O373" s="176" t="s">
        <v>690</v>
      </c>
      <c r="P373" s="225" t="s">
        <v>724</v>
      </c>
      <c r="Q373" s="225" t="s">
        <v>724</v>
      </c>
      <c r="R373" s="206"/>
    </row>
    <row r="374" ht="15.75" customHeight="1">
      <c r="A374" s="172" t="s">
        <v>1485</v>
      </c>
      <c r="B374" s="154" t="s">
        <v>46</v>
      </c>
      <c r="C374" s="173" t="s">
        <v>1486</v>
      </c>
      <c r="D374" s="173" t="s">
        <v>135</v>
      </c>
      <c r="E374" s="173" t="s">
        <v>685</v>
      </c>
      <c r="F374" s="196" t="s">
        <v>1487</v>
      </c>
      <c r="G374" s="172" t="s">
        <v>136</v>
      </c>
      <c r="H374" s="172" t="s">
        <v>136</v>
      </c>
      <c r="I374" s="172" t="s">
        <v>136</v>
      </c>
      <c r="J374" s="209"/>
      <c r="K374" s="219" t="s">
        <v>749</v>
      </c>
      <c r="L374" s="212"/>
      <c r="M374" s="224"/>
      <c r="N374" s="173" t="s">
        <v>741</v>
      </c>
      <c r="O374" s="176" t="s">
        <v>732</v>
      </c>
      <c r="P374" s="225" t="s">
        <v>691</v>
      </c>
      <c r="Q374" s="225" t="s">
        <v>691</v>
      </c>
      <c r="R374" s="227"/>
    </row>
    <row r="375" ht="15.75" customHeight="1">
      <c r="A375" s="172" t="s">
        <v>433</v>
      </c>
      <c r="B375" s="154" t="s">
        <v>44</v>
      </c>
      <c r="C375" s="173" t="s">
        <v>799</v>
      </c>
      <c r="D375" s="173" t="s">
        <v>185</v>
      </c>
      <c r="E375" s="173" t="s">
        <v>698</v>
      </c>
      <c r="F375" s="196">
        <v>43424.0</v>
      </c>
      <c r="G375" s="172" t="s">
        <v>335</v>
      </c>
      <c r="H375" s="172" t="s">
        <v>91</v>
      </c>
      <c r="I375" s="172" t="s">
        <v>91</v>
      </c>
      <c r="J375" s="209" t="s">
        <v>85</v>
      </c>
      <c r="K375" s="219" t="s">
        <v>749</v>
      </c>
      <c r="L375" s="212" t="s">
        <v>688</v>
      </c>
      <c r="M375" s="228">
        <v>44158.0</v>
      </c>
      <c r="N375" s="173" t="s">
        <v>701</v>
      </c>
      <c r="O375" s="176" t="s">
        <v>690</v>
      </c>
      <c r="P375" s="225" t="s">
        <v>705</v>
      </c>
      <c r="Q375" s="225" t="s">
        <v>705</v>
      </c>
      <c r="R375" s="227"/>
    </row>
    <row r="376" ht="15.75" customHeight="1">
      <c r="A376" s="172" t="s">
        <v>1488</v>
      </c>
      <c r="B376" s="154" t="s">
        <v>46</v>
      </c>
      <c r="C376" s="173" t="s">
        <v>1489</v>
      </c>
      <c r="D376" s="229" t="s">
        <v>185</v>
      </c>
      <c r="E376" s="173" t="s">
        <v>720</v>
      </c>
      <c r="F376" s="196" t="b">
        <v>1</v>
      </c>
      <c r="G376" s="172" t="s">
        <v>686</v>
      </c>
      <c r="H376" s="172" t="s">
        <v>686</v>
      </c>
      <c r="I376" s="172" t="s">
        <v>686</v>
      </c>
      <c r="J376" s="209"/>
      <c r="K376" s="164" t="s">
        <v>749</v>
      </c>
      <c r="L376" s="212"/>
      <c r="M376" s="224"/>
      <c r="N376" s="173" t="s">
        <v>692</v>
      </c>
      <c r="O376" s="176" t="s">
        <v>690</v>
      </c>
      <c r="P376" s="225" t="s">
        <v>782</v>
      </c>
      <c r="Q376" s="225" t="s">
        <v>782</v>
      </c>
      <c r="R376" s="227"/>
    </row>
    <row r="377" ht="15.75" customHeight="1">
      <c r="A377" s="172" t="s">
        <v>1490</v>
      </c>
      <c r="B377" s="154" t="s">
        <v>46</v>
      </c>
      <c r="C377" s="173" t="s">
        <v>1491</v>
      </c>
      <c r="D377" s="229" t="s">
        <v>83</v>
      </c>
      <c r="E377" s="173" t="s">
        <v>1492</v>
      </c>
      <c r="F377" s="196" t="s">
        <v>936</v>
      </c>
      <c r="G377" s="172" t="s">
        <v>686</v>
      </c>
      <c r="H377" s="172" t="s">
        <v>686</v>
      </c>
      <c r="I377" s="172" t="s">
        <v>686</v>
      </c>
      <c r="J377" s="209"/>
      <c r="K377" s="154" t="s">
        <v>749</v>
      </c>
      <c r="L377" s="212"/>
      <c r="M377" s="224"/>
      <c r="N377" s="173" t="s">
        <v>692</v>
      </c>
      <c r="O377" s="176" t="s">
        <v>690</v>
      </c>
      <c r="P377" s="225" t="s">
        <v>782</v>
      </c>
      <c r="Q377" s="225" t="s">
        <v>782</v>
      </c>
      <c r="R377" s="227"/>
    </row>
    <row r="378" ht="15.75" customHeight="1">
      <c r="A378" s="172" t="s">
        <v>1493</v>
      </c>
      <c r="B378" s="154" t="s">
        <v>46</v>
      </c>
      <c r="C378" s="173" t="s">
        <v>1494</v>
      </c>
      <c r="D378" s="229" t="s">
        <v>185</v>
      </c>
      <c r="E378" s="173" t="s">
        <v>1492</v>
      </c>
      <c r="F378" s="196" t="s">
        <v>1495</v>
      </c>
      <c r="G378" s="172" t="s">
        <v>686</v>
      </c>
      <c r="H378" s="172" t="s">
        <v>686</v>
      </c>
      <c r="I378" s="172" t="s">
        <v>686</v>
      </c>
      <c r="J378" s="209"/>
      <c r="K378" s="154" t="s">
        <v>749</v>
      </c>
      <c r="L378" s="212"/>
      <c r="M378" s="224"/>
      <c r="N378" s="173" t="s">
        <v>692</v>
      </c>
      <c r="O378" s="176" t="s">
        <v>690</v>
      </c>
      <c r="P378" s="225" t="s">
        <v>782</v>
      </c>
      <c r="Q378" s="225" t="s">
        <v>782</v>
      </c>
      <c r="R378" s="227"/>
    </row>
    <row r="379" ht="15.75" customHeight="1">
      <c r="A379" s="172" t="s">
        <v>1496</v>
      </c>
      <c r="B379" s="165" t="s">
        <v>197</v>
      </c>
      <c r="C379" s="173" t="s">
        <v>1497</v>
      </c>
      <c r="D379" s="173" t="s">
        <v>185</v>
      </c>
      <c r="E379" s="173" t="s">
        <v>698</v>
      </c>
      <c r="F379" s="183">
        <v>44059.333333333336</v>
      </c>
      <c r="G379" s="172" t="s">
        <v>1397</v>
      </c>
      <c r="H379" s="172" t="s">
        <v>1397</v>
      </c>
      <c r="I379" s="172" t="s">
        <v>1397</v>
      </c>
      <c r="J379" s="212" t="s">
        <v>85</v>
      </c>
      <c r="K379" s="165" t="s">
        <v>687</v>
      </c>
      <c r="L379" s="212"/>
      <c r="M379" s="224"/>
      <c r="N379" s="173" t="s">
        <v>741</v>
      </c>
      <c r="O379" s="176" t="s">
        <v>690</v>
      </c>
      <c r="P379" s="225" t="s">
        <v>724</v>
      </c>
      <c r="Q379" s="225" t="s">
        <v>724</v>
      </c>
      <c r="R379" s="227"/>
    </row>
    <row r="380" ht="15.75" customHeight="1">
      <c r="A380" s="172" t="s">
        <v>1642</v>
      </c>
      <c r="B380" s="165" t="s">
        <v>46</v>
      </c>
      <c r="C380" s="173" t="s">
        <v>1499</v>
      </c>
      <c r="D380" s="173" t="s">
        <v>135</v>
      </c>
      <c r="E380" s="173" t="s">
        <v>1500</v>
      </c>
      <c r="F380" s="196" t="b">
        <v>1</v>
      </c>
      <c r="G380" s="172" t="s">
        <v>1397</v>
      </c>
      <c r="H380" s="172" t="s">
        <v>1397</v>
      </c>
      <c r="I380" s="172" t="s">
        <v>1397</v>
      </c>
      <c r="J380" s="212" t="s">
        <v>85</v>
      </c>
      <c r="K380" s="165" t="s">
        <v>749</v>
      </c>
      <c r="L380" s="212"/>
      <c r="M380" s="224"/>
      <c r="N380" s="173" t="s">
        <v>692</v>
      </c>
      <c r="O380" s="176" t="s">
        <v>690</v>
      </c>
      <c r="P380" s="225" t="s">
        <v>691</v>
      </c>
      <c r="Q380" s="225" t="s">
        <v>691</v>
      </c>
      <c r="R380" s="227"/>
    </row>
    <row r="381" ht="15.75" customHeight="1">
      <c r="A381" s="172" t="s">
        <v>1643</v>
      </c>
      <c r="B381" s="165" t="s">
        <v>46</v>
      </c>
      <c r="C381" s="173" t="s">
        <v>1502</v>
      </c>
      <c r="D381" s="173" t="s">
        <v>135</v>
      </c>
      <c r="E381" s="173" t="s">
        <v>1313</v>
      </c>
      <c r="F381" s="196" t="s">
        <v>977</v>
      </c>
      <c r="G381" s="172" t="s">
        <v>1397</v>
      </c>
      <c r="H381" s="172" t="s">
        <v>1397</v>
      </c>
      <c r="I381" s="172" t="s">
        <v>1397</v>
      </c>
      <c r="J381" s="212" t="s">
        <v>85</v>
      </c>
      <c r="K381" s="165" t="s">
        <v>749</v>
      </c>
      <c r="L381" s="212"/>
      <c r="M381" s="224"/>
      <c r="N381" s="173" t="s">
        <v>692</v>
      </c>
      <c r="O381" s="176" t="s">
        <v>690</v>
      </c>
      <c r="P381" s="225" t="s">
        <v>691</v>
      </c>
      <c r="Q381" s="225" t="s">
        <v>691</v>
      </c>
      <c r="R381" s="227"/>
    </row>
    <row r="382" ht="15.75" customHeight="1">
      <c r="A382" s="172" t="s">
        <v>1644</v>
      </c>
      <c r="B382" s="165" t="s">
        <v>46</v>
      </c>
      <c r="C382" s="173" t="s">
        <v>1504</v>
      </c>
      <c r="D382" s="173" t="s">
        <v>135</v>
      </c>
      <c r="E382" s="173" t="s">
        <v>1313</v>
      </c>
      <c r="F382" s="196" t="s">
        <v>1505</v>
      </c>
      <c r="G382" s="172" t="s">
        <v>1397</v>
      </c>
      <c r="H382" s="172" t="s">
        <v>1397</v>
      </c>
      <c r="I382" s="172" t="s">
        <v>1397</v>
      </c>
      <c r="J382" s="212" t="s">
        <v>85</v>
      </c>
      <c r="K382" s="165" t="s">
        <v>749</v>
      </c>
      <c r="L382" s="212"/>
      <c r="M382" s="224"/>
      <c r="N382" s="173" t="s">
        <v>692</v>
      </c>
      <c r="O382" s="176" t="s">
        <v>690</v>
      </c>
      <c r="P382" s="225" t="s">
        <v>691</v>
      </c>
      <c r="Q382" s="225" t="s">
        <v>691</v>
      </c>
      <c r="R382" s="227"/>
    </row>
    <row r="383" ht="15.75" customHeight="1">
      <c r="A383" s="172" t="s">
        <v>1506</v>
      </c>
      <c r="B383" s="165" t="s">
        <v>52</v>
      </c>
      <c r="C383" s="173" t="s">
        <v>1507</v>
      </c>
      <c r="D383" s="173" t="s">
        <v>185</v>
      </c>
      <c r="E383" s="173" t="s">
        <v>1460</v>
      </c>
      <c r="F383" s="196">
        <v>5.0</v>
      </c>
      <c r="G383" s="172" t="s">
        <v>1397</v>
      </c>
      <c r="H383" s="172" t="s">
        <v>1397</v>
      </c>
      <c r="I383" s="172" t="s">
        <v>1397</v>
      </c>
      <c r="J383" s="212" t="s">
        <v>85</v>
      </c>
      <c r="K383" s="165" t="s">
        <v>687</v>
      </c>
      <c r="L383" s="212"/>
      <c r="M383" s="224"/>
      <c r="N383" s="173" t="s">
        <v>735</v>
      </c>
      <c r="O383" s="176" t="s">
        <v>736</v>
      </c>
      <c r="P383" s="225" t="s">
        <v>721</v>
      </c>
      <c r="Q383" s="225" t="s">
        <v>721</v>
      </c>
      <c r="R383" s="227"/>
    </row>
    <row r="384" ht="15.75" customHeight="1">
      <c r="A384" s="172" t="s">
        <v>1508</v>
      </c>
      <c r="B384" s="165" t="s">
        <v>197</v>
      </c>
      <c r="C384" s="173" t="s">
        <v>1509</v>
      </c>
      <c r="D384" s="173" t="s">
        <v>185</v>
      </c>
      <c r="E384" s="173" t="s">
        <v>1460</v>
      </c>
      <c r="F384" s="196">
        <v>5.0</v>
      </c>
      <c r="G384" s="172" t="s">
        <v>1397</v>
      </c>
      <c r="H384" s="172" t="s">
        <v>1397</v>
      </c>
      <c r="I384" s="172" t="s">
        <v>1397</v>
      </c>
      <c r="J384" s="212" t="s">
        <v>85</v>
      </c>
      <c r="K384" s="165" t="s">
        <v>687</v>
      </c>
      <c r="L384" s="212"/>
      <c r="M384" s="224"/>
      <c r="N384" s="173" t="s">
        <v>741</v>
      </c>
      <c r="O384" s="176" t="s">
        <v>690</v>
      </c>
      <c r="P384" s="225" t="s">
        <v>1510</v>
      </c>
      <c r="Q384" s="225" t="s">
        <v>1510</v>
      </c>
      <c r="R384" s="227"/>
    </row>
    <row r="385" ht="15.75" customHeight="1">
      <c r="A385" s="172" t="s">
        <v>1511</v>
      </c>
      <c r="B385" s="165" t="s">
        <v>58</v>
      </c>
      <c r="C385" s="173" t="s">
        <v>1512</v>
      </c>
      <c r="D385" s="173" t="s">
        <v>185</v>
      </c>
      <c r="E385" s="173" t="s">
        <v>1466</v>
      </c>
      <c r="F385" s="196">
        <v>25.33</v>
      </c>
      <c r="G385" s="172" t="s">
        <v>1389</v>
      </c>
      <c r="H385" s="172" t="s">
        <v>1389</v>
      </c>
      <c r="I385" s="172" t="s">
        <v>1389</v>
      </c>
      <c r="J385" s="212" t="s">
        <v>85</v>
      </c>
      <c r="K385" s="172" t="s">
        <v>1479</v>
      </c>
      <c r="L385" s="212"/>
      <c r="M385" s="224"/>
      <c r="N385" s="173" t="s">
        <v>1401</v>
      </c>
      <c r="O385" s="176" t="s">
        <v>1402</v>
      </c>
      <c r="P385" s="225" t="s">
        <v>721</v>
      </c>
      <c r="Q385" s="225" t="s">
        <v>721</v>
      </c>
      <c r="R385" s="227"/>
    </row>
    <row r="386" ht="15.75" customHeight="1">
      <c r="A386" s="172" t="s">
        <v>1513</v>
      </c>
      <c r="B386" s="165" t="s">
        <v>197</v>
      </c>
      <c r="C386" s="173" t="s">
        <v>1514</v>
      </c>
      <c r="D386" s="173" t="s">
        <v>185</v>
      </c>
      <c r="E386" s="173" t="s">
        <v>1460</v>
      </c>
      <c r="F386" s="196">
        <v>5.0</v>
      </c>
      <c r="G386" s="172" t="s">
        <v>1397</v>
      </c>
      <c r="H386" s="172" t="s">
        <v>1397</v>
      </c>
      <c r="I386" s="172" t="s">
        <v>1397</v>
      </c>
      <c r="J386" s="212" t="s">
        <v>85</v>
      </c>
      <c r="K386" s="165" t="s">
        <v>687</v>
      </c>
      <c r="L386" s="212"/>
      <c r="M386" s="224"/>
      <c r="N386" s="173" t="s">
        <v>735</v>
      </c>
      <c r="O386" s="176" t="s">
        <v>1402</v>
      </c>
      <c r="P386" s="225" t="s">
        <v>761</v>
      </c>
      <c r="Q386" s="225" t="s">
        <v>761</v>
      </c>
      <c r="R386" s="227"/>
    </row>
    <row r="387" ht="15.75" customHeight="1">
      <c r="A387" s="172" t="s">
        <v>1515</v>
      </c>
      <c r="B387" s="165" t="s">
        <v>197</v>
      </c>
      <c r="C387" s="173" t="s">
        <v>1516</v>
      </c>
      <c r="D387" s="173" t="s">
        <v>83</v>
      </c>
      <c r="E387" s="173" t="s">
        <v>1466</v>
      </c>
      <c r="F387" s="196">
        <v>17200.12</v>
      </c>
      <c r="G387" s="172" t="s">
        <v>1397</v>
      </c>
      <c r="H387" s="172" t="s">
        <v>1397</v>
      </c>
      <c r="I387" s="172" t="s">
        <v>1517</v>
      </c>
      <c r="J387" s="212" t="s">
        <v>85</v>
      </c>
      <c r="K387" s="165" t="s">
        <v>687</v>
      </c>
      <c r="L387" s="230"/>
      <c r="M387" s="224"/>
      <c r="N387" s="173" t="s">
        <v>741</v>
      </c>
      <c r="O387" s="176" t="s">
        <v>1402</v>
      </c>
      <c r="P387" s="225" t="s">
        <v>1518</v>
      </c>
      <c r="Q387" s="225" t="s">
        <v>1518</v>
      </c>
      <c r="R387" s="227"/>
    </row>
    <row r="388" ht="15.75" customHeight="1">
      <c r="A388" s="172" t="s">
        <v>1519</v>
      </c>
      <c r="B388" s="165" t="s">
        <v>197</v>
      </c>
      <c r="C388" s="173" t="s">
        <v>1520</v>
      </c>
      <c r="D388" s="173" t="s">
        <v>83</v>
      </c>
      <c r="E388" s="173" t="s">
        <v>1466</v>
      </c>
      <c r="F388" s="196">
        <v>500.2</v>
      </c>
      <c r="G388" s="172" t="s">
        <v>1397</v>
      </c>
      <c r="H388" s="172" t="s">
        <v>1397</v>
      </c>
      <c r="I388" s="172" t="s">
        <v>1517</v>
      </c>
      <c r="J388" s="212" t="s">
        <v>85</v>
      </c>
      <c r="K388" s="165" t="s">
        <v>687</v>
      </c>
      <c r="L388" s="230"/>
      <c r="M388" s="224"/>
      <c r="N388" s="173" t="s">
        <v>1521</v>
      </c>
      <c r="O388" s="176" t="s">
        <v>732</v>
      </c>
      <c r="P388" s="225" t="s">
        <v>1518</v>
      </c>
      <c r="Q388" s="225" t="s">
        <v>1518</v>
      </c>
      <c r="R388" s="227"/>
    </row>
    <row r="389" ht="15.75" customHeight="1">
      <c r="A389" s="172" t="s">
        <v>1522</v>
      </c>
      <c r="B389" s="165" t="s">
        <v>46</v>
      </c>
      <c r="C389" s="173" t="s">
        <v>1523</v>
      </c>
      <c r="D389" s="173" t="s">
        <v>83</v>
      </c>
      <c r="E389" s="173" t="s">
        <v>1500</v>
      </c>
      <c r="F389" s="196" t="b">
        <v>1</v>
      </c>
      <c r="G389" s="172" t="s">
        <v>1397</v>
      </c>
      <c r="H389" s="172" t="s">
        <v>1397</v>
      </c>
      <c r="I389" s="172" t="s">
        <v>1517</v>
      </c>
      <c r="J389" s="212" t="s">
        <v>85</v>
      </c>
      <c r="K389" s="165" t="s">
        <v>687</v>
      </c>
      <c r="L389" s="230"/>
      <c r="M389" s="224"/>
      <c r="N389" s="173" t="s">
        <v>1521</v>
      </c>
      <c r="O389" s="176" t="s">
        <v>732</v>
      </c>
      <c r="P389" s="225" t="s">
        <v>1518</v>
      </c>
      <c r="Q389" s="225" t="s">
        <v>1518</v>
      </c>
      <c r="R389" s="227"/>
    </row>
    <row r="390" ht="15.75" customHeight="1">
      <c r="A390" s="172" t="s">
        <v>1524</v>
      </c>
      <c r="B390" s="165" t="s">
        <v>46</v>
      </c>
      <c r="C390" s="173" t="s">
        <v>1525</v>
      </c>
      <c r="D390" s="173" t="s">
        <v>83</v>
      </c>
      <c r="E390" s="173" t="s">
        <v>1313</v>
      </c>
      <c r="F390" s="196" t="s">
        <v>936</v>
      </c>
      <c r="G390" s="172" t="s">
        <v>1397</v>
      </c>
      <c r="H390" s="172" t="s">
        <v>1397</v>
      </c>
      <c r="I390" s="172" t="s">
        <v>1517</v>
      </c>
      <c r="J390" s="212" t="s">
        <v>85</v>
      </c>
      <c r="K390" s="165" t="s">
        <v>687</v>
      </c>
      <c r="L390" s="230"/>
      <c r="M390" s="224"/>
      <c r="N390" s="173" t="s">
        <v>1521</v>
      </c>
      <c r="O390" s="176" t="s">
        <v>732</v>
      </c>
      <c r="P390" s="225" t="s">
        <v>1518</v>
      </c>
      <c r="Q390" s="225" t="s">
        <v>1518</v>
      </c>
      <c r="R390" s="227"/>
    </row>
    <row r="391" ht="15.75" customHeight="1">
      <c r="A391" s="172" t="s">
        <v>1526</v>
      </c>
      <c r="B391" s="165" t="s">
        <v>46</v>
      </c>
      <c r="C391" s="173" t="s">
        <v>1526</v>
      </c>
      <c r="D391" s="173" t="s">
        <v>83</v>
      </c>
      <c r="E391" s="173" t="s">
        <v>1500</v>
      </c>
      <c r="F391" s="196" t="b">
        <v>1</v>
      </c>
      <c r="G391" s="172" t="s">
        <v>1397</v>
      </c>
      <c r="H391" s="172" t="s">
        <v>1397</v>
      </c>
      <c r="I391" s="172" t="s">
        <v>1517</v>
      </c>
      <c r="J391" s="212" t="s">
        <v>85</v>
      </c>
      <c r="K391" s="165" t="s">
        <v>687</v>
      </c>
      <c r="L391" s="230"/>
      <c r="M391" s="224"/>
      <c r="N391" s="173" t="s">
        <v>1521</v>
      </c>
      <c r="O391" s="176" t="s">
        <v>732</v>
      </c>
      <c r="P391" s="225" t="s">
        <v>1518</v>
      </c>
      <c r="Q391" s="225" t="s">
        <v>1518</v>
      </c>
      <c r="R391" s="227"/>
    </row>
    <row r="392" ht="15.75" customHeight="1">
      <c r="A392" s="172" t="s">
        <v>1527</v>
      </c>
      <c r="B392" s="165" t="s">
        <v>46</v>
      </c>
      <c r="C392" s="173" t="s">
        <v>1527</v>
      </c>
      <c r="D392" s="173" t="s">
        <v>83</v>
      </c>
      <c r="E392" s="173" t="s">
        <v>1313</v>
      </c>
      <c r="F392" s="196" t="s">
        <v>1528</v>
      </c>
      <c r="G392" s="172" t="s">
        <v>1397</v>
      </c>
      <c r="H392" s="172" t="s">
        <v>1397</v>
      </c>
      <c r="I392" s="172" t="s">
        <v>1517</v>
      </c>
      <c r="J392" s="212" t="s">
        <v>85</v>
      </c>
      <c r="K392" s="165" t="s">
        <v>687</v>
      </c>
      <c r="L392" s="230"/>
      <c r="M392" s="224"/>
      <c r="N392" s="173" t="s">
        <v>1521</v>
      </c>
      <c r="O392" s="176" t="s">
        <v>732</v>
      </c>
      <c r="P392" s="225" t="s">
        <v>1518</v>
      </c>
      <c r="Q392" s="225" t="s">
        <v>1518</v>
      </c>
      <c r="R392" s="227"/>
    </row>
    <row r="393" ht="15.75" customHeight="1">
      <c r="A393" s="172" t="s">
        <v>1529</v>
      </c>
      <c r="B393" s="165" t="s">
        <v>46</v>
      </c>
      <c r="C393" s="173" t="s">
        <v>1530</v>
      </c>
      <c r="D393" s="173" t="s">
        <v>83</v>
      </c>
      <c r="E393" s="173" t="s">
        <v>1500</v>
      </c>
      <c r="F393" s="196" t="b">
        <v>1</v>
      </c>
      <c r="G393" s="172" t="s">
        <v>1397</v>
      </c>
      <c r="H393" s="172" t="s">
        <v>1397</v>
      </c>
      <c r="I393" s="172" t="s">
        <v>1517</v>
      </c>
      <c r="J393" s="212" t="s">
        <v>85</v>
      </c>
      <c r="K393" s="165" t="s">
        <v>687</v>
      </c>
      <c r="L393" s="230"/>
      <c r="M393" s="224"/>
      <c r="N393" s="173" t="s">
        <v>1521</v>
      </c>
      <c r="O393" s="176" t="s">
        <v>732</v>
      </c>
      <c r="P393" s="225" t="s">
        <v>1518</v>
      </c>
      <c r="Q393" s="225" t="s">
        <v>1518</v>
      </c>
      <c r="R393" s="227"/>
    </row>
    <row r="394" ht="15.75" customHeight="1">
      <c r="A394" s="172" t="s">
        <v>1531</v>
      </c>
      <c r="B394" s="165" t="s">
        <v>46</v>
      </c>
      <c r="C394" s="173" t="s">
        <v>1532</v>
      </c>
      <c r="D394" s="173" t="s">
        <v>83</v>
      </c>
      <c r="E394" s="173" t="s">
        <v>1313</v>
      </c>
      <c r="F394" s="196" t="s">
        <v>936</v>
      </c>
      <c r="G394" s="172" t="s">
        <v>1397</v>
      </c>
      <c r="H394" s="172" t="s">
        <v>1397</v>
      </c>
      <c r="I394" s="172" t="s">
        <v>1517</v>
      </c>
      <c r="J394" s="212" t="s">
        <v>85</v>
      </c>
      <c r="K394" s="165" t="s">
        <v>687</v>
      </c>
      <c r="L394" s="230"/>
      <c r="M394" s="224"/>
      <c r="N394" s="173" t="s">
        <v>1521</v>
      </c>
      <c r="O394" s="176" t="s">
        <v>732</v>
      </c>
      <c r="P394" s="225" t="s">
        <v>1518</v>
      </c>
      <c r="Q394" s="225" t="s">
        <v>1518</v>
      </c>
      <c r="R394" s="227"/>
    </row>
    <row r="395" ht="15.75" customHeight="1">
      <c r="A395" s="172" t="s">
        <v>1533</v>
      </c>
      <c r="B395" s="165" t="s">
        <v>46</v>
      </c>
      <c r="C395" s="173" t="s">
        <v>1534</v>
      </c>
      <c r="D395" s="173" t="s">
        <v>83</v>
      </c>
      <c r="E395" s="173" t="s">
        <v>1500</v>
      </c>
      <c r="F395" s="196" t="b">
        <v>1</v>
      </c>
      <c r="G395" s="172" t="s">
        <v>1397</v>
      </c>
      <c r="H395" s="172" t="s">
        <v>1397</v>
      </c>
      <c r="I395" s="172" t="s">
        <v>1517</v>
      </c>
      <c r="J395" s="212" t="s">
        <v>85</v>
      </c>
      <c r="K395" s="165" t="s">
        <v>687</v>
      </c>
      <c r="L395" s="230"/>
      <c r="M395" s="224"/>
      <c r="N395" s="173" t="s">
        <v>1521</v>
      </c>
      <c r="O395" s="176" t="s">
        <v>732</v>
      </c>
      <c r="P395" s="225" t="s">
        <v>1518</v>
      </c>
      <c r="Q395" s="225" t="s">
        <v>1518</v>
      </c>
      <c r="R395" s="227"/>
    </row>
    <row r="396" ht="15.75" customHeight="1">
      <c r="A396" s="172" t="s">
        <v>1535</v>
      </c>
      <c r="B396" s="165" t="s">
        <v>46</v>
      </c>
      <c r="C396" s="173" t="s">
        <v>1536</v>
      </c>
      <c r="D396" s="173" t="s">
        <v>83</v>
      </c>
      <c r="E396" s="173" t="s">
        <v>1313</v>
      </c>
      <c r="F396" s="196" t="s">
        <v>982</v>
      </c>
      <c r="G396" s="172" t="s">
        <v>1397</v>
      </c>
      <c r="H396" s="172" t="s">
        <v>1397</v>
      </c>
      <c r="I396" s="172" t="s">
        <v>1517</v>
      </c>
      <c r="J396" s="212" t="s">
        <v>85</v>
      </c>
      <c r="K396" s="165" t="s">
        <v>687</v>
      </c>
      <c r="L396" s="230"/>
      <c r="M396" s="226"/>
      <c r="N396" s="212" t="s">
        <v>1521</v>
      </c>
      <c r="O396" s="176" t="s">
        <v>732</v>
      </c>
      <c r="P396" s="225" t="s">
        <v>1518</v>
      </c>
      <c r="Q396" s="225" t="s">
        <v>1518</v>
      </c>
      <c r="R396" s="227"/>
    </row>
    <row r="397" ht="15.75" customHeight="1">
      <c r="A397" s="172" t="s">
        <v>1537</v>
      </c>
      <c r="B397" s="165" t="s">
        <v>46</v>
      </c>
      <c r="C397" s="173" t="s">
        <v>1538</v>
      </c>
      <c r="D397" s="173" t="s">
        <v>83</v>
      </c>
      <c r="E397" s="173" t="s">
        <v>1500</v>
      </c>
      <c r="F397" s="196" t="b">
        <v>1</v>
      </c>
      <c r="G397" s="172" t="s">
        <v>1397</v>
      </c>
      <c r="H397" s="172" t="s">
        <v>1397</v>
      </c>
      <c r="I397" s="172" t="s">
        <v>1517</v>
      </c>
      <c r="J397" s="212" t="s">
        <v>85</v>
      </c>
      <c r="K397" s="165" t="s">
        <v>687</v>
      </c>
      <c r="L397" s="230"/>
      <c r="M397" s="224"/>
      <c r="N397" s="212" t="s">
        <v>1521</v>
      </c>
      <c r="O397" s="176" t="s">
        <v>732</v>
      </c>
      <c r="P397" s="225" t="s">
        <v>1518</v>
      </c>
      <c r="Q397" s="225" t="s">
        <v>1518</v>
      </c>
      <c r="R397" s="227"/>
    </row>
    <row r="398" ht="15.75" customHeight="1">
      <c r="A398" s="172" t="s">
        <v>1539</v>
      </c>
      <c r="B398" s="165" t="s">
        <v>46</v>
      </c>
      <c r="C398" s="173" t="s">
        <v>1540</v>
      </c>
      <c r="D398" s="173" t="s">
        <v>83</v>
      </c>
      <c r="E398" s="173" t="s">
        <v>1313</v>
      </c>
      <c r="F398" s="196" t="s">
        <v>977</v>
      </c>
      <c r="G398" s="172" t="s">
        <v>1397</v>
      </c>
      <c r="H398" s="172" t="s">
        <v>1397</v>
      </c>
      <c r="I398" s="172" t="s">
        <v>1517</v>
      </c>
      <c r="J398" s="212" t="s">
        <v>85</v>
      </c>
      <c r="K398" s="165" t="s">
        <v>687</v>
      </c>
      <c r="L398" s="230"/>
      <c r="M398" s="224"/>
      <c r="N398" s="173" t="s">
        <v>1521</v>
      </c>
      <c r="O398" s="176" t="s">
        <v>732</v>
      </c>
      <c r="P398" s="225" t="s">
        <v>1518</v>
      </c>
      <c r="Q398" s="225" t="s">
        <v>1518</v>
      </c>
      <c r="R398" s="227"/>
    </row>
    <row r="399" ht="15.75" customHeight="1">
      <c r="A399" s="172" t="s">
        <v>1541</v>
      </c>
      <c r="B399" s="165" t="s">
        <v>46</v>
      </c>
      <c r="C399" s="173" t="s">
        <v>1542</v>
      </c>
      <c r="D399" s="173" t="s">
        <v>83</v>
      </c>
      <c r="E399" s="173" t="s">
        <v>1313</v>
      </c>
      <c r="F399" s="196" t="s">
        <v>977</v>
      </c>
      <c r="G399" s="172" t="s">
        <v>1397</v>
      </c>
      <c r="H399" s="172" t="s">
        <v>1397</v>
      </c>
      <c r="I399" s="172" t="s">
        <v>1517</v>
      </c>
      <c r="J399" s="212" t="s">
        <v>85</v>
      </c>
      <c r="K399" s="165" t="s">
        <v>687</v>
      </c>
      <c r="L399" s="230"/>
      <c r="M399" s="224"/>
      <c r="N399" s="173" t="s">
        <v>1521</v>
      </c>
      <c r="O399" s="176" t="s">
        <v>732</v>
      </c>
      <c r="P399" s="225" t="s">
        <v>1518</v>
      </c>
      <c r="Q399" s="225" t="s">
        <v>1518</v>
      </c>
      <c r="R399" s="227"/>
    </row>
    <row r="400" ht="15.75" customHeight="1">
      <c r="A400" s="172" t="s">
        <v>1543</v>
      </c>
      <c r="B400" s="165" t="s">
        <v>46</v>
      </c>
      <c r="C400" s="173" t="s">
        <v>1544</v>
      </c>
      <c r="D400" s="173" t="s">
        <v>83</v>
      </c>
      <c r="E400" s="173" t="s">
        <v>1500</v>
      </c>
      <c r="F400" s="196" t="b">
        <v>1</v>
      </c>
      <c r="G400" s="172" t="s">
        <v>1397</v>
      </c>
      <c r="H400" s="172" t="s">
        <v>1397</v>
      </c>
      <c r="I400" s="172" t="s">
        <v>1517</v>
      </c>
      <c r="J400" s="212" t="s">
        <v>85</v>
      </c>
      <c r="K400" s="165" t="s">
        <v>687</v>
      </c>
      <c r="L400" s="230"/>
      <c r="M400" s="224"/>
      <c r="N400" s="173" t="s">
        <v>1521</v>
      </c>
      <c r="O400" s="176" t="s">
        <v>732</v>
      </c>
      <c r="P400" s="225" t="s">
        <v>1518</v>
      </c>
      <c r="Q400" s="225" t="s">
        <v>1518</v>
      </c>
      <c r="R400" s="227"/>
    </row>
    <row r="401" ht="15.75" customHeight="1">
      <c r="A401" s="172" t="s">
        <v>1545</v>
      </c>
      <c r="B401" s="165" t="s">
        <v>46</v>
      </c>
      <c r="C401" s="173" t="s">
        <v>1546</v>
      </c>
      <c r="D401" s="173" t="s">
        <v>83</v>
      </c>
      <c r="E401" s="173" t="s">
        <v>1500</v>
      </c>
      <c r="F401" s="196" t="b">
        <v>1</v>
      </c>
      <c r="G401" s="172" t="s">
        <v>1397</v>
      </c>
      <c r="H401" s="172" t="s">
        <v>1397</v>
      </c>
      <c r="I401" s="172" t="s">
        <v>1517</v>
      </c>
      <c r="J401" s="212" t="s">
        <v>85</v>
      </c>
      <c r="K401" s="165" t="s">
        <v>687</v>
      </c>
      <c r="L401" s="230"/>
      <c r="M401" s="224"/>
      <c r="N401" s="173" t="s">
        <v>1521</v>
      </c>
      <c r="O401" s="176" t="s">
        <v>732</v>
      </c>
      <c r="P401" s="225" t="s">
        <v>1518</v>
      </c>
      <c r="Q401" s="225" t="s">
        <v>1518</v>
      </c>
      <c r="R401" s="227"/>
    </row>
    <row r="402" ht="15.75" customHeight="1">
      <c r="A402" s="172" t="s">
        <v>1547</v>
      </c>
      <c r="B402" s="165" t="s">
        <v>46</v>
      </c>
      <c r="C402" s="173" t="s">
        <v>1548</v>
      </c>
      <c r="D402" s="173" t="s">
        <v>83</v>
      </c>
      <c r="E402" s="173" t="s">
        <v>1500</v>
      </c>
      <c r="F402" s="196" t="b">
        <v>1</v>
      </c>
      <c r="G402" s="172" t="s">
        <v>1397</v>
      </c>
      <c r="H402" s="172" t="s">
        <v>1397</v>
      </c>
      <c r="I402" s="172" t="s">
        <v>1517</v>
      </c>
      <c r="J402" s="212" t="s">
        <v>85</v>
      </c>
      <c r="K402" s="165" t="s">
        <v>687</v>
      </c>
      <c r="L402" s="230"/>
      <c r="M402" s="224"/>
      <c r="N402" s="173" t="s">
        <v>1521</v>
      </c>
      <c r="O402" s="176" t="s">
        <v>732</v>
      </c>
      <c r="P402" s="225" t="s">
        <v>1518</v>
      </c>
      <c r="Q402" s="225" t="s">
        <v>1518</v>
      </c>
      <c r="R402" s="227"/>
    </row>
    <row r="403" ht="15.75" customHeight="1">
      <c r="A403" s="172" t="s">
        <v>1549</v>
      </c>
      <c r="B403" s="165" t="s">
        <v>46</v>
      </c>
      <c r="C403" s="173" t="s">
        <v>1550</v>
      </c>
      <c r="D403" s="173" t="s">
        <v>83</v>
      </c>
      <c r="E403" s="173" t="s">
        <v>1500</v>
      </c>
      <c r="F403" s="196" t="b">
        <v>1</v>
      </c>
      <c r="G403" s="172" t="s">
        <v>1397</v>
      </c>
      <c r="H403" s="172" t="s">
        <v>1397</v>
      </c>
      <c r="I403" s="172" t="s">
        <v>1517</v>
      </c>
      <c r="J403" s="212" t="s">
        <v>85</v>
      </c>
      <c r="K403" s="165" t="s">
        <v>687</v>
      </c>
      <c r="L403" s="230"/>
      <c r="M403" s="224"/>
      <c r="N403" s="173" t="s">
        <v>1551</v>
      </c>
      <c r="O403" s="176" t="s">
        <v>732</v>
      </c>
      <c r="P403" s="225" t="s">
        <v>1518</v>
      </c>
      <c r="Q403" s="225" t="s">
        <v>1518</v>
      </c>
      <c r="R403" s="227"/>
    </row>
    <row r="404" ht="15.75" customHeight="1">
      <c r="A404" s="172" t="s">
        <v>1552</v>
      </c>
      <c r="B404" s="165" t="s">
        <v>197</v>
      </c>
      <c r="C404" s="173" t="s">
        <v>1553</v>
      </c>
      <c r="D404" s="173" t="s">
        <v>83</v>
      </c>
      <c r="E404" s="173" t="s">
        <v>1466</v>
      </c>
      <c r="F404" s="196">
        <v>45623.75</v>
      </c>
      <c r="G404" s="172" t="s">
        <v>1397</v>
      </c>
      <c r="H404" s="172" t="s">
        <v>1397</v>
      </c>
      <c r="I404" s="172" t="s">
        <v>1517</v>
      </c>
      <c r="J404" s="212" t="s">
        <v>85</v>
      </c>
      <c r="K404" s="165" t="s">
        <v>687</v>
      </c>
      <c r="L404" s="230"/>
      <c r="M404" s="224"/>
      <c r="N404" s="173" t="s">
        <v>1521</v>
      </c>
      <c r="O404" s="176" t="s">
        <v>732</v>
      </c>
      <c r="P404" s="225" t="s">
        <v>1518</v>
      </c>
      <c r="Q404" s="225" t="s">
        <v>1518</v>
      </c>
      <c r="R404" s="227"/>
    </row>
    <row r="405" ht="15.75" customHeight="1">
      <c r="A405" s="172" t="s">
        <v>1554</v>
      </c>
      <c r="B405" s="165" t="s">
        <v>696</v>
      </c>
      <c r="C405" s="173" t="s">
        <v>1555</v>
      </c>
      <c r="D405" s="173" t="s">
        <v>185</v>
      </c>
      <c r="E405" s="173" t="s">
        <v>1313</v>
      </c>
      <c r="F405" s="196" t="s">
        <v>1556</v>
      </c>
      <c r="G405" s="172" t="s">
        <v>1389</v>
      </c>
      <c r="H405" s="172" t="s">
        <v>1389</v>
      </c>
      <c r="I405" s="172" t="s">
        <v>723</v>
      </c>
      <c r="J405" s="212" t="s">
        <v>85</v>
      </c>
      <c r="K405" s="165" t="s">
        <v>687</v>
      </c>
      <c r="L405" s="212"/>
      <c r="M405" s="224"/>
      <c r="N405" s="212" t="s">
        <v>1401</v>
      </c>
      <c r="O405" s="176" t="s">
        <v>1557</v>
      </c>
      <c r="P405" s="225" t="s">
        <v>744</v>
      </c>
      <c r="Q405" s="225" t="s">
        <v>744</v>
      </c>
      <c r="R405" s="227"/>
    </row>
    <row r="406" ht="15.75" customHeight="1">
      <c r="A406" s="172" t="s">
        <v>118</v>
      </c>
      <c r="B406" s="165" t="s">
        <v>696</v>
      </c>
      <c r="C406" s="173" t="s">
        <v>1558</v>
      </c>
      <c r="D406" s="173" t="s">
        <v>83</v>
      </c>
      <c r="E406" s="173" t="s">
        <v>698</v>
      </c>
      <c r="F406" s="196">
        <v>42217.33333</v>
      </c>
      <c r="G406" s="172" t="s">
        <v>1559</v>
      </c>
      <c r="H406" s="172" t="s">
        <v>1559</v>
      </c>
      <c r="I406" s="172" t="s">
        <v>723</v>
      </c>
      <c r="J406" s="212" t="s">
        <v>85</v>
      </c>
      <c r="K406" s="165" t="s">
        <v>687</v>
      </c>
      <c r="L406" s="212"/>
      <c r="M406" s="224"/>
      <c r="N406" s="173" t="s">
        <v>1560</v>
      </c>
      <c r="O406" s="173" t="s">
        <v>1645</v>
      </c>
      <c r="P406" s="225" t="s">
        <v>691</v>
      </c>
      <c r="Q406" s="225" t="s">
        <v>691</v>
      </c>
      <c r="R406" s="227"/>
    </row>
    <row r="407" ht="15.75" customHeight="1">
      <c r="A407" s="172" t="s">
        <v>1562</v>
      </c>
      <c r="B407" s="165" t="s">
        <v>60</v>
      </c>
      <c r="C407" s="173" t="s">
        <v>1563</v>
      </c>
      <c r="D407" s="173" t="s">
        <v>185</v>
      </c>
      <c r="E407" s="173" t="s">
        <v>1564</v>
      </c>
      <c r="F407" s="196">
        <v>15.0</v>
      </c>
      <c r="G407" s="172" t="s">
        <v>1346</v>
      </c>
      <c r="H407" s="172" t="s">
        <v>1346</v>
      </c>
      <c r="I407" s="172" t="s">
        <v>1346</v>
      </c>
      <c r="J407" s="212" t="s">
        <v>85</v>
      </c>
      <c r="K407" s="165" t="s">
        <v>687</v>
      </c>
      <c r="L407" s="212"/>
      <c r="M407" s="224"/>
      <c r="N407" s="173" t="s">
        <v>1565</v>
      </c>
      <c r="O407" s="173" t="s">
        <v>1646</v>
      </c>
      <c r="P407" s="225" t="s">
        <v>691</v>
      </c>
      <c r="Q407" s="225" t="s">
        <v>691</v>
      </c>
      <c r="R407" s="227"/>
    </row>
    <row r="408" ht="15.75" customHeight="1">
      <c r="A408" s="172" t="s">
        <v>1567</v>
      </c>
      <c r="B408" s="165" t="s">
        <v>197</v>
      </c>
      <c r="C408" s="173" t="s">
        <v>1568</v>
      </c>
      <c r="D408" s="173" t="s">
        <v>185</v>
      </c>
      <c r="E408" s="173" t="s">
        <v>1500</v>
      </c>
      <c r="F408" s="196" t="b">
        <v>1</v>
      </c>
      <c r="G408" s="172" t="s">
        <v>1389</v>
      </c>
      <c r="H408" s="172" t="s">
        <v>1389</v>
      </c>
      <c r="I408" s="172" t="s">
        <v>1389</v>
      </c>
      <c r="J408" s="212" t="s">
        <v>85</v>
      </c>
      <c r="K408" s="165" t="s">
        <v>687</v>
      </c>
      <c r="L408" s="212"/>
      <c r="M408" s="224"/>
      <c r="N408" s="173" t="s">
        <v>1569</v>
      </c>
      <c r="O408" s="176" t="s">
        <v>1557</v>
      </c>
      <c r="P408" s="225" t="s">
        <v>691</v>
      </c>
      <c r="Q408" s="225" t="s">
        <v>691</v>
      </c>
      <c r="R408" s="227"/>
    </row>
    <row r="409" ht="15.75" customHeight="1">
      <c r="A409" s="172" t="s">
        <v>1570</v>
      </c>
      <c r="B409" s="165" t="s">
        <v>696</v>
      </c>
      <c r="C409" s="173" t="s">
        <v>1571</v>
      </c>
      <c r="D409" s="173" t="s">
        <v>83</v>
      </c>
      <c r="E409" s="173" t="s">
        <v>1313</v>
      </c>
      <c r="F409" s="196" t="s">
        <v>1572</v>
      </c>
      <c r="G409" s="172" t="s">
        <v>1389</v>
      </c>
      <c r="H409" s="172" t="s">
        <v>1389</v>
      </c>
      <c r="I409" s="172" t="s">
        <v>1389</v>
      </c>
      <c r="J409" s="212" t="s">
        <v>85</v>
      </c>
      <c r="K409" s="165" t="s">
        <v>687</v>
      </c>
      <c r="L409" s="212"/>
      <c r="M409" s="224"/>
      <c r="N409" s="212" t="s">
        <v>1401</v>
      </c>
      <c r="O409" s="176" t="s">
        <v>736</v>
      </c>
      <c r="P409" s="225" t="s">
        <v>744</v>
      </c>
      <c r="Q409" s="225" t="s">
        <v>744</v>
      </c>
      <c r="R409" s="227"/>
    </row>
    <row r="410" ht="15.75" customHeight="1">
      <c r="A410" s="172" t="s">
        <v>1573</v>
      </c>
      <c r="B410" s="165" t="s">
        <v>44</v>
      </c>
      <c r="C410" s="173" t="s">
        <v>444</v>
      </c>
      <c r="D410" s="173" t="s">
        <v>83</v>
      </c>
      <c r="E410" s="173" t="s">
        <v>1313</v>
      </c>
      <c r="F410" s="196">
        <v>5.15020211768155E14</v>
      </c>
      <c r="G410" s="172" t="s">
        <v>1389</v>
      </c>
      <c r="H410" s="172" t="s">
        <v>1389</v>
      </c>
      <c r="I410" s="172" t="s">
        <v>1389</v>
      </c>
      <c r="J410" s="212" t="s">
        <v>85</v>
      </c>
      <c r="K410" s="165" t="s">
        <v>687</v>
      </c>
      <c r="L410" s="212"/>
      <c r="M410" s="224"/>
      <c r="N410" s="212" t="s">
        <v>1401</v>
      </c>
      <c r="O410" s="176" t="s">
        <v>736</v>
      </c>
      <c r="P410" s="225" t="s">
        <v>744</v>
      </c>
      <c r="Q410" s="225" t="s">
        <v>744</v>
      </c>
      <c r="R410" s="227"/>
    </row>
    <row r="411" ht="15.75" customHeight="1">
      <c r="A411" s="172" t="s">
        <v>1574</v>
      </c>
      <c r="B411" s="165" t="s">
        <v>44</v>
      </c>
      <c r="C411" s="173" t="s">
        <v>1575</v>
      </c>
      <c r="D411" s="173" t="s">
        <v>83</v>
      </c>
      <c r="E411" s="173" t="s">
        <v>1313</v>
      </c>
      <c r="F411" s="196" t="s">
        <v>1576</v>
      </c>
      <c r="G411" s="172" t="s">
        <v>1389</v>
      </c>
      <c r="H411" s="172" t="s">
        <v>1389</v>
      </c>
      <c r="I411" s="172" t="s">
        <v>1389</v>
      </c>
      <c r="J411" s="212" t="s">
        <v>85</v>
      </c>
      <c r="K411" s="165" t="s">
        <v>687</v>
      </c>
      <c r="L411" s="212"/>
      <c r="M411" s="224"/>
      <c r="N411" s="212" t="s">
        <v>1401</v>
      </c>
      <c r="O411" s="176" t="s">
        <v>736</v>
      </c>
      <c r="P411" s="225" t="s">
        <v>744</v>
      </c>
      <c r="Q411" s="225" t="s">
        <v>744</v>
      </c>
      <c r="R411" s="227"/>
    </row>
    <row r="412" ht="15.75" customHeight="1">
      <c r="A412" s="172" t="s">
        <v>1577</v>
      </c>
      <c r="B412" s="165" t="s">
        <v>44</v>
      </c>
      <c r="C412" s="173" t="s">
        <v>1578</v>
      </c>
      <c r="D412" s="173" t="s">
        <v>83</v>
      </c>
      <c r="E412" s="173" t="s">
        <v>1313</v>
      </c>
      <c r="F412" s="196" t="s">
        <v>1579</v>
      </c>
      <c r="G412" s="172" t="s">
        <v>1389</v>
      </c>
      <c r="H412" s="172" t="s">
        <v>1389</v>
      </c>
      <c r="I412" s="172" t="s">
        <v>1389</v>
      </c>
      <c r="J412" s="212" t="s">
        <v>85</v>
      </c>
      <c r="K412" s="165" t="s">
        <v>687</v>
      </c>
      <c r="L412" s="212"/>
      <c r="M412" s="224"/>
      <c r="N412" s="212" t="s">
        <v>1401</v>
      </c>
      <c r="O412" s="176" t="s">
        <v>736</v>
      </c>
      <c r="P412" s="225" t="s">
        <v>744</v>
      </c>
      <c r="Q412" s="225" t="s">
        <v>744</v>
      </c>
      <c r="R412" s="227"/>
    </row>
    <row r="413" ht="15.75" customHeight="1">
      <c r="A413" s="172" t="s">
        <v>1580</v>
      </c>
      <c r="B413" s="165" t="s">
        <v>44</v>
      </c>
      <c r="C413" s="173" t="s">
        <v>1581</v>
      </c>
      <c r="D413" s="173" t="s">
        <v>83</v>
      </c>
      <c r="E413" s="173" t="s">
        <v>1313</v>
      </c>
      <c r="F413" s="196" t="s">
        <v>1582</v>
      </c>
      <c r="G413" s="172" t="s">
        <v>1389</v>
      </c>
      <c r="H413" s="172" t="s">
        <v>1389</v>
      </c>
      <c r="I413" s="172" t="s">
        <v>1389</v>
      </c>
      <c r="J413" s="212" t="s">
        <v>85</v>
      </c>
      <c r="K413" s="165" t="s">
        <v>687</v>
      </c>
      <c r="L413" s="212"/>
      <c r="M413" s="224"/>
      <c r="N413" s="212" t="s">
        <v>1401</v>
      </c>
      <c r="O413" s="176" t="s">
        <v>736</v>
      </c>
      <c r="P413" s="225" t="s">
        <v>744</v>
      </c>
      <c r="Q413" s="225" t="s">
        <v>744</v>
      </c>
      <c r="R413" s="227"/>
    </row>
    <row r="414" ht="15.75" customHeight="1">
      <c r="A414" s="172" t="s">
        <v>1583</v>
      </c>
      <c r="B414" s="165" t="s">
        <v>44</v>
      </c>
      <c r="C414" s="173" t="s">
        <v>1584</v>
      </c>
      <c r="D414" s="173" t="s">
        <v>83</v>
      </c>
      <c r="E414" s="173" t="s">
        <v>1313</v>
      </c>
      <c r="F414" s="196" t="s">
        <v>1585</v>
      </c>
      <c r="G414" s="172" t="s">
        <v>1389</v>
      </c>
      <c r="H414" s="172" t="s">
        <v>1389</v>
      </c>
      <c r="I414" s="172" t="s">
        <v>1389</v>
      </c>
      <c r="J414" s="212" t="s">
        <v>85</v>
      </c>
      <c r="K414" s="165" t="s">
        <v>687</v>
      </c>
      <c r="L414" s="212"/>
      <c r="M414" s="224"/>
      <c r="N414" s="212" t="s">
        <v>1401</v>
      </c>
      <c r="O414" s="176" t="s">
        <v>736</v>
      </c>
      <c r="P414" s="225" t="s">
        <v>744</v>
      </c>
      <c r="Q414" s="225" t="s">
        <v>744</v>
      </c>
      <c r="R414" s="227"/>
    </row>
    <row r="415" ht="15.75" customHeight="1">
      <c r="A415" s="172" t="s">
        <v>1586</v>
      </c>
      <c r="B415" s="165" t="s">
        <v>44</v>
      </c>
      <c r="C415" s="173" t="s">
        <v>1587</v>
      </c>
      <c r="D415" s="173" t="s">
        <v>83</v>
      </c>
      <c r="E415" s="173" t="s">
        <v>1313</v>
      </c>
      <c r="F415" s="196">
        <v>1200.0</v>
      </c>
      <c r="G415" s="172" t="s">
        <v>1389</v>
      </c>
      <c r="H415" s="172" t="s">
        <v>1389</v>
      </c>
      <c r="I415" s="172" t="s">
        <v>1389</v>
      </c>
      <c r="J415" s="212" t="s">
        <v>85</v>
      </c>
      <c r="K415" s="165" t="s">
        <v>687</v>
      </c>
      <c r="L415" s="212"/>
      <c r="M415" s="224"/>
      <c r="N415" s="212" t="s">
        <v>1401</v>
      </c>
      <c r="O415" s="176" t="s">
        <v>736</v>
      </c>
      <c r="P415" s="225" t="s">
        <v>744</v>
      </c>
      <c r="Q415" s="225" t="s">
        <v>744</v>
      </c>
      <c r="R415" s="227"/>
    </row>
    <row r="416" ht="15.75" customHeight="1">
      <c r="A416" s="172" t="s">
        <v>1588</v>
      </c>
      <c r="B416" s="165" t="s">
        <v>44</v>
      </c>
      <c r="C416" s="173" t="s">
        <v>1589</v>
      </c>
      <c r="D416" s="173" t="s">
        <v>83</v>
      </c>
      <c r="E416" s="173" t="s">
        <v>1313</v>
      </c>
      <c r="F416" s="196" t="s">
        <v>1590</v>
      </c>
      <c r="G416" s="172" t="s">
        <v>1389</v>
      </c>
      <c r="H416" s="172" t="s">
        <v>1389</v>
      </c>
      <c r="I416" s="172" t="s">
        <v>1389</v>
      </c>
      <c r="J416" s="212" t="s">
        <v>85</v>
      </c>
      <c r="K416" s="165" t="s">
        <v>687</v>
      </c>
      <c r="L416" s="212"/>
      <c r="M416" s="224"/>
      <c r="N416" s="212" t="s">
        <v>1401</v>
      </c>
      <c r="O416" s="176" t="s">
        <v>736</v>
      </c>
      <c r="P416" s="225" t="s">
        <v>744</v>
      </c>
      <c r="Q416" s="225" t="s">
        <v>744</v>
      </c>
      <c r="R416" s="227"/>
    </row>
    <row r="417" ht="15.75" customHeight="1">
      <c r="A417" s="172" t="s">
        <v>1591</v>
      </c>
      <c r="B417" s="165" t="s">
        <v>44</v>
      </c>
      <c r="C417" s="173" t="s">
        <v>1592</v>
      </c>
      <c r="D417" s="173" t="s">
        <v>83</v>
      </c>
      <c r="E417" s="173" t="s">
        <v>1313</v>
      </c>
      <c r="F417" s="196" t="s">
        <v>1593</v>
      </c>
      <c r="G417" s="172" t="s">
        <v>1389</v>
      </c>
      <c r="H417" s="172" t="s">
        <v>1389</v>
      </c>
      <c r="I417" s="172" t="s">
        <v>1389</v>
      </c>
      <c r="J417" s="212" t="s">
        <v>85</v>
      </c>
      <c r="K417" s="165" t="s">
        <v>687</v>
      </c>
      <c r="L417" s="212"/>
      <c r="M417" s="224"/>
      <c r="N417" s="212" t="s">
        <v>1401</v>
      </c>
      <c r="O417" s="176" t="s">
        <v>736</v>
      </c>
      <c r="P417" s="225" t="s">
        <v>744</v>
      </c>
      <c r="Q417" s="225" t="s">
        <v>744</v>
      </c>
      <c r="R417" s="227"/>
    </row>
    <row r="418" ht="15.75" customHeight="1">
      <c r="A418" s="172" t="s">
        <v>1594</v>
      </c>
      <c r="B418" s="165" t="s">
        <v>696</v>
      </c>
      <c r="C418" s="173" t="s">
        <v>1595</v>
      </c>
      <c r="D418" s="173" t="s">
        <v>185</v>
      </c>
      <c r="E418" s="173" t="s">
        <v>1313</v>
      </c>
      <c r="F418" s="196" t="s">
        <v>749</v>
      </c>
      <c r="G418" s="172" t="s">
        <v>1389</v>
      </c>
      <c r="H418" s="172" t="s">
        <v>1389</v>
      </c>
      <c r="I418" s="172" t="s">
        <v>1389</v>
      </c>
      <c r="J418" s="212" t="s">
        <v>85</v>
      </c>
      <c r="K418" s="165" t="s">
        <v>687</v>
      </c>
      <c r="L418" s="212"/>
      <c r="M418" s="224"/>
      <c r="N418" s="212" t="s">
        <v>1401</v>
      </c>
      <c r="O418" s="176" t="s">
        <v>736</v>
      </c>
      <c r="P418" s="225" t="s">
        <v>744</v>
      </c>
      <c r="Q418" s="225" t="s">
        <v>744</v>
      </c>
      <c r="R418" s="227"/>
    </row>
    <row r="419" ht="15.75" customHeight="1">
      <c r="A419" s="172" t="s">
        <v>1596</v>
      </c>
      <c r="B419" s="165" t="s">
        <v>696</v>
      </c>
      <c r="C419" s="173" t="s">
        <v>1597</v>
      </c>
      <c r="D419" s="173" t="s">
        <v>185</v>
      </c>
      <c r="E419" s="173" t="s">
        <v>1313</v>
      </c>
      <c r="F419" s="196" t="s">
        <v>1598</v>
      </c>
      <c r="G419" s="172" t="s">
        <v>1389</v>
      </c>
      <c r="H419" s="172" t="s">
        <v>1389</v>
      </c>
      <c r="I419" s="172" t="s">
        <v>1389</v>
      </c>
      <c r="J419" s="212" t="s">
        <v>85</v>
      </c>
      <c r="K419" s="165" t="s">
        <v>687</v>
      </c>
      <c r="L419" s="212"/>
      <c r="M419" s="224"/>
      <c r="N419" s="212" t="s">
        <v>1401</v>
      </c>
      <c r="O419" s="176" t="s">
        <v>736</v>
      </c>
      <c r="P419" s="225" t="s">
        <v>744</v>
      </c>
      <c r="Q419" s="225" t="s">
        <v>744</v>
      </c>
      <c r="R419" s="227"/>
    </row>
    <row r="420" ht="15.75" customHeight="1">
      <c r="A420" s="172" t="s">
        <v>1599</v>
      </c>
      <c r="B420" s="165" t="s">
        <v>44</v>
      </c>
      <c r="C420" s="173" t="s">
        <v>1600</v>
      </c>
      <c r="D420" s="173" t="s">
        <v>185</v>
      </c>
      <c r="E420" s="173" t="s">
        <v>1313</v>
      </c>
      <c r="F420" s="196">
        <v>9.123456789E9</v>
      </c>
      <c r="G420" s="172" t="s">
        <v>1389</v>
      </c>
      <c r="H420" s="172" t="s">
        <v>1389</v>
      </c>
      <c r="I420" s="172" t="s">
        <v>1389</v>
      </c>
      <c r="J420" s="212" t="s">
        <v>85</v>
      </c>
      <c r="K420" s="165" t="s">
        <v>687</v>
      </c>
      <c r="L420" s="212"/>
      <c r="M420" s="224"/>
      <c r="N420" s="173" t="s">
        <v>1601</v>
      </c>
      <c r="O420" s="173" t="s">
        <v>1647</v>
      </c>
      <c r="P420" s="225" t="s">
        <v>691</v>
      </c>
      <c r="Q420" s="225" t="s">
        <v>691</v>
      </c>
      <c r="R420" s="227"/>
    </row>
    <row r="421" ht="15.75" customHeight="1">
      <c r="A421" s="172" t="s">
        <v>1603</v>
      </c>
      <c r="B421" s="165" t="s">
        <v>44</v>
      </c>
      <c r="C421" s="173" t="s">
        <v>1604</v>
      </c>
      <c r="D421" s="173" t="s">
        <v>83</v>
      </c>
      <c r="E421" s="173" t="s">
        <v>1313</v>
      </c>
      <c r="F421" s="196">
        <v>9.123456789E9</v>
      </c>
      <c r="G421" s="172" t="s">
        <v>1389</v>
      </c>
      <c r="H421" s="172" t="s">
        <v>1389</v>
      </c>
      <c r="I421" s="172" t="s">
        <v>1389</v>
      </c>
      <c r="J421" s="212" t="s">
        <v>85</v>
      </c>
      <c r="K421" s="165" t="s">
        <v>687</v>
      </c>
      <c r="L421" s="212"/>
      <c r="M421" s="224"/>
      <c r="N421" s="173" t="s">
        <v>1601</v>
      </c>
      <c r="O421" s="173" t="s">
        <v>1648</v>
      </c>
      <c r="P421" s="225" t="s">
        <v>691</v>
      </c>
      <c r="Q421" s="225" t="s">
        <v>691</v>
      </c>
      <c r="R421" s="227"/>
    </row>
    <row r="422" ht="15.75" customHeight="1">
      <c r="A422" s="172" t="s">
        <v>1606</v>
      </c>
      <c r="B422" s="165" t="s">
        <v>197</v>
      </c>
      <c r="C422" s="173" t="s">
        <v>1607</v>
      </c>
      <c r="D422" s="173" t="s">
        <v>83</v>
      </c>
      <c r="E422" s="173" t="s">
        <v>1500</v>
      </c>
      <c r="F422" s="196" t="b">
        <v>1</v>
      </c>
      <c r="G422" s="172" t="s">
        <v>1397</v>
      </c>
      <c r="H422" s="172" t="s">
        <v>1397</v>
      </c>
      <c r="I422" s="172" t="s">
        <v>1517</v>
      </c>
      <c r="J422" s="212" t="s">
        <v>85</v>
      </c>
      <c r="K422" s="165" t="s">
        <v>687</v>
      </c>
      <c r="L422" s="212"/>
      <c r="M422" s="224"/>
      <c r="N422" s="173" t="s">
        <v>1608</v>
      </c>
      <c r="O422" s="176" t="s">
        <v>1649</v>
      </c>
      <c r="P422" s="225" t="s">
        <v>1518</v>
      </c>
      <c r="Q422" s="225" t="s">
        <v>1518</v>
      </c>
      <c r="R422" s="227"/>
    </row>
    <row r="423" ht="15.75" customHeight="1">
      <c r="A423" s="172" t="s">
        <v>1610</v>
      </c>
      <c r="B423" s="165" t="s">
        <v>197</v>
      </c>
      <c r="C423" s="173" t="s">
        <v>1611</v>
      </c>
      <c r="D423" s="173" t="s">
        <v>83</v>
      </c>
      <c r="E423" s="173" t="s">
        <v>1306</v>
      </c>
      <c r="F423" s="196" t="s">
        <v>1612</v>
      </c>
      <c r="G423" s="172" t="s">
        <v>1397</v>
      </c>
      <c r="H423" s="172" t="s">
        <v>1397</v>
      </c>
      <c r="I423" s="172" t="s">
        <v>1517</v>
      </c>
      <c r="J423" s="212" t="s">
        <v>85</v>
      </c>
      <c r="K423" s="165" t="s">
        <v>687</v>
      </c>
      <c r="L423" s="212"/>
      <c r="M423" s="224"/>
      <c r="N423" s="173" t="s">
        <v>1601</v>
      </c>
      <c r="O423" s="173" t="s">
        <v>1650</v>
      </c>
      <c r="P423" s="225" t="s">
        <v>1518</v>
      </c>
      <c r="Q423" s="225" t="s">
        <v>1518</v>
      </c>
      <c r="R423" s="227"/>
    </row>
    <row r="424" ht="15.75" customHeight="1">
      <c r="A424" s="172" t="s">
        <v>1614</v>
      </c>
      <c r="B424" s="165" t="s">
        <v>197</v>
      </c>
      <c r="C424" s="173" t="s">
        <v>1615</v>
      </c>
      <c r="D424" s="173" t="s">
        <v>83</v>
      </c>
      <c r="E424" s="173" t="s">
        <v>720</v>
      </c>
      <c r="F424" s="196" t="b">
        <v>1</v>
      </c>
      <c r="G424" s="172" t="s">
        <v>1397</v>
      </c>
      <c r="H424" s="172" t="s">
        <v>1397</v>
      </c>
      <c r="I424" s="172" t="s">
        <v>1517</v>
      </c>
      <c r="J424" s="212" t="s">
        <v>85</v>
      </c>
      <c r="K424" s="165" t="s">
        <v>687</v>
      </c>
      <c r="L424" s="212"/>
      <c r="M424" s="224"/>
      <c r="N424" s="173" t="s">
        <v>1608</v>
      </c>
      <c r="O424" s="176" t="s">
        <v>1651</v>
      </c>
      <c r="P424" s="225" t="s">
        <v>1518</v>
      </c>
      <c r="Q424" s="225" t="s">
        <v>1518</v>
      </c>
      <c r="R424" s="227"/>
    </row>
    <row r="425" ht="15.75" customHeight="1">
      <c r="A425" s="172" t="s">
        <v>1617</v>
      </c>
      <c r="B425" s="165" t="s">
        <v>197</v>
      </c>
      <c r="C425" s="173" t="s">
        <v>1618</v>
      </c>
      <c r="D425" s="173" t="s">
        <v>185</v>
      </c>
      <c r="E425" s="173" t="s">
        <v>720</v>
      </c>
      <c r="F425" s="196" t="b">
        <v>1</v>
      </c>
      <c r="G425" s="172" t="s">
        <v>91</v>
      </c>
      <c r="H425" s="172" t="s">
        <v>91</v>
      </c>
      <c r="I425" s="172" t="s">
        <v>91</v>
      </c>
      <c r="J425" s="212" t="s">
        <v>85</v>
      </c>
      <c r="K425" s="165" t="s">
        <v>687</v>
      </c>
      <c r="L425" s="212"/>
      <c r="M425" s="224"/>
      <c r="N425" s="212" t="s">
        <v>1401</v>
      </c>
      <c r="O425" s="176" t="s">
        <v>732</v>
      </c>
      <c r="P425" s="225" t="s">
        <v>721</v>
      </c>
      <c r="Q425" s="225" t="s">
        <v>721</v>
      </c>
      <c r="R425" s="227"/>
    </row>
    <row r="426" ht="15.75" customHeight="1">
      <c r="A426" s="172" t="s">
        <v>1619</v>
      </c>
      <c r="B426" s="165" t="s">
        <v>46</v>
      </c>
      <c r="C426" s="173" t="s">
        <v>1620</v>
      </c>
      <c r="D426" s="173" t="s">
        <v>135</v>
      </c>
      <c r="E426" s="173" t="s">
        <v>1306</v>
      </c>
      <c r="F426" s="196" t="s">
        <v>1621</v>
      </c>
      <c r="G426" s="172" t="s">
        <v>1622</v>
      </c>
      <c r="H426" s="172" t="s">
        <v>1622</v>
      </c>
      <c r="I426" s="172" t="s">
        <v>1622</v>
      </c>
      <c r="J426" s="212" t="s">
        <v>85</v>
      </c>
      <c r="K426" s="165" t="s">
        <v>749</v>
      </c>
      <c r="L426" s="212"/>
      <c r="M426" s="224"/>
      <c r="N426" s="173" t="s">
        <v>1623</v>
      </c>
      <c r="O426" s="176" t="s">
        <v>732</v>
      </c>
      <c r="P426" s="225" t="s">
        <v>1518</v>
      </c>
      <c r="Q426" s="225" t="s">
        <v>1518</v>
      </c>
      <c r="R426" s="227"/>
    </row>
    <row r="427" ht="15.75" customHeight="1">
      <c r="A427" s="172" t="s">
        <v>1624</v>
      </c>
      <c r="B427" s="165" t="s">
        <v>46</v>
      </c>
      <c r="C427" s="173" t="s">
        <v>1625</v>
      </c>
      <c r="D427" s="173" t="s">
        <v>135</v>
      </c>
      <c r="E427" s="173" t="s">
        <v>1306</v>
      </c>
      <c r="F427" s="196" t="s">
        <v>936</v>
      </c>
      <c r="G427" s="172" t="s">
        <v>1622</v>
      </c>
      <c r="H427" s="172" t="s">
        <v>1622</v>
      </c>
      <c r="I427" s="172" t="s">
        <v>1622</v>
      </c>
      <c r="J427" s="212" t="s">
        <v>85</v>
      </c>
      <c r="K427" s="165" t="s">
        <v>749</v>
      </c>
      <c r="L427" s="212"/>
      <c r="M427" s="224"/>
      <c r="N427" s="173" t="s">
        <v>1623</v>
      </c>
      <c r="O427" s="176" t="s">
        <v>732</v>
      </c>
      <c r="P427" s="225" t="s">
        <v>1518</v>
      </c>
      <c r="Q427" s="225" t="s">
        <v>1518</v>
      </c>
      <c r="R427" s="227"/>
    </row>
    <row r="428" ht="15.75" customHeight="1">
      <c r="A428" s="172" t="s">
        <v>1626</v>
      </c>
      <c r="B428" s="165" t="s">
        <v>46</v>
      </c>
      <c r="C428" s="173" t="s">
        <v>1627</v>
      </c>
      <c r="D428" s="173" t="s">
        <v>135</v>
      </c>
      <c r="E428" s="173" t="s">
        <v>1306</v>
      </c>
      <c r="F428" s="196" t="s">
        <v>936</v>
      </c>
      <c r="G428" s="172" t="s">
        <v>1622</v>
      </c>
      <c r="H428" s="172" t="s">
        <v>1622</v>
      </c>
      <c r="I428" s="172" t="s">
        <v>1622</v>
      </c>
      <c r="J428" s="212" t="s">
        <v>85</v>
      </c>
      <c r="K428" s="165" t="s">
        <v>749</v>
      </c>
      <c r="L428" s="212"/>
      <c r="M428" s="224"/>
      <c r="N428" s="173" t="s">
        <v>1623</v>
      </c>
      <c r="O428" s="176" t="s">
        <v>732</v>
      </c>
      <c r="P428" s="225" t="s">
        <v>1518</v>
      </c>
      <c r="Q428" s="225" t="s">
        <v>1518</v>
      </c>
      <c r="R428" s="227"/>
    </row>
    <row r="429" ht="15.75" customHeight="1">
      <c r="A429" s="172" t="s">
        <v>1652</v>
      </c>
      <c r="B429" s="165" t="s">
        <v>197</v>
      </c>
      <c r="C429" s="173" t="s">
        <v>1653</v>
      </c>
      <c r="D429" s="173" t="s">
        <v>185</v>
      </c>
      <c r="E429" s="173" t="s">
        <v>1654</v>
      </c>
      <c r="F429" s="196">
        <v>8.0</v>
      </c>
      <c r="G429" s="172" t="s">
        <v>1655</v>
      </c>
      <c r="H429" s="172" t="s">
        <v>1655</v>
      </c>
      <c r="I429" s="172" t="s">
        <v>1655</v>
      </c>
      <c r="J429" s="212" t="s">
        <v>85</v>
      </c>
      <c r="K429" s="165" t="s">
        <v>687</v>
      </c>
      <c r="L429" s="212"/>
      <c r="M429" s="224"/>
      <c r="N429" s="173" t="s">
        <v>1656</v>
      </c>
      <c r="O429" s="176" t="s">
        <v>690</v>
      </c>
      <c r="P429" s="225" t="s">
        <v>745</v>
      </c>
      <c r="Q429" s="225" t="s">
        <v>745</v>
      </c>
      <c r="R429" s="227"/>
    </row>
    <row r="430" ht="15.75" customHeight="1">
      <c r="A430" s="172" t="s">
        <v>1657</v>
      </c>
      <c r="B430" s="165" t="s">
        <v>197</v>
      </c>
      <c r="C430" s="173" t="s">
        <v>1658</v>
      </c>
      <c r="D430" s="173" t="s">
        <v>185</v>
      </c>
      <c r="E430" s="173" t="s">
        <v>1306</v>
      </c>
      <c r="F430" s="196" t="s">
        <v>977</v>
      </c>
      <c r="G430" s="172" t="s">
        <v>1397</v>
      </c>
      <c r="H430" s="172" t="s">
        <v>1397</v>
      </c>
      <c r="I430" s="172" t="s">
        <v>1397</v>
      </c>
      <c r="J430" s="212" t="s">
        <v>85</v>
      </c>
      <c r="K430" s="165" t="s">
        <v>749</v>
      </c>
      <c r="L430" s="212"/>
      <c r="M430" s="224"/>
      <c r="N430" s="173" t="s">
        <v>1659</v>
      </c>
      <c r="O430" s="176" t="s">
        <v>690</v>
      </c>
      <c r="P430" s="225" t="s">
        <v>745</v>
      </c>
      <c r="Q430" s="225" t="s">
        <v>745</v>
      </c>
      <c r="R430" s="227"/>
    </row>
    <row r="431" ht="15.75" customHeight="1">
      <c r="A431" s="172" t="s">
        <v>1660</v>
      </c>
      <c r="B431" s="165" t="s">
        <v>197</v>
      </c>
      <c r="C431" s="173" t="s">
        <v>1661</v>
      </c>
      <c r="D431" s="173" t="s">
        <v>185</v>
      </c>
      <c r="E431" s="173" t="s">
        <v>1102</v>
      </c>
      <c r="F431" s="196">
        <v>9.84</v>
      </c>
      <c r="G431" s="172" t="s">
        <v>1397</v>
      </c>
      <c r="H431" s="172" t="s">
        <v>1397</v>
      </c>
      <c r="I431" s="172" t="s">
        <v>1397</v>
      </c>
      <c r="J431" s="212" t="s">
        <v>85</v>
      </c>
      <c r="K431" s="165" t="s">
        <v>749</v>
      </c>
      <c r="L431" s="212"/>
      <c r="M431" s="224"/>
      <c r="N431" s="173" t="s">
        <v>764</v>
      </c>
      <c r="O431" s="184" t="s">
        <v>732</v>
      </c>
      <c r="P431" s="225" t="s">
        <v>761</v>
      </c>
      <c r="Q431" s="225" t="s">
        <v>761</v>
      </c>
      <c r="R431" s="227"/>
    </row>
    <row r="432" ht="15.75" customHeight="1">
      <c r="A432" s="172" t="s">
        <v>1662</v>
      </c>
      <c r="B432" s="165" t="s">
        <v>197</v>
      </c>
      <c r="C432" s="173" t="s">
        <v>1663</v>
      </c>
      <c r="D432" s="173" t="s">
        <v>185</v>
      </c>
      <c r="E432" s="173" t="s">
        <v>1313</v>
      </c>
      <c r="F432" s="196" t="s">
        <v>1664</v>
      </c>
      <c r="G432" s="172" t="s">
        <v>1397</v>
      </c>
      <c r="H432" s="172" t="s">
        <v>1397</v>
      </c>
      <c r="I432" s="172" t="s">
        <v>1397</v>
      </c>
      <c r="J432" s="212" t="s">
        <v>85</v>
      </c>
      <c r="K432" s="165" t="s">
        <v>687</v>
      </c>
      <c r="L432" s="212"/>
      <c r="M432" s="209"/>
      <c r="N432" s="173" t="s">
        <v>1628</v>
      </c>
      <c r="O432" s="184" t="s">
        <v>690</v>
      </c>
      <c r="P432" s="225" t="s">
        <v>771</v>
      </c>
      <c r="Q432" s="225" t="s">
        <v>771</v>
      </c>
      <c r="R432" s="227"/>
    </row>
    <row r="433" ht="15.75" customHeight="1">
      <c r="A433" s="172" t="s">
        <v>1665</v>
      </c>
      <c r="B433" s="165" t="s">
        <v>197</v>
      </c>
      <c r="C433" s="173" t="s">
        <v>1666</v>
      </c>
      <c r="D433" s="173" t="s">
        <v>185</v>
      </c>
      <c r="E433" s="173" t="s">
        <v>1313</v>
      </c>
      <c r="F433" s="196" t="s">
        <v>1667</v>
      </c>
      <c r="G433" s="172" t="s">
        <v>1397</v>
      </c>
      <c r="H433" s="172" t="s">
        <v>1397</v>
      </c>
      <c r="I433" s="172" t="s">
        <v>1397</v>
      </c>
      <c r="J433" s="212" t="s">
        <v>85</v>
      </c>
      <c r="K433" s="165" t="s">
        <v>1668</v>
      </c>
      <c r="L433" s="212"/>
      <c r="M433" s="209"/>
      <c r="N433" s="164" t="s">
        <v>1628</v>
      </c>
      <c r="O433" s="154" t="s">
        <v>690</v>
      </c>
      <c r="P433" s="225" t="s">
        <v>1518</v>
      </c>
      <c r="Q433" s="225" t="s">
        <v>1518</v>
      </c>
      <c r="R433" s="227"/>
    </row>
    <row r="434" ht="15.75" customHeight="1">
      <c r="A434" s="172" t="s">
        <v>1669</v>
      </c>
      <c r="B434" s="165" t="s">
        <v>197</v>
      </c>
      <c r="C434" s="173" t="s">
        <v>1670</v>
      </c>
      <c r="D434" s="173" t="s">
        <v>185</v>
      </c>
      <c r="E434" s="173" t="s">
        <v>1313</v>
      </c>
      <c r="F434" s="196" t="s">
        <v>1671</v>
      </c>
      <c r="G434" s="172" t="s">
        <v>1397</v>
      </c>
      <c r="H434" s="172" t="s">
        <v>1397</v>
      </c>
      <c r="I434" s="172" t="s">
        <v>1397</v>
      </c>
      <c r="J434" s="212" t="s">
        <v>85</v>
      </c>
      <c r="K434" s="165" t="s">
        <v>1668</v>
      </c>
      <c r="L434" s="212"/>
      <c r="M434" s="209"/>
      <c r="N434" s="154" t="s">
        <v>1628</v>
      </c>
      <c r="O434" s="154" t="s">
        <v>690</v>
      </c>
      <c r="P434" s="225" t="s">
        <v>1518</v>
      </c>
      <c r="Q434" s="225" t="s">
        <v>1518</v>
      </c>
      <c r="R434" s="227"/>
    </row>
    <row r="435" ht="15.75" customHeight="1">
      <c r="A435" s="172" t="s">
        <v>1672</v>
      </c>
      <c r="B435" s="165" t="s">
        <v>197</v>
      </c>
      <c r="C435" s="173" t="s">
        <v>1673</v>
      </c>
      <c r="D435" s="173" t="s">
        <v>185</v>
      </c>
      <c r="E435" s="173" t="s">
        <v>1313</v>
      </c>
      <c r="F435" s="196" t="s">
        <v>1674</v>
      </c>
      <c r="G435" s="172" t="s">
        <v>1397</v>
      </c>
      <c r="H435" s="172" t="s">
        <v>1397</v>
      </c>
      <c r="I435" s="172" t="s">
        <v>1397</v>
      </c>
      <c r="J435" s="212" t="s">
        <v>85</v>
      </c>
      <c r="K435" s="165" t="s">
        <v>1668</v>
      </c>
      <c r="L435" s="212"/>
      <c r="M435" s="209"/>
      <c r="N435" s="154" t="s">
        <v>1628</v>
      </c>
      <c r="O435" s="154" t="s">
        <v>690</v>
      </c>
      <c r="P435" s="225" t="s">
        <v>1518</v>
      </c>
      <c r="Q435" s="225" t="s">
        <v>1518</v>
      </c>
      <c r="R435" s="227"/>
    </row>
    <row r="436" ht="15.75" customHeight="1">
      <c r="A436" s="172" t="s">
        <v>1675</v>
      </c>
      <c r="B436" s="165" t="s">
        <v>197</v>
      </c>
      <c r="C436" s="173" t="s">
        <v>1676</v>
      </c>
      <c r="D436" s="173" t="s">
        <v>185</v>
      </c>
      <c r="E436" s="173" t="s">
        <v>1313</v>
      </c>
      <c r="F436" s="196" t="s">
        <v>1677</v>
      </c>
      <c r="G436" s="172" t="s">
        <v>1397</v>
      </c>
      <c r="H436" s="172" t="s">
        <v>1397</v>
      </c>
      <c r="I436" s="172" t="s">
        <v>1397</v>
      </c>
      <c r="J436" s="212" t="s">
        <v>85</v>
      </c>
      <c r="K436" s="165" t="s">
        <v>1668</v>
      </c>
      <c r="L436" s="212"/>
      <c r="M436" s="209"/>
      <c r="N436" s="154" t="s">
        <v>1628</v>
      </c>
      <c r="O436" s="154" t="s">
        <v>690</v>
      </c>
      <c r="P436" s="225" t="s">
        <v>1518</v>
      </c>
      <c r="Q436" s="225" t="s">
        <v>1518</v>
      </c>
      <c r="R436" s="227"/>
    </row>
    <row r="437" ht="15.75" customHeight="1">
      <c r="A437" s="172" t="s">
        <v>1678</v>
      </c>
      <c r="B437" s="165" t="s">
        <v>197</v>
      </c>
      <c r="C437" s="173" t="s">
        <v>1679</v>
      </c>
      <c r="D437" s="173" t="s">
        <v>185</v>
      </c>
      <c r="E437" s="173" t="s">
        <v>1313</v>
      </c>
      <c r="F437" s="196" t="s">
        <v>1671</v>
      </c>
      <c r="G437" s="172" t="s">
        <v>1397</v>
      </c>
      <c r="H437" s="172" t="s">
        <v>1397</v>
      </c>
      <c r="I437" s="172" t="s">
        <v>1397</v>
      </c>
      <c r="J437" s="212" t="s">
        <v>85</v>
      </c>
      <c r="K437" s="165" t="s">
        <v>1668</v>
      </c>
      <c r="L437" s="212"/>
      <c r="M437" s="209"/>
      <c r="N437" s="154" t="s">
        <v>1628</v>
      </c>
      <c r="O437" s="154" t="s">
        <v>690</v>
      </c>
      <c r="P437" s="225" t="s">
        <v>1518</v>
      </c>
      <c r="Q437" s="225" t="s">
        <v>1518</v>
      </c>
      <c r="R437" s="227"/>
    </row>
    <row r="438" ht="15.75" customHeight="1">
      <c r="A438" s="172" t="s">
        <v>1680</v>
      </c>
      <c r="B438" s="165" t="s">
        <v>197</v>
      </c>
      <c r="C438" s="173" t="s">
        <v>1681</v>
      </c>
      <c r="D438" s="173" t="s">
        <v>185</v>
      </c>
      <c r="E438" s="173" t="s">
        <v>1313</v>
      </c>
      <c r="F438" s="196" t="s">
        <v>1667</v>
      </c>
      <c r="G438" s="172" t="s">
        <v>1397</v>
      </c>
      <c r="H438" s="172" t="s">
        <v>1397</v>
      </c>
      <c r="I438" s="172" t="s">
        <v>1397</v>
      </c>
      <c r="J438" s="212" t="s">
        <v>85</v>
      </c>
      <c r="K438" s="165" t="s">
        <v>1668</v>
      </c>
      <c r="L438" s="212"/>
      <c r="M438" s="209"/>
      <c r="N438" s="154" t="s">
        <v>1628</v>
      </c>
      <c r="O438" s="154" t="s">
        <v>690</v>
      </c>
      <c r="P438" s="225" t="s">
        <v>1518</v>
      </c>
      <c r="Q438" s="225" t="s">
        <v>1518</v>
      </c>
      <c r="R438" s="227"/>
    </row>
    <row r="439" ht="15.75" customHeight="1">
      <c r="A439" s="172" t="s">
        <v>1682</v>
      </c>
      <c r="B439" s="165" t="s">
        <v>197</v>
      </c>
      <c r="C439" s="173" t="s">
        <v>1683</v>
      </c>
      <c r="D439" s="173" t="s">
        <v>185</v>
      </c>
      <c r="E439" s="173" t="s">
        <v>1313</v>
      </c>
      <c r="F439" s="196" t="s">
        <v>1684</v>
      </c>
      <c r="G439" s="172" t="s">
        <v>1397</v>
      </c>
      <c r="H439" s="172" t="s">
        <v>1397</v>
      </c>
      <c r="I439" s="172" t="s">
        <v>1397</v>
      </c>
      <c r="J439" s="212" t="s">
        <v>85</v>
      </c>
      <c r="K439" s="165" t="s">
        <v>1668</v>
      </c>
      <c r="L439" s="212"/>
      <c r="M439" s="209"/>
      <c r="N439" s="154" t="s">
        <v>1628</v>
      </c>
      <c r="O439" s="154" t="s">
        <v>690</v>
      </c>
      <c r="P439" s="225" t="s">
        <v>1518</v>
      </c>
      <c r="Q439" s="225" t="s">
        <v>1518</v>
      </c>
      <c r="R439" s="227"/>
    </row>
    <row r="440" ht="15.75" customHeight="1">
      <c r="A440" s="172" t="s">
        <v>1685</v>
      </c>
      <c r="B440" s="165" t="s">
        <v>197</v>
      </c>
      <c r="C440" s="173" t="s">
        <v>1686</v>
      </c>
      <c r="D440" s="173" t="s">
        <v>185</v>
      </c>
      <c r="E440" s="173" t="s">
        <v>1313</v>
      </c>
      <c r="F440" s="196" t="s">
        <v>1667</v>
      </c>
      <c r="G440" s="172" t="s">
        <v>1397</v>
      </c>
      <c r="H440" s="172" t="s">
        <v>1397</v>
      </c>
      <c r="I440" s="172" t="s">
        <v>1397</v>
      </c>
      <c r="J440" s="212" t="s">
        <v>85</v>
      </c>
      <c r="K440" s="165" t="s">
        <v>1668</v>
      </c>
      <c r="L440" s="212"/>
      <c r="M440" s="209"/>
      <c r="N440" s="154" t="s">
        <v>1628</v>
      </c>
      <c r="O440" s="154" t="s">
        <v>690</v>
      </c>
      <c r="P440" s="225" t="s">
        <v>1518</v>
      </c>
      <c r="Q440" s="225" t="s">
        <v>1518</v>
      </c>
      <c r="R440" s="227"/>
    </row>
    <row r="441" ht="15.75" customHeight="1">
      <c r="A441" s="172" t="s">
        <v>1687</v>
      </c>
      <c r="B441" s="165" t="s">
        <v>197</v>
      </c>
      <c r="C441" s="173" t="s">
        <v>1688</v>
      </c>
      <c r="D441" s="173" t="s">
        <v>185</v>
      </c>
      <c r="E441" s="173" t="s">
        <v>1313</v>
      </c>
      <c r="F441" s="196" t="s">
        <v>1674</v>
      </c>
      <c r="G441" s="172" t="s">
        <v>1397</v>
      </c>
      <c r="H441" s="172" t="s">
        <v>1397</v>
      </c>
      <c r="I441" s="172" t="s">
        <v>1397</v>
      </c>
      <c r="J441" s="212" t="s">
        <v>85</v>
      </c>
      <c r="K441" s="165" t="s">
        <v>1668</v>
      </c>
      <c r="L441" s="212"/>
      <c r="M441" s="209"/>
      <c r="N441" s="154" t="s">
        <v>1628</v>
      </c>
      <c r="O441" s="154" t="s">
        <v>690</v>
      </c>
      <c r="P441" s="225" t="s">
        <v>1518</v>
      </c>
      <c r="Q441" s="225" t="s">
        <v>1518</v>
      </c>
      <c r="R441" s="227"/>
    </row>
    <row r="442" ht="15.75" customHeight="1">
      <c r="A442" s="172" t="s">
        <v>1689</v>
      </c>
      <c r="B442" s="165" t="s">
        <v>197</v>
      </c>
      <c r="C442" s="173" t="s">
        <v>1690</v>
      </c>
      <c r="D442" s="173" t="s">
        <v>185</v>
      </c>
      <c r="E442" s="173" t="s">
        <v>1313</v>
      </c>
      <c r="F442" s="196" t="s">
        <v>1671</v>
      </c>
      <c r="G442" s="172" t="s">
        <v>1397</v>
      </c>
      <c r="H442" s="172" t="s">
        <v>1397</v>
      </c>
      <c r="I442" s="172" t="s">
        <v>1397</v>
      </c>
      <c r="J442" s="212" t="s">
        <v>85</v>
      </c>
      <c r="K442" s="165" t="s">
        <v>1668</v>
      </c>
      <c r="L442" s="212"/>
      <c r="M442" s="209"/>
      <c r="N442" s="154" t="s">
        <v>1628</v>
      </c>
      <c r="O442" s="154" t="s">
        <v>690</v>
      </c>
      <c r="P442" s="225" t="s">
        <v>1518</v>
      </c>
      <c r="Q442" s="225" t="s">
        <v>1518</v>
      </c>
      <c r="R442" s="227"/>
    </row>
    <row r="443" ht="15.75" customHeight="1">
      <c r="A443" s="172" t="s">
        <v>1691</v>
      </c>
      <c r="B443" s="165" t="s">
        <v>197</v>
      </c>
      <c r="C443" s="173" t="s">
        <v>1692</v>
      </c>
      <c r="D443" s="173" t="s">
        <v>185</v>
      </c>
      <c r="E443" s="173" t="s">
        <v>1313</v>
      </c>
      <c r="F443" s="196" t="s">
        <v>1677</v>
      </c>
      <c r="G443" s="172" t="s">
        <v>1397</v>
      </c>
      <c r="H443" s="172" t="s">
        <v>1397</v>
      </c>
      <c r="I443" s="172" t="s">
        <v>1397</v>
      </c>
      <c r="J443" s="212" t="s">
        <v>85</v>
      </c>
      <c r="K443" s="165" t="s">
        <v>1668</v>
      </c>
      <c r="L443" s="212"/>
      <c r="M443" s="209"/>
      <c r="N443" s="154" t="s">
        <v>1628</v>
      </c>
      <c r="O443" s="154" t="s">
        <v>690</v>
      </c>
      <c r="P443" s="225" t="s">
        <v>1518</v>
      </c>
      <c r="Q443" s="225" t="s">
        <v>1518</v>
      </c>
      <c r="R443" s="227"/>
    </row>
    <row r="444" ht="15.75" customHeight="1">
      <c r="A444" s="172" t="s">
        <v>1693</v>
      </c>
      <c r="B444" s="165" t="s">
        <v>197</v>
      </c>
      <c r="C444" s="173" t="s">
        <v>1694</v>
      </c>
      <c r="D444" s="173" t="s">
        <v>185</v>
      </c>
      <c r="E444" s="173" t="s">
        <v>1313</v>
      </c>
      <c r="F444" s="196" t="s">
        <v>1671</v>
      </c>
      <c r="G444" s="172" t="s">
        <v>1397</v>
      </c>
      <c r="H444" s="172" t="s">
        <v>1397</v>
      </c>
      <c r="I444" s="172" t="s">
        <v>1397</v>
      </c>
      <c r="J444" s="212" t="s">
        <v>85</v>
      </c>
      <c r="K444" s="165" t="s">
        <v>1668</v>
      </c>
      <c r="L444" s="212"/>
      <c r="M444" s="209"/>
      <c r="N444" s="154" t="s">
        <v>1628</v>
      </c>
      <c r="O444" s="154" t="s">
        <v>690</v>
      </c>
      <c r="P444" s="225" t="s">
        <v>1518</v>
      </c>
      <c r="Q444" s="225" t="s">
        <v>1518</v>
      </c>
      <c r="R444" s="227"/>
    </row>
    <row r="445" ht="15.75" customHeight="1">
      <c r="A445" s="172" t="s">
        <v>1695</v>
      </c>
      <c r="B445" s="165" t="s">
        <v>197</v>
      </c>
      <c r="C445" s="173" t="s">
        <v>1696</v>
      </c>
      <c r="D445" s="173" t="s">
        <v>185</v>
      </c>
      <c r="E445" s="173" t="s">
        <v>1313</v>
      </c>
      <c r="F445" s="196" t="s">
        <v>1667</v>
      </c>
      <c r="G445" s="172" t="s">
        <v>1397</v>
      </c>
      <c r="H445" s="172" t="s">
        <v>1397</v>
      </c>
      <c r="I445" s="172" t="s">
        <v>1397</v>
      </c>
      <c r="J445" s="212" t="s">
        <v>85</v>
      </c>
      <c r="K445" s="165" t="s">
        <v>1668</v>
      </c>
      <c r="L445" s="212"/>
      <c r="M445" s="209"/>
      <c r="N445" s="154" t="s">
        <v>1628</v>
      </c>
      <c r="O445" s="154" t="s">
        <v>690</v>
      </c>
      <c r="P445" s="225" t="s">
        <v>1518</v>
      </c>
      <c r="Q445" s="225" t="s">
        <v>1518</v>
      </c>
      <c r="R445" s="227"/>
    </row>
    <row r="446" ht="15.75" customHeight="1">
      <c r="A446" s="172" t="s">
        <v>1697</v>
      </c>
      <c r="B446" s="165" t="s">
        <v>197</v>
      </c>
      <c r="C446" s="173" t="s">
        <v>1698</v>
      </c>
      <c r="D446" s="173" t="s">
        <v>185</v>
      </c>
      <c r="E446" s="173" t="s">
        <v>1313</v>
      </c>
      <c r="F446" s="196" t="s">
        <v>1677</v>
      </c>
      <c r="G446" s="172" t="s">
        <v>1397</v>
      </c>
      <c r="H446" s="172" t="s">
        <v>1397</v>
      </c>
      <c r="I446" s="172" t="s">
        <v>1397</v>
      </c>
      <c r="J446" s="212" t="s">
        <v>85</v>
      </c>
      <c r="K446" s="165" t="s">
        <v>1668</v>
      </c>
      <c r="L446" s="212"/>
      <c r="M446" s="209"/>
      <c r="N446" s="154" t="s">
        <v>1628</v>
      </c>
      <c r="O446" s="154" t="s">
        <v>690</v>
      </c>
      <c r="P446" s="225" t="s">
        <v>1518</v>
      </c>
      <c r="Q446" s="225" t="s">
        <v>1518</v>
      </c>
      <c r="R446" s="227"/>
    </row>
    <row r="447" ht="15.75" customHeight="1">
      <c r="A447" s="172" t="s">
        <v>1699</v>
      </c>
      <c r="B447" s="165" t="s">
        <v>197</v>
      </c>
      <c r="C447" s="173" t="s">
        <v>1700</v>
      </c>
      <c r="D447" s="173" t="s">
        <v>185</v>
      </c>
      <c r="E447" s="173" t="s">
        <v>1313</v>
      </c>
      <c r="F447" s="196" t="s">
        <v>1677</v>
      </c>
      <c r="G447" s="172" t="s">
        <v>1397</v>
      </c>
      <c r="H447" s="172" t="s">
        <v>1397</v>
      </c>
      <c r="I447" s="172" t="s">
        <v>1397</v>
      </c>
      <c r="J447" s="212" t="s">
        <v>85</v>
      </c>
      <c r="K447" s="165" t="s">
        <v>1668</v>
      </c>
      <c r="L447" s="212"/>
      <c r="M447" s="209"/>
      <c r="N447" s="154" t="s">
        <v>1628</v>
      </c>
      <c r="O447" s="154" t="s">
        <v>690</v>
      </c>
      <c r="P447" s="225" t="s">
        <v>1518</v>
      </c>
      <c r="Q447" s="225" t="s">
        <v>1518</v>
      </c>
      <c r="R447" s="227"/>
    </row>
    <row r="448" ht="15.75" customHeight="1">
      <c r="A448" s="172" t="s">
        <v>1701</v>
      </c>
      <c r="B448" s="165" t="s">
        <v>197</v>
      </c>
      <c r="C448" s="173" t="s">
        <v>1702</v>
      </c>
      <c r="D448" s="173" t="s">
        <v>185</v>
      </c>
      <c r="E448" s="173" t="s">
        <v>1313</v>
      </c>
      <c r="F448" s="196" t="s">
        <v>1674</v>
      </c>
      <c r="G448" s="172" t="s">
        <v>1397</v>
      </c>
      <c r="H448" s="172" t="s">
        <v>1397</v>
      </c>
      <c r="I448" s="172" t="s">
        <v>1397</v>
      </c>
      <c r="J448" s="212" t="s">
        <v>85</v>
      </c>
      <c r="K448" s="165" t="s">
        <v>1668</v>
      </c>
      <c r="L448" s="212"/>
      <c r="M448" s="209"/>
      <c r="N448" s="154" t="s">
        <v>1628</v>
      </c>
      <c r="O448" s="154" t="s">
        <v>690</v>
      </c>
      <c r="P448" s="225" t="s">
        <v>1518</v>
      </c>
      <c r="Q448" s="225" t="s">
        <v>1518</v>
      </c>
      <c r="R448" s="227"/>
    </row>
    <row r="449" ht="15.75" customHeight="1">
      <c r="A449" s="172" t="s">
        <v>1703</v>
      </c>
      <c r="B449" s="165" t="s">
        <v>197</v>
      </c>
      <c r="C449" s="173" t="s">
        <v>1704</v>
      </c>
      <c r="D449" s="173" t="s">
        <v>185</v>
      </c>
      <c r="E449" s="173" t="s">
        <v>1313</v>
      </c>
      <c r="F449" s="196" t="s">
        <v>1677</v>
      </c>
      <c r="G449" s="172" t="s">
        <v>1397</v>
      </c>
      <c r="H449" s="172" t="s">
        <v>1397</v>
      </c>
      <c r="I449" s="172" t="s">
        <v>1397</v>
      </c>
      <c r="J449" s="212" t="s">
        <v>85</v>
      </c>
      <c r="K449" s="165" t="s">
        <v>1668</v>
      </c>
      <c r="L449" s="212"/>
      <c r="M449" s="209"/>
      <c r="N449" s="154" t="s">
        <v>1628</v>
      </c>
      <c r="O449" s="154" t="s">
        <v>690</v>
      </c>
      <c r="P449" s="225" t="s">
        <v>1518</v>
      </c>
      <c r="Q449" s="225" t="s">
        <v>1518</v>
      </c>
      <c r="R449" s="227"/>
    </row>
    <row r="450" ht="15.75" customHeight="1">
      <c r="A450" s="172" t="s">
        <v>1705</v>
      </c>
      <c r="B450" s="165" t="s">
        <v>197</v>
      </c>
      <c r="C450" s="173" t="s">
        <v>1706</v>
      </c>
      <c r="D450" s="173" t="s">
        <v>185</v>
      </c>
      <c r="E450" s="173" t="s">
        <v>1313</v>
      </c>
      <c r="F450" s="196" t="s">
        <v>1667</v>
      </c>
      <c r="G450" s="172" t="s">
        <v>1397</v>
      </c>
      <c r="H450" s="172" t="s">
        <v>1397</v>
      </c>
      <c r="I450" s="172" t="s">
        <v>1397</v>
      </c>
      <c r="J450" s="212" t="s">
        <v>85</v>
      </c>
      <c r="K450" s="165" t="s">
        <v>1668</v>
      </c>
      <c r="L450" s="212"/>
      <c r="M450" s="209"/>
      <c r="N450" s="154" t="s">
        <v>1628</v>
      </c>
      <c r="O450" s="154" t="s">
        <v>690</v>
      </c>
      <c r="P450" s="225" t="s">
        <v>1518</v>
      </c>
      <c r="Q450" s="225" t="s">
        <v>1518</v>
      </c>
      <c r="R450" s="227"/>
    </row>
    <row r="451" ht="15.75" customHeight="1">
      <c r="A451" s="172" t="s">
        <v>1707</v>
      </c>
      <c r="B451" s="165" t="s">
        <v>197</v>
      </c>
      <c r="C451" s="173" t="s">
        <v>1708</v>
      </c>
      <c r="D451" s="173" t="s">
        <v>185</v>
      </c>
      <c r="E451" s="173" t="s">
        <v>1709</v>
      </c>
      <c r="F451" s="196">
        <v>15.0</v>
      </c>
      <c r="G451" s="172" t="s">
        <v>1397</v>
      </c>
      <c r="H451" s="172" t="s">
        <v>1397</v>
      </c>
      <c r="I451" s="172" t="s">
        <v>1397</v>
      </c>
      <c r="J451" s="212" t="s">
        <v>85</v>
      </c>
      <c r="K451" s="165" t="s">
        <v>1668</v>
      </c>
      <c r="L451" s="212"/>
      <c r="M451" s="209"/>
      <c r="N451" s="154" t="s">
        <v>1710</v>
      </c>
      <c r="O451" s="154" t="s">
        <v>690</v>
      </c>
      <c r="P451" s="225" t="s">
        <v>1518</v>
      </c>
      <c r="Q451" s="225" t="s">
        <v>1518</v>
      </c>
      <c r="R451" s="227"/>
    </row>
    <row r="452" ht="15.75" customHeight="1">
      <c r="A452" s="172" t="s">
        <v>1711</v>
      </c>
      <c r="B452" s="165" t="s">
        <v>197</v>
      </c>
      <c r="C452" s="173" t="s">
        <v>1712</v>
      </c>
      <c r="D452" s="173" t="s">
        <v>185</v>
      </c>
      <c r="E452" s="173" t="s">
        <v>1709</v>
      </c>
      <c r="F452" s="196">
        <v>15.0</v>
      </c>
      <c r="G452" s="172" t="s">
        <v>1397</v>
      </c>
      <c r="H452" s="172" t="s">
        <v>1397</v>
      </c>
      <c r="I452" s="172" t="s">
        <v>1397</v>
      </c>
      <c r="J452" s="212" t="s">
        <v>85</v>
      </c>
      <c r="K452" s="165" t="s">
        <v>1668</v>
      </c>
      <c r="L452" s="212"/>
      <c r="M452" s="209"/>
      <c r="N452" s="154" t="s">
        <v>1710</v>
      </c>
      <c r="O452" s="154" t="s">
        <v>690</v>
      </c>
      <c r="P452" s="225" t="s">
        <v>1518</v>
      </c>
      <c r="Q452" s="225" t="s">
        <v>1518</v>
      </c>
      <c r="R452" s="227"/>
    </row>
    <row r="453" ht="15.75" customHeight="1">
      <c r="A453" s="172" t="s">
        <v>1713</v>
      </c>
      <c r="B453" s="165" t="s">
        <v>197</v>
      </c>
      <c r="C453" s="173" t="s">
        <v>1714</v>
      </c>
      <c r="D453" s="173" t="s">
        <v>185</v>
      </c>
      <c r="E453" s="173" t="s">
        <v>1709</v>
      </c>
      <c r="F453" s="196">
        <v>15.0</v>
      </c>
      <c r="G453" s="172" t="s">
        <v>1397</v>
      </c>
      <c r="H453" s="172" t="s">
        <v>1397</v>
      </c>
      <c r="I453" s="172" t="s">
        <v>1397</v>
      </c>
      <c r="J453" s="212" t="s">
        <v>85</v>
      </c>
      <c r="K453" s="165" t="s">
        <v>1668</v>
      </c>
      <c r="L453" s="212"/>
      <c r="M453" s="209"/>
      <c r="N453" s="154" t="s">
        <v>1710</v>
      </c>
      <c r="O453" s="154" t="s">
        <v>690</v>
      </c>
      <c r="P453" s="225" t="s">
        <v>1518</v>
      </c>
      <c r="Q453" s="225" t="s">
        <v>1518</v>
      </c>
      <c r="R453" s="227"/>
    </row>
    <row r="454" ht="15.75" customHeight="1">
      <c r="A454" s="172" t="s">
        <v>1715</v>
      </c>
      <c r="B454" s="165" t="s">
        <v>197</v>
      </c>
      <c r="C454" s="173" t="s">
        <v>1716</v>
      </c>
      <c r="D454" s="173" t="s">
        <v>185</v>
      </c>
      <c r="E454" s="173" t="s">
        <v>1709</v>
      </c>
      <c r="F454" s="196">
        <v>15.0</v>
      </c>
      <c r="G454" s="172" t="s">
        <v>1397</v>
      </c>
      <c r="H454" s="172" t="s">
        <v>1397</v>
      </c>
      <c r="I454" s="172" t="s">
        <v>1397</v>
      </c>
      <c r="J454" s="212" t="s">
        <v>85</v>
      </c>
      <c r="K454" s="165" t="s">
        <v>1668</v>
      </c>
      <c r="L454" s="212"/>
      <c r="M454" s="209"/>
      <c r="N454" s="154" t="s">
        <v>1710</v>
      </c>
      <c r="O454" s="154" t="s">
        <v>690</v>
      </c>
      <c r="P454" s="225" t="s">
        <v>1518</v>
      </c>
      <c r="Q454" s="225" t="s">
        <v>1518</v>
      </c>
      <c r="R454" s="227"/>
    </row>
    <row r="455" ht="15.75" customHeight="1">
      <c r="A455" s="172" t="s">
        <v>1717</v>
      </c>
      <c r="B455" s="165" t="s">
        <v>197</v>
      </c>
      <c r="C455" s="173" t="s">
        <v>1718</v>
      </c>
      <c r="D455" s="173" t="s">
        <v>185</v>
      </c>
      <c r="E455" s="173" t="s">
        <v>1709</v>
      </c>
      <c r="F455" s="196">
        <v>15.0</v>
      </c>
      <c r="G455" s="172" t="s">
        <v>1397</v>
      </c>
      <c r="H455" s="172" t="s">
        <v>1397</v>
      </c>
      <c r="I455" s="172" t="s">
        <v>1397</v>
      </c>
      <c r="J455" s="212" t="s">
        <v>85</v>
      </c>
      <c r="K455" s="165" t="s">
        <v>1668</v>
      </c>
      <c r="L455" s="212"/>
      <c r="M455" s="209"/>
      <c r="N455" s="154" t="s">
        <v>1710</v>
      </c>
      <c r="O455" s="154" t="s">
        <v>690</v>
      </c>
      <c r="P455" s="225" t="s">
        <v>1518</v>
      </c>
      <c r="Q455" s="225" t="s">
        <v>1518</v>
      </c>
      <c r="R455" s="227"/>
    </row>
    <row r="456" ht="15.75" customHeight="1">
      <c r="A456" s="172" t="s">
        <v>1719</v>
      </c>
      <c r="B456" s="165" t="s">
        <v>197</v>
      </c>
      <c r="C456" s="173" t="s">
        <v>1720</v>
      </c>
      <c r="D456" s="173" t="s">
        <v>185</v>
      </c>
      <c r="E456" s="173" t="s">
        <v>1709</v>
      </c>
      <c r="F456" s="196">
        <v>15.0</v>
      </c>
      <c r="G456" s="172" t="s">
        <v>1397</v>
      </c>
      <c r="H456" s="172" t="s">
        <v>1397</v>
      </c>
      <c r="I456" s="172" t="s">
        <v>1397</v>
      </c>
      <c r="J456" s="212" t="s">
        <v>85</v>
      </c>
      <c r="K456" s="165" t="s">
        <v>1668</v>
      </c>
      <c r="L456" s="212"/>
      <c r="M456" s="209"/>
      <c r="N456" s="154" t="s">
        <v>1710</v>
      </c>
      <c r="O456" s="154" t="s">
        <v>690</v>
      </c>
      <c r="P456" s="225" t="s">
        <v>1518</v>
      </c>
      <c r="Q456" s="225" t="s">
        <v>1518</v>
      </c>
      <c r="R456" s="227"/>
    </row>
    <row r="457" ht="15.75" customHeight="1">
      <c r="A457" s="172" t="s">
        <v>1721</v>
      </c>
      <c r="B457" s="165" t="s">
        <v>197</v>
      </c>
      <c r="C457" s="173" t="s">
        <v>1722</v>
      </c>
      <c r="D457" s="173" t="s">
        <v>185</v>
      </c>
      <c r="E457" s="173" t="s">
        <v>1709</v>
      </c>
      <c r="F457" s="196">
        <v>15.0</v>
      </c>
      <c r="G457" s="172" t="s">
        <v>1397</v>
      </c>
      <c r="H457" s="172" t="s">
        <v>1397</v>
      </c>
      <c r="I457" s="172" t="s">
        <v>1397</v>
      </c>
      <c r="J457" s="212" t="s">
        <v>85</v>
      </c>
      <c r="K457" s="165" t="s">
        <v>1668</v>
      </c>
      <c r="L457" s="212"/>
      <c r="M457" s="209"/>
      <c r="N457" s="154" t="s">
        <v>1710</v>
      </c>
      <c r="O457" s="154" t="s">
        <v>690</v>
      </c>
      <c r="P457" s="225" t="s">
        <v>1518</v>
      </c>
      <c r="Q457" s="225" t="s">
        <v>1518</v>
      </c>
      <c r="R457" s="227"/>
    </row>
    <row r="458" ht="15.75" customHeight="1">
      <c r="A458" s="172" t="s">
        <v>1723</v>
      </c>
      <c r="B458" s="165" t="s">
        <v>197</v>
      </c>
      <c r="C458" s="173" t="s">
        <v>1724</v>
      </c>
      <c r="D458" s="173" t="s">
        <v>185</v>
      </c>
      <c r="E458" s="173" t="s">
        <v>1709</v>
      </c>
      <c r="F458" s="196">
        <v>15.0</v>
      </c>
      <c r="G458" s="172" t="s">
        <v>1397</v>
      </c>
      <c r="H458" s="172" t="s">
        <v>1397</v>
      </c>
      <c r="I458" s="172" t="s">
        <v>1397</v>
      </c>
      <c r="J458" s="212" t="s">
        <v>85</v>
      </c>
      <c r="K458" s="165" t="s">
        <v>1668</v>
      </c>
      <c r="L458" s="212"/>
      <c r="M458" s="209"/>
      <c r="N458" s="154" t="s">
        <v>1710</v>
      </c>
      <c r="O458" s="154" t="s">
        <v>690</v>
      </c>
      <c r="P458" s="225" t="s">
        <v>1518</v>
      </c>
      <c r="Q458" s="225" t="s">
        <v>1518</v>
      </c>
      <c r="R458" s="227"/>
    </row>
    <row r="459" ht="15.75" customHeight="1">
      <c r="A459" s="172" t="s">
        <v>1725</v>
      </c>
      <c r="B459" s="165" t="s">
        <v>197</v>
      </c>
      <c r="C459" s="173" t="s">
        <v>1726</v>
      </c>
      <c r="D459" s="173" t="s">
        <v>185</v>
      </c>
      <c r="E459" s="173" t="s">
        <v>1709</v>
      </c>
      <c r="F459" s="196">
        <v>15.0</v>
      </c>
      <c r="G459" s="172" t="s">
        <v>1397</v>
      </c>
      <c r="H459" s="172" t="s">
        <v>1397</v>
      </c>
      <c r="I459" s="172" t="s">
        <v>1397</v>
      </c>
      <c r="J459" s="212" t="s">
        <v>85</v>
      </c>
      <c r="K459" s="165" t="s">
        <v>1668</v>
      </c>
      <c r="L459" s="212"/>
      <c r="M459" s="209"/>
      <c r="N459" s="154" t="s">
        <v>1710</v>
      </c>
      <c r="O459" s="154" t="s">
        <v>690</v>
      </c>
      <c r="P459" s="225" t="s">
        <v>1518</v>
      </c>
      <c r="Q459" s="225" t="s">
        <v>1518</v>
      </c>
      <c r="R459" s="227"/>
    </row>
    <row r="460" ht="15.75" customHeight="1">
      <c r="A460" s="172" t="s">
        <v>1727</v>
      </c>
      <c r="B460" s="165" t="s">
        <v>197</v>
      </c>
      <c r="C460" s="173" t="s">
        <v>1728</v>
      </c>
      <c r="D460" s="173" t="s">
        <v>185</v>
      </c>
      <c r="E460" s="173" t="s">
        <v>1709</v>
      </c>
      <c r="F460" s="196">
        <v>15.0</v>
      </c>
      <c r="G460" s="172" t="s">
        <v>1397</v>
      </c>
      <c r="H460" s="172" t="s">
        <v>1397</v>
      </c>
      <c r="I460" s="172" t="s">
        <v>1397</v>
      </c>
      <c r="J460" s="212" t="s">
        <v>85</v>
      </c>
      <c r="K460" s="165" t="s">
        <v>1668</v>
      </c>
      <c r="L460" s="212"/>
      <c r="M460" s="209"/>
      <c r="N460" s="154" t="s">
        <v>1710</v>
      </c>
      <c r="O460" s="154" t="s">
        <v>690</v>
      </c>
      <c r="P460" s="225" t="s">
        <v>1518</v>
      </c>
      <c r="Q460" s="225" t="s">
        <v>1518</v>
      </c>
      <c r="R460" s="227"/>
    </row>
    <row r="461" ht="15.75" customHeight="1">
      <c r="A461" s="172" t="s">
        <v>1729</v>
      </c>
      <c r="B461" s="165" t="s">
        <v>197</v>
      </c>
      <c r="C461" s="173" t="s">
        <v>1730</v>
      </c>
      <c r="D461" s="173" t="s">
        <v>185</v>
      </c>
      <c r="E461" s="173" t="s">
        <v>1709</v>
      </c>
      <c r="F461" s="196">
        <v>15.0</v>
      </c>
      <c r="G461" s="172" t="s">
        <v>1397</v>
      </c>
      <c r="H461" s="172" t="s">
        <v>1397</v>
      </c>
      <c r="I461" s="172" t="s">
        <v>1397</v>
      </c>
      <c r="J461" s="212" t="s">
        <v>85</v>
      </c>
      <c r="K461" s="165" t="s">
        <v>1668</v>
      </c>
      <c r="L461" s="212"/>
      <c r="M461" s="209"/>
      <c r="N461" s="154" t="s">
        <v>1710</v>
      </c>
      <c r="O461" s="154" t="s">
        <v>690</v>
      </c>
      <c r="P461" s="225" t="s">
        <v>1518</v>
      </c>
      <c r="Q461" s="225" t="s">
        <v>1518</v>
      </c>
      <c r="R461" s="227"/>
    </row>
    <row r="462" ht="15.75" customHeight="1">
      <c r="A462" s="172" t="s">
        <v>1731</v>
      </c>
      <c r="B462" s="165" t="s">
        <v>197</v>
      </c>
      <c r="C462" s="173" t="s">
        <v>1732</v>
      </c>
      <c r="D462" s="173" t="s">
        <v>185</v>
      </c>
      <c r="E462" s="173" t="s">
        <v>1709</v>
      </c>
      <c r="F462" s="196">
        <v>15.0</v>
      </c>
      <c r="G462" s="172" t="s">
        <v>1397</v>
      </c>
      <c r="H462" s="172" t="s">
        <v>1397</v>
      </c>
      <c r="I462" s="172" t="s">
        <v>1397</v>
      </c>
      <c r="J462" s="212" t="s">
        <v>85</v>
      </c>
      <c r="K462" s="165" t="s">
        <v>1668</v>
      </c>
      <c r="L462" s="212"/>
      <c r="M462" s="209"/>
      <c r="N462" s="154" t="s">
        <v>1710</v>
      </c>
      <c r="O462" s="154" t="s">
        <v>690</v>
      </c>
      <c r="P462" s="225" t="s">
        <v>1518</v>
      </c>
      <c r="Q462" s="225" t="s">
        <v>1518</v>
      </c>
      <c r="R462" s="227"/>
    </row>
    <row r="463" ht="15.75" customHeight="1">
      <c r="A463" s="172" t="s">
        <v>1733</v>
      </c>
      <c r="B463" s="165" t="s">
        <v>197</v>
      </c>
      <c r="C463" s="173" t="s">
        <v>1734</v>
      </c>
      <c r="D463" s="173" t="s">
        <v>185</v>
      </c>
      <c r="E463" s="173" t="s">
        <v>1709</v>
      </c>
      <c r="F463" s="196">
        <v>15.0</v>
      </c>
      <c r="G463" s="172" t="s">
        <v>1397</v>
      </c>
      <c r="H463" s="172" t="s">
        <v>1397</v>
      </c>
      <c r="I463" s="172" t="s">
        <v>1397</v>
      </c>
      <c r="J463" s="212" t="s">
        <v>85</v>
      </c>
      <c r="K463" s="165" t="s">
        <v>1668</v>
      </c>
      <c r="L463" s="212"/>
      <c r="M463" s="209"/>
      <c r="N463" s="154" t="s">
        <v>1710</v>
      </c>
      <c r="O463" s="154" t="s">
        <v>690</v>
      </c>
      <c r="P463" s="225" t="s">
        <v>1518</v>
      </c>
      <c r="Q463" s="225" t="s">
        <v>1518</v>
      </c>
      <c r="R463" s="227"/>
    </row>
    <row r="464" ht="15.75" customHeight="1">
      <c r="A464" s="172" t="s">
        <v>1735</v>
      </c>
      <c r="B464" s="165" t="s">
        <v>197</v>
      </c>
      <c r="C464" s="173" t="s">
        <v>1736</v>
      </c>
      <c r="D464" s="173" t="s">
        <v>185</v>
      </c>
      <c r="E464" s="173" t="s">
        <v>1709</v>
      </c>
      <c r="F464" s="196">
        <v>15.0</v>
      </c>
      <c r="G464" s="172" t="s">
        <v>1397</v>
      </c>
      <c r="H464" s="172" t="s">
        <v>1397</v>
      </c>
      <c r="I464" s="172" t="s">
        <v>1397</v>
      </c>
      <c r="J464" s="212" t="s">
        <v>85</v>
      </c>
      <c r="K464" s="165" t="s">
        <v>1668</v>
      </c>
      <c r="L464" s="212"/>
      <c r="M464" s="209"/>
      <c r="N464" s="154" t="s">
        <v>1710</v>
      </c>
      <c r="O464" s="154" t="s">
        <v>690</v>
      </c>
      <c r="P464" s="225" t="s">
        <v>1518</v>
      </c>
      <c r="Q464" s="225" t="s">
        <v>1518</v>
      </c>
      <c r="R464" s="227"/>
    </row>
    <row r="465" ht="15.75" customHeight="1">
      <c r="A465" s="172" t="s">
        <v>1737</v>
      </c>
      <c r="B465" s="165" t="s">
        <v>197</v>
      </c>
      <c r="C465" s="173" t="s">
        <v>1738</v>
      </c>
      <c r="D465" s="173" t="s">
        <v>185</v>
      </c>
      <c r="E465" s="173" t="s">
        <v>1709</v>
      </c>
      <c r="F465" s="196">
        <v>15.0</v>
      </c>
      <c r="G465" s="172" t="s">
        <v>1397</v>
      </c>
      <c r="H465" s="172" t="s">
        <v>1397</v>
      </c>
      <c r="I465" s="172" t="s">
        <v>1397</v>
      </c>
      <c r="J465" s="212" t="s">
        <v>85</v>
      </c>
      <c r="K465" s="165" t="s">
        <v>1668</v>
      </c>
      <c r="L465" s="212"/>
      <c r="M465" s="209"/>
      <c r="N465" s="154" t="s">
        <v>1710</v>
      </c>
      <c r="O465" s="154" t="s">
        <v>690</v>
      </c>
      <c r="P465" s="225" t="s">
        <v>1518</v>
      </c>
      <c r="Q465" s="225" t="s">
        <v>1518</v>
      </c>
      <c r="R465" s="227"/>
    </row>
    <row r="466" ht="15.75" customHeight="1">
      <c r="A466" s="172" t="s">
        <v>1739</v>
      </c>
      <c r="B466" s="165" t="s">
        <v>197</v>
      </c>
      <c r="C466" s="173" t="s">
        <v>1740</v>
      </c>
      <c r="D466" s="173" t="s">
        <v>185</v>
      </c>
      <c r="E466" s="173" t="s">
        <v>1709</v>
      </c>
      <c r="F466" s="196">
        <v>15.0</v>
      </c>
      <c r="G466" s="172" t="s">
        <v>1397</v>
      </c>
      <c r="H466" s="172" t="s">
        <v>1397</v>
      </c>
      <c r="I466" s="172" t="s">
        <v>1397</v>
      </c>
      <c r="J466" s="212" t="s">
        <v>85</v>
      </c>
      <c r="K466" s="165" t="s">
        <v>1668</v>
      </c>
      <c r="L466" s="212"/>
      <c r="M466" s="209"/>
      <c r="N466" s="154" t="s">
        <v>1710</v>
      </c>
      <c r="O466" s="154" t="s">
        <v>690</v>
      </c>
      <c r="P466" s="225" t="s">
        <v>1518</v>
      </c>
      <c r="Q466" s="225" t="s">
        <v>1518</v>
      </c>
      <c r="R466" s="227"/>
    </row>
    <row r="467" ht="15.75" customHeight="1">
      <c r="A467" s="172" t="s">
        <v>1741</v>
      </c>
      <c r="B467" s="165" t="s">
        <v>197</v>
      </c>
      <c r="C467" s="173" t="s">
        <v>1742</v>
      </c>
      <c r="D467" s="173" t="s">
        <v>185</v>
      </c>
      <c r="E467" s="173" t="s">
        <v>1709</v>
      </c>
      <c r="F467" s="196">
        <v>15.0</v>
      </c>
      <c r="G467" s="172" t="s">
        <v>1397</v>
      </c>
      <c r="H467" s="172" t="s">
        <v>1397</v>
      </c>
      <c r="I467" s="172" t="s">
        <v>1397</v>
      </c>
      <c r="J467" s="212" t="s">
        <v>85</v>
      </c>
      <c r="K467" s="165" t="s">
        <v>1668</v>
      </c>
      <c r="L467" s="212"/>
      <c r="M467" s="209"/>
      <c r="N467" s="154" t="s">
        <v>1710</v>
      </c>
      <c r="O467" s="154" t="s">
        <v>690</v>
      </c>
      <c r="P467" s="225" t="s">
        <v>1518</v>
      </c>
      <c r="Q467" s="225" t="s">
        <v>1518</v>
      </c>
      <c r="R467" s="227"/>
    </row>
    <row r="468" ht="15.75" customHeight="1">
      <c r="A468" s="172" t="s">
        <v>1743</v>
      </c>
      <c r="B468" s="165" t="s">
        <v>197</v>
      </c>
      <c r="C468" s="173" t="s">
        <v>1744</v>
      </c>
      <c r="D468" s="173" t="s">
        <v>185</v>
      </c>
      <c r="E468" s="173" t="s">
        <v>1709</v>
      </c>
      <c r="F468" s="196">
        <v>15.0</v>
      </c>
      <c r="G468" s="172" t="s">
        <v>1397</v>
      </c>
      <c r="H468" s="172" t="s">
        <v>1397</v>
      </c>
      <c r="I468" s="172" t="s">
        <v>1397</v>
      </c>
      <c r="J468" s="212" t="s">
        <v>85</v>
      </c>
      <c r="K468" s="165" t="s">
        <v>1668</v>
      </c>
      <c r="L468" s="212"/>
      <c r="M468" s="209"/>
      <c r="N468" s="154" t="s">
        <v>1710</v>
      </c>
      <c r="O468" s="154" t="s">
        <v>690</v>
      </c>
      <c r="P468" s="225" t="s">
        <v>1518</v>
      </c>
      <c r="Q468" s="225" t="s">
        <v>1518</v>
      </c>
      <c r="R468" s="227"/>
    </row>
    <row r="469" ht="15.75" customHeight="1">
      <c r="A469" s="172" t="s">
        <v>1745</v>
      </c>
      <c r="B469" s="165" t="s">
        <v>197</v>
      </c>
      <c r="C469" s="173" t="s">
        <v>1746</v>
      </c>
      <c r="D469" s="173" t="s">
        <v>185</v>
      </c>
      <c r="E469" s="173" t="s">
        <v>713</v>
      </c>
      <c r="F469" s="196">
        <v>543.0</v>
      </c>
      <c r="G469" s="172" t="s">
        <v>1397</v>
      </c>
      <c r="H469" s="172" t="s">
        <v>1397</v>
      </c>
      <c r="I469" s="172" t="s">
        <v>1397</v>
      </c>
      <c r="J469" s="212" t="s">
        <v>85</v>
      </c>
      <c r="K469" s="165" t="s">
        <v>1668</v>
      </c>
      <c r="L469" s="212"/>
      <c r="M469" s="209"/>
      <c r="N469" s="154" t="s">
        <v>1747</v>
      </c>
      <c r="O469" s="154" t="s">
        <v>690</v>
      </c>
      <c r="P469" s="225" t="s">
        <v>1518</v>
      </c>
      <c r="Q469" s="225" t="s">
        <v>1518</v>
      </c>
      <c r="R469" s="227"/>
    </row>
    <row r="470" ht="15.75" customHeight="1">
      <c r="A470" s="172" t="s">
        <v>1748</v>
      </c>
      <c r="B470" s="165" t="s">
        <v>197</v>
      </c>
      <c r="C470" s="173" t="s">
        <v>1749</v>
      </c>
      <c r="D470" s="173" t="s">
        <v>185</v>
      </c>
      <c r="E470" s="173" t="s">
        <v>713</v>
      </c>
      <c r="F470" s="196">
        <v>145.0</v>
      </c>
      <c r="G470" s="172" t="s">
        <v>1397</v>
      </c>
      <c r="H470" s="172" t="s">
        <v>1397</v>
      </c>
      <c r="I470" s="172" t="s">
        <v>1397</v>
      </c>
      <c r="J470" s="212" t="s">
        <v>85</v>
      </c>
      <c r="K470" s="165" t="s">
        <v>1668</v>
      </c>
      <c r="L470" s="212"/>
      <c r="M470" s="209"/>
      <c r="N470" s="154" t="s">
        <v>1747</v>
      </c>
      <c r="O470" s="154" t="s">
        <v>690</v>
      </c>
      <c r="P470" s="225" t="s">
        <v>1518</v>
      </c>
      <c r="Q470" s="225" t="s">
        <v>1518</v>
      </c>
      <c r="R470" s="227"/>
    </row>
    <row r="471" ht="15.75" customHeight="1">
      <c r="A471" s="172" t="s">
        <v>1750</v>
      </c>
      <c r="B471" s="165" t="s">
        <v>197</v>
      </c>
      <c r="C471" s="173" t="s">
        <v>1751</v>
      </c>
      <c r="D471" s="173" t="s">
        <v>185</v>
      </c>
      <c r="E471" s="173" t="s">
        <v>698</v>
      </c>
      <c r="F471" s="196">
        <v>44119.333333333336</v>
      </c>
      <c r="G471" s="172" t="s">
        <v>1752</v>
      </c>
      <c r="H471" s="172" t="s">
        <v>1753</v>
      </c>
      <c r="I471" s="172" t="s">
        <v>1752</v>
      </c>
      <c r="J471" s="212" t="s">
        <v>85</v>
      </c>
      <c r="K471" s="165" t="s">
        <v>1668</v>
      </c>
      <c r="L471" s="212"/>
      <c r="M471" s="209"/>
      <c r="N471" s="154" t="s">
        <v>1747</v>
      </c>
      <c r="O471" s="154" t="s">
        <v>690</v>
      </c>
      <c r="P471" s="225" t="s">
        <v>782</v>
      </c>
      <c r="Q471" s="225" t="s">
        <v>782</v>
      </c>
      <c r="R471" s="227"/>
    </row>
    <row r="472" ht="15.75" customHeight="1">
      <c r="A472" s="172" t="s">
        <v>1754</v>
      </c>
      <c r="B472" s="165" t="s">
        <v>197</v>
      </c>
      <c r="C472" s="173" t="s">
        <v>1755</v>
      </c>
      <c r="D472" s="173" t="s">
        <v>185</v>
      </c>
      <c r="E472" s="173" t="s">
        <v>713</v>
      </c>
      <c r="F472" s="196">
        <v>15.0</v>
      </c>
      <c r="G472" s="172" t="s">
        <v>1752</v>
      </c>
      <c r="H472" s="172" t="s">
        <v>1753</v>
      </c>
      <c r="I472" s="172" t="s">
        <v>1752</v>
      </c>
      <c r="J472" s="212" t="s">
        <v>85</v>
      </c>
      <c r="K472" s="165" t="s">
        <v>1668</v>
      </c>
      <c r="L472" s="212"/>
      <c r="M472" s="209"/>
      <c r="N472" s="154" t="s">
        <v>1747</v>
      </c>
      <c r="O472" s="154" t="s">
        <v>690</v>
      </c>
      <c r="P472" s="225" t="s">
        <v>782</v>
      </c>
      <c r="Q472" s="225" t="s">
        <v>782</v>
      </c>
      <c r="R472" s="227"/>
    </row>
    <row r="473" ht="15.75" customHeight="1">
      <c r="A473" s="172" t="s">
        <v>1756</v>
      </c>
      <c r="B473" s="165" t="s">
        <v>197</v>
      </c>
      <c r="C473" s="173" t="s">
        <v>1757</v>
      </c>
      <c r="D473" s="173" t="s">
        <v>185</v>
      </c>
      <c r="E473" s="173" t="s">
        <v>713</v>
      </c>
      <c r="F473" s="196">
        <v>15.0</v>
      </c>
      <c r="G473" s="172" t="s">
        <v>1752</v>
      </c>
      <c r="H473" s="172" t="s">
        <v>1753</v>
      </c>
      <c r="I473" s="172" t="s">
        <v>1752</v>
      </c>
      <c r="J473" s="212" t="s">
        <v>85</v>
      </c>
      <c r="K473" s="165" t="s">
        <v>1668</v>
      </c>
      <c r="L473" s="212"/>
      <c r="M473" s="209"/>
      <c r="N473" s="154" t="s">
        <v>1747</v>
      </c>
      <c r="O473" s="154" t="s">
        <v>690</v>
      </c>
      <c r="P473" s="225" t="s">
        <v>782</v>
      </c>
      <c r="Q473" s="225" t="s">
        <v>782</v>
      </c>
      <c r="R473" s="227"/>
    </row>
    <row r="474" ht="15.75" customHeight="1">
      <c r="A474" s="231"/>
      <c r="B474" s="232"/>
      <c r="C474" s="233"/>
      <c r="D474" s="233"/>
      <c r="E474" s="233"/>
      <c r="F474" s="201"/>
      <c r="G474" s="231"/>
      <c r="H474" s="231"/>
      <c r="I474" s="231"/>
      <c r="J474" s="230"/>
      <c r="K474" s="232"/>
      <c r="L474" s="230"/>
      <c r="M474" s="234"/>
      <c r="N474" s="233"/>
      <c r="O474" s="235"/>
      <c r="P474" s="236"/>
      <c r="Q474" s="236"/>
      <c r="R474" s="227"/>
    </row>
    <row r="475" ht="15.75" customHeight="1">
      <c r="A475" s="231"/>
      <c r="B475" s="232"/>
      <c r="C475" s="233"/>
      <c r="D475" s="233"/>
      <c r="E475" s="233"/>
      <c r="F475" s="201"/>
      <c r="G475" s="231"/>
      <c r="H475" s="231"/>
      <c r="I475" s="231"/>
      <c r="J475" s="230"/>
      <c r="K475" s="232"/>
      <c r="L475" s="230"/>
      <c r="M475" s="234"/>
      <c r="N475" s="233"/>
      <c r="O475" s="235"/>
      <c r="P475" s="236"/>
      <c r="Q475" s="236"/>
      <c r="R475" s="227"/>
    </row>
    <row r="476" ht="15.75" customHeight="1">
      <c r="A476" s="231"/>
      <c r="B476" s="232"/>
      <c r="C476" s="233"/>
      <c r="D476" s="233"/>
      <c r="E476" s="233"/>
      <c r="F476" s="201"/>
      <c r="G476" s="231"/>
      <c r="H476" s="231"/>
      <c r="I476" s="231"/>
      <c r="J476" s="230"/>
      <c r="K476" s="232"/>
      <c r="L476" s="230"/>
      <c r="M476" s="234"/>
      <c r="N476" s="233"/>
      <c r="O476" s="235"/>
      <c r="P476" s="236"/>
      <c r="Q476" s="236"/>
      <c r="R476" s="227"/>
    </row>
    <row r="477" ht="15.75" customHeight="1">
      <c r="A477" s="231"/>
      <c r="B477" s="232"/>
      <c r="C477" s="233"/>
      <c r="D477" s="233"/>
      <c r="E477" s="233"/>
      <c r="F477" s="201"/>
      <c r="G477" s="231"/>
      <c r="H477" s="231"/>
      <c r="I477" s="231"/>
      <c r="J477" s="230"/>
      <c r="K477" s="232"/>
      <c r="L477" s="230"/>
      <c r="M477" s="234"/>
      <c r="N477" s="233"/>
      <c r="O477" s="235"/>
      <c r="P477" s="236"/>
      <c r="Q477" s="236"/>
      <c r="R477" s="227"/>
    </row>
    <row r="478" ht="15.75" customHeight="1">
      <c r="A478" s="231"/>
      <c r="B478" s="232"/>
      <c r="C478" s="233"/>
      <c r="D478" s="233"/>
      <c r="E478" s="233"/>
      <c r="F478" s="201"/>
      <c r="G478" s="231"/>
      <c r="H478" s="231"/>
      <c r="I478" s="231"/>
      <c r="J478" s="230"/>
      <c r="K478" s="232"/>
      <c r="L478" s="230"/>
      <c r="M478" s="234"/>
      <c r="N478" s="233"/>
      <c r="O478" s="235"/>
      <c r="P478" s="236"/>
      <c r="Q478" s="236"/>
      <c r="R478" s="227"/>
    </row>
    <row r="479" ht="15.75" customHeight="1">
      <c r="A479" s="231"/>
      <c r="B479" s="232"/>
      <c r="C479" s="233"/>
      <c r="D479" s="233"/>
      <c r="E479" s="233"/>
      <c r="F479" s="201"/>
      <c r="G479" s="231"/>
      <c r="H479" s="231"/>
      <c r="I479" s="231"/>
      <c r="J479" s="230"/>
      <c r="K479" s="232"/>
      <c r="L479" s="230"/>
      <c r="M479" s="234"/>
      <c r="N479" s="233"/>
      <c r="O479" s="235"/>
      <c r="P479" s="236"/>
      <c r="Q479" s="236"/>
      <c r="R479" s="227"/>
    </row>
    <row r="480" ht="15.75" customHeight="1">
      <c r="A480" s="231"/>
      <c r="B480" s="232"/>
      <c r="C480" s="233"/>
      <c r="D480" s="233"/>
      <c r="E480" s="233"/>
      <c r="F480" s="201"/>
      <c r="G480" s="231"/>
      <c r="H480" s="231"/>
      <c r="I480" s="231"/>
      <c r="J480" s="230"/>
      <c r="K480" s="232"/>
      <c r="L480" s="230"/>
      <c r="M480" s="234"/>
      <c r="N480" s="233"/>
      <c r="O480" s="235"/>
      <c r="P480" s="236"/>
      <c r="Q480" s="236"/>
      <c r="R480" s="227"/>
    </row>
    <row r="481" ht="15.75" customHeight="1">
      <c r="A481" s="231"/>
      <c r="B481" s="232"/>
      <c r="C481" s="233"/>
      <c r="D481" s="233"/>
      <c r="E481" s="233"/>
      <c r="F481" s="201"/>
      <c r="G481" s="231"/>
      <c r="H481" s="231"/>
      <c r="I481" s="231"/>
      <c r="J481" s="230"/>
      <c r="K481" s="232"/>
      <c r="L481" s="230"/>
      <c r="M481" s="234"/>
      <c r="N481" s="233"/>
      <c r="O481" s="235"/>
      <c r="P481" s="236"/>
      <c r="Q481" s="236"/>
      <c r="R481" s="227"/>
    </row>
    <row r="482" ht="15.75" customHeight="1">
      <c r="A482" s="231"/>
      <c r="B482" s="232"/>
      <c r="C482" s="233"/>
      <c r="D482" s="233"/>
      <c r="E482" s="233"/>
      <c r="F482" s="201"/>
      <c r="G482" s="231"/>
      <c r="H482" s="231"/>
      <c r="I482" s="231"/>
      <c r="J482" s="230"/>
      <c r="K482" s="232"/>
      <c r="L482" s="230"/>
      <c r="M482" s="234"/>
      <c r="N482" s="233"/>
      <c r="O482" s="235"/>
      <c r="P482" s="236"/>
      <c r="Q482" s="236"/>
      <c r="R482" s="227"/>
    </row>
    <row r="483" ht="15.75" customHeight="1">
      <c r="A483" s="231"/>
      <c r="B483" s="232"/>
      <c r="C483" s="233"/>
      <c r="D483" s="233"/>
      <c r="E483" s="233"/>
      <c r="F483" s="201"/>
      <c r="G483" s="231"/>
      <c r="H483" s="231"/>
      <c r="I483" s="231"/>
      <c r="J483" s="230"/>
      <c r="K483" s="232"/>
      <c r="L483" s="230"/>
      <c r="M483" s="234"/>
      <c r="N483" s="233"/>
      <c r="O483" s="235"/>
      <c r="P483" s="236"/>
      <c r="Q483" s="236"/>
      <c r="R483" s="227"/>
    </row>
    <row r="484" ht="15.75" customHeight="1">
      <c r="A484" s="231"/>
      <c r="B484" s="232"/>
      <c r="C484" s="233"/>
      <c r="D484" s="233"/>
      <c r="E484" s="233"/>
      <c r="F484" s="201"/>
      <c r="G484" s="231"/>
      <c r="H484" s="231"/>
      <c r="I484" s="231"/>
      <c r="J484" s="230"/>
      <c r="K484" s="232"/>
      <c r="L484" s="230"/>
      <c r="M484" s="234"/>
      <c r="N484" s="233"/>
      <c r="O484" s="235"/>
      <c r="P484" s="236"/>
      <c r="Q484" s="236"/>
      <c r="R484" s="227"/>
    </row>
    <row r="485" ht="15.75" customHeight="1">
      <c r="A485" s="231"/>
      <c r="B485" s="232"/>
      <c r="C485" s="233"/>
      <c r="D485" s="233"/>
      <c r="E485" s="233"/>
      <c r="F485" s="201"/>
      <c r="G485" s="231"/>
      <c r="H485" s="231"/>
      <c r="I485" s="231"/>
      <c r="J485" s="230"/>
      <c r="K485" s="232"/>
      <c r="L485" s="230"/>
      <c r="M485" s="234"/>
      <c r="N485" s="233"/>
      <c r="O485" s="235"/>
      <c r="P485" s="236"/>
      <c r="Q485" s="236"/>
      <c r="R485" s="227"/>
    </row>
    <row r="486" ht="15.75" customHeight="1">
      <c r="A486" s="231"/>
      <c r="B486" s="232"/>
      <c r="C486" s="233"/>
      <c r="D486" s="233"/>
      <c r="E486" s="233"/>
      <c r="F486" s="201"/>
      <c r="G486" s="231"/>
      <c r="H486" s="231"/>
      <c r="I486" s="231"/>
      <c r="J486" s="230"/>
      <c r="K486" s="232"/>
      <c r="L486" s="230"/>
      <c r="M486" s="234"/>
      <c r="N486" s="233"/>
      <c r="O486" s="235"/>
      <c r="P486" s="236"/>
      <c r="Q486" s="236"/>
      <c r="R486" s="227"/>
    </row>
    <row r="487" ht="15.75" customHeight="1">
      <c r="A487" s="231"/>
      <c r="B487" s="232"/>
      <c r="C487" s="233"/>
      <c r="D487" s="233"/>
      <c r="E487" s="233"/>
      <c r="F487" s="201"/>
      <c r="G487" s="231"/>
      <c r="H487" s="231"/>
      <c r="I487" s="231"/>
      <c r="J487" s="230"/>
      <c r="K487" s="232"/>
      <c r="L487" s="230"/>
      <c r="M487" s="234"/>
      <c r="N487" s="233"/>
      <c r="O487" s="235"/>
      <c r="P487" s="236"/>
      <c r="Q487" s="236"/>
      <c r="R487" s="227"/>
    </row>
    <row r="488" ht="15.75" customHeight="1">
      <c r="A488" s="231"/>
      <c r="B488" s="232"/>
      <c r="C488" s="233"/>
      <c r="D488" s="233"/>
      <c r="E488" s="233"/>
      <c r="F488" s="201"/>
      <c r="G488" s="231"/>
      <c r="H488" s="231"/>
      <c r="I488" s="231"/>
      <c r="J488" s="230"/>
      <c r="K488" s="232"/>
      <c r="L488" s="230"/>
      <c r="M488" s="234"/>
      <c r="N488" s="233"/>
      <c r="O488" s="235"/>
      <c r="P488" s="236"/>
      <c r="Q488" s="236"/>
      <c r="R488" s="227"/>
    </row>
    <row r="489" ht="15.75" customHeight="1">
      <c r="A489" s="231"/>
      <c r="B489" s="232"/>
      <c r="C489" s="233"/>
      <c r="D489" s="233"/>
      <c r="E489" s="233"/>
      <c r="F489" s="201"/>
      <c r="G489" s="231"/>
      <c r="H489" s="231"/>
      <c r="I489" s="231"/>
      <c r="J489" s="230"/>
      <c r="K489" s="232"/>
      <c r="L489" s="230"/>
      <c r="M489" s="234"/>
      <c r="N489" s="233"/>
      <c r="O489" s="235"/>
      <c r="P489" s="236"/>
      <c r="Q489" s="236"/>
      <c r="R489" s="227"/>
    </row>
    <row r="490" ht="15.75" customHeight="1">
      <c r="A490" s="231"/>
      <c r="B490" s="232"/>
      <c r="C490" s="233"/>
      <c r="D490" s="233"/>
      <c r="E490" s="233"/>
      <c r="F490" s="201"/>
      <c r="G490" s="231"/>
      <c r="H490" s="231"/>
      <c r="I490" s="231"/>
      <c r="J490" s="230"/>
      <c r="K490" s="232"/>
      <c r="L490" s="230"/>
      <c r="M490" s="234"/>
      <c r="N490" s="233"/>
      <c r="O490" s="235"/>
      <c r="P490" s="236"/>
      <c r="Q490" s="236"/>
      <c r="R490" s="227"/>
    </row>
    <row r="491" ht="15.75" customHeight="1">
      <c r="A491" s="231"/>
      <c r="B491" s="232"/>
      <c r="C491" s="233"/>
      <c r="D491" s="233"/>
      <c r="E491" s="233"/>
      <c r="F491" s="201"/>
      <c r="G491" s="231"/>
      <c r="H491" s="231"/>
      <c r="I491" s="231"/>
      <c r="J491" s="230"/>
      <c r="K491" s="232"/>
      <c r="L491" s="230"/>
      <c r="M491" s="234"/>
      <c r="N491" s="233"/>
      <c r="O491" s="235"/>
      <c r="P491" s="236"/>
      <c r="Q491" s="236"/>
      <c r="R491" s="227"/>
    </row>
    <row r="492" ht="15.75" customHeight="1">
      <c r="A492" s="231"/>
      <c r="B492" s="232"/>
      <c r="C492" s="233"/>
      <c r="D492" s="233"/>
      <c r="E492" s="233"/>
      <c r="F492" s="201"/>
      <c r="G492" s="231"/>
      <c r="H492" s="231"/>
      <c r="I492" s="231"/>
      <c r="J492" s="230"/>
      <c r="K492" s="232"/>
      <c r="L492" s="230"/>
      <c r="M492" s="234"/>
      <c r="N492" s="233"/>
      <c r="O492" s="235"/>
      <c r="P492" s="236"/>
      <c r="Q492" s="236"/>
      <c r="R492" s="227"/>
    </row>
    <row r="493" ht="15.75" customHeight="1">
      <c r="A493" s="231"/>
      <c r="B493" s="232"/>
      <c r="C493" s="233"/>
      <c r="D493" s="233"/>
      <c r="E493" s="233"/>
      <c r="F493" s="201"/>
      <c r="G493" s="231"/>
      <c r="H493" s="231"/>
      <c r="I493" s="231"/>
      <c r="J493" s="230"/>
      <c r="K493" s="232"/>
      <c r="L493" s="230"/>
      <c r="M493" s="234"/>
      <c r="N493" s="233"/>
      <c r="O493" s="235"/>
      <c r="P493" s="236"/>
      <c r="Q493" s="236"/>
      <c r="R493" s="227"/>
    </row>
    <row r="494" ht="15.75" customHeight="1">
      <c r="A494" s="231"/>
      <c r="B494" s="232"/>
      <c r="C494" s="233"/>
      <c r="D494" s="233"/>
      <c r="E494" s="233"/>
      <c r="F494" s="201"/>
      <c r="G494" s="231"/>
      <c r="H494" s="231"/>
      <c r="I494" s="231"/>
      <c r="J494" s="230"/>
      <c r="K494" s="232"/>
      <c r="L494" s="230"/>
      <c r="M494" s="234"/>
      <c r="N494" s="233"/>
      <c r="O494" s="235"/>
      <c r="P494" s="236"/>
      <c r="Q494" s="236"/>
      <c r="R494" s="227"/>
    </row>
    <row r="495" ht="15.75" customHeight="1">
      <c r="A495" s="231"/>
      <c r="B495" s="232"/>
      <c r="C495" s="233"/>
      <c r="D495" s="233"/>
      <c r="E495" s="233"/>
      <c r="F495" s="201"/>
      <c r="G495" s="231"/>
      <c r="H495" s="231"/>
      <c r="I495" s="231"/>
      <c r="J495" s="230"/>
      <c r="K495" s="232"/>
      <c r="L495" s="230"/>
      <c r="M495" s="234"/>
      <c r="N495" s="233"/>
      <c r="O495" s="235"/>
      <c r="P495" s="236"/>
      <c r="Q495" s="236"/>
      <c r="R495" s="227"/>
    </row>
    <row r="496" ht="15.75" customHeight="1">
      <c r="A496" s="231"/>
      <c r="B496" s="232"/>
      <c r="C496" s="233"/>
      <c r="D496" s="233"/>
      <c r="E496" s="233"/>
      <c r="F496" s="201"/>
      <c r="G496" s="231"/>
      <c r="H496" s="231"/>
      <c r="I496" s="231"/>
      <c r="J496" s="230"/>
      <c r="K496" s="232"/>
      <c r="L496" s="230"/>
      <c r="M496" s="234"/>
      <c r="N496" s="233"/>
      <c r="O496" s="235"/>
      <c r="P496" s="236"/>
      <c r="Q496" s="236"/>
      <c r="R496" s="227"/>
    </row>
    <row r="497" ht="15.75" customHeight="1">
      <c r="A497" s="231"/>
      <c r="B497" s="232"/>
      <c r="C497" s="233"/>
      <c r="D497" s="233"/>
      <c r="E497" s="233"/>
      <c r="F497" s="201"/>
      <c r="G497" s="231"/>
      <c r="H497" s="231"/>
      <c r="I497" s="231"/>
      <c r="J497" s="230"/>
      <c r="K497" s="232"/>
      <c r="L497" s="230"/>
      <c r="M497" s="234"/>
      <c r="N497" s="233"/>
      <c r="O497" s="235"/>
      <c r="P497" s="236"/>
      <c r="Q497" s="236"/>
      <c r="R497" s="227"/>
    </row>
    <row r="498" ht="15.75" customHeight="1">
      <c r="A498" s="231"/>
      <c r="B498" s="232"/>
      <c r="C498" s="233"/>
      <c r="D498" s="233"/>
      <c r="E498" s="233"/>
      <c r="F498" s="201"/>
      <c r="G498" s="231"/>
      <c r="H498" s="231"/>
      <c r="I498" s="231"/>
      <c r="J498" s="230"/>
      <c r="K498" s="232"/>
      <c r="L498" s="230"/>
      <c r="M498" s="234"/>
      <c r="N498" s="233"/>
      <c r="O498" s="235"/>
      <c r="P498" s="236"/>
      <c r="Q498" s="236"/>
      <c r="R498" s="227"/>
    </row>
    <row r="499" ht="15.75" customHeight="1">
      <c r="A499" s="231"/>
      <c r="B499" s="232"/>
      <c r="C499" s="233"/>
      <c r="D499" s="233"/>
      <c r="E499" s="233"/>
      <c r="F499" s="201"/>
      <c r="G499" s="231"/>
      <c r="H499" s="231"/>
      <c r="I499" s="231"/>
      <c r="J499" s="230"/>
      <c r="K499" s="232"/>
      <c r="L499" s="230"/>
      <c r="M499" s="234"/>
      <c r="N499" s="233"/>
      <c r="O499" s="235"/>
      <c r="P499" s="236"/>
      <c r="Q499" s="236"/>
      <c r="R499" s="227"/>
    </row>
    <row r="500" ht="15.75" customHeight="1">
      <c r="A500" s="231"/>
      <c r="B500" s="232"/>
      <c r="C500" s="233"/>
      <c r="D500" s="233"/>
      <c r="E500" s="233"/>
      <c r="F500" s="201"/>
      <c r="G500" s="231"/>
      <c r="H500" s="231"/>
      <c r="I500" s="231"/>
      <c r="J500" s="230"/>
      <c r="K500" s="232"/>
      <c r="L500" s="230"/>
      <c r="M500" s="234"/>
      <c r="N500" s="233"/>
      <c r="O500" s="235"/>
      <c r="P500" s="236"/>
      <c r="Q500" s="236"/>
      <c r="R500" s="227"/>
    </row>
    <row r="501" ht="15.75" customHeight="1">
      <c r="A501" s="231"/>
      <c r="B501" s="232"/>
      <c r="C501" s="233"/>
      <c r="D501" s="233"/>
      <c r="E501" s="233"/>
      <c r="F501" s="201"/>
      <c r="G501" s="231"/>
      <c r="H501" s="231"/>
      <c r="I501" s="231"/>
      <c r="J501" s="230"/>
      <c r="K501" s="232"/>
      <c r="L501" s="230"/>
      <c r="M501" s="234"/>
      <c r="N501" s="233"/>
      <c r="O501" s="235"/>
      <c r="P501" s="236"/>
      <c r="Q501" s="236"/>
      <c r="R501" s="227"/>
    </row>
    <row r="502" ht="15.75" customHeight="1">
      <c r="A502" s="231"/>
      <c r="B502" s="232"/>
      <c r="C502" s="233"/>
      <c r="D502" s="233"/>
      <c r="E502" s="233"/>
      <c r="F502" s="201"/>
      <c r="G502" s="231"/>
      <c r="H502" s="231"/>
      <c r="I502" s="231"/>
      <c r="J502" s="230"/>
      <c r="K502" s="232"/>
      <c r="L502" s="230"/>
      <c r="M502" s="234"/>
      <c r="N502" s="233"/>
      <c r="O502" s="235"/>
      <c r="P502" s="236"/>
      <c r="Q502" s="236"/>
      <c r="R502" s="227"/>
    </row>
    <row r="503" ht="15.75" customHeight="1">
      <c r="A503" s="231"/>
      <c r="B503" s="232"/>
      <c r="C503" s="233"/>
      <c r="D503" s="233"/>
      <c r="E503" s="233"/>
      <c r="F503" s="201"/>
      <c r="G503" s="231"/>
      <c r="H503" s="231"/>
      <c r="I503" s="231"/>
      <c r="J503" s="230"/>
      <c r="K503" s="232"/>
      <c r="L503" s="230"/>
      <c r="M503" s="234"/>
      <c r="N503" s="233"/>
      <c r="O503" s="235"/>
      <c r="P503" s="236"/>
      <c r="Q503" s="236"/>
      <c r="R503" s="227"/>
    </row>
    <row r="504" ht="15.75" customHeight="1">
      <c r="A504" s="231"/>
      <c r="B504" s="232"/>
      <c r="C504" s="233"/>
      <c r="D504" s="233"/>
      <c r="E504" s="233"/>
      <c r="F504" s="201"/>
      <c r="G504" s="231"/>
      <c r="H504" s="231"/>
      <c r="I504" s="231"/>
      <c r="J504" s="230"/>
      <c r="K504" s="232"/>
      <c r="L504" s="230"/>
      <c r="M504" s="234"/>
      <c r="N504" s="233"/>
      <c r="O504" s="235"/>
      <c r="P504" s="236"/>
      <c r="Q504" s="236"/>
      <c r="R504" s="227"/>
    </row>
    <row r="505" ht="15.75" customHeight="1">
      <c r="A505" s="231"/>
      <c r="B505" s="232"/>
      <c r="C505" s="233"/>
      <c r="D505" s="233"/>
      <c r="E505" s="233"/>
      <c r="F505" s="201"/>
      <c r="G505" s="231"/>
      <c r="H505" s="231"/>
      <c r="I505" s="231"/>
      <c r="J505" s="230"/>
      <c r="K505" s="232"/>
      <c r="L505" s="230"/>
      <c r="M505" s="234"/>
      <c r="N505" s="233"/>
      <c r="O505" s="235"/>
      <c r="P505" s="236"/>
      <c r="Q505" s="236"/>
      <c r="R505" s="227"/>
    </row>
    <row r="506" ht="15.75" customHeight="1">
      <c r="A506" s="231"/>
      <c r="B506" s="232"/>
      <c r="C506" s="233"/>
      <c r="D506" s="233"/>
      <c r="E506" s="233"/>
      <c r="F506" s="201"/>
      <c r="G506" s="231"/>
      <c r="H506" s="231"/>
      <c r="I506" s="231"/>
      <c r="J506" s="230"/>
      <c r="K506" s="232"/>
      <c r="L506" s="230"/>
      <c r="M506" s="234"/>
      <c r="N506" s="233"/>
      <c r="O506" s="235"/>
      <c r="P506" s="236"/>
      <c r="Q506" s="236"/>
      <c r="R506" s="227"/>
    </row>
    <row r="507" ht="15.75" customHeight="1">
      <c r="A507" s="231"/>
      <c r="B507" s="232"/>
      <c r="C507" s="233"/>
      <c r="D507" s="233"/>
      <c r="E507" s="233"/>
      <c r="F507" s="201"/>
      <c r="G507" s="231"/>
      <c r="H507" s="231"/>
      <c r="I507" s="231"/>
      <c r="J507" s="230"/>
      <c r="K507" s="232"/>
      <c r="L507" s="230"/>
      <c r="M507" s="234"/>
      <c r="N507" s="233"/>
      <c r="O507" s="235"/>
      <c r="P507" s="236"/>
      <c r="Q507" s="236"/>
      <c r="R507" s="227"/>
    </row>
    <row r="508" ht="15.75" customHeight="1">
      <c r="A508" s="231"/>
      <c r="B508" s="232"/>
      <c r="C508" s="233"/>
      <c r="D508" s="233"/>
      <c r="E508" s="233"/>
      <c r="F508" s="201"/>
      <c r="G508" s="231"/>
      <c r="H508" s="231"/>
      <c r="I508" s="231"/>
      <c r="J508" s="230"/>
      <c r="K508" s="232"/>
      <c r="L508" s="230"/>
      <c r="M508" s="234"/>
      <c r="N508" s="233"/>
      <c r="O508" s="235"/>
      <c r="P508" s="236"/>
      <c r="Q508" s="236"/>
      <c r="R508" s="227"/>
    </row>
    <row r="509" ht="15.75" customHeight="1">
      <c r="A509" s="231"/>
      <c r="B509" s="232"/>
      <c r="C509" s="233"/>
      <c r="D509" s="233"/>
      <c r="E509" s="233"/>
      <c r="F509" s="201"/>
      <c r="G509" s="231"/>
      <c r="H509" s="231"/>
      <c r="I509" s="231"/>
      <c r="J509" s="230"/>
      <c r="K509" s="232"/>
      <c r="L509" s="230"/>
      <c r="M509" s="234"/>
      <c r="N509" s="233"/>
      <c r="O509" s="235"/>
      <c r="P509" s="236"/>
      <c r="Q509" s="236"/>
      <c r="R509" s="227"/>
    </row>
    <row r="510" ht="15.75" customHeight="1">
      <c r="A510" s="231"/>
      <c r="B510" s="232"/>
      <c r="C510" s="233"/>
      <c r="D510" s="233"/>
      <c r="E510" s="233"/>
      <c r="F510" s="201"/>
      <c r="G510" s="231"/>
      <c r="H510" s="231"/>
      <c r="I510" s="231"/>
      <c r="J510" s="230"/>
      <c r="K510" s="232"/>
      <c r="L510" s="230"/>
      <c r="M510" s="234"/>
      <c r="N510" s="233"/>
      <c r="O510" s="235"/>
      <c r="P510" s="236"/>
      <c r="Q510" s="236"/>
      <c r="R510" s="227"/>
    </row>
    <row r="511" ht="15.75" customHeight="1">
      <c r="A511" s="231"/>
      <c r="B511" s="232"/>
      <c r="C511" s="233"/>
      <c r="D511" s="233"/>
      <c r="E511" s="233"/>
      <c r="F511" s="201"/>
      <c r="G511" s="231"/>
      <c r="H511" s="231"/>
      <c r="I511" s="231"/>
      <c r="J511" s="230"/>
      <c r="K511" s="232"/>
      <c r="L511" s="230"/>
      <c r="M511" s="234"/>
      <c r="N511" s="233"/>
      <c r="O511" s="235"/>
      <c r="P511" s="236"/>
      <c r="Q511" s="236"/>
      <c r="R511" s="227"/>
    </row>
    <row r="512" ht="15.75" customHeight="1">
      <c r="A512" s="231"/>
      <c r="B512" s="232"/>
      <c r="C512" s="233"/>
      <c r="D512" s="233"/>
      <c r="E512" s="233"/>
      <c r="F512" s="201"/>
      <c r="G512" s="231"/>
      <c r="H512" s="231"/>
      <c r="I512" s="231"/>
      <c r="J512" s="230"/>
      <c r="K512" s="232"/>
      <c r="L512" s="230"/>
      <c r="M512" s="234"/>
      <c r="N512" s="233"/>
      <c r="O512" s="235"/>
      <c r="P512" s="236"/>
      <c r="Q512" s="236"/>
      <c r="R512" s="227"/>
    </row>
    <row r="513" ht="15.75" customHeight="1">
      <c r="A513" s="231"/>
      <c r="B513" s="232"/>
      <c r="C513" s="233"/>
      <c r="D513" s="233"/>
      <c r="E513" s="233"/>
      <c r="F513" s="201"/>
      <c r="G513" s="231"/>
      <c r="H513" s="231"/>
      <c r="I513" s="231"/>
      <c r="J513" s="230"/>
      <c r="K513" s="232"/>
      <c r="L513" s="230"/>
      <c r="M513" s="234"/>
      <c r="N513" s="233"/>
      <c r="O513" s="235"/>
      <c r="P513" s="236"/>
      <c r="Q513" s="236"/>
      <c r="R513" s="227"/>
    </row>
    <row r="514" ht="15.75" customHeight="1">
      <c r="A514" s="231"/>
      <c r="B514" s="232"/>
      <c r="C514" s="233"/>
      <c r="D514" s="233"/>
      <c r="E514" s="233"/>
      <c r="F514" s="201"/>
      <c r="G514" s="231"/>
      <c r="H514" s="231"/>
      <c r="I514" s="231"/>
      <c r="J514" s="230"/>
      <c r="K514" s="232"/>
      <c r="L514" s="230"/>
      <c r="M514" s="234"/>
      <c r="N514" s="233"/>
      <c r="O514" s="235"/>
      <c r="P514" s="236"/>
      <c r="Q514" s="236"/>
      <c r="R514" s="227"/>
    </row>
    <row r="515" ht="15.75" customHeight="1">
      <c r="A515" s="231"/>
      <c r="B515" s="232"/>
      <c r="C515" s="233"/>
      <c r="D515" s="233"/>
      <c r="E515" s="233"/>
      <c r="F515" s="201"/>
      <c r="G515" s="231"/>
      <c r="H515" s="231"/>
      <c r="I515" s="231"/>
      <c r="J515" s="230"/>
      <c r="K515" s="232"/>
      <c r="L515" s="230"/>
      <c r="M515" s="234"/>
      <c r="N515" s="233"/>
      <c r="O515" s="235"/>
      <c r="P515" s="236"/>
      <c r="Q515" s="236"/>
      <c r="R515" s="227"/>
    </row>
    <row r="516" ht="15.75" customHeight="1">
      <c r="A516" s="231"/>
      <c r="B516" s="232"/>
      <c r="C516" s="233"/>
      <c r="D516" s="233"/>
      <c r="E516" s="233"/>
      <c r="F516" s="201"/>
      <c r="G516" s="231"/>
      <c r="H516" s="231"/>
      <c r="I516" s="231"/>
      <c r="J516" s="230"/>
      <c r="K516" s="232"/>
      <c r="L516" s="230"/>
      <c r="M516" s="234"/>
      <c r="N516" s="233"/>
      <c r="O516" s="235"/>
      <c r="P516" s="236"/>
      <c r="Q516" s="236"/>
      <c r="R516" s="227"/>
    </row>
    <row r="517" ht="15.75" customHeight="1">
      <c r="A517" s="231"/>
      <c r="B517" s="232"/>
      <c r="C517" s="233"/>
      <c r="D517" s="233"/>
      <c r="E517" s="233"/>
      <c r="F517" s="201"/>
      <c r="G517" s="231"/>
      <c r="H517" s="231"/>
      <c r="I517" s="231"/>
      <c r="J517" s="230"/>
      <c r="K517" s="232"/>
      <c r="L517" s="230"/>
      <c r="M517" s="234"/>
      <c r="N517" s="233"/>
      <c r="O517" s="235"/>
      <c r="P517" s="236"/>
      <c r="Q517" s="236"/>
      <c r="R517" s="227"/>
    </row>
    <row r="518" ht="15.75" customHeight="1">
      <c r="A518" s="231"/>
      <c r="B518" s="232"/>
      <c r="C518" s="233"/>
      <c r="D518" s="233"/>
      <c r="E518" s="233"/>
      <c r="F518" s="201"/>
      <c r="G518" s="231"/>
      <c r="H518" s="231"/>
      <c r="I518" s="231"/>
      <c r="J518" s="230"/>
      <c r="K518" s="232"/>
      <c r="L518" s="230"/>
      <c r="M518" s="234"/>
      <c r="N518" s="233"/>
      <c r="O518" s="235"/>
      <c r="P518" s="236"/>
      <c r="Q518" s="236"/>
      <c r="R518" s="227"/>
    </row>
  </sheetData>
  <autoFilter ref="$A$1:$Q$473"/>
  <customSheetViews>
    <customSheetView guid="{7114D13A-8790-4B2D-8534-441FDE4A663B}" filter="1" showAutoFilter="1">
      <autoFilter ref="$A$1:$Q$473">
        <filterColumn colId="1">
          <filters>
            <filter val="Demographic/Affluence"/>
            <filter val="Globe ID"/>
          </filters>
        </filterColumn>
      </autoFilter>
    </customSheetView>
    <customSheetView guid="{F263A3AC-1237-40A8-82F2-25CFE72B494B}" filter="1" showAutoFilter="1">
      <autoFilter ref="$A$1:$Q$473">
        <filterColumn colId="1">
          <filters>
            <filter val="Audience/Persona"/>
          </filters>
        </filterColumn>
      </autoFilter>
    </customSheetView>
    <customSheetView guid="{59C0E738-1DB3-4C16-9509-25842C0188FC}" filter="1" showAutoFilter="1">
      <autoFilter ref="$A$1:$Q$473"/>
    </customSheetView>
    <customSheetView guid="{112B2F37-635A-4F63-81FB-4A2B7385E434}" filter="1" showAutoFilter="1">
      <autoFilter ref="$A$1:$Q$473"/>
    </customSheetView>
  </customSheetViews>
  <conditionalFormatting sqref="A1:A518">
    <cfRule type="expression" dxfId="0" priority="1">
      <formula>if(countif(A:A,A1)&gt;1,1,0)</formula>
    </cfRule>
  </conditionalFormatting>
  <dataValidations>
    <dataValidation type="list" allowBlank="1" sqref="N2:N294 N297 N320:N321 N323:N325 N328:N331 N362 N370 M371:N371 N372:N374">
      <formula1>Reference!$B$1:$B$13</formula1>
    </dataValidation>
  </dataValidations>
  <hyperlinks>
    <hyperlink r:id="rId2" ref="F347"/>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2.29"/>
    <col customWidth="1" min="2" max="2" width="21.29"/>
    <col customWidth="1" min="3" max="3" width="13.29"/>
    <col customWidth="1" min="4" max="4" width="58.0"/>
    <col customWidth="1" hidden="1" min="5" max="5" width="58.0"/>
    <col customWidth="1" min="6" max="6" width="20.57"/>
    <col customWidth="1" min="7" max="7" width="14.0"/>
    <col customWidth="1" min="8" max="8" width="54.29"/>
    <col customWidth="1" min="9" max="10" width="19.43"/>
    <col customWidth="1" min="11" max="11" width="19.29"/>
    <col customWidth="1" hidden="1" min="12" max="12" width="19.71"/>
    <col customWidth="1" min="13" max="13" width="21.86"/>
    <col customWidth="1" hidden="1" min="14" max="14" width="13.57"/>
    <col customWidth="1" hidden="1" min="15" max="15" width="16.29"/>
    <col customWidth="1" min="16" max="16" width="15.43"/>
    <col customWidth="1" min="17" max="17" width="13.0"/>
    <col customWidth="1" min="18" max="18" width="23.14"/>
    <col customWidth="1" min="19" max="20" width="23.0"/>
  </cols>
  <sheetData>
    <row r="1">
      <c r="A1" s="167" t="s">
        <v>69</v>
      </c>
      <c r="B1" s="167" t="s">
        <v>63</v>
      </c>
      <c r="C1" s="167" t="s">
        <v>1758</v>
      </c>
      <c r="D1" s="168" t="s">
        <v>71</v>
      </c>
      <c r="E1" s="167" t="s">
        <v>1759</v>
      </c>
      <c r="F1" s="168" t="s">
        <v>679</v>
      </c>
      <c r="G1" s="167" t="s">
        <v>680</v>
      </c>
      <c r="H1" s="168" t="s">
        <v>73</v>
      </c>
      <c r="I1" s="168" t="s">
        <v>74</v>
      </c>
      <c r="J1" s="168" t="s">
        <v>76</v>
      </c>
      <c r="K1" s="168" t="s">
        <v>77</v>
      </c>
      <c r="L1" s="168" t="s">
        <v>75</v>
      </c>
      <c r="M1" s="167" t="s">
        <v>681</v>
      </c>
      <c r="N1" s="168" t="s">
        <v>682</v>
      </c>
      <c r="O1" s="167" t="s">
        <v>78</v>
      </c>
      <c r="P1" s="167" t="s">
        <v>683</v>
      </c>
      <c r="Q1" s="168" t="s">
        <v>36</v>
      </c>
      <c r="R1" s="170" t="s">
        <v>38</v>
      </c>
      <c r="S1" s="170" t="s">
        <v>40</v>
      </c>
      <c r="T1" s="170" t="s">
        <v>1760</v>
      </c>
    </row>
    <row r="2">
      <c r="A2" s="182" t="s">
        <v>88</v>
      </c>
      <c r="B2" s="203" t="s">
        <v>66</v>
      </c>
      <c r="C2" s="173" t="s">
        <v>66</v>
      </c>
      <c r="D2" s="173" t="s">
        <v>684</v>
      </c>
      <c r="E2" s="196" t="s">
        <v>684</v>
      </c>
      <c r="F2" s="185" t="s">
        <v>83</v>
      </c>
      <c r="G2" s="185" t="s">
        <v>1761</v>
      </c>
      <c r="H2" s="237">
        <v>5496688.0</v>
      </c>
      <c r="I2" s="185" t="s">
        <v>1762</v>
      </c>
      <c r="J2" s="185" t="s">
        <v>91</v>
      </c>
      <c r="K2" s="185" t="s">
        <v>91</v>
      </c>
      <c r="L2" s="185" t="s">
        <v>85</v>
      </c>
      <c r="M2" s="196" t="s">
        <v>687</v>
      </c>
      <c r="N2" s="185" t="s">
        <v>688</v>
      </c>
      <c r="O2" s="238">
        <v>44180.0</v>
      </c>
      <c r="P2" s="239" t="s">
        <v>1763</v>
      </c>
      <c r="Q2" s="239" t="s">
        <v>1764</v>
      </c>
      <c r="R2" s="240" t="s">
        <v>691</v>
      </c>
      <c r="S2" s="196" t="s">
        <v>691</v>
      </c>
      <c r="T2" s="196" t="s">
        <v>1765</v>
      </c>
    </row>
    <row r="3">
      <c r="A3" s="182" t="s">
        <v>79</v>
      </c>
      <c r="B3" s="203" t="s">
        <v>66</v>
      </c>
      <c r="C3" s="173" t="s">
        <v>66</v>
      </c>
      <c r="D3" s="173" t="s">
        <v>1766</v>
      </c>
      <c r="E3" s="196" t="s">
        <v>82</v>
      </c>
      <c r="F3" s="185" t="s">
        <v>185</v>
      </c>
      <c r="G3" s="185" t="s">
        <v>1761</v>
      </c>
      <c r="H3" s="237" t="s">
        <v>1767</v>
      </c>
      <c r="I3" s="185" t="s">
        <v>84</v>
      </c>
      <c r="J3" s="185" t="s">
        <v>91</v>
      </c>
      <c r="K3" s="185" t="s">
        <v>91</v>
      </c>
      <c r="L3" s="185" t="s">
        <v>85</v>
      </c>
      <c r="M3" s="196" t="s">
        <v>687</v>
      </c>
      <c r="N3" s="185" t="s">
        <v>688</v>
      </c>
      <c r="O3" s="238">
        <v>44180.0</v>
      </c>
      <c r="P3" s="239" t="s">
        <v>1763</v>
      </c>
      <c r="Q3" s="239" t="s">
        <v>1764</v>
      </c>
      <c r="R3" s="240" t="s">
        <v>691</v>
      </c>
      <c r="S3" s="196" t="s">
        <v>691</v>
      </c>
      <c r="T3" s="196" t="s">
        <v>1765</v>
      </c>
    </row>
    <row r="4">
      <c r="A4" s="182" t="s">
        <v>693</v>
      </c>
      <c r="B4" s="203" t="s">
        <v>65</v>
      </c>
      <c r="C4" s="173" t="s">
        <v>1768</v>
      </c>
      <c r="D4" s="173" t="s">
        <v>444</v>
      </c>
      <c r="E4" s="196" t="s">
        <v>444</v>
      </c>
      <c r="F4" s="185" t="s">
        <v>83</v>
      </c>
      <c r="G4" s="185" t="s">
        <v>694</v>
      </c>
      <c r="H4" s="237" t="s">
        <v>1769</v>
      </c>
      <c r="I4" s="185" t="s">
        <v>445</v>
      </c>
      <c r="J4" s="185" t="s">
        <v>91</v>
      </c>
      <c r="K4" s="185" t="s">
        <v>91</v>
      </c>
      <c r="L4" s="185" t="s">
        <v>85</v>
      </c>
      <c r="M4" s="196" t="s">
        <v>687</v>
      </c>
      <c r="N4" s="185" t="s">
        <v>688</v>
      </c>
      <c r="O4" s="238">
        <v>44180.0</v>
      </c>
      <c r="P4" s="239" t="s">
        <v>1770</v>
      </c>
      <c r="Q4" s="239" t="s">
        <v>1764</v>
      </c>
      <c r="R4" s="240" t="s">
        <v>691</v>
      </c>
      <c r="S4" s="196" t="s">
        <v>691</v>
      </c>
      <c r="T4" s="196" t="s">
        <v>1765</v>
      </c>
    </row>
    <row r="5">
      <c r="A5" s="182" t="s">
        <v>113</v>
      </c>
      <c r="B5" s="203" t="s">
        <v>66</v>
      </c>
      <c r="C5" s="173" t="s">
        <v>66</v>
      </c>
      <c r="D5" s="173" t="s">
        <v>697</v>
      </c>
      <c r="E5" s="196" t="s">
        <v>697</v>
      </c>
      <c r="F5" s="185" t="s">
        <v>83</v>
      </c>
      <c r="G5" s="185" t="s">
        <v>698</v>
      </c>
      <c r="H5" s="237">
        <v>40469.62163194444</v>
      </c>
      <c r="I5" s="185" t="s">
        <v>1762</v>
      </c>
      <c r="J5" s="185" t="s">
        <v>91</v>
      </c>
      <c r="K5" s="185" t="s">
        <v>91</v>
      </c>
      <c r="L5" s="185" t="s">
        <v>85</v>
      </c>
      <c r="M5" s="196" t="s">
        <v>687</v>
      </c>
      <c r="N5" s="185" t="s">
        <v>688</v>
      </c>
      <c r="O5" s="238">
        <v>44180.0</v>
      </c>
      <c r="P5" s="239" t="s">
        <v>1763</v>
      </c>
      <c r="Q5" s="239" t="s">
        <v>1764</v>
      </c>
      <c r="R5" s="240" t="s">
        <v>691</v>
      </c>
      <c r="S5" s="196" t="s">
        <v>691</v>
      </c>
      <c r="T5" s="196" t="s">
        <v>1765</v>
      </c>
    </row>
    <row r="6">
      <c r="A6" s="182" t="s">
        <v>699</v>
      </c>
      <c r="B6" s="203" t="s">
        <v>66</v>
      </c>
      <c r="C6" s="173" t="s">
        <v>66</v>
      </c>
      <c r="D6" s="173" t="s">
        <v>1317</v>
      </c>
      <c r="E6" s="196" t="s">
        <v>1317</v>
      </c>
      <c r="F6" s="185" t="s">
        <v>83</v>
      </c>
      <c r="G6" s="185" t="s">
        <v>1761</v>
      </c>
      <c r="H6" s="237">
        <v>1.2072423E7</v>
      </c>
      <c r="I6" s="185" t="s">
        <v>1762</v>
      </c>
      <c r="J6" s="185" t="s">
        <v>91</v>
      </c>
      <c r="K6" s="185" t="s">
        <v>91</v>
      </c>
      <c r="L6" s="185" t="s">
        <v>85</v>
      </c>
      <c r="M6" s="196" t="s">
        <v>687</v>
      </c>
      <c r="N6" s="185" t="s">
        <v>688</v>
      </c>
      <c r="O6" s="238">
        <v>44180.0</v>
      </c>
      <c r="P6" s="239" t="s">
        <v>1771</v>
      </c>
      <c r="Q6" s="239" t="s">
        <v>1764</v>
      </c>
      <c r="R6" s="240" t="s">
        <v>702</v>
      </c>
      <c r="S6" s="196" t="s">
        <v>702</v>
      </c>
      <c r="T6" s="196" t="s">
        <v>1765</v>
      </c>
    </row>
    <row r="7">
      <c r="A7" s="182" t="s">
        <v>703</v>
      </c>
      <c r="B7" s="203" t="s">
        <v>66</v>
      </c>
      <c r="C7" s="173" t="s">
        <v>66</v>
      </c>
      <c r="D7" s="173" t="s">
        <v>1772</v>
      </c>
      <c r="E7" s="196" t="s">
        <v>704</v>
      </c>
      <c r="F7" s="185" t="s">
        <v>83</v>
      </c>
      <c r="G7" s="185" t="s">
        <v>1761</v>
      </c>
      <c r="H7" s="237" t="s">
        <v>466</v>
      </c>
      <c r="I7" s="185" t="s">
        <v>1762</v>
      </c>
      <c r="J7" s="185" t="s">
        <v>91</v>
      </c>
      <c r="K7" s="185" t="s">
        <v>91</v>
      </c>
      <c r="L7" s="185" t="s">
        <v>85</v>
      </c>
      <c r="M7" s="196" t="s">
        <v>687</v>
      </c>
      <c r="N7" s="185" t="s">
        <v>688</v>
      </c>
      <c r="O7" s="238">
        <v>44180.0</v>
      </c>
      <c r="P7" s="239" t="s">
        <v>1763</v>
      </c>
      <c r="Q7" s="239" t="s">
        <v>1764</v>
      </c>
      <c r="R7" s="240" t="s">
        <v>705</v>
      </c>
      <c r="S7" s="196" t="s">
        <v>705</v>
      </c>
      <c r="T7" s="196" t="s">
        <v>1765</v>
      </c>
    </row>
    <row r="8">
      <c r="A8" s="182" t="s">
        <v>706</v>
      </c>
      <c r="B8" s="203" t="s">
        <v>66</v>
      </c>
      <c r="C8" s="173" t="s">
        <v>66</v>
      </c>
      <c r="D8" s="173" t="s">
        <v>1773</v>
      </c>
      <c r="E8" s="196" t="s">
        <v>707</v>
      </c>
      <c r="F8" s="185" t="s">
        <v>1774</v>
      </c>
      <c r="G8" s="185" t="s">
        <v>1761</v>
      </c>
      <c r="H8" s="237" t="s">
        <v>471</v>
      </c>
      <c r="I8" s="185" t="s">
        <v>1762</v>
      </c>
      <c r="J8" s="185" t="s">
        <v>91</v>
      </c>
      <c r="K8" s="185" t="s">
        <v>91</v>
      </c>
      <c r="L8" s="185" t="s">
        <v>85</v>
      </c>
      <c r="M8" s="196" t="s">
        <v>687</v>
      </c>
      <c r="N8" s="185" t="s">
        <v>688</v>
      </c>
      <c r="O8" s="238">
        <v>44180.0</v>
      </c>
      <c r="P8" s="239" t="s">
        <v>1763</v>
      </c>
      <c r="Q8" s="239" t="s">
        <v>1764</v>
      </c>
      <c r="R8" s="240" t="s">
        <v>691</v>
      </c>
      <c r="S8" s="196" t="s">
        <v>691</v>
      </c>
      <c r="T8" s="196" t="s">
        <v>1765</v>
      </c>
    </row>
    <row r="9">
      <c r="A9" s="182" t="s">
        <v>708</v>
      </c>
      <c r="B9" s="203" t="s">
        <v>66</v>
      </c>
      <c r="C9" s="173" t="s">
        <v>66</v>
      </c>
      <c r="D9" s="173" t="s">
        <v>447</v>
      </c>
      <c r="E9" s="196" t="s">
        <v>447</v>
      </c>
      <c r="F9" s="185" t="s">
        <v>83</v>
      </c>
      <c r="G9" s="185" t="s">
        <v>1761</v>
      </c>
      <c r="H9" s="237" t="s">
        <v>448</v>
      </c>
      <c r="I9" s="185" t="s">
        <v>1762</v>
      </c>
      <c r="J9" s="185" t="s">
        <v>91</v>
      </c>
      <c r="K9" s="185" t="s">
        <v>91</v>
      </c>
      <c r="L9" s="185" t="s">
        <v>85</v>
      </c>
      <c r="M9" s="196" t="s">
        <v>687</v>
      </c>
      <c r="N9" s="185" t="s">
        <v>688</v>
      </c>
      <c r="O9" s="238">
        <v>44180.0</v>
      </c>
      <c r="P9" s="239" t="s">
        <v>1775</v>
      </c>
      <c r="Q9" s="239" t="s">
        <v>1764</v>
      </c>
      <c r="R9" s="240" t="s">
        <v>691</v>
      </c>
      <c r="S9" s="196" t="s">
        <v>691</v>
      </c>
      <c r="T9" s="196" t="s">
        <v>1765</v>
      </c>
    </row>
    <row r="10">
      <c r="A10" s="182" t="s">
        <v>709</v>
      </c>
      <c r="B10" s="203" t="s">
        <v>66</v>
      </c>
      <c r="C10" s="173" t="s">
        <v>66</v>
      </c>
      <c r="D10" s="173" t="s">
        <v>450</v>
      </c>
      <c r="E10" s="196" t="s">
        <v>450</v>
      </c>
      <c r="F10" s="185" t="s">
        <v>83</v>
      </c>
      <c r="G10" s="185" t="s">
        <v>1761</v>
      </c>
      <c r="H10" s="237" t="s">
        <v>1776</v>
      </c>
      <c r="I10" s="185" t="s">
        <v>1762</v>
      </c>
      <c r="J10" s="185" t="s">
        <v>91</v>
      </c>
      <c r="K10" s="185" t="s">
        <v>91</v>
      </c>
      <c r="L10" s="185" t="s">
        <v>85</v>
      </c>
      <c r="M10" s="196" t="s">
        <v>687</v>
      </c>
      <c r="N10" s="185" t="s">
        <v>688</v>
      </c>
      <c r="O10" s="238">
        <v>44180.0</v>
      </c>
      <c r="P10" s="239" t="s">
        <v>1775</v>
      </c>
      <c r="Q10" s="239" t="s">
        <v>1764</v>
      </c>
      <c r="R10" s="240" t="s">
        <v>691</v>
      </c>
      <c r="S10" s="196" t="s">
        <v>691</v>
      </c>
      <c r="T10" s="196" t="s">
        <v>1765</v>
      </c>
    </row>
    <row r="11">
      <c r="A11" s="182" t="s">
        <v>710</v>
      </c>
      <c r="B11" s="203" t="s">
        <v>66</v>
      </c>
      <c r="C11" s="173" t="s">
        <v>66</v>
      </c>
      <c r="D11" s="173" t="s">
        <v>105</v>
      </c>
      <c r="E11" s="196" t="s">
        <v>105</v>
      </c>
      <c r="F11" s="185" t="s">
        <v>83</v>
      </c>
      <c r="G11" s="185" t="s">
        <v>1761</v>
      </c>
      <c r="H11" s="237" t="s">
        <v>106</v>
      </c>
      <c r="I11" s="185" t="s">
        <v>1762</v>
      </c>
      <c r="J11" s="185" t="s">
        <v>91</v>
      </c>
      <c r="K11" s="185" t="s">
        <v>91</v>
      </c>
      <c r="L11" s="185" t="s">
        <v>85</v>
      </c>
      <c r="M11" s="196" t="s">
        <v>687</v>
      </c>
      <c r="N11" s="185" t="s">
        <v>688</v>
      </c>
      <c r="O11" s="238">
        <v>44180.0</v>
      </c>
      <c r="P11" s="239" t="s">
        <v>1777</v>
      </c>
      <c r="Q11" s="239" t="s">
        <v>1764</v>
      </c>
      <c r="R11" s="240" t="s">
        <v>691</v>
      </c>
      <c r="S11" s="196" t="s">
        <v>691</v>
      </c>
      <c r="T11" s="196" t="s">
        <v>1765</v>
      </c>
    </row>
    <row r="12">
      <c r="A12" s="182" t="s">
        <v>94</v>
      </c>
      <c r="B12" s="203" t="s">
        <v>66</v>
      </c>
      <c r="C12" s="173" t="s">
        <v>66</v>
      </c>
      <c r="D12" s="173" t="s">
        <v>1778</v>
      </c>
      <c r="E12" s="196" t="s">
        <v>711</v>
      </c>
      <c r="F12" s="185" t="s">
        <v>83</v>
      </c>
      <c r="G12" s="185" t="s">
        <v>1761</v>
      </c>
      <c r="H12" s="237" t="s">
        <v>96</v>
      </c>
      <c r="I12" s="185" t="s">
        <v>1762</v>
      </c>
      <c r="J12" s="185" t="s">
        <v>91</v>
      </c>
      <c r="K12" s="185" t="s">
        <v>91</v>
      </c>
      <c r="L12" s="185" t="s">
        <v>85</v>
      </c>
      <c r="M12" s="196" t="s">
        <v>687</v>
      </c>
      <c r="N12" s="185" t="s">
        <v>688</v>
      </c>
      <c r="O12" s="238">
        <v>44180.0</v>
      </c>
      <c r="P12" s="239" t="s">
        <v>1763</v>
      </c>
      <c r="Q12" s="239" t="s">
        <v>1764</v>
      </c>
      <c r="R12" s="240" t="s">
        <v>691</v>
      </c>
      <c r="S12" s="196" t="s">
        <v>691</v>
      </c>
      <c r="T12" s="196" t="s">
        <v>1765</v>
      </c>
    </row>
    <row r="13">
      <c r="A13" s="182" t="s">
        <v>379</v>
      </c>
      <c r="B13" s="203" t="s">
        <v>66</v>
      </c>
      <c r="C13" s="173" t="s">
        <v>66</v>
      </c>
      <c r="D13" s="173" t="s">
        <v>712</v>
      </c>
      <c r="E13" s="196" t="s">
        <v>712</v>
      </c>
      <c r="F13" s="185" t="s">
        <v>83</v>
      </c>
      <c r="G13" s="185" t="s">
        <v>713</v>
      </c>
      <c r="H13" s="237">
        <v>1.0</v>
      </c>
      <c r="I13" s="185" t="s">
        <v>91</v>
      </c>
      <c r="J13" s="185" t="s">
        <v>91</v>
      </c>
      <c r="K13" s="185" t="s">
        <v>91</v>
      </c>
      <c r="L13" s="185" t="s">
        <v>85</v>
      </c>
      <c r="M13" s="196" t="s">
        <v>687</v>
      </c>
      <c r="N13" s="185" t="s">
        <v>714</v>
      </c>
      <c r="O13" s="238">
        <v>44180.0</v>
      </c>
      <c r="P13" s="239" t="s">
        <v>1779</v>
      </c>
      <c r="Q13" s="239" t="s">
        <v>1764</v>
      </c>
      <c r="R13" s="240" t="s">
        <v>691</v>
      </c>
      <c r="S13" s="196" t="s">
        <v>691</v>
      </c>
      <c r="T13" s="196" t="s">
        <v>1765</v>
      </c>
    </row>
    <row r="14">
      <c r="A14" s="182" t="s">
        <v>715</v>
      </c>
      <c r="B14" s="203" t="s">
        <v>66</v>
      </c>
      <c r="C14" s="173" t="s">
        <v>66</v>
      </c>
      <c r="D14" s="173" t="s">
        <v>716</v>
      </c>
      <c r="E14" s="196" t="s">
        <v>716</v>
      </c>
      <c r="F14" s="185" t="s">
        <v>83</v>
      </c>
      <c r="G14" s="185" t="s">
        <v>1761</v>
      </c>
      <c r="H14" s="237" t="s">
        <v>109</v>
      </c>
      <c r="I14" s="185" t="s">
        <v>1762</v>
      </c>
      <c r="J14" s="185" t="s">
        <v>91</v>
      </c>
      <c r="K14" s="185" t="s">
        <v>91</v>
      </c>
      <c r="L14" s="185" t="s">
        <v>85</v>
      </c>
      <c r="M14" s="196" t="s">
        <v>687</v>
      </c>
      <c r="N14" s="185" t="s">
        <v>688</v>
      </c>
      <c r="O14" s="238">
        <v>44180.0</v>
      </c>
      <c r="P14" s="239" t="s">
        <v>1770</v>
      </c>
      <c r="Q14" s="239" t="s">
        <v>1764</v>
      </c>
      <c r="R14" s="240" t="s">
        <v>702</v>
      </c>
      <c r="S14" s="196" t="s">
        <v>702</v>
      </c>
      <c r="T14" s="196" t="s">
        <v>1765</v>
      </c>
    </row>
    <row r="15">
      <c r="A15" s="182" t="s">
        <v>717</v>
      </c>
      <c r="B15" s="203" t="s">
        <v>66</v>
      </c>
      <c r="C15" s="173" t="s">
        <v>66</v>
      </c>
      <c r="D15" s="173" t="s">
        <v>1780</v>
      </c>
      <c r="E15" s="196" t="s">
        <v>1780</v>
      </c>
      <c r="F15" s="185" t="s">
        <v>83</v>
      </c>
      <c r="G15" s="185" t="s">
        <v>1761</v>
      </c>
      <c r="H15" s="237" t="s">
        <v>112</v>
      </c>
      <c r="I15" s="185" t="s">
        <v>1762</v>
      </c>
      <c r="J15" s="185" t="s">
        <v>91</v>
      </c>
      <c r="K15" s="185" t="s">
        <v>91</v>
      </c>
      <c r="L15" s="185" t="s">
        <v>85</v>
      </c>
      <c r="M15" s="196" t="s">
        <v>687</v>
      </c>
      <c r="N15" s="185" t="s">
        <v>688</v>
      </c>
      <c r="O15" s="238">
        <v>44180.0</v>
      </c>
      <c r="P15" s="239" t="s">
        <v>1763</v>
      </c>
      <c r="Q15" s="239" t="s">
        <v>1764</v>
      </c>
      <c r="R15" s="240" t="s">
        <v>691</v>
      </c>
      <c r="S15" s="196" t="s">
        <v>691</v>
      </c>
      <c r="T15" s="196" t="s">
        <v>1765</v>
      </c>
    </row>
    <row r="16">
      <c r="A16" s="182" t="s">
        <v>365</v>
      </c>
      <c r="B16" s="203" t="s">
        <v>66</v>
      </c>
      <c r="C16" s="173" t="s">
        <v>66</v>
      </c>
      <c r="D16" s="173" t="s">
        <v>719</v>
      </c>
      <c r="E16" s="196" t="s">
        <v>719</v>
      </c>
      <c r="F16" s="185" t="s">
        <v>185</v>
      </c>
      <c r="G16" s="185" t="s">
        <v>1500</v>
      </c>
      <c r="H16" s="237" t="b">
        <v>1</v>
      </c>
      <c r="I16" s="185" t="s">
        <v>91</v>
      </c>
      <c r="J16" s="185" t="s">
        <v>91</v>
      </c>
      <c r="K16" s="185" t="s">
        <v>91</v>
      </c>
      <c r="L16" s="185" t="s">
        <v>85</v>
      </c>
      <c r="M16" s="196" t="s">
        <v>687</v>
      </c>
      <c r="N16" s="185" t="s">
        <v>688</v>
      </c>
      <c r="O16" s="238">
        <v>44180.0</v>
      </c>
      <c r="P16" s="239" t="s">
        <v>1781</v>
      </c>
      <c r="Q16" s="239" t="s">
        <v>1764</v>
      </c>
      <c r="R16" s="240" t="s">
        <v>721</v>
      </c>
      <c r="S16" s="196" t="s">
        <v>721</v>
      </c>
      <c r="T16" s="196" t="s">
        <v>1765</v>
      </c>
    </row>
    <row r="17">
      <c r="A17" s="182" t="s">
        <v>513</v>
      </c>
      <c r="B17" s="203" t="s">
        <v>66</v>
      </c>
      <c r="C17" s="173" t="s">
        <v>66</v>
      </c>
      <c r="D17" s="173" t="s">
        <v>722</v>
      </c>
      <c r="E17" s="196" t="s">
        <v>722</v>
      </c>
      <c r="F17" s="185" t="s">
        <v>185</v>
      </c>
      <c r="G17" s="185" t="s">
        <v>1500</v>
      </c>
      <c r="H17" s="237" t="b">
        <v>1</v>
      </c>
      <c r="I17" s="185" t="s">
        <v>723</v>
      </c>
      <c r="J17" s="185" t="s">
        <v>91</v>
      </c>
      <c r="K17" s="185" t="s">
        <v>723</v>
      </c>
      <c r="L17" s="185" t="s">
        <v>85</v>
      </c>
      <c r="M17" s="196" t="s">
        <v>687</v>
      </c>
      <c r="N17" s="185" t="s">
        <v>688</v>
      </c>
      <c r="O17" s="238">
        <v>44179.0</v>
      </c>
      <c r="P17" s="239" t="s">
        <v>1770</v>
      </c>
      <c r="Q17" s="239" t="s">
        <v>1764</v>
      </c>
      <c r="R17" s="240" t="s">
        <v>724</v>
      </c>
      <c r="S17" s="196" t="s">
        <v>724</v>
      </c>
      <c r="T17" s="196" t="s">
        <v>1765</v>
      </c>
    </row>
    <row r="18">
      <c r="A18" s="182" t="s">
        <v>733</v>
      </c>
      <c r="B18" s="203" t="s">
        <v>66</v>
      </c>
      <c r="C18" s="173" t="s">
        <v>66</v>
      </c>
      <c r="D18" s="173" t="s">
        <v>734</v>
      </c>
      <c r="E18" s="196" t="s">
        <v>734</v>
      </c>
      <c r="F18" s="185" t="s">
        <v>185</v>
      </c>
      <c r="G18" s="185" t="s">
        <v>1500</v>
      </c>
      <c r="H18" s="237" t="b">
        <v>1</v>
      </c>
      <c r="I18" s="185" t="s">
        <v>723</v>
      </c>
      <c r="J18" s="185" t="s">
        <v>91</v>
      </c>
      <c r="K18" s="185" t="s">
        <v>723</v>
      </c>
      <c r="L18" s="185" t="s">
        <v>85</v>
      </c>
      <c r="M18" s="196" t="s">
        <v>687</v>
      </c>
      <c r="N18" s="185" t="s">
        <v>688</v>
      </c>
      <c r="O18" s="238">
        <v>44180.0</v>
      </c>
      <c r="P18" s="239" t="s">
        <v>1782</v>
      </c>
      <c r="Q18" s="239" t="s">
        <v>1783</v>
      </c>
      <c r="R18" s="240" t="s">
        <v>721</v>
      </c>
      <c r="S18" s="196" t="s">
        <v>721</v>
      </c>
      <c r="T18" s="196" t="s">
        <v>1765</v>
      </c>
    </row>
    <row r="19">
      <c r="A19" s="182" t="s">
        <v>739</v>
      </c>
      <c r="B19" s="203" t="s">
        <v>66</v>
      </c>
      <c r="C19" s="173" t="s">
        <v>66</v>
      </c>
      <c r="D19" s="173" t="s">
        <v>1784</v>
      </c>
      <c r="E19" s="196" t="s">
        <v>740</v>
      </c>
      <c r="F19" s="185" t="s">
        <v>83</v>
      </c>
      <c r="G19" s="185" t="s">
        <v>1500</v>
      </c>
      <c r="H19" s="237" t="b">
        <v>1</v>
      </c>
      <c r="I19" s="185" t="s">
        <v>86</v>
      </c>
      <c r="J19" s="185" t="s">
        <v>91</v>
      </c>
      <c r="K19" s="185" t="s">
        <v>91</v>
      </c>
      <c r="L19" s="185" t="s">
        <v>85</v>
      </c>
      <c r="M19" s="196" t="s">
        <v>687</v>
      </c>
      <c r="N19" s="185" t="s">
        <v>688</v>
      </c>
      <c r="O19" s="238">
        <v>44180.0</v>
      </c>
      <c r="P19" s="239" t="s">
        <v>1777</v>
      </c>
      <c r="Q19" s="239" t="s">
        <v>1764</v>
      </c>
      <c r="R19" s="240" t="s">
        <v>702</v>
      </c>
      <c r="S19" s="196" t="s">
        <v>702</v>
      </c>
      <c r="T19" s="196" t="s">
        <v>1765</v>
      </c>
    </row>
    <row r="20">
      <c r="A20" s="182" t="s">
        <v>742</v>
      </c>
      <c r="B20" s="203" t="s">
        <v>66</v>
      </c>
      <c r="C20" s="173" t="s">
        <v>66</v>
      </c>
      <c r="D20" s="173" t="s">
        <v>1785</v>
      </c>
      <c r="E20" s="196" t="s">
        <v>1785</v>
      </c>
      <c r="F20" s="185" t="s">
        <v>83</v>
      </c>
      <c r="G20" s="185" t="s">
        <v>698</v>
      </c>
      <c r="H20" s="237">
        <v>40131.52979166667</v>
      </c>
      <c r="I20" s="185" t="s">
        <v>1762</v>
      </c>
      <c r="J20" s="185" t="s">
        <v>91</v>
      </c>
      <c r="K20" s="185" t="s">
        <v>91</v>
      </c>
      <c r="L20" s="185" t="s">
        <v>85</v>
      </c>
      <c r="M20" s="196" t="s">
        <v>687</v>
      </c>
      <c r="N20" s="185" t="s">
        <v>688</v>
      </c>
      <c r="O20" s="238">
        <v>44180.0</v>
      </c>
      <c r="P20" s="239" t="s">
        <v>1786</v>
      </c>
      <c r="Q20" s="239" t="s">
        <v>1787</v>
      </c>
      <c r="R20" s="240" t="s">
        <v>744</v>
      </c>
      <c r="S20" s="196" t="s">
        <v>744</v>
      </c>
      <c r="T20" s="196" t="s">
        <v>1765</v>
      </c>
    </row>
    <row r="21">
      <c r="A21" s="182" t="s">
        <v>746</v>
      </c>
      <c r="B21" s="203" t="s">
        <v>66</v>
      </c>
      <c r="C21" s="173" t="s">
        <v>66</v>
      </c>
      <c r="D21" s="173" t="s">
        <v>747</v>
      </c>
      <c r="E21" s="196" t="s">
        <v>747</v>
      </c>
      <c r="F21" s="185" t="s">
        <v>185</v>
      </c>
      <c r="G21" s="185" t="s">
        <v>698</v>
      </c>
      <c r="H21" s="237">
        <v>38197.0</v>
      </c>
      <c r="I21" s="185" t="s">
        <v>723</v>
      </c>
      <c r="J21" s="185" t="s">
        <v>91</v>
      </c>
      <c r="K21" s="185" t="s">
        <v>723</v>
      </c>
      <c r="L21" s="185" t="s">
        <v>85</v>
      </c>
      <c r="M21" s="196" t="s">
        <v>687</v>
      </c>
      <c r="N21" s="185" t="s">
        <v>688</v>
      </c>
      <c r="O21" s="238">
        <v>44179.0</v>
      </c>
      <c r="P21" s="239" t="s">
        <v>1775</v>
      </c>
      <c r="Q21" s="239" t="s">
        <v>1764</v>
      </c>
      <c r="R21" s="240" t="s">
        <v>724</v>
      </c>
      <c r="S21" s="196" t="s">
        <v>724</v>
      </c>
      <c r="T21" s="196" t="s">
        <v>1765</v>
      </c>
    </row>
    <row r="22">
      <c r="A22" s="182" t="s">
        <v>395</v>
      </c>
      <c r="B22" s="203" t="s">
        <v>66</v>
      </c>
      <c r="C22" s="173" t="s">
        <v>66</v>
      </c>
      <c r="D22" s="173" t="s">
        <v>1788</v>
      </c>
      <c r="E22" s="196" t="s">
        <v>748</v>
      </c>
      <c r="F22" s="185" t="s">
        <v>185</v>
      </c>
      <c r="G22" s="185" t="s">
        <v>1761</v>
      </c>
      <c r="H22" s="237" t="s">
        <v>96</v>
      </c>
      <c r="I22" s="185" t="s">
        <v>86</v>
      </c>
      <c r="J22" s="185" t="s">
        <v>91</v>
      </c>
      <c r="K22" s="185" t="s">
        <v>91</v>
      </c>
      <c r="L22" s="185" t="s">
        <v>85</v>
      </c>
      <c r="M22" s="196" t="s">
        <v>749</v>
      </c>
      <c r="N22" s="185" t="s">
        <v>749</v>
      </c>
      <c r="O22" s="238">
        <v>44136.0</v>
      </c>
      <c r="P22" s="239" t="s">
        <v>1775</v>
      </c>
      <c r="Q22" s="239" t="s">
        <v>1764</v>
      </c>
      <c r="R22" s="240" t="s">
        <v>750</v>
      </c>
      <c r="S22" s="196" t="s">
        <v>750</v>
      </c>
      <c r="T22" s="196" t="s">
        <v>1765</v>
      </c>
    </row>
    <row r="23">
      <c r="A23" s="182" t="s">
        <v>751</v>
      </c>
      <c r="B23" s="203" t="s">
        <v>66</v>
      </c>
      <c r="C23" s="173" t="s">
        <v>66</v>
      </c>
      <c r="D23" s="173" t="s">
        <v>752</v>
      </c>
      <c r="E23" s="196" t="s">
        <v>752</v>
      </c>
      <c r="F23" s="185" t="s">
        <v>185</v>
      </c>
      <c r="G23" s="185" t="s">
        <v>698</v>
      </c>
      <c r="H23" s="237">
        <v>40417.489224537036</v>
      </c>
      <c r="I23" s="185" t="s">
        <v>723</v>
      </c>
      <c r="J23" s="185" t="s">
        <v>91</v>
      </c>
      <c r="K23" s="185" t="s">
        <v>723</v>
      </c>
      <c r="L23" s="185" t="s">
        <v>85</v>
      </c>
      <c r="M23" s="196" t="s">
        <v>687</v>
      </c>
      <c r="N23" s="185" t="s">
        <v>688</v>
      </c>
      <c r="O23" s="238">
        <v>44179.0</v>
      </c>
      <c r="P23" s="239" t="s">
        <v>1779</v>
      </c>
      <c r="Q23" s="239" t="s">
        <v>1764</v>
      </c>
      <c r="R23" s="240" t="s">
        <v>724</v>
      </c>
      <c r="S23" s="196" t="s">
        <v>724</v>
      </c>
      <c r="T23" s="196" t="s">
        <v>1765</v>
      </c>
    </row>
    <row r="24">
      <c r="A24" s="182" t="s">
        <v>753</v>
      </c>
      <c r="B24" s="203" t="s">
        <v>66</v>
      </c>
      <c r="C24" s="173" t="s">
        <v>66</v>
      </c>
      <c r="D24" s="173" t="s">
        <v>754</v>
      </c>
      <c r="E24" s="196" t="s">
        <v>754</v>
      </c>
      <c r="F24" s="185" t="s">
        <v>185</v>
      </c>
      <c r="G24" s="185" t="s">
        <v>698</v>
      </c>
      <c r="H24" s="237">
        <v>40155.46099537037</v>
      </c>
      <c r="I24" s="185" t="s">
        <v>723</v>
      </c>
      <c r="J24" s="185" t="s">
        <v>91</v>
      </c>
      <c r="K24" s="185" t="s">
        <v>723</v>
      </c>
      <c r="L24" s="185" t="s">
        <v>85</v>
      </c>
      <c r="M24" s="196" t="s">
        <v>687</v>
      </c>
      <c r="N24" s="185" t="s">
        <v>688</v>
      </c>
      <c r="O24" s="238">
        <v>44180.0</v>
      </c>
      <c r="P24" s="239" t="s">
        <v>1782</v>
      </c>
      <c r="Q24" s="239" t="s">
        <v>1783</v>
      </c>
      <c r="R24" s="240" t="s">
        <v>721</v>
      </c>
      <c r="S24" s="196" t="s">
        <v>721</v>
      </c>
      <c r="T24" s="196" t="s">
        <v>1765</v>
      </c>
    </row>
    <row r="25">
      <c r="A25" s="182" t="s">
        <v>755</v>
      </c>
      <c r="B25" s="203" t="s">
        <v>66</v>
      </c>
      <c r="C25" s="173" t="s">
        <v>66</v>
      </c>
      <c r="D25" s="173" t="s">
        <v>756</v>
      </c>
      <c r="E25" s="196" t="s">
        <v>756</v>
      </c>
      <c r="F25" s="185" t="s">
        <v>185</v>
      </c>
      <c r="G25" s="185" t="s">
        <v>1761</v>
      </c>
      <c r="H25" s="237" t="s">
        <v>757</v>
      </c>
      <c r="I25" s="185" t="s">
        <v>723</v>
      </c>
      <c r="J25" s="185" t="s">
        <v>91</v>
      </c>
      <c r="K25" s="185" t="s">
        <v>723</v>
      </c>
      <c r="L25" s="185" t="s">
        <v>85</v>
      </c>
      <c r="M25" s="196" t="s">
        <v>687</v>
      </c>
      <c r="N25" s="185" t="s">
        <v>688</v>
      </c>
      <c r="O25" s="238">
        <v>44180.0</v>
      </c>
      <c r="P25" s="239" t="s">
        <v>1782</v>
      </c>
      <c r="Q25" s="239" t="s">
        <v>1783</v>
      </c>
      <c r="R25" s="240" t="s">
        <v>721</v>
      </c>
      <c r="S25" s="196" t="s">
        <v>721</v>
      </c>
      <c r="T25" s="196" t="s">
        <v>1765</v>
      </c>
    </row>
    <row r="26">
      <c r="A26" s="182" t="s">
        <v>758</v>
      </c>
      <c r="B26" s="203" t="s">
        <v>66</v>
      </c>
      <c r="C26" s="173" t="s">
        <v>66</v>
      </c>
      <c r="D26" s="173" t="s">
        <v>759</v>
      </c>
      <c r="E26" s="196" t="s">
        <v>759</v>
      </c>
      <c r="F26" s="185" t="s">
        <v>185</v>
      </c>
      <c r="G26" s="185" t="s">
        <v>713</v>
      </c>
      <c r="H26" s="237">
        <v>9.0</v>
      </c>
      <c r="I26" s="185" t="s">
        <v>723</v>
      </c>
      <c r="J26" s="185" t="s">
        <v>91</v>
      </c>
      <c r="K26" s="185" t="s">
        <v>723</v>
      </c>
      <c r="L26" s="185" t="s">
        <v>85</v>
      </c>
      <c r="M26" s="196" t="s">
        <v>687</v>
      </c>
      <c r="N26" s="185" t="s">
        <v>760</v>
      </c>
      <c r="O26" s="238">
        <v>44179.0</v>
      </c>
      <c r="P26" s="239" t="s">
        <v>1782</v>
      </c>
      <c r="Q26" s="239" t="s">
        <v>1783</v>
      </c>
      <c r="R26" s="240" t="s">
        <v>761</v>
      </c>
      <c r="S26" s="196" t="s">
        <v>761</v>
      </c>
      <c r="T26" s="196" t="s">
        <v>1765</v>
      </c>
    </row>
    <row r="27">
      <c r="A27" s="182" t="s">
        <v>461</v>
      </c>
      <c r="B27" s="203" t="s">
        <v>66</v>
      </c>
      <c r="C27" s="173" t="s">
        <v>66</v>
      </c>
      <c r="D27" s="173" t="s">
        <v>1789</v>
      </c>
      <c r="E27" s="196" t="s">
        <v>1789</v>
      </c>
      <c r="F27" s="185" t="s">
        <v>83</v>
      </c>
      <c r="G27" s="185" t="s">
        <v>1761</v>
      </c>
      <c r="H27" s="237" t="s">
        <v>463</v>
      </c>
      <c r="I27" s="185" t="s">
        <v>1762</v>
      </c>
      <c r="J27" s="185" t="s">
        <v>91</v>
      </c>
      <c r="K27" s="185" t="s">
        <v>87</v>
      </c>
      <c r="L27" s="185" t="s">
        <v>85</v>
      </c>
      <c r="M27" s="196" t="s">
        <v>687</v>
      </c>
      <c r="N27" s="185" t="s">
        <v>688</v>
      </c>
      <c r="O27" s="238">
        <v>44180.0</v>
      </c>
      <c r="P27" s="239" t="s">
        <v>1770</v>
      </c>
      <c r="Q27" s="239" t="s">
        <v>1787</v>
      </c>
      <c r="R27" s="240" t="s">
        <v>705</v>
      </c>
      <c r="S27" s="196" t="s">
        <v>705</v>
      </c>
      <c r="T27" s="196" t="s">
        <v>1765</v>
      </c>
    </row>
    <row r="28">
      <c r="A28" s="182" t="s">
        <v>467</v>
      </c>
      <c r="B28" s="203" t="s">
        <v>66</v>
      </c>
      <c r="C28" s="173" t="s">
        <v>66</v>
      </c>
      <c r="D28" s="173" t="s">
        <v>468</v>
      </c>
      <c r="E28" s="196" t="s">
        <v>468</v>
      </c>
      <c r="F28" s="185" t="s">
        <v>83</v>
      </c>
      <c r="G28" s="185" t="s">
        <v>1761</v>
      </c>
      <c r="H28" s="237">
        <v>9.41E8</v>
      </c>
      <c r="I28" s="185" t="s">
        <v>1762</v>
      </c>
      <c r="J28" s="185" t="s">
        <v>91</v>
      </c>
      <c r="K28" s="185" t="s">
        <v>91</v>
      </c>
      <c r="L28" s="185" t="s">
        <v>85</v>
      </c>
      <c r="M28" s="196" t="s">
        <v>687</v>
      </c>
      <c r="N28" s="185" t="s">
        <v>688</v>
      </c>
      <c r="O28" s="238">
        <v>44180.0</v>
      </c>
      <c r="P28" s="239" t="s">
        <v>1786</v>
      </c>
      <c r="Q28" s="239" t="s">
        <v>1787</v>
      </c>
      <c r="R28" s="240" t="s">
        <v>691</v>
      </c>
      <c r="S28" s="196" t="s">
        <v>691</v>
      </c>
      <c r="T28" s="196" t="s">
        <v>1765</v>
      </c>
    </row>
    <row r="29">
      <c r="A29" s="182" t="s">
        <v>469</v>
      </c>
      <c r="B29" s="203" t="s">
        <v>66</v>
      </c>
      <c r="C29" s="173" t="s">
        <v>66</v>
      </c>
      <c r="D29" s="173" t="s">
        <v>1790</v>
      </c>
      <c r="E29" s="196" t="s">
        <v>765</v>
      </c>
      <c r="F29" s="185" t="s">
        <v>83</v>
      </c>
      <c r="G29" s="185" t="s">
        <v>1761</v>
      </c>
      <c r="H29" s="237" t="s">
        <v>471</v>
      </c>
      <c r="I29" s="185" t="s">
        <v>1762</v>
      </c>
      <c r="J29" s="185" t="s">
        <v>91</v>
      </c>
      <c r="K29" s="185" t="s">
        <v>91</v>
      </c>
      <c r="L29" s="185" t="s">
        <v>85</v>
      </c>
      <c r="M29" s="196" t="s">
        <v>687</v>
      </c>
      <c r="N29" s="185" t="s">
        <v>688</v>
      </c>
      <c r="O29" s="238">
        <v>44180.0</v>
      </c>
      <c r="P29" s="239" t="s">
        <v>1770</v>
      </c>
      <c r="Q29" s="239" t="s">
        <v>1764</v>
      </c>
      <c r="R29" s="240" t="s">
        <v>691</v>
      </c>
      <c r="S29" s="196" t="s">
        <v>691</v>
      </c>
      <c r="T29" s="196" t="s">
        <v>1765</v>
      </c>
    </row>
    <row r="30">
      <c r="A30" s="182" t="s">
        <v>100</v>
      </c>
      <c r="B30" s="203" t="s">
        <v>66</v>
      </c>
      <c r="C30" s="173" t="s">
        <v>66</v>
      </c>
      <c r="D30" s="173" t="s">
        <v>101</v>
      </c>
      <c r="E30" s="196" t="s">
        <v>101</v>
      </c>
      <c r="F30" s="185" t="s">
        <v>83</v>
      </c>
      <c r="G30" s="185" t="s">
        <v>1761</v>
      </c>
      <c r="H30" s="237" t="s">
        <v>103</v>
      </c>
      <c r="I30" s="185" t="s">
        <v>91</v>
      </c>
      <c r="J30" s="185" t="s">
        <v>91</v>
      </c>
      <c r="K30" s="185" t="s">
        <v>91</v>
      </c>
      <c r="L30" s="185" t="s">
        <v>85</v>
      </c>
      <c r="M30" s="196" t="s">
        <v>687</v>
      </c>
      <c r="N30" s="185" t="s">
        <v>688</v>
      </c>
      <c r="O30" s="238">
        <v>44180.0</v>
      </c>
      <c r="P30" s="239" t="s">
        <v>1770</v>
      </c>
      <c r="Q30" s="239" t="s">
        <v>1764</v>
      </c>
      <c r="R30" s="240" t="s">
        <v>691</v>
      </c>
      <c r="S30" s="196" t="s">
        <v>691</v>
      </c>
      <c r="T30" s="196" t="s">
        <v>1765</v>
      </c>
    </row>
    <row r="31">
      <c r="A31" s="182" t="s">
        <v>766</v>
      </c>
      <c r="B31" s="203" t="s">
        <v>66</v>
      </c>
      <c r="C31" s="173" t="s">
        <v>66</v>
      </c>
      <c r="D31" s="173" t="s">
        <v>767</v>
      </c>
      <c r="E31" s="196" t="s">
        <v>767</v>
      </c>
      <c r="F31" s="185" t="s">
        <v>185</v>
      </c>
      <c r="G31" s="185" t="s">
        <v>768</v>
      </c>
      <c r="H31" s="237">
        <v>8.89</v>
      </c>
      <c r="I31" s="185" t="s">
        <v>723</v>
      </c>
      <c r="J31" s="185" t="s">
        <v>91</v>
      </c>
      <c r="K31" s="185" t="s">
        <v>723</v>
      </c>
      <c r="L31" s="185" t="s">
        <v>85</v>
      </c>
      <c r="M31" s="196" t="s">
        <v>687</v>
      </c>
      <c r="N31" s="185" t="s">
        <v>760</v>
      </c>
      <c r="O31" s="238">
        <v>44179.0</v>
      </c>
      <c r="P31" s="239" t="s">
        <v>1782</v>
      </c>
      <c r="Q31" s="239" t="s">
        <v>1783</v>
      </c>
      <c r="R31" s="240" t="s">
        <v>761</v>
      </c>
      <c r="S31" s="196" t="s">
        <v>761</v>
      </c>
      <c r="T31" s="196" t="s">
        <v>1765</v>
      </c>
    </row>
    <row r="32">
      <c r="A32" s="182" t="s">
        <v>769</v>
      </c>
      <c r="B32" s="203" t="s">
        <v>66</v>
      </c>
      <c r="C32" s="173" t="s">
        <v>66</v>
      </c>
      <c r="D32" s="173" t="s">
        <v>1320</v>
      </c>
      <c r="E32" s="196" t="s">
        <v>1320</v>
      </c>
      <c r="F32" s="185" t="s">
        <v>83</v>
      </c>
      <c r="G32" s="185" t="s">
        <v>698</v>
      </c>
      <c r="H32" s="237">
        <v>42354.333333333336</v>
      </c>
      <c r="I32" s="185" t="s">
        <v>1051</v>
      </c>
      <c r="J32" s="185" t="s">
        <v>1321</v>
      </c>
      <c r="K32" s="185" t="s">
        <v>1051</v>
      </c>
      <c r="L32" s="185" t="s">
        <v>85</v>
      </c>
      <c r="M32" s="196" t="s">
        <v>749</v>
      </c>
      <c r="N32" s="185" t="s">
        <v>688</v>
      </c>
      <c r="O32" s="238">
        <v>44165.0</v>
      </c>
      <c r="P32" s="239" t="s">
        <v>1791</v>
      </c>
      <c r="Q32" s="239" t="s">
        <v>1787</v>
      </c>
      <c r="R32" s="240" t="s">
        <v>771</v>
      </c>
      <c r="S32" s="196" t="s">
        <v>771</v>
      </c>
      <c r="T32" s="196" t="s">
        <v>1765</v>
      </c>
    </row>
    <row r="33">
      <c r="A33" s="182" t="s">
        <v>435</v>
      </c>
      <c r="B33" s="203" t="s">
        <v>66</v>
      </c>
      <c r="C33" s="173" t="s">
        <v>66</v>
      </c>
      <c r="D33" s="173" t="s">
        <v>1792</v>
      </c>
      <c r="E33" s="196" t="s">
        <v>1792</v>
      </c>
      <c r="F33" s="185" t="s">
        <v>83</v>
      </c>
      <c r="G33" s="185" t="s">
        <v>698</v>
      </c>
      <c r="H33" s="237">
        <v>40155.46099537037</v>
      </c>
      <c r="I33" s="185" t="s">
        <v>1051</v>
      </c>
      <c r="J33" s="185" t="s">
        <v>1321</v>
      </c>
      <c r="K33" s="185" t="s">
        <v>1051</v>
      </c>
      <c r="L33" s="185" t="s">
        <v>85</v>
      </c>
      <c r="M33" s="196" t="s">
        <v>749</v>
      </c>
      <c r="N33" s="185" t="s">
        <v>688</v>
      </c>
      <c r="O33" s="238">
        <v>44165.0</v>
      </c>
      <c r="P33" s="239" t="s">
        <v>1791</v>
      </c>
      <c r="Q33" s="239" t="s">
        <v>1787</v>
      </c>
      <c r="R33" s="240" t="s">
        <v>771</v>
      </c>
      <c r="S33" s="196" t="s">
        <v>771</v>
      </c>
      <c r="T33" s="196" t="s">
        <v>1765</v>
      </c>
    </row>
    <row r="34">
      <c r="A34" s="182" t="s">
        <v>441</v>
      </c>
      <c r="B34" s="203" t="s">
        <v>66</v>
      </c>
      <c r="C34" s="173" t="s">
        <v>66</v>
      </c>
      <c r="D34" s="173" t="s">
        <v>773</v>
      </c>
      <c r="E34" s="196" t="s">
        <v>773</v>
      </c>
      <c r="F34" s="185" t="s">
        <v>83</v>
      </c>
      <c r="G34" s="185" t="s">
        <v>774</v>
      </c>
      <c r="H34" s="237">
        <v>50.0</v>
      </c>
      <c r="I34" s="185" t="s">
        <v>335</v>
      </c>
      <c r="J34" s="185" t="s">
        <v>91</v>
      </c>
      <c r="K34" s="185" t="s">
        <v>91</v>
      </c>
      <c r="L34" s="185" t="s">
        <v>85</v>
      </c>
      <c r="M34" s="196" t="s">
        <v>749</v>
      </c>
      <c r="N34" s="185" t="s">
        <v>688</v>
      </c>
      <c r="O34" s="238">
        <v>44165.0</v>
      </c>
      <c r="P34" s="239" t="s">
        <v>1786</v>
      </c>
      <c r="Q34" s="239" t="s">
        <v>1787</v>
      </c>
      <c r="R34" s="240" t="s">
        <v>771</v>
      </c>
      <c r="S34" s="196" t="s">
        <v>771</v>
      </c>
      <c r="T34" s="196" t="s">
        <v>1765</v>
      </c>
    </row>
    <row r="35">
      <c r="A35" s="182" t="s">
        <v>372</v>
      </c>
      <c r="B35" s="203" t="s">
        <v>66</v>
      </c>
      <c r="C35" s="173" t="s">
        <v>66</v>
      </c>
      <c r="D35" s="173" t="s">
        <v>1793</v>
      </c>
      <c r="E35" s="196" t="s">
        <v>1793</v>
      </c>
      <c r="F35" s="185" t="s">
        <v>83</v>
      </c>
      <c r="G35" s="185" t="s">
        <v>774</v>
      </c>
      <c r="H35" s="237">
        <v>2265.61</v>
      </c>
      <c r="I35" s="185" t="s">
        <v>1762</v>
      </c>
      <c r="J35" s="185" t="s">
        <v>91</v>
      </c>
      <c r="K35" s="185" t="s">
        <v>91</v>
      </c>
      <c r="L35" s="185" t="s">
        <v>85</v>
      </c>
      <c r="M35" s="196" t="s">
        <v>749</v>
      </c>
      <c r="N35" s="185" t="s">
        <v>688</v>
      </c>
      <c r="O35" s="238">
        <v>44165.0</v>
      </c>
      <c r="P35" s="239" t="s">
        <v>1786</v>
      </c>
      <c r="Q35" s="239" t="s">
        <v>1787</v>
      </c>
      <c r="R35" s="240" t="s">
        <v>771</v>
      </c>
      <c r="S35" s="196" t="s">
        <v>771</v>
      </c>
      <c r="T35" s="196" t="s">
        <v>1765</v>
      </c>
    </row>
    <row r="36">
      <c r="A36" s="182" t="s">
        <v>431</v>
      </c>
      <c r="B36" s="203" t="s">
        <v>66</v>
      </c>
      <c r="C36" s="173" t="s">
        <v>66</v>
      </c>
      <c r="D36" s="173" t="s">
        <v>432</v>
      </c>
      <c r="E36" s="196" t="s">
        <v>432</v>
      </c>
      <c r="F36" s="185" t="s">
        <v>83</v>
      </c>
      <c r="G36" s="185" t="s">
        <v>774</v>
      </c>
      <c r="H36" s="237">
        <v>1499.0</v>
      </c>
      <c r="I36" s="185" t="s">
        <v>335</v>
      </c>
      <c r="J36" s="185" t="s">
        <v>91</v>
      </c>
      <c r="K36" s="185" t="s">
        <v>91</v>
      </c>
      <c r="L36" s="185" t="s">
        <v>85</v>
      </c>
      <c r="M36" s="196" t="s">
        <v>749</v>
      </c>
      <c r="N36" s="185" t="s">
        <v>688</v>
      </c>
      <c r="O36" s="238">
        <v>44165.0</v>
      </c>
      <c r="P36" s="239" t="s">
        <v>1786</v>
      </c>
      <c r="Q36" s="239" t="s">
        <v>1787</v>
      </c>
      <c r="R36" s="240" t="s">
        <v>771</v>
      </c>
      <c r="S36" s="196" t="s">
        <v>771</v>
      </c>
      <c r="T36" s="196" t="s">
        <v>1765</v>
      </c>
    </row>
    <row r="37">
      <c r="A37" s="182" t="s">
        <v>437</v>
      </c>
      <c r="B37" s="203" t="s">
        <v>66</v>
      </c>
      <c r="C37" s="173" t="s">
        <v>66</v>
      </c>
      <c r="D37" s="173" t="s">
        <v>438</v>
      </c>
      <c r="E37" s="196" t="s">
        <v>438</v>
      </c>
      <c r="F37" s="185" t="s">
        <v>83</v>
      </c>
      <c r="G37" s="185" t="s">
        <v>774</v>
      </c>
      <c r="H37" s="237">
        <v>1498.61</v>
      </c>
      <c r="I37" s="185" t="s">
        <v>335</v>
      </c>
      <c r="J37" s="185" t="s">
        <v>91</v>
      </c>
      <c r="K37" s="185" t="s">
        <v>91</v>
      </c>
      <c r="L37" s="185" t="s">
        <v>85</v>
      </c>
      <c r="M37" s="196" t="s">
        <v>749</v>
      </c>
      <c r="N37" s="185" t="s">
        <v>688</v>
      </c>
      <c r="O37" s="238">
        <v>44165.0</v>
      </c>
      <c r="P37" s="239" t="s">
        <v>1786</v>
      </c>
      <c r="Q37" s="239" t="s">
        <v>1787</v>
      </c>
      <c r="R37" s="240" t="s">
        <v>771</v>
      </c>
      <c r="S37" s="196" t="s">
        <v>771</v>
      </c>
      <c r="T37" s="196" t="s">
        <v>1765</v>
      </c>
    </row>
    <row r="38">
      <c r="A38" s="182" t="s">
        <v>405</v>
      </c>
      <c r="B38" s="203" t="s">
        <v>66</v>
      </c>
      <c r="C38" s="173" t="s">
        <v>66</v>
      </c>
      <c r="D38" s="173" t="s">
        <v>406</v>
      </c>
      <c r="E38" s="196" t="s">
        <v>406</v>
      </c>
      <c r="F38" s="185" t="s">
        <v>83</v>
      </c>
      <c r="G38" s="185" t="s">
        <v>1761</v>
      </c>
      <c r="H38" s="237" t="s">
        <v>1478</v>
      </c>
      <c r="I38" s="185" t="s">
        <v>335</v>
      </c>
      <c r="J38" s="185" t="s">
        <v>91</v>
      </c>
      <c r="K38" s="185" t="s">
        <v>91</v>
      </c>
      <c r="L38" s="185" t="s">
        <v>85</v>
      </c>
      <c r="M38" s="196" t="s">
        <v>687</v>
      </c>
      <c r="N38" s="185" t="s">
        <v>688</v>
      </c>
      <c r="O38" s="238">
        <v>44180.0</v>
      </c>
      <c r="P38" s="239" t="s">
        <v>1794</v>
      </c>
      <c r="Q38" s="239" t="s">
        <v>1764</v>
      </c>
      <c r="R38" s="240" t="s">
        <v>702</v>
      </c>
      <c r="S38" s="196" t="s">
        <v>702</v>
      </c>
      <c r="T38" s="196" t="s">
        <v>1765</v>
      </c>
    </row>
    <row r="39">
      <c r="A39" s="182" t="s">
        <v>775</v>
      </c>
      <c r="B39" s="203" t="s">
        <v>66</v>
      </c>
      <c r="C39" s="173" t="s">
        <v>66</v>
      </c>
      <c r="D39" s="173" t="s">
        <v>1322</v>
      </c>
      <c r="E39" s="196" t="s">
        <v>1322</v>
      </c>
      <c r="F39" s="185" t="s">
        <v>83</v>
      </c>
      <c r="G39" s="185" t="s">
        <v>777</v>
      </c>
      <c r="H39" s="237">
        <v>133.1008</v>
      </c>
      <c r="I39" s="185" t="s">
        <v>723</v>
      </c>
      <c r="J39" s="185" t="s">
        <v>91</v>
      </c>
      <c r="K39" s="185" t="s">
        <v>723</v>
      </c>
      <c r="L39" s="185" t="s">
        <v>85</v>
      </c>
      <c r="M39" s="196" t="s">
        <v>687</v>
      </c>
      <c r="N39" s="185" t="s">
        <v>688</v>
      </c>
      <c r="O39" s="238">
        <v>44180.0</v>
      </c>
      <c r="P39" s="239" t="s">
        <v>1763</v>
      </c>
      <c r="Q39" s="239" t="s">
        <v>1764</v>
      </c>
      <c r="R39" s="240" t="s">
        <v>744</v>
      </c>
      <c r="S39" s="196" t="s">
        <v>744</v>
      </c>
      <c r="T39" s="196" t="s">
        <v>1765</v>
      </c>
    </row>
    <row r="40">
      <c r="A40" s="182" t="s">
        <v>778</v>
      </c>
      <c r="B40" s="203" t="s">
        <v>66</v>
      </c>
      <c r="C40" s="173" t="s">
        <v>66</v>
      </c>
      <c r="D40" s="173" t="s">
        <v>779</v>
      </c>
      <c r="E40" s="196" t="s">
        <v>779</v>
      </c>
      <c r="F40" s="185" t="s">
        <v>83</v>
      </c>
      <c r="G40" s="185" t="s">
        <v>774</v>
      </c>
      <c r="H40" s="237">
        <v>800.0</v>
      </c>
      <c r="I40" s="185" t="s">
        <v>335</v>
      </c>
      <c r="J40" s="185" t="s">
        <v>91</v>
      </c>
      <c r="K40" s="185" t="s">
        <v>91</v>
      </c>
      <c r="L40" s="185" t="s">
        <v>85</v>
      </c>
      <c r="M40" s="196" t="s">
        <v>687</v>
      </c>
      <c r="N40" s="185" t="s">
        <v>688</v>
      </c>
      <c r="O40" s="238">
        <v>44180.0</v>
      </c>
      <c r="P40" s="239" t="s">
        <v>1795</v>
      </c>
      <c r="Q40" s="239" t="s">
        <v>1787</v>
      </c>
      <c r="R40" s="240" t="s">
        <v>691</v>
      </c>
      <c r="S40" s="196" t="s">
        <v>691</v>
      </c>
      <c r="T40" s="196" t="s">
        <v>1765</v>
      </c>
    </row>
    <row r="41">
      <c r="A41" s="182" t="s">
        <v>780</v>
      </c>
      <c r="B41" s="203" t="s">
        <v>66</v>
      </c>
      <c r="C41" s="173" t="s">
        <v>66</v>
      </c>
      <c r="D41" s="173" t="s">
        <v>384</v>
      </c>
      <c r="E41" s="196" t="s">
        <v>384</v>
      </c>
      <c r="F41" s="185" t="s">
        <v>185</v>
      </c>
      <c r="G41" s="185" t="s">
        <v>768</v>
      </c>
      <c r="H41" s="237">
        <v>460.0</v>
      </c>
      <c r="I41" s="185" t="s">
        <v>723</v>
      </c>
      <c r="J41" s="185" t="s">
        <v>91</v>
      </c>
      <c r="K41" s="185" t="s">
        <v>723</v>
      </c>
      <c r="L41" s="185" t="s">
        <v>85</v>
      </c>
      <c r="M41" s="196" t="s">
        <v>687</v>
      </c>
      <c r="N41" s="185" t="s">
        <v>760</v>
      </c>
      <c r="O41" s="238">
        <v>44179.0</v>
      </c>
      <c r="P41" s="239" t="s">
        <v>1782</v>
      </c>
      <c r="Q41" s="239" t="s">
        <v>1783</v>
      </c>
      <c r="R41" s="240" t="s">
        <v>761</v>
      </c>
      <c r="S41" s="196" t="s">
        <v>761</v>
      </c>
      <c r="T41" s="196" t="s">
        <v>1765</v>
      </c>
    </row>
    <row r="42">
      <c r="A42" s="182" t="s">
        <v>248</v>
      </c>
      <c r="B42" s="203" t="s">
        <v>66</v>
      </c>
      <c r="C42" s="173" t="s">
        <v>66</v>
      </c>
      <c r="D42" s="173" t="s">
        <v>249</v>
      </c>
      <c r="E42" s="196" t="s">
        <v>249</v>
      </c>
      <c r="F42" s="185" t="s">
        <v>135</v>
      </c>
      <c r="G42" s="185" t="s">
        <v>784</v>
      </c>
      <c r="H42" s="237" t="s">
        <v>1325</v>
      </c>
      <c r="I42" s="185" t="s">
        <v>835</v>
      </c>
      <c r="J42" s="185" t="s">
        <v>91</v>
      </c>
      <c r="K42" s="185" t="s">
        <v>91</v>
      </c>
      <c r="L42" s="185" t="s">
        <v>90</v>
      </c>
      <c r="M42" s="196" t="s">
        <v>749</v>
      </c>
      <c r="N42" s="185" t="s">
        <v>763</v>
      </c>
      <c r="O42" s="238">
        <v>44136.0</v>
      </c>
      <c r="P42" s="239" t="s">
        <v>701</v>
      </c>
      <c r="Q42" s="239" t="s">
        <v>732</v>
      </c>
      <c r="R42" s="240" t="s">
        <v>750</v>
      </c>
      <c r="S42" s="196" t="s">
        <v>750</v>
      </c>
      <c r="T42" s="196" t="s">
        <v>1765</v>
      </c>
    </row>
    <row r="43">
      <c r="A43" s="182" t="s">
        <v>245</v>
      </c>
      <c r="B43" s="203" t="s">
        <v>66</v>
      </c>
      <c r="C43" s="173" t="s">
        <v>66</v>
      </c>
      <c r="D43" s="173" t="s">
        <v>1796</v>
      </c>
      <c r="E43" s="196" t="s">
        <v>247</v>
      </c>
      <c r="F43" s="185" t="s">
        <v>135</v>
      </c>
      <c r="G43" s="185" t="s">
        <v>713</v>
      </c>
      <c r="H43" s="237">
        <v>1.0</v>
      </c>
      <c r="I43" s="185" t="s">
        <v>835</v>
      </c>
      <c r="J43" s="185" t="s">
        <v>91</v>
      </c>
      <c r="K43" s="185" t="s">
        <v>91</v>
      </c>
      <c r="L43" s="185" t="s">
        <v>90</v>
      </c>
      <c r="M43" s="196" t="s">
        <v>749</v>
      </c>
      <c r="N43" s="185" t="s">
        <v>763</v>
      </c>
      <c r="O43" s="238">
        <v>44136.0</v>
      </c>
      <c r="P43" s="239" t="s">
        <v>701</v>
      </c>
      <c r="Q43" s="239" t="s">
        <v>732</v>
      </c>
      <c r="R43" s="240" t="s">
        <v>750</v>
      </c>
      <c r="S43" s="196" t="s">
        <v>750</v>
      </c>
      <c r="T43" s="196" t="s">
        <v>1765</v>
      </c>
    </row>
    <row r="44">
      <c r="A44" s="182" t="s">
        <v>342</v>
      </c>
      <c r="B44" s="203" t="s">
        <v>66</v>
      </c>
      <c r="C44" s="173" t="s">
        <v>66</v>
      </c>
      <c r="D44" s="173" t="s">
        <v>343</v>
      </c>
      <c r="E44" s="196" t="s">
        <v>343</v>
      </c>
      <c r="F44" s="185" t="s">
        <v>185</v>
      </c>
      <c r="G44" s="185" t="s">
        <v>1500</v>
      </c>
      <c r="H44" s="237" t="b">
        <v>1</v>
      </c>
      <c r="I44" s="185" t="s">
        <v>1762</v>
      </c>
      <c r="J44" s="185" t="s">
        <v>91</v>
      </c>
      <c r="K44" s="185" t="s">
        <v>91</v>
      </c>
      <c r="L44" s="185" t="s">
        <v>85</v>
      </c>
      <c r="M44" s="196" t="s">
        <v>687</v>
      </c>
      <c r="N44" s="185" t="s">
        <v>688</v>
      </c>
      <c r="O44" s="238">
        <v>44180.0</v>
      </c>
      <c r="P44" s="239" t="s">
        <v>1779</v>
      </c>
      <c r="Q44" s="239" t="s">
        <v>1764</v>
      </c>
      <c r="R44" s="240" t="s">
        <v>702</v>
      </c>
      <c r="S44" s="196" t="s">
        <v>702</v>
      </c>
      <c r="T44" s="196" t="s">
        <v>1765</v>
      </c>
    </row>
    <row r="45">
      <c r="A45" s="182" t="s">
        <v>786</v>
      </c>
      <c r="B45" s="203" t="s">
        <v>66</v>
      </c>
      <c r="C45" s="173" t="s">
        <v>66</v>
      </c>
      <c r="D45" s="173" t="s">
        <v>1797</v>
      </c>
      <c r="E45" s="196" t="s">
        <v>1797</v>
      </c>
      <c r="F45" s="185" t="s">
        <v>185</v>
      </c>
      <c r="G45" s="185" t="s">
        <v>1761</v>
      </c>
      <c r="H45" s="237" t="s">
        <v>299</v>
      </c>
      <c r="I45" s="185" t="s">
        <v>1762</v>
      </c>
      <c r="J45" s="185" t="s">
        <v>91</v>
      </c>
      <c r="K45" s="185" t="s">
        <v>91</v>
      </c>
      <c r="L45" s="185" t="s">
        <v>90</v>
      </c>
      <c r="M45" s="196" t="s">
        <v>687</v>
      </c>
      <c r="N45" s="185" t="s">
        <v>688</v>
      </c>
      <c r="O45" s="238">
        <v>44180.0</v>
      </c>
      <c r="P45" s="239" t="s">
        <v>1786</v>
      </c>
      <c r="Q45" s="239" t="s">
        <v>1787</v>
      </c>
      <c r="R45" s="240" t="s">
        <v>744</v>
      </c>
      <c r="S45" s="196" t="s">
        <v>744</v>
      </c>
      <c r="T45" s="196" t="s">
        <v>1765</v>
      </c>
    </row>
    <row r="46">
      <c r="A46" s="182" t="s">
        <v>418</v>
      </c>
      <c r="B46" s="203" t="s">
        <v>66</v>
      </c>
      <c r="C46" s="173" t="s">
        <v>66</v>
      </c>
      <c r="D46" s="173" t="s">
        <v>419</v>
      </c>
      <c r="E46" s="196" t="s">
        <v>419</v>
      </c>
      <c r="F46" s="185" t="s">
        <v>83</v>
      </c>
      <c r="G46" s="185" t="s">
        <v>774</v>
      </c>
      <c r="H46" s="237">
        <v>1796.0</v>
      </c>
      <c r="I46" s="185" t="s">
        <v>335</v>
      </c>
      <c r="J46" s="185" t="s">
        <v>91</v>
      </c>
      <c r="K46" s="185" t="s">
        <v>91</v>
      </c>
      <c r="L46" s="185" t="s">
        <v>85</v>
      </c>
      <c r="M46" s="196" t="s">
        <v>687</v>
      </c>
      <c r="N46" s="185" t="s">
        <v>688</v>
      </c>
      <c r="O46" s="238">
        <v>44180.0</v>
      </c>
      <c r="P46" s="239" t="s">
        <v>1786</v>
      </c>
      <c r="Q46" s="239" t="s">
        <v>1787</v>
      </c>
      <c r="R46" s="240" t="s">
        <v>788</v>
      </c>
      <c r="S46" s="196" t="s">
        <v>788</v>
      </c>
      <c r="T46" s="196" t="s">
        <v>1765</v>
      </c>
    </row>
    <row r="47">
      <c r="A47" s="182" t="s">
        <v>416</v>
      </c>
      <c r="B47" s="203" t="s">
        <v>66</v>
      </c>
      <c r="C47" s="173" t="s">
        <v>66</v>
      </c>
      <c r="D47" s="173" t="s">
        <v>1798</v>
      </c>
      <c r="E47" s="196" t="s">
        <v>415</v>
      </c>
      <c r="F47" s="185" t="s">
        <v>83</v>
      </c>
      <c r="G47" s="185" t="s">
        <v>774</v>
      </c>
      <c r="H47" s="237">
        <v>343.33</v>
      </c>
      <c r="I47" s="185" t="s">
        <v>335</v>
      </c>
      <c r="J47" s="185" t="s">
        <v>91</v>
      </c>
      <c r="K47" s="185" t="s">
        <v>91</v>
      </c>
      <c r="L47" s="185" t="s">
        <v>85</v>
      </c>
      <c r="M47" s="196" t="s">
        <v>687</v>
      </c>
      <c r="N47" s="185" t="s">
        <v>688</v>
      </c>
      <c r="O47" s="238">
        <v>44180.0</v>
      </c>
      <c r="P47" s="239" t="s">
        <v>1791</v>
      </c>
      <c r="Q47" s="239" t="s">
        <v>1787</v>
      </c>
      <c r="R47" s="240" t="s">
        <v>691</v>
      </c>
      <c r="S47" s="196" t="s">
        <v>691</v>
      </c>
      <c r="T47" s="196" t="s">
        <v>1765</v>
      </c>
    </row>
    <row r="48">
      <c r="A48" s="182" t="s">
        <v>789</v>
      </c>
      <c r="B48" s="203" t="s">
        <v>66</v>
      </c>
      <c r="C48" s="173" t="s">
        <v>66</v>
      </c>
      <c r="D48" s="173" t="s">
        <v>790</v>
      </c>
      <c r="E48" s="196" t="s">
        <v>790</v>
      </c>
      <c r="F48" s="185" t="s">
        <v>185</v>
      </c>
      <c r="G48" s="185" t="s">
        <v>777</v>
      </c>
      <c r="H48" s="237">
        <v>3023.0</v>
      </c>
      <c r="I48" s="185" t="s">
        <v>723</v>
      </c>
      <c r="J48" s="185" t="s">
        <v>91</v>
      </c>
      <c r="K48" s="185" t="s">
        <v>723</v>
      </c>
      <c r="L48" s="185" t="s">
        <v>85</v>
      </c>
      <c r="M48" s="196" t="s">
        <v>749</v>
      </c>
      <c r="N48" s="185" t="s">
        <v>688</v>
      </c>
      <c r="O48" s="238">
        <v>44161.0</v>
      </c>
      <c r="P48" s="239" t="s">
        <v>1786</v>
      </c>
      <c r="Q48" s="239" t="s">
        <v>1787</v>
      </c>
      <c r="R48" s="240" t="s">
        <v>771</v>
      </c>
      <c r="S48" s="196" t="s">
        <v>771</v>
      </c>
      <c r="T48" s="196" t="s">
        <v>1765</v>
      </c>
    </row>
    <row r="49">
      <c r="A49" s="182" t="s">
        <v>180</v>
      </c>
      <c r="B49" s="203" t="s">
        <v>66</v>
      </c>
      <c r="C49" s="173" t="s">
        <v>66</v>
      </c>
      <c r="D49" s="173" t="s">
        <v>791</v>
      </c>
      <c r="E49" s="196" t="s">
        <v>791</v>
      </c>
      <c r="F49" s="185" t="s">
        <v>185</v>
      </c>
      <c r="G49" s="185" t="s">
        <v>1500</v>
      </c>
      <c r="H49" s="237" t="b">
        <v>1</v>
      </c>
      <c r="I49" s="185" t="s">
        <v>91</v>
      </c>
      <c r="J49" s="185" t="s">
        <v>91</v>
      </c>
      <c r="K49" s="185" t="s">
        <v>91</v>
      </c>
      <c r="L49" s="185" t="s">
        <v>85</v>
      </c>
      <c r="M49" s="196" t="s">
        <v>687</v>
      </c>
      <c r="N49" s="185" t="s">
        <v>687</v>
      </c>
      <c r="O49" s="238">
        <v>44178.0</v>
      </c>
      <c r="P49" s="239" t="s">
        <v>1770</v>
      </c>
      <c r="Q49" s="239" t="s">
        <v>1764</v>
      </c>
      <c r="R49" s="240" t="s">
        <v>782</v>
      </c>
      <c r="S49" s="196" t="s">
        <v>782</v>
      </c>
      <c r="T49" s="196" t="s">
        <v>1765</v>
      </c>
    </row>
    <row r="50">
      <c r="A50" s="182" t="s">
        <v>139</v>
      </c>
      <c r="B50" s="203" t="s">
        <v>65</v>
      </c>
      <c r="C50" s="173" t="s">
        <v>1799</v>
      </c>
      <c r="D50" s="173" t="s">
        <v>140</v>
      </c>
      <c r="E50" s="196" t="s">
        <v>140</v>
      </c>
      <c r="F50" s="185" t="s">
        <v>135</v>
      </c>
      <c r="G50" s="185" t="s">
        <v>1761</v>
      </c>
      <c r="H50" s="237" t="s">
        <v>142</v>
      </c>
      <c r="I50" s="185" t="s">
        <v>136</v>
      </c>
      <c r="J50" s="185" t="s">
        <v>91</v>
      </c>
      <c r="K50" s="185" t="s">
        <v>91</v>
      </c>
      <c r="L50" s="185">
        <v>0.625</v>
      </c>
      <c r="M50" s="196" t="s">
        <v>1479</v>
      </c>
      <c r="N50" s="185" t="s">
        <v>793</v>
      </c>
      <c r="O50" s="238">
        <v>44136.0</v>
      </c>
      <c r="P50" s="239" t="s">
        <v>1763</v>
      </c>
      <c r="Q50" s="239" t="s">
        <v>1764</v>
      </c>
      <c r="R50" s="240" t="s">
        <v>691</v>
      </c>
      <c r="S50" s="196" t="s">
        <v>691</v>
      </c>
      <c r="T50" s="196" t="s">
        <v>1765</v>
      </c>
    </row>
    <row r="51">
      <c r="A51" s="182" t="s">
        <v>794</v>
      </c>
      <c r="B51" s="203" t="s">
        <v>66</v>
      </c>
      <c r="C51" s="173" t="s">
        <v>66</v>
      </c>
      <c r="D51" s="173" t="s">
        <v>1800</v>
      </c>
      <c r="E51" s="196" t="s">
        <v>1800</v>
      </c>
      <c r="F51" s="185" t="s">
        <v>83</v>
      </c>
      <c r="G51" s="185" t="s">
        <v>774</v>
      </c>
      <c r="H51" s="237">
        <v>20000.0</v>
      </c>
      <c r="I51" s="185" t="s">
        <v>335</v>
      </c>
      <c r="J51" s="185" t="s">
        <v>91</v>
      </c>
      <c r="K51" s="185" t="s">
        <v>91</v>
      </c>
      <c r="L51" s="185" t="s">
        <v>85</v>
      </c>
      <c r="M51" s="196" t="s">
        <v>687</v>
      </c>
      <c r="N51" s="185" t="s">
        <v>688</v>
      </c>
      <c r="O51" s="238">
        <v>44180.0</v>
      </c>
      <c r="P51" s="239" t="s">
        <v>1763</v>
      </c>
      <c r="Q51" s="239" t="s">
        <v>1764</v>
      </c>
      <c r="R51" s="240" t="s">
        <v>691</v>
      </c>
      <c r="S51" s="196" t="s">
        <v>691</v>
      </c>
      <c r="T51" s="196" t="s">
        <v>1765</v>
      </c>
    </row>
    <row r="52">
      <c r="A52" s="182" t="s">
        <v>403</v>
      </c>
      <c r="B52" s="203" t="s">
        <v>66</v>
      </c>
      <c r="C52" s="173" t="s">
        <v>66</v>
      </c>
      <c r="D52" s="173" t="s">
        <v>404</v>
      </c>
      <c r="E52" s="196" t="s">
        <v>404</v>
      </c>
      <c r="F52" s="185" t="s">
        <v>83</v>
      </c>
      <c r="G52" s="185" t="s">
        <v>1761</v>
      </c>
      <c r="H52" s="237">
        <v>5.26E8</v>
      </c>
      <c r="I52" s="185" t="s">
        <v>1762</v>
      </c>
      <c r="J52" s="185" t="s">
        <v>91</v>
      </c>
      <c r="K52" s="185" t="s">
        <v>91</v>
      </c>
      <c r="L52" s="185" t="s">
        <v>85</v>
      </c>
      <c r="M52" s="196" t="s">
        <v>749</v>
      </c>
      <c r="N52" s="185" t="s">
        <v>688</v>
      </c>
      <c r="O52" s="238">
        <v>44165.0</v>
      </c>
      <c r="P52" s="239" t="s">
        <v>1786</v>
      </c>
      <c r="Q52" s="239" t="s">
        <v>1787</v>
      </c>
      <c r="R52" s="240" t="s">
        <v>771</v>
      </c>
      <c r="S52" s="196" t="s">
        <v>771</v>
      </c>
      <c r="T52" s="196" t="s">
        <v>1765</v>
      </c>
    </row>
    <row r="53">
      <c r="A53" s="182" t="s">
        <v>420</v>
      </c>
      <c r="B53" s="203" t="s">
        <v>66</v>
      </c>
      <c r="C53" s="173" t="s">
        <v>66</v>
      </c>
      <c r="D53" s="173" t="s">
        <v>1801</v>
      </c>
      <c r="E53" s="196" t="s">
        <v>795</v>
      </c>
      <c r="F53" s="185" t="s">
        <v>185</v>
      </c>
      <c r="G53" s="185" t="s">
        <v>1761</v>
      </c>
      <c r="H53" s="237" t="s">
        <v>732</v>
      </c>
      <c r="I53" s="185" t="s">
        <v>1762</v>
      </c>
      <c r="J53" s="185" t="s">
        <v>91</v>
      </c>
      <c r="K53" s="185" t="s">
        <v>91</v>
      </c>
      <c r="L53" s="185" t="s">
        <v>85</v>
      </c>
      <c r="M53" s="196" t="s">
        <v>687</v>
      </c>
      <c r="N53" s="185" t="s">
        <v>688</v>
      </c>
      <c r="O53" s="238">
        <v>44180.0</v>
      </c>
      <c r="P53" s="239" t="s">
        <v>1763</v>
      </c>
      <c r="Q53" s="239" t="s">
        <v>1764</v>
      </c>
      <c r="R53" s="240" t="s">
        <v>691</v>
      </c>
      <c r="S53" s="196" t="s">
        <v>691</v>
      </c>
      <c r="T53" s="196" t="s">
        <v>1765</v>
      </c>
    </row>
    <row r="54">
      <c r="A54" s="182" t="s">
        <v>423</v>
      </c>
      <c r="B54" s="203" t="s">
        <v>66</v>
      </c>
      <c r="C54" s="173" t="s">
        <v>66</v>
      </c>
      <c r="D54" s="173" t="s">
        <v>1802</v>
      </c>
      <c r="E54" s="196" t="s">
        <v>796</v>
      </c>
      <c r="F54" s="185" t="s">
        <v>83</v>
      </c>
      <c r="G54" s="185" t="s">
        <v>1761</v>
      </c>
      <c r="H54" s="237" t="s">
        <v>797</v>
      </c>
      <c r="I54" s="185" t="s">
        <v>1762</v>
      </c>
      <c r="J54" s="185" t="s">
        <v>91</v>
      </c>
      <c r="K54" s="185" t="s">
        <v>91</v>
      </c>
      <c r="L54" s="185" t="s">
        <v>85</v>
      </c>
      <c r="M54" s="196" t="s">
        <v>687</v>
      </c>
      <c r="N54" s="185" t="s">
        <v>688</v>
      </c>
      <c r="O54" s="238">
        <v>44180.0</v>
      </c>
      <c r="P54" s="239" t="s">
        <v>1763</v>
      </c>
      <c r="Q54" s="239" t="s">
        <v>1764</v>
      </c>
      <c r="R54" s="240" t="s">
        <v>691</v>
      </c>
      <c r="S54" s="196" t="s">
        <v>691</v>
      </c>
      <c r="T54" s="196" t="s">
        <v>1765</v>
      </c>
    </row>
    <row r="55">
      <c r="A55" s="182" t="s">
        <v>439</v>
      </c>
      <c r="B55" s="203" t="s">
        <v>66</v>
      </c>
      <c r="C55" s="173" t="s">
        <v>66</v>
      </c>
      <c r="D55" s="173" t="s">
        <v>1803</v>
      </c>
      <c r="E55" s="196" t="s">
        <v>1803</v>
      </c>
      <c r="F55" s="185" t="s">
        <v>185</v>
      </c>
      <c r="G55" s="185" t="s">
        <v>698</v>
      </c>
      <c r="H55" s="237">
        <v>42354.333333333336</v>
      </c>
      <c r="I55" s="185" t="s">
        <v>1389</v>
      </c>
      <c r="J55" s="185" t="s">
        <v>1389</v>
      </c>
      <c r="K55" s="185" t="s">
        <v>1389</v>
      </c>
      <c r="L55" s="185" t="s">
        <v>85</v>
      </c>
      <c r="M55" s="196" t="s">
        <v>687</v>
      </c>
      <c r="N55" s="185" t="s">
        <v>688</v>
      </c>
      <c r="O55" s="238">
        <v>44180.0</v>
      </c>
      <c r="P55" s="239" t="s">
        <v>1791</v>
      </c>
      <c r="Q55" s="239" t="s">
        <v>1787</v>
      </c>
      <c r="R55" s="240" t="s">
        <v>705</v>
      </c>
      <c r="S55" s="196" t="s">
        <v>705</v>
      </c>
      <c r="T55" s="196" t="s">
        <v>1765</v>
      </c>
    </row>
    <row r="56">
      <c r="A56" s="182" t="s">
        <v>397</v>
      </c>
      <c r="B56" s="203" t="s">
        <v>65</v>
      </c>
      <c r="C56" s="173" t="s">
        <v>1804</v>
      </c>
      <c r="D56" s="173" t="s">
        <v>398</v>
      </c>
      <c r="E56" s="196" t="s">
        <v>398</v>
      </c>
      <c r="F56" s="185" t="s">
        <v>83</v>
      </c>
      <c r="G56" s="185" t="s">
        <v>1761</v>
      </c>
      <c r="H56" s="237" t="s">
        <v>399</v>
      </c>
      <c r="I56" s="185" t="s">
        <v>335</v>
      </c>
      <c r="J56" s="185" t="s">
        <v>91</v>
      </c>
      <c r="K56" s="185" t="s">
        <v>91</v>
      </c>
      <c r="L56" s="185" t="s">
        <v>85</v>
      </c>
      <c r="M56" s="196" t="s">
        <v>687</v>
      </c>
      <c r="N56" s="185" t="s">
        <v>688</v>
      </c>
      <c r="O56" s="238">
        <v>44180.0</v>
      </c>
      <c r="P56" s="239" t="s">
        <v>1786</v>
      </c>
      <c r="Q56" s="239" t="s">
        <v>1787</v>
      </c>
      <c r="R56" s="240" t="s">
        <v>788</v>
      </c>
      <c r="S56" s="196" t="s">
        <v>788</v>
      </c>
      <c r="T56" s="196" t="s">
        <v>1765</v>
      </c>
    </row>
    <row r="57">
      <c r="A57" s="182" t="s">
        <v>803</v>
      </c>
      <c r="B57" s="203" t="s">
        <v>66</v>
      </c>
      <c r="C57" s="173" t="s">
        <v>66</v>
      </c>
      <c r="D57" s="173" t="s">
        <v>804</v>
      </c>
      <c r="E57" s="196" t="s">
        <v>804</v>
      </c>
      <c r="F57" s="185" t="s">
        <v>83</v>
      </c>
      <c r="G57" s="185" t="s">
        <v>1761</v>
      </c>
      <c r="H57" s="237" t="s">
        <v>428</v>
      </c>
      <c r="I57" s="185" t="s">
        <v>1762</v>
      </c>
      <c r="J57" s="185" t="s">
        <v>91</v>
      </c>
      <c r="K57" s="185" t="s">
        <v>91</v>
      </c>
      <c r="L57" s="185" t="s">
        <v>85</v>
      </c>
      <c r="M57" s="196" t="s">
        <v>687</v>
      </c>
      <c r="N57" s="185" t="s">
        <v>688</v>
      </c>
      <c r="O57" s="238">
        <v>44180.0</v>
      </c>
      <c r="P57" s="239" t="s">
        <v>1770</v>
      </c>
      <c r="Q57" s="239" t="s">
        <v>1764</v>
      </c>
      <c r="R57" s="240" t="s">
        <v>691</v>
      </c>
      <c r="S57" s="196" t="s">
        <v>691</v>
      </c>
      <c r="T57" s="196" t="s">
        <v>1765</v>
      </c>
    </row>
    <row r="58">
      <c r="A58" s="182" t="s">
        <v>97</v>
      </c>
      <c r="B58" s="203" t="s">
        <v>66</v>
      </c>
      <c r="C58" s="173" t="s">
        <v>66</v>
      </c>
      <c r="D58" s="173" t="s">
        <v>98</v>
      </c>
      <c r="E58" s="196" t="s">
        <v>98</v>
      </c>
      <c r="F58" s="185" t="s">
        <v>83</v>
      </c>
      <c r="G58" s="185" t="s">
        <v>698</v>
      </c>
      <c r="H58" s="237">
        <v>42354.333333333336</v>
      </c>
      <c r="I58" s="185" t="s">
        <v>1762</v>
      </c>
      <c r="J58" s="185" t="s">
        <v>91</v>
      </c>
      <c r="K58" s="185" t="s">
        <v>91</v>
      </c>
      <c r="L58" s="185" t="s">
        <v>85</v>
      </c>
      <c r="M58" s="196" t="s">
        <v>687</v>
      </c>
      <c r="N58" s="185" t="s">
        <v>688</v>
      </c>
      <c r="O58" s="238">
        <v>44180.0</v>
      </c>
      <c r="P58" s="239" t="s">
        <v>1770</v>
      </c>
      <c r="Q58" s="239" t="s">
        <v>1764</v>
      </c>
      <c r="R58" s="240" t="s">
        <v>691</v>
      </c>
      <c r="S58" s="196" t="s">
        <v>691</v>
      </c>
      <c r="T58" s="196" t="s">
        <v>1765</v>
      </c>
    </row>
    <row r="59">
      <c r="A59" s="182" t="s">
        <v>805</v>
      </c>
      <c r="B59" s="203" t="s">
        <v>66</v>
      </c>
      <c r="C59" s="173" t="s">
        <v>66</v>
      </c>
      <c r="D59" s="173" t="s">
        <v>382</v>
      </c>
      <c r="E59" s="196" t="s">
        <v>382</v>
      </c>
      <c r="F59" s="185" t="s">
        <v>185</v>
      </c>
      <c r="G59" s="185" t="s">
        <v>768</v>
      </c>
      <c r="H59" s="237">
        <v>9630.0</v>
      </c>
      <c r="I59" s="185" t="s">
        <v>723</v>
      </c>
      <c r="J59" s="185" t="s">
        <v>91</v>
      </c>
      <c r="K59" s="185" t="s">
        <v>723</v>
      </c>
      <c r="L59" s="185" t="s">
        <v>85</v>
      </c>
      <c r="M59" s="196" t="s">
        <v>687</v>
      </c>
      <c r="N59" s="185" t="s">
        <v>760</v>
      </c>
      <c r="O59" s="238">
        <v>44179.0</v>
      </c>
      <c r="P59" s="239" t="s">
        <v>1782</v>
      </c>
      <c r="Q59" s="239" t="s">
        <v>1783</v>
      </c>
      <c r="R59" s="240" t="s">
        <v>761</v>
      </c>
      <c r="S59" s="196" t="s">
        <v>761</v>
      </c>
      <c r="T59" s="196" t="s">
        <v>1765</v>
      </c>
    </row>
    <row r="60">
      <c r="A60" s="182" t="s">
        <v>806</v>
      </c>
      <c r="B60" s="203" t="s">
        <v>66</v>
      </c>
      <c r="C60" s="173" t="s">
        <v>66</v>
      </c>
      <c r="D60" s="173" t="s">
        <v>1805</v>
      </c>
      <c r="E60" s="196" t="s">
        <v>1805</v>
      </c>
      <c r="F60" s="185" t="s">
        <v>83</v>
      </c>
      <c r="G60" s="185" t="s">
        <v>1761</v>
      </c>
      <c r="H60" s="237" t="s">
        <v>402</v>
      </c>
      <c r="I60" s="185" t="s">
        <v>335</v>
      </c>
      <c r="J60" s="185" t="s">
        <v>91</v>
      </c>
      <c r="K60" s="185" t="s">
        <v>91</v>
      </c>
      <c r="L60" s="185" t="s">
        <v>85</v>
      </c>
      <c r="M60" s="196" t="s">
        <v>687</v>
      </c>
      <c r="N60" s="185" t="s">
        <v>688</v>
      </c>
      <c r="O60" s="238">
        <v>44180.0</v>
      </c>
      <c r="P60" s="239" t="s">
        <v>1786</v>
      </c>
      <c r="Q60" s="239" t="s">
        <v>1787</v>
      </c>
      <c r="R60" s="240" t="s">
        <v>788</v>
      </c>
      <c r="S60" s="196" t="s">
        <v>788</v>
      </c>
      <c r="T60" s="196" t="s">
        <v>1765</v>
      </c>
    </row>
    <row r="61">
      <c r="A61" s="182" t="s">
        <v>807</v>
      </c>
      <c r="B61" s="203" t="s">
        <v>66</v>
      </c>
      <c r="C61" s="173" t="s">
        <v>66</v>
      </c>
      <c r="D61" s="173" t="s">
        <v>808</v>
      </c>
      <c r="E61" s="196" t="s">
        <v>808</v>
      </c>
      <c r="F61" s="185" t="s">
        <v>185</v>
      </c>
      <c r="G61" s="185" t="s">
        <v>698</v>
      </c>
      <c r="H61" s="237">
        <v>40469.62163194444</v>
      </c>
      <c r="I61" s="185" t="s">
        <v>723</v>
      </c>
      <c r="J61" s="185" t="s">
        <v>91</v>
      </c>
      <c r="K61" s="185" t="s">
        <v>723</v>
      </c>
      <c r="L61" s="185" t="s">
        <v>85</v>
      </c>
      <c r="M61" s="196" t="s">
        <v>687</v>
      </c>
      <c r="N61" s="185" t="s">
        <v>760</v>
      </c>
      <c r="O61" s="238">
        <v>44179.0</v>
      </c>
      <c r="P61" s="239" t="s">
        <v>1782</v>
      </c>
      <c r="Q61" s="239" t="s">
        <v>1783</v>
      </c>
      <c r="R61" s="240" t="s">
        <v>761</v>
      </c>
      <c r="S61" s="196" t="s">
        <v>761</v>
      </c>
      <c r="T61" s="196" t="s">
        <v>1765</v>
      </c>
    </row>
    <row r="62">
      <c r="A62" s="182" t="s">
        <v>410</v>
      </c>
      <c r="B62" s="203" t="s">
        <v>66</v>
      </c>
      <c r="C62" s="173" t="s">
        <v>66</v>
      </c>
      <c r="D62" s="173" t="s">
        <v>411</v>
      </c>
      <c r="E62" s="196" t="s">
        <v>411</v>
      </c>
      <c r="F62" s="185" t="s">
        <v>83</v>
      </c>
      <c r="G62" s="185" t="s">
        <v>698</v>
      </c>
      <c r="H62" s="237">
        <v>42354.333333333336</v>
      </c>
      <c r="I62" s="185" t="s">
        <v>1762</v>
      </c>
      <c r="J62" s="185" t="s">
        <v>91</v>
      </c>
      <c r="K62" s="185" t="s">
        <v>91</v>
      </c>
      <c r="L62" s="185" t="s">
        <v>85</v>
      </c>
      <c r="M62" s="196" t="s">
        <v>687</v>
      </c>
      <c r="N62" s="185" t="s">
        <v>688</v>
      </c>
      <c r="O62" s="238">
        <v>44180.0</v>
      </c>
      <c r="P62" s="239" t="s">
        <v>1791</v>
      </c>
      <c r="Q62" s="239" t="s">
        <v>1787</v>
      </c>
      <c r="R62" s="240" t="s">
        <v>744</v>
      </c>
      <c r="S62" s="196" t="s">
        <v>744</v>
      </c>
      <c r="T62" s="196" t="s">
        <v>1765</v>
      </c>
    </row>
    <row r="63">
      <c r="A63" s="182" t="s">
        <v>811</v>
      </c>
      <c r="B63" s="203" t="s">
        <v>66</v>
      </c>
      <c r="C63" s="173" t="s">
        <v>66</v>
      </c>
      <c r="D63" s="173" t="s">
        <v>812</v>
      </c>
      <c r="E63" s="196" t="s">
        <v>812</v>
      </c>
      <c r="F63" s="185" t="s">
        <v>185</v>
      </c>
      <c r="G63" s="185" t="s">
        <v>768</v>
      </c>
      <c r="H63" s="237">
        <v>100.0</v>
      </c>
      <c r="I63" s="185" t="s">
        <v>723</v>
      </c>
      <c r="J63" s="185" t="s">
        <v>91</v>
      </c>
      <c r="K63" s="185" t="s">
        <v>723</v>
      </c>
      <c r="L63" s="185" t="s">
        <v>85</v>
      </c>
      <c r="M63" s="196" t="s">
        <v>687</v>
      </c>
      <c r="N63" s="185" t="s">
        <v>760</v>
      </c>
      <c r="O63" s="238">
        <v>44179.0</v>
      </c>
      <c r="P63" s="239" t="s">
        <v>1782</v>
      </c>
      <c r="Q63" s="239" t="s">
        <v>1783</v>
      </c>
      <c r="R63" s="240" t="s">
        <v>761</v>
      </c>
      <c r="S63" s="196" t="s">
        <v>761</v>
      </c>
      <c r="T63" s="196" t="s">
        <v>1765</v>
      </c>
    </row>
    <row r="64">
      <c r="A64" s="182" t="s">
        <v>813</v>
      </c>
      <c r="B64" s="203" t="s">
        <v>66</v>
      </c>
      <c r="C64" s="173" t="s">
        <v>66</v>
      </c>
      <c r="D64" s="173" t="s">
        <v>814</v>
      </c>
      <c r="E64" s="196" t="s">
        <v>814</v>
      </c>
      <c r="F64" s="185" t="s">
        <v>185</v>
      </c>
      <c r="G64" s="185" t="s">
        <v>768</v>
      </c>
      <c r="H64" s="237">
        <v>100.0</v>
      </c>
      <c r="I64" s="185" t="s">
        <v>723</v>
      </c>
      <c r="J64" s="185" t="s">
        <v>91</v>
      </c>
      <c r="K64" s="185" t="s">
        <v>723</v>
      </c>
      <c r="L64" s="185" t="s">
        <v>85</v>
      </c>
      <c r="M64" s="196" t="s">
        <v>687</v>
      </c>
      <c r="N64" s="185" t="s">
        <v>760</v>
      </c>
      <c r="O64" s="238">
        <v>44179.0</v>
      </c>
      <c r="P64" s="239" t="s">
        <v>1782</v>
      </c>
      <c r="Q64" s="239" t="s">
        <v>1783</v>
      </c>
      <c r="R64" s="240" t="s">
        <v>761</v>
      </c>
      <c r="S64" s="196" t="s">
        <v>761</v>
      </c>
      <c r="T64" s="196" t="s">
        <v>1765</v>
      </c>
    </row>
    <row r="65">
      <c r="A65" s="182" t="s">
        <v>815</v>
      </c>
      <c r="B65" s="203" t="s">
        <v>66</v>
      </c>
      <c r="C65" s="173" t="s">
        <v>66</v>
      </c>
      <c r="D65" s="173" t="s">
        <v>816</v>
      </c>
      <c r="E65" s="196" t="s">
        <v>816</v>
      </c>
      <c r="F65" s="185" t="s">
        <v>185</v>
      </c>
      <c r="G65" s="185" t="s">
        <v>768</v>
      </c>
      <c r="H65" s="237">
        <v>15.0</v>
      </c>
      <c r="I65" s="185" t="s">
        <v>723</v>
      </c>
      <c r="J65" s="185" t="s">
        <v>91</v>
      </c>
      <c r="K65" s="185" t="s">
        <v>723</v>
      </c>
      <c r="L65" s="185" t="s">
        <v>85</v>
      </c>
      <c r="M65" s="196" t="s">
        <v>687</v>
      </c>
      <c r="N65" s="185" t="s">
        <v>760</v>
      </c>
      <c r="O65" s="238">
        <v>44179.0</v>
      </c>
      <c r="P65" s="239" t="s">
        <v>1782</v>
      </c>
      <c r="Q65" s="239" t="s">
        <v>1783</v>
      </c>
      <c r="R65" s="240" t="s">
        <v>761</v>
      </c>
      <c r="S65" s="196" t="s">
        <v>761</v>
      </c>
      <c r="T65" s="196" t="s">
        <v>1765</v>
      </c>
    </row>
    <row r="66">
      <c r="A66" s="182" t="s">
        <v>817</v>
      </c>
      <c r="B66" s="203" t="s">
        <v>66</v>
      </c>
      <c r="C66" s="173" t="s">
        <v>66</v>
      </c>
      <c r="D66" s="173" t="s">
        <v>818</v>
      </c>
      <c r="E66" s="196" t="s">
        <v>818</v>
      </c>
      <c r="F66" s="185" t="s">
        <v>185</v>
      </c>
      <c r="G66" s="185" t="s">
        <v>768</v>
      </c>
      <c r="H66" s="237">
        <v>25.0</v>
      </c>
      <c r="I66" s="185" t="s">
        <v>723</v>
      </c>
      <c r="J66" s="185" t="s">
        <v>91</v>
      </c>
      <c r="K66" s="185" t="s">
        <v>723</v>
      </c>
      <c r="L66" s="185" t="s">
        <v>85</v>
      </c>
      <c r="M66" s="196" t="s">
        <v>687</v>
      </c>
      <c r="N66" s="185" t="s">
        <v>760</v>
      </c>
      <c r="O66" s="238">
        <v>44179.0</v>
      </c>
      <c r="P66" s="239" t="s">
        <v>1782</v>
      </c>
      <c r="Q66" s="239" t="s">
        <v>1783</v>
      </c>
      <c r="R66" s="240" t="s">
        <v>761</v>
      </c>
      <c r="S66" s="196" t="s">
        <v>761</v>
      </c>
      <c r="T66" s="196" t="s">
        <v>1765</v>
      </c>
    </row>
    <row r="67">
      <c r="A67" s="182" t="s">
        <v>819</v>
      </c>
      <c r="B67" s="203" t="s">
        <v>66</v>
      </c>
      <c r="C67" s="173" t="s">
        <v>66</v>
      </c>
      <c r="D67" s="173" t="s">
        <v>820</v>
      </c>
      <c r="E67" s="196" t="s">
        <v>820</v>
      </c>
      <c r="F67" s="185" t="s">
        <v>185</v>
      </c>
      <c r="G67" s="185" t="s">
        <v>768</v>
      </c>
      <c r="H67" s="237">
        <v>289425.0</v>
      </c>
      <c r="I67" s="185" t="s">
        <v>723</v>
      </c>
      <c r="J67" s="185" t="s">
        <v>91</v>
      </c>
      <c r="K67" s="185" t="s">
        <v>723</v>
      </c>
      <c r="L67" s="185" t="s">
        <v>85</v>
      </c>
      <c r="M67" s="196" t="s">
        <v>687</v>
      </c>
      <c r="N67" s="185" t="s">
        <v>760</v>
      </c>
      <c r="O67" s="238">
        <v>44179.0</v>
      </c>
      <c r="P67" s="239" t="s">
        <v>1782</v>
      </c>
      <c r="Q67" s="239" t="s">
        <v>1783</v>
      </c>
      <c r="R67" s="240" t="s">
        <v>761</v>
      </c>
      <c r="S67" s="196" t="s">
        <v>761</v>
      </c>
      <c r="T67" s="196" t="s">
        <v>1765</v>
      </c>
    </row>
    <row r="68">
      <c r="A68" s="182" t="s">
        <v>821</v>
      </c>
      <c r="B68" s="203" t="s">
        <v>66</v>
      </c>
      <c r="C68" s="173" t="s">
        <v>66</v>
      </c>
      <c r="D68" s="173" t="s">
        <v>371</v>
      </c>
      <c r="E68" s="196" t="s">
        <v>371</v>
      </c>
      <c r="F68" s="185" t="s">
        <v>185</v>
      </c>
      <c r="G68" s="185" t="s">
        <v>768</v>
      </c>
      <c r="H68" s="237">
        <v>370.0</v>
      </c>
      <c r="I68" s="185" t="s">
        <v>723</v>
      </c>
      <c r="J68" s="185" t="s">
        <v>91</v>
      </c>
      <c r="K68" s="185" t="s">
        <v>723</v>
      </c>
      <c r="L68" s="185" t="s">
        <v>85</v>
      </c>
      <c r="M68" s="196" t="s">
        <v>687</v>
      </c>
      <c r="N68" s="185" t="s">
        <v>760</v>
      </c>
      <c r="O68" s="238">
        <v>44179.0</v>
      </c>
      <c r="P68" s="239" t="s">
        <v>1782</v>
      </c>
      <c r="Q68" s="239" t="s">
        <v>1783</v>
      </c>
      <c r="R68" s="240" t="s">
        <v>761</v>
      </c>
      <c r="S68" s="196" t="s">
        <v>761</v>
      </c>
      <c r="T68" s="196" t="s">
        <v>1765</v>
      </c>
    </row>
    <row r="69">
      <c r="A69" s="182" t="s">
        <v>151</v>
      </c>
      <c r="B69" s="203" t="s">
        <v>66</v>
      </c>
      <c r="C69" s="173" t="s">
        <v>66</v>
      </c>
      <c r="D69" s="173" t="s">
        <v>822</v>
      </c>
      <c r="E69" s="196" t="s">
        <v>822</v>
      </c>
      <c r="F69" s="185" t="s">
        <v>135</v>
      </c>
      <c r="G69" s="185" t="s">
        <v>1761</v>
      </c>
      <c r="H69" s="237" t="s">
        <v>154</v>
      </c>
      <c r="I69" s="185" t="s">
        <v>136</v>
      </c>
      <c r="J69" s="185" t="s">
        <v>91</v>
      </c>
      <c r="K69" s="185" t="s">
        <v>91</v>
      </c>
      <c r="L69" s="185">
        <v>1.0</v>
      </c>
      <c r="M69" s="196" t="s">
        <v>749</v>
      </c>
      <c r="N69" s="185" t="s">
        <v>763</v>
      </c>
      <c r="O69" s="238">
        <v>44136.0</v>
      </c>
      <c r="P69" s="239" t="s">
        <v>1770</v>
      </c>
      <c r="Q69" s="239" t="s">
        <v>1764</v>
      </c>
      <c r="R69" s="240" t="s">
        <v>782</v>
      </c>
      <c r="S69" s="196" t="s">
        <v>782</v>
      </c>
      <c r="T69" s="196" t="s">
        <v>1765</v>
      </c>
    </row>
    <row r="70">
      <c r="A70" s="182" t="s">
        <v>155</v>
      </c>
      <c r="B70" s="203" t="s">
        <v>66</v>
      </c>
      <c r="C70" s="173" t="s">
        <v>66</v>
      </c>
      <c r="D70" s="173" t="s">
        <v>823</v>
      </c>
      <c r="E70" s="196" t="s">
        <v>823</v>
      </c>
      <c r="F70" s="185" t="s">
        <v>135</v>
      </c>
      <c r="G70" s="185" t="s">
        <v>1761</v>
      </c>
      <c r="H70" s="237" t="s">
        <v>157</v>
      </c>
      <c r="I70" s="185" t="s">
        <v>136</v>
      </c>
      <c r="J70" s="185" t="s">
        <v>91</v>
      </c>
      <c r="K70" s="185" t="s">
        <v>91</v>
      </c>
      <c r="L70" s="185">
        <v>1.0</v>
      </c>
      <c r="M70" s="196" t="s">
        <v>749</v>
      </c>
      <c r="N70" s="185" t="s">
        <v>763</v>
      </c>
      <c r="O70" s="238">
        <v>44136.0</v>
      </c>
      <c r="P70" s="239" t="s">
        <v>1770</v>
      </c>
      <c r="Q70" s="239" t="s">
        <v>1764</v>
      </c>
      <c r="R70" s="240" t="s">
        <v>782</v>
      </c>
      <c r="S70" s="196" t="s">
        <v>782</v>
      </c>
      <c r="T70" s="196" t="s">
        <v>1765</v>
      </c>
    </row>
    <row r="71">
      <c r="A71" s="182" t="s">
        <v>158</v>
      </c>
      <c r="B71" s="203" t="s">
        <v>66</v>
      </c>
      <c r="C71" s="173" t="s">
        <v>66</v>
      </c>
      <c r="D71" s="173" t="s">
        <v>824</v>
      </c>
      <c r="E71" s="196" t="s">
        <v>824</v>
      </c>
      <c r="F71" s="185" t="s">
        <v>135</v>
      </c>
      <c r="G71" s="185" t="s">
        <v>1761</v>
      </c>
      <c r="H71" s="237" t="s">
        <v>160</v>
      </c>
      <c r="I71" s="185" t="s">
        <v>136</v>
      </c>
      <c r="J71" s="185" t="s">
        <v>91</v>
      </c>
      <c r="K71" s="185" t="s">
        <v>91</v>
      </c>
      <c r="L71" s="185">
        <v>1.0</v>
      </c>
      <c r="M71" s="196" t="s">
        <v>749</v>
      </c>
      <c r="N71" s="185" t="s">
        <v>763</v>
      </c>
      <c r="O71" s="238">
        <v>44136.0</v>
      </c>
      <c r="P71" s="239" t="s">
        <v>1770</v>
      </c>
      <c r="Q71" s="239" t="s">
        <v>1764</v>
      </c>
      <c r="R71" s="240" t="s">
        <v>782</v>
      </c>
      <c r="S71" s="196" t="s">
        <v>782</v>
      </c>
      <c r="T71" s="196" t="s">
        <v>1765</v>
      </c>
    </row>
    <row r="72">
      <c r="A72" s="182" t="s">
        <v>161</v>
      </c>
      <c r="B72" s="203" t="s">
        <v>66</v>
      </c>
      <c r="C72" s="173" t="s">
        <v>66</v>
      </c>
      <c r="D72" s="173" t="s">
        <v>825</v>
      </c>
      <c r="E72" s="196" t="s">
        <v>825</v>
      </c>
      <c r="F72" s="185" t="s">
        <v>135</v>
      </c>
      <c r="G72" s="185" t="s">
        <v>1761</v>
      </c>
      <c r="H72" s="237" t="s">
        <v>163</v>
      </c>
      <c r="I72" s="185" t="s">
        <v>136</v>
      </c>
      <c r="J72" s="185" t="s">
        <v>91</v>
      </c>
      <c r="K72" s="185" t="s">
        <v>91</v>
      </c>
      <c r="L72" s="185">
        <v>1.0</v>
      </c>
      <c r="M72" s="196" t="s">
        <v>749</v>
      </c>
      <c r="N72" s="185" t="s">
        <v>763</v>
      </c>
      <c r="O72" s="238">
        <v>44136.0</v>
      </c>
      <c r="P72" s="239" t="s">
        <v>1770</v>
      </c>
      <c r="Q72" s="239" t="s">
        <v>1764</v>
      </c>
      <c r="R72" s="240" t="s">
        <v>782</v>
      </c>
      <c r="S72" s="196" t="s">
        <v>782</v>
      </c>
      <c r="T72" s="196" t="s">
        <v>1765</v>
      </c>
    </row>
    <row r="73">
      <c r="A73" s="182" t="s">
        <v>164</v>
      </c>
      <c r="B73" s="203" t="s">
        <v>66</v>
      </c>
      <c r="C73" s="173" t="s">
        <v>66</v>
      </c>
      <c r="D73" s="173" t="s">
        <v>1806</v>
      </c>
      <c r="E73" s="196" t="s">
        <v>826</v>
      </c>
      <c r="F73" s="185" t="s">
        <v>135</v>
      </c>
      <c r="G73" s="185" t="s">
        <v>1761</v>
      </c>
      <c r="H73" s="237" t="s">
        <v>154</v>
      </c>
      <c r="I73" s="185" t="s">
        <v>136</v>
      </c>
      <c r="J73" s="185" t="s">
        <v>91</v>
      </c>
      <c r="K73" s="185" t="s">
        <v>91</v>
      </c>
      <c r="L73" s="185">
        <v>0.6765</v>
      </c>
      <c r="M73" s="196" t="s">
        <v>749</v>
      </c>
      <c r="N73" s="185" t="s">
        <v>763</v>
      </c>
      <c r="O73" s="238">
        <v>44136.0</v>
      </c>
      <c r="P73" s="239" t="s">
        <v>1770</v>
      </c>
      <c r="Q73" s="239" t="s">
        <v>1764</v>
      </c>
      <c r="R73" s="240" t="s">
        <v>782</v>
      </c>
      <c r="S73" s="196" t="s">
        <v>782</v>
      </c>
      <c r="T73" s="196" t="s">
        <v>1765</v>
      </c>
    </row>
    <row r="74">
      <c r="A74" s="182" t="s">
        <v>166</v>
      </c>
      <c r="B74" s="203" t="s">
        <v>66</v>
      </c>
      <c r="C74" s="173" t="s">
        <v>66</v>
      </c>
      <c r="D74" s="173" t="s">
        <v>1807</v>
      </c>
      <c r="E74" s="196" t="s">
        <v>827</v>
      </c>
      <c r="F74" s="185" t="s">
        <v>135</v>
      </c>
      <c r="G74" s="185" t="s">
        <v>1761</v>
      </c>
      <c r="H74" s="237" t="s">
        <v>157</v>
      </c>
      <c r="I74" s="185" t="s">
        <v>136</v>
      </c>
      <c r="J74" s="185" t="s">
        <v>91</v>
      </c>
      <c r="K74" s="185" t="s">
        <v>91</v>
      </c>
      <c r="L74" s="185">
        <v>0.6765</v>
      </c>
      <c r="M74" s="196" t="s">
        <v>749</v>
      </c>
      <c r="N74" s="185" t="s">
        <v>763</v>
      </c>
      <c r="O74" s="238">
        <v>44136.0</v>
      </c>
      <c r="P74" s="239" t="s">
        <v>1770</v>
      </c>
      <c r="Q74" s="239" t="s">
        <v>1764</v>
      </c>
      <c r="R74" s="240" t="s">
        <v>782</v>
      </c>
      <c r="S74" s="196" t="s">
        <v>782</v>
      </c>
      <c r="T74" s="196" t="s">
        <v>1765</v>
      </c>
    </row>
    <row r="75">
      <c r="A75" s="182" t="s">
        <v>168</v>
      </c>
      <c r="B75" s="203" t="s">
        <v>66</v>
      </c>
      <c r="C75" s="173" t="s">
        <v>66</v>
      </c>
      <c r="D75" s="173" t="s">
        <v>1808</v>
      </c>
      <c r="E75" s="196" t="s">
        <v>828</v>
      </c>
      <c r="F75" s="185" t="s">
        <v>135</v>
      </c>
      <c r="G75" s="185" t="s">
        <v>1761</v>
      </c>
      <c r="H75" s="237" t="s">
        <v>160</v>
      </c>
      <c r="I75" s="185" t="s">
        <v>136</v>
      </c>
      <c r="J75" s="185" t="s">
        <v>91</v>
      </c>
      <c r="K75" s="185" t="s">
        <v>91</v>
      </c>
      <c r="L75" s="185">
        <v>0.6765</v>
      </c>
      <c r="M75" s="196" t="s">
        <v>749</v>
      </c>
      <c r="N75" s="185" t="s">
        <v>763</v>
      </c>
      <c r="O75" s="238">
        <v>44136.0</v>
      </c>
      <c r="P75" s="239" t="s">
        <v>1770</v>
      </c>
      <c r="Q75" s="239" t="s">
        <v>1764</v>
      </c>
      <c r="R75" s="240" t="s">
        <v>782</v>
      </c>
      <c r="S75" s="196" t="s">
        <v>782</v>
      </c>
      <c r="T75" s="196" t="s">
        <v>1765</v>
      </c>
    </row>
    <row r="76">
      <c r="A76" s="182" t="s">
        <v>170</v>
      </c>
      <c r="B76" s="203" t="s">
        <v>66</v>
      </c>
      <c r="C76" s="173" t="s">
        <v>66</v>
      </c>
      <c r="D76" s="173" t="s">
        <v>1809</v>
      </c>
      <c r="E76" s="196" t="s">
        <v>829</v>
      </c>
      <c r="F76" s="185" t="s">
        <v>135</v>
      </c>
      <c r="G76" s="185" t="s">
        <v>1761</v>
      </c>
      <c r="H76" s="237" t="s">
        <v>163</v>
      </c>
      <c r="I76" s="185" t="s">
        <v>136</v>
      </c>
      <c r="J76" s="185" t="s">
        <v>91</v>
      </c>
      <c r="K76" s="185" t="s">
        <v>91</v>
      </c>
      <c r="L76" s="185">
        <v>0.6765</v>
      </c>
      <c r="M76" s="196" t="s">
        <v>749</v>
      </c>
      <c r="N76" s="185" t="s">
        <v>763</v>
      </c>
      <c r="O76" s="238">
        <v>44136.0</v>
      </c>
      <c r="P76" s="239" t="s">
        <v>1770</v>
      </c>
      <c r="Q76" s="239" t="s">
        <v>1764</v>
      </c>
      <c r="R76" s="240" t="s">
        <v>782</v>
      </c>
      <c r="S76" s="196" t="s">
        <v>782</v>
      </c>
      <c r="T76" s="196" t="s">
        <v>1765</v>
      </c>
    </row>
    <row r="77">
      <c r="A77" s="182" t="s">
        <v>116</v>
      </c>
      <c r="B77" s="203" t="s">
        <v>66</v>
      </c>
      <c r="C77" s="173" t="s">
        <v>66</v>
      </c>
      <c r="D77" s="173" t="s">
        <v>1810</v>
      </c>
      <c r="E77" s="196" t="s">
        <v>1810</v>
      </c>
      <c r="F77" s="185" t="s">
        <v>185</v>
      </c>
      <c r="G77" s="185" t="s">
        <v>694</v>
      </c>
      <c r="H77" s="237">
        <v>12.0</v>
      </c>
      <c r="I77" s="185" t="s">
        <v>86</v>
      </c>
      <c r="J77" s="185" t="s">
        <v>91</v>
      </c>
      <c r="K77" s="185" t="s">
        <v>91</v>
      </c>
      <c r="L77" s="185" t="s">
        <v>85</v>
      </c>
      <c r="M77" s="196" t="s">
        <v>687</v>
      </c>
      <c r="N77" s="185" t="s">
        <v>688</v>
      </c>
      <c r="O77" s="238">
        <v>44180.0</v>
      </c>
      <c r="P77" s="239" t="s">
        <v>1763</v>
      </c>
      <c r="Q77" s="239" t="s">
        <v>1764</v>
      </c>
      <c r="R77" s="240" t="s">
        <v>691</v>
      </c>
      <c r="S77" s="196" t="s">
        <v>691</v>
      </c>
      <c r="T77" s="196" t="s">
        <v>1765</v>
      </c>
    </row>
    <row r="78">
      <c r="A78" s="182" t="s">
        <v>261</v>
      </c>
      <c r="B78" s="203" t="s">
        <v>66</v>
      </c>
      <c r="C78" s="173" t="s">
        <v>66</v>
      </c>
      <c r="D78" s="173" t="s">
        <v>1811</v>
      </c>
      <c r="E78" s="196" t="s">
        <v>1811</v>
      </c>
      <c r="F78" s="185" t="s">
        <v>185</v>
      </c>
      <c r="G78" s="185" t="s">
        <v>1500</v>
      </c>
      <c r="H78" s="237" t="b">
        <v>1</v>
      </c>
      <c r="I78" s="185" t="s">
        <v>1762</v>
      </c>
      <c r="J78" s="185" t="s">
        <v>91</v>
      </c>
      <c r="K78" s="185" t="s">
        <v>91</v>
      </c>
      <c r="L78" s="185" t="s">
        <v>85</v>
      </c>
      <c r="M78" s="196" t="s">
        <v>687</v>
      </c>
      <c r="N78" s="185" t="s">
        <v>688</v>
      </c>
      <c r="O78" s="238">
        <v>44180.0</v>
      </c>
      <c r="P78" s="239" t="s">
        <v>1786</v>
      </c>
      <c r="Q78" s="239" t="s">
        <v>1787</v>
      </c>
      <c r="R78" s="240" t="s">
        <v>705</v>
      </c>
      <c r="S78" s="196" t="s">
        <v>705</v>
      </c>
      <c r="T78" s="196" t="s">
        <v>1765</v>
      </c>
    </row>
    <row r="79">
      <c r="A79" s="182" t="s">
        <v>833</v>
      </c>
      <c r="B79" s="203" t="s">
        <v>65</v>
      </c>
      <c r="C79" s="173" t="s">
        <v>1804</v>
      </c>
      <c r="D79" s="173" t="s">
        <v>1812</v>
      </c>
      <c r="E79" s="196" t="s">
        <v>1812</v>
      </c>
      <c r="F79" s="185" t="s">
        <v>83</v>
      </c>
      <c r="G79" s="185" t="s">
        <v>1761</v>
      </c>
      <c r="H79" s="237" t="s">
        <v>346</v>
      </c>
      <c r="I79" s="185" t="s">
        <v>1762</v>
      </c>
      <c r="J79" s="185" t="s">
        <v>91</v>
      </c>
      <c r="K79" s="185" t="s">
        <v>91</v>
      </c>
      <c r="L79" s="185" t="s">
        <v>85</v>
      </c>
      <c r="M79" s="196" t="s">
        <v>687</v>
      </c>
      <c r="N79" s="185" t="s">
        <v>688</v>
      </c>
      <c r="O79" s="238">
        <v>44180.0</v>
      </c>
      <c r="P79" s="239" t="s">
        <v>1775</v>
      </c>
      <c r="Q79" s="239" t="s">
        <v>1764</v>
      </c>
      <c r="R79" s="240" t="s">
        <v>691</v>
      </c>
      <c r="S79" s="196" t="s">
        <v>691</v>
      </c>
      <c r="T79" s="196" t="s">
        <v>1765</v>
      </c>
    </row>
    <row r="80">
      <c r="A80" s="182" t="s">
        <v>347</v>
      </c>
      <c r="B80" s="203" t="s">
        <v>66</v>
      </c>
      <c r="C80" s="173" t="s">
        <v>66</v>
      </c>
      <c r="D80" s="173" t="s">
        <v>1813</v>
      </c>
      <c r="E80" s="196" t="s">
        <v>1813</v>
      </c>
      <c r="F80" s="185" t="s">
        <v>83</v>
      </c>
      <c r="G80" s="185" t="s">
        <v>1761</v>
      </c>
      <c r="H80" s="237" t="s">
        <v>349</v>
      </c>
      <c r="I80" s="185" t="s">
        <v>835</v>
      </c>
      <c r="J80" s="185" t="s">
        <v>91</v>
      </c>
      <c r="K80" s="185" t="s">
        <v>91</v>
      </c>
      <c r="L80" s="185" t="s">
        <v>85</v>
      </c>
      <c r="M80" s="196" t="s">
        <v>687</v>
      </c>
      <c r="N80" s="185" t="s">
        <v>688</v>
      </c>
      <c r="O80" s="238">
        <v>44180.0</v>
      </c>
      <c r="P80" s="239" t="s">
        <v>1771</v>
      </c>
      <c r="Q80" s="239" t="s">
        <v>1783</v>
      </c>
      <c r="R80" s="240" t="s">
        <v>691</v>
      </c>
      <c r="S80" s="196" t="s">
        <v>691</v>
      </c>
      <c r="T80" s="196" t="s">
        <v>1765</v>
      </c>
    </row>
    <row r="81">
      <c r="A81" s="182" t="s">
        <v>149</v>
      </c>
      <c r="B81" s="203" t="s">
        <v>65</v>
      </c>
      <c r="C81" s="173" t="s">
        <v>1814</v>
      </c>
      <c r="D81" s="173" t="s">
        <v>1815</v>
      </c>
      <c r="E81" s="196" t="s">
        <v>1815</v>
      </c>
      <c r="F81" s="185" t="s">
        <v>83</v>
      </c>
      <c r="G81" s="185" t="s">
        <v>698</v>
      </c>
      <c r="H81" s="237">
        <v>40469.62163194444</v>
      </c>
      <c r="I81" s="185" t="s">
        <v>835</v>
      </c>
      <c r="J81" s="185" t="s">
        <v>91</v>
      </c>
      <c r="K81" s="185" t="s">
        <v>91</v>
      </c>
      <c r="L81" s="185" t="s">
        <v>85</v>
      </c>
      <c r="M81" s="196" t="s">
        <v>687</v>
      </c>
      <c r="N81" s="185" t="s">
        <v>688</v>
      </c>
      <c r="O81" s="238">
        <v>44180.0</v>
      </c>
      <c r="P81" s="239" t="s">
        <v>1763</v>
      </c>
      <c r="Q81" s="239" t="s">
        <v>1764</v>
      </c>
      <c r="R81" s="240" t="s">
        <v>691</v>
      </c>
      <c r="S81" s="196" t="s">
        <v>691</v>
      </c>
      <c r="T81" s="196" t="s">
        <v>1765</v>
      </c>
    </row>
    <row r="82">
      <c r="A82" s="182" t="s">
        <v>92</v>
      </c>
      <c r="B82" s="203" t="s">
        <v>66</v>
      </c>
      <c r="C82" s="173" t="s">
        <v>66</v>
      </c>
      <c r="D82" s="173" t="s">
        <v>1328</v>
      </c>
      <c r="E82" s="196" t="s">
        <v>1328</v>
      </c>
      <c r="F82" s="185" t="s">
        <v>83</v>
      </c>
      <c r="G82" s="185" t="s">
        <v>1761</v>
      </c>
      <c r="H82" s="237">
        <v>1024.0</v>
      </c>
      <c r="I82" s="185" t="s">
        <v>1762</v>
      </c>
      <c r="J82" s="185" t="s">
        <v>91</v>
      </c>
      <c r="K82" s="185" t="s">
        <v>91</v>
      </c>
      <c r="L82" s="185" t="s">
        <v>85</v>
      </c>
      <c r="M82" s="196" t="s">
        <v>687</v>
      </c>
      <c r="N82" s="185" t="s">
        <v>688</v>
      </c>
      <c r="O82" s="238">
        <v>44180.0</v>
      </c>
      <c r="P82" s="239" t="s">
        <v>1763</v>
      </c>
      <c r="Q82" s="239" t="s">
        <v>1764</v>
      </c>
      <c r="R82" s="240" t="s">
        <v>691</v>
      </c>
      <c r="S82" s="196" t="s">
        <v>691</v>
      </c>
      <c r="T82" s="196" t="s">
        <v>1765</v>
      </c>
    </row>
    <row r="83">
      <c r="A83" s="182" t="s">
        <v>125</v>
      </c>
      <c r="B83" s="203" t="s">
        <v>65</v>
      </c>
      <c r="C83" s="173" t="s">
        <v>1804</v>
      </c>
      <c r="D83" s="173" t="s">
        <v>1816</v>
      </c>
      <c r="E83" s="196" t="s">
        <v>1816</v>
      </c>
      <c r="F83" s="185" t="s">
        <v>83</v>
      </c>
      <c r="G83" s="185" t="s">
        <v>1761</v>
      </c>
      <c r="H83" s="237" t="s">
        <v>129</v>
      </c>
      <c r="I83" s="185" t="s">
        <v>835</v>
      </c>
      <c r="J83" s="185" t="s">
        <v>91</v>
      </c>
      <c r="K83" s="185" t="s">
        <v>91</v>
      </c>
      <c r="L83" s="185" t="s">
        <v>85</v>
      </c>
      <c r="M83" s="196" t="s">
        <v>687</v>
      </c>
      <c r="N83" s="185" t="s">
        <v>688</v>
      </c>
      <c r="O83" s="238">
        <v>44180.0</v>
      </c>
      <c r="P83" s="239" t="s">
        <v>1763</v>
      </c>
      <c r="Q83" s="239" t="s">
        <v>1764</v>
      </c>
      <c r="R83" s="240" t="s">
        <v>691</v>
      </c>
      <c r="S83" s="196" t="s">
        <v>691</v>
      </c>
      <c r="T83" s="196" t="s">
        <v>1765</v>
      </c>
    </row>
    <row r="84">
      <c r="A84" s="182" t="s">
        <v>130</v>
      </c>
      <c r="B84" s="203" t="s">
        <v>65</v>
      </c>
      <c r="C84" s="173" t="s">
        <v>1804</v>
      </c>
      <c r="D84" s="173" t="s">
        <v>1817</v>
      </c>
      <c r="E84" s="196" t="s">
        <v>1817</v>
      </c>
      <c r="F84" s="185" t="s">
        <v>83</v>
      </c>
      <c r="G84" s="185" t="s">
        <v>1761</v>
      </c>
      <c r="H84" s="237" t="s">
        <v>132</v>
      </c>
      <c r="I84" s="185" t="s">
        <v>835</v>
      </c>
      <c r="J84" s="185" t="s">
        <v>91</v>
      </c>
      <c r="K84" s="185" t="s">
        <v>91</v>
      </c>
      <c r="L84" s="185" t="s">
        <v>85</v>
      </c>
      <c r="M84" s="196" t="s">
        <v>687</v>
      </c>
      <c r="N84" s="185" t="s">
        <v>688</v>
      </c>
      <c r="O84" s="238">
        <v>44180.0</v>
      </c>
      <c r="P84" s="239" t="s">
        <v>1763</v>
      </c>
      <c r="Q84" s="239" t="s">
        <v>1764</v>
      </c>
      <c r="R84" s="240" t="s">
        <v>691</v>
      </c>
      <c r="S84" s="196" t="s">
        <v>691</v>
      </c>
      <c r="T84" s="196" t="s">
        <v>1765</v>
      </c>
    </row>
    <row r="85">
      <c r="A85" s="182" t="s">
        <v>143</v>
      </c>
      <c r="B85" s="203" t="s">
        <v>65</v>
      </c>
      <c r="C85" s="173" t="s">
        <v>1804</v>
      </c>
      <c r="D85" s="173" t="s">
        <v>1818</v>
      </c>
      <c r="E85" s="196" t="s">
        <v>1818</v>
      </c>
      <c r="F85" s="185" t="s">
        <v>83</v>
      </c>
      <c r="G85" s="185" t="s">
        <v>1761</v>
      </c>
      <c r="H85" s="237" t="s">
        <v>145</v>
      </c>
      <c r="I85" s="185" t="s">
        <v>835</v>
      </c>
      <c r="J85" s="185" t="s">
        <v>91</v>
      </c>
      <c r="K85" s="185" t="s">
        <v>91</v>
      </c>
      <c r="L85" s="185" t="s">
        <v>85</v>
      </c>
      <c r="M85" s="196" t="s">
        <v>687</v>
      </c>
      <c r="N85" s="185" t="s">
        <v>688</v>
      </c>
      <c r="O85" s="238">
        <v>44180.0</v>
      </c>
      <c r="P85" s="239" t="s">
        <v>1771</v>
      </c>
      <c r="Q85" s="239" t="s">
        <v>1764</v>
      </c>
      <c r="R85" s="240" t="s">
        <v>691</v>
      </c>
      <c r="S85" s="196" t="s">
        <v>691</v>
      </c>
      <c r="T85" s="196" t="s">
        <v>1765</v>
      </c>
    </row>
    <row r="86">
      <c r="A86" s="182" t="s">
        <v>458</v>
      </c>
      <c r="B86" s="203" t="s">
        <v>66</v>
      </c>
      <c r="C86" s="173" t="s">
        <v>66</v>
      </c>
      <c r="D86" s="173" t="s">
        <v>1819</v>
      </c>
      <c r="E86" s="196" t="s">
        <v>1480</v>
      </c>
      <c r="F86" s="185" t="s">
        <v>83</v>
      </c>
      <c r="G86" s="185" t="s">
        <v>1761</v>
      </c>
      <c r="H86" s="237" t="s">
        <v>460</v>
      </c>
      <c r="I86" s="185" t="s">
        <v>1762</v>
      </c>
      <c r="J86" s="185" t="s">
        <v>91</v>
      </c>
      <c r="K86" s="185" t="s">
        <v>91</v>
      </c>
      <c r="L86" s="185" t="s">
        <v>85</v>
      </c>
      <c r="M86" s="196" t="s">
        <v>687</v>
      </c>
      <c r="N86" s="185" t="s">
        <v>688</v>
      </c>
      <c r="O86" s="238">
        <v>44180.0</v>
      </c>
      <c r="P86" s="239" t="s">
        <v>1782</v>
      </c>
      <c r="Q86" s="239" t="s">
        <v>1783</v>
      </c>
      <c r="R86" s="240" t="s">
        <v>761</v>
      </c>
      <c r="S86" s="196" t="s">
        <v>761</v>
      </c>
      <c r="T86" s="196" t="s">
        <v>1765</v>
      </c>
    </row>
    <row r="87">
      <c r="A87" s="182" t="s">
        <v>258</v>
      </c>
      <c r="B87" s="203" t="s">
        <v>66</v>
      </c>
      <c r="C87" s="173" t="s">
        <v>66</v>
      </c>
      <c r="D87" s="173" t="s">
        <v>1820</v>
      </c>
      <c r="E87" s="196" t="s">
        <v>1820</v>
      </c>
      <c r="F87" s="185" t="s">
        <v>185</v>
      </c>
      <c r="G87" s="185" t="s">
        <v>1500</v>
      </c>
      <c r="H87" s="237" t="b">
        <v>1</v>
      </c>
      <c r="I87" s="185" t="s">
        <v>1762</v>
      </c>
      <c r="J87" s="185" t="s">
        <v>91</v>
      </c>
      <c r="K87" s="185" t="s">
        <v>91</v>
      </c>
      <c r="L87" s="185" t="s">
        <v>85</v>
      </c>
      <c r="M87" s="196" t="s">
        <v>687</v>
      </c>
      <c r="N87" s="185" t="s">
        <v>688</v>
      </c>
      <c r="O87" s="238">
        <v>44180.0</v>
      </c>
      <c r="P87" s="239" t="s">
        <v>1786</v>
      </c>
      <c r="Q87" s="239" t="s">
        <v>1764</v>
      </c>
      <c r="R87" s="240" t="s">
        <v>691</v>
      </c>
      <c r="S87" s="196" t="s">
        <v>691</v>
      </c>
      <c r="T87" s="196" t="s">
        <v>1765</v>
      </c>
    </row>
    <row r="88">
      <c r="A88" s="182" t="s">
        <v>841</v>
      </c>
      <c r="B88" s="203" t="s">
        <v>66</v>
      </c>
      <c r="C88" s="173" t="s">
        <v>66</v>
      </c>
      <c r="D88" s="173" t="s">
        <v>1821</v>
      </c>
      <c r="E88" s="196" t="s">
        <v>199</v>
      </c>
      <c r="F88" s="185" t="s">
        <v>83</v>
      </c>
      <c r="G88" s="185" t="s">
        <v>1761</v>
      </c>
      <c r="H88" s="237" t="s">
        <v>200</v>
      </c>
      <c r="I88" s="185" t="s">
        <v>835</v>
      </c>
      <c r="J88" s="185" t="s">
        <v>394</v>
      </c>
      <c r="K88" s="185" t="s">
        <v>394</v>
      </c>
      <c r="L88" s="185" t="s">
        <v>85</v>
      </c>
      <c r="M88" s="196" t="s">
        <v>749</v>
      </c>
      <c r="N88" s="185" t="s">
        <v>749</v>
      </c>
      <c r="O88" s="238">
        <v>44105.0</v>
      </c>
      <c r="P88" s="239" t="s">
        <v>1786</v>
      </c>
      <c r="Q88" s="239" t="s">
        <v>732</v>
      </c>
      <c r="R88" s="240" t="s">
        <v>691</v>
      </c>
      <c r="S88" s="196" t="s">
        <v>691</v>
      </c>
      <c r="T88" s="196" t="s">
        <v>1765</v>
      </c>
    </row>
    <row r="89">
      <c r="A89" s="182" t="s">
        <v>205</v>
      </c>
      <c r="B89" s="203" t="s">
        <v>66</v>
      </c>
      <c r="C89" s="173" t="s">
        <v>66</v>
      </c>
      <c r="D89" s="173" t="s">
        <v>1822</v>
      </c>
      <c r="E89" s="196" t="s">
        <v>843</v>
      </c>
      <c r="F89" s="185" t="s">
        <v>83</v>
      </c>
      <c r="G89" s="185" t="s">
        <v>1761</v>
      </c>
      <c r="H89" s="237" t="s">
        <v>209</v>
      </c>
      <c r="I89" s="185" t="s">
        <v>835</v>
      </c>
      <c r="J89" s="185" t="s">
        <v>1823</v>
      </c>
      <c r="K89" s="185" t="s">
        <v>1823</v>
      </c>
      <c r="L89" s="185" t="s">
        <v>85</v>
      </c>
      <c r="M89" s="196" t="s">
        <v>749</v>
      </c>
      <c r="N89" s="185" t="s">
        <v>749</v>
      </c>
      <c r="O89" s="238">
        <v>44105.0</v>
      </c>
      <c r="P89" s="239" t="s">
        <v>1824</v>
      </c>
      <c r="Q89" s="239" t="s">
        <v>732</v>
      </c>
      <c r="R89" s="240" t="s">
        <v>691</v>
      </c>
      <c r="S89" s="196" t="s">
        <v>691</v>
      </c>
      <c r="T89" s="196" t="s">
        <v>1765</v>
      </c>
    </row>
    <row r="90">
      <c r="A90" s="182" t="s">
        <v>202</v>
      </c>
      <c r="B90" s="203" t="s">
        <v>66</v>
      </c>
      <c r="C90" s="173" t="s">
        <v>66</v>
      </c>
      <c r="D90" s="173" t="s">
        <v>1825</v>
      </c>
      <c r="E90" s="196" t="s">
        <v>844</v>
      </c>
      <c r="F90" s="185" t="s">
        <v>83</v>
      </c>
      <c r="G90" s="185" t="s">
        <v>1761</v>
      </c>
      <c r="H90" s="237" t="s">
        <v>845</v>
      </c>
      <c r="I90" s="185" t="s">
        <v>835</v>
      </c>
      <c r="J90" s="185" t="s">
        <v>394</v>
      </c>
      <c r="K90" s="185" t="s">
        <v>394</v>
      </c>
      <c r="L90" s="185" t="s">
        <v>85</v>
      </c>
      <c r="M90" s="196" t="s">
        <v>749</v>
      </c>
      <c r="N90" s="185" t="s">
        <v>749</v>
      </c>
      <c r="O90" s="238">
        <v>44075.0</v>
      </c>
      <c r="P90" s="239" t="s">
        <v>1781</v>
      </c>
      <c r="Q90" s="239" t="s">
        <v>1826</v>
      </c>
      <c r="R90" s="240" t="s">
        <v>724</v>
      </c>
      <c r="S90" s="196" t="s">
        <v>724</v>
      </c>
      <c r="T90" s="196" t="s">
        <v>1765</v>
      </c>
    </row>
    <row r="91">
      <c r="A91" s="182" t="s">
        <v>175</v>
      </c>
      <c r="B91" s="203" t="s">
        <v>66</v>
      </c>
      <c r="C91" s="173" t="s">
        <v>66</v>
      </c>
      <c r="D91" s="173" t="s">
        <v>1827</v>
      </c>
      <c r="E91" s="196" t="s">
        <v>177</v>
      </c>
      <c r="F91" s="185" t="s">
        <v>83</v>
      </c>
      <c r="G91" s="185" t="s">
        <v>1761</v>
      </c>
      <c r="H91" s="237" t="s">
        <v>178</v>
      </c>
      <c r="I91" s="185" t="s">
        <v>1762</v>
      </c>
      <c r="J91" s="185" t="s">
        <v>91</v>
      </c>
      <c r="K91" s="185" t="s">
        <v>91</v>
      </c>
      <c r="L91" s="185" t="s">
        <v>85</v>
      </c>
      <c r="M91" s="196" t="s">
        <v>687</v>
      </c>
      <c r="N91" s="185" t="s">
        <v>688</v>
      </c>
      <c r="O91" s="238">
        <v>44180.0</v>
      </c>
      <c r="P91" s="239" t="s">
        <v>1771</v>
      </c>
      <c r="Q91" s="239" t="s">
        <v>1787</v>
      </c>
      <c r="R91" s="240" t="s">
        <v>691</v>
      </c>
      <c r="S91" s="196" t="s">
        <v>691</v>
      </c>
      <c r="T91" s="196" t="s">
        <v>1765</v>
      </c>
    </row>
    <row r="92">
      <c r="A92" s="182" t="s">
        <v>389</v>
      </c>
      <c r="B92" s="203" t="s">
        <v>66</v>
      </c>
      <c r="C92" s="173" t="s">
        <v>66</v>
      </c>
      <c r="D92" s="173" t="s">
        <v>1828</v>
      </c>
      <c r="E92" s="196" t="s">
        <v>1828</v>
      </c>
      <c r="F92" s="185" t="s">
        <v>185</v>
      </c>
      <c r="G92" s="185" t="s">
        <v>774</v>
      </c>
      <c r="H92" s="237">
        <v>20.25</v>
      </c>
      <c r="I92" s="185" t="s">
        <v>913</v>
      </c>
      <c r="J92" s="185" t="s">
        <v>1321</v>
      </c>
      <c r="K92" s="185" t="s">
        <v>913</v>
      </c>
      <c r="L92" s="185" t="s">
        <v>85</v>
      </c>
      <c r="M92" s="196" t="s">
        <v>749</v>
      </c>
      <c r="N92" s="185" t="s">
        <v>688</v>
      </c>
      <c r="O92" s="238">
        <v>44165.0</v>
      </c>
      <c r="P92" s="239" t="s">
        <v>1791</v>
      </c>
      <c r="Q92" s="239" t="s">
        <v>1787</v>
      </c>
      <c r="R92" s="240" t="s">
        <v>771</v>
      </c>
      <c r="S92" s="196" t="s">
        <v>771</v>
      </c>
      <c r="T92" s="196" t="s">
        <v>1765</v>
      </c>
    </row>
    <row r="93">
      <c r="A93" s="182" t="s">
        <v>120</v>
      </c>
      <c r="B93" s="203" t="s">
        <v>66</v>
      </c>
      <c r="C93" s="173" t="s">
        <v>66</v>
      </c>
      <c r="D93" s="173" t="s">
        <v>849</v>
      </c>
      <c r="E93" s="196" t="s">
        <v>849</v>
      </c>
      <c r="F93" s="185" t="s">
        <v>185</v>
      </c>
      <c r="G93" s="185" t="s">
        <v>1500</v>
      </c>
      <c r="H93" s="237" t="b">
        <v>1</v>
      </c>
      <c r="I93" s="185" t="s">
        <v>1762</v>
      </c>
      <c r="J93" s="185" t="s">
        <v>91</v>
      </c>
      <c r="K93" s="185" t="s">
        <v>91</v>
      </c>
      <c r="L93" s="185" t="s">
        <v>85</v>
      </c>
      <c r="M93" s="196" t="s">
        <v>687</v>
      </c>
      <c r="N93" s="185" t="s">
        <v>688</v>
      </c>
      <c r="O93" s="238">
        <v>44179.0</v>
      </c>
      <c r="P93" s="239" t="s">
        <v>1770</v>
      </c>
      <c r="Q93" s="239" t="s">
        <v>1764</v>
      </c>
      <c r="R93" s="240" t="s">
        <v>724</v>
      </c>
      <c r="S93" s="196" t="s">
        <v>724</v>
      </c>
      <c r="T93" s="196" t="s">
        <v>1765</v>
      </c>
    </row>
    <row r="94">
      <c r="A94" s="182" t="s">
        <v>850</v>
      </c>
      <c r="B94" s="203" t="s">
        <v>66</v>
      </c>
      <c r="C94" s="173" t="s">
        <v>66</v>
      </c>
      <c r="D94" s="173" t="s">
        <v>851</v>
      </c>
      <c r="E94" s="196" t="s">
        <v>851</v>
      </c>
      <c r="F94" s="185" t="s">
        <v>185</v>
      </c>
      <c r="G94" s="185" t="s">
        <v>694</v>
      </c>
      <c r="H94" s="237">
        <v>1844641.0</v>
      </c>
      <c r="I94" s="185" t="s">
        <v>723</v>
      </c>
      <c r="J94" s="185" t="s">
        <v>91</v>
      </c>
      <c r="K94" s="185" t="s">
        <v>723</v>
      </c>
      <c r="L94" s="185" t="s">
        <v>85</v>
      </c>
      <c r="M94" s="196" t="s">
        <v>687</v>
      </c>
      <c r="N94" s="185" t="s">
        <v>688</v>
      </c>
      <c r="O94" s="238">
        <v>44179.0</v>
      </c>
      <c r="P94" s="239" t="s">
        <v>1777</v>
      </c>
      <c r="Q94" s="239" t="s">
        <v>1764</v>
      </c>
      <c r="R94" s="240" t="s">
        <v>724</v>
      </c>
      <c r="S94" s="196" t="s">
        <v>724</v>
      </c>
      <c r="T94" s="196" t="s">
        <v>1765</v>
      </c>
    </row>
    <row r="95">
      <c r="A95" s="182" t="s">
        <v>190</v>
      </c>
      <c r="B95" s="203" t="s">
        <v>66</v>
      </c>
      <c r="C95" s="173" t="s">
        <v>66</v>
      </c>
      <c r="D95" s="173" t="s">
        <v>191</v>
      </c>
      <c r="E95" s="196" t="s">
        <v>191</v>
      </c>
      <c r="F95" s="185" t="s">
        <v>185</v>
      </c>
      <c r="G95" s="185" t="s">
        <v>1761</v>
      </c>
      <c r="H95" s="237" t="s">
        <v>192</v>
      </c>
      <c r="I95" s="185" t="s">
        <v>1762</v>
      </c>
      <c r="J95" s="185" t="s">
        <v>91</v>
      </c>
      <c r="K95" s="185" t="s">
        <v>91</v>
      </c>
      <c r="L95" s="185" t="s">
        <v>85</v>
      </c>
      <c r="M95" s="196" t="s">
        <v>687</v>
      </c>
      <c r="N95" s="185" t="s">
        <v>687</v>
      </c>
      <c r="O95" s="238">
        <v>44178.0</v>
      </c>
      <c r="P95" s="239" t="s">
        <v>1770</v>
      </c>
      <c r="Q95" s="239" t="s">
        <v>1764</v>
      </c>
      <c r="R95" s="240" t="s">
        <v>782</v>
      </c>
      <c r="S95" s="196" t="s">
        <v>782</v>
      </c>
      <c r="T95" s="196" t="s">
        <v>1765</v>
      </c>
    </row>
    <row r="96">
      <c r="A96" s="182" t="s">
        <v>183</v>
      </c>
      <c r="B96" s="203" t="s">
        <v>66</v>
      </c>
      <c r="C96" s="173" t="s">
        <v>66</v>
      </c>
      <c r="D96" s="173" t="s">
        <v>184</v>
      </c>
      <c r="E96" s="196" t="s">
        <v>184</v>
      </c>
      <c r="F96" s="185" t="s">
        <v>185</v>
      </c>
      <c r="G96" s="185" t="s">
        <v>1761</v>
      </c>
      <c r="H96" s="237" t="s">
        <v>186</v>
      </c>
      <c r="I96" s="185" t="s">
        <v>1762</v>
      </c>
      <c r="J96" s="185" t="s">
        <v>91</v>
      </c>
      <c r="K96" s="185" t="s">
        <v>91</v>
      </c>
      <c r="L96" s="185" t="s">
        <v>85</v>
      </c>
      <c r="M96" s="196" t="s">
        <v>687</v>
      </c>
      <c r="N96" s="185" t="s">
        <v>687</v>
      </c>
      <c r="O96" s="238">
        <v>44178.0</v>
      </c>
      <c r="P96" s="239" t="s">
        <v>1770</v>
      </c>
      <c r="Q96" s="239" t="s">
        <v>1764</v>
      </c>
      <c r="R96" s="240" t="s">
        <v>782</v>
      </c>
      <c r="S96" s="196" t="s">
        <v>782</v>
      </c>
      <c r="T96" s="196" t="s">
        <v>1765</v>
      </c>
    </row>
    <row r="97">
      <c r="A97" s="182" t="s">
        <v>187</v>
      </c>
      <c r="B97" s="203" t="s">
        <v>66</v>
      </c>
      <c r="C97" s="173" t="s">
        <v>66</v>
      </c>
      <c r="D97" s="173" t="s">
        <v>188</v>
      </c>
      <c r="E97" s="196" t="s">
        <v>188</v>
      </c>
      <c r="F97" s="185" t="s">
        <v>185</v>
      </c>
      <c r="G97" s="185" t="s">
        <v>1761</v>
      </c>
      <c r="H97" s="237" t="s">
        <v>189</v>
      </c>
      <c r="I97" s="185" t="s">
        <v>1762</v>
      </c>
      <c r="J97" s="185" t="s">
        <v>91</v>
      </c>
      <c r="K97" s="185" t="s">
        <v>91</v>
      </c>
      <c r="L97" s="185" t="s">
        <v>85</v>
      </c>
      <c r="M97" s="196" t="s">
        <v>687</v>
      </c>
      <c r="N97" s="185" t="s">
        <v>687</v>
      </c>
      <c r="O97" s="238">
        <v>44178.0</v>
      </c>
      <c r="P97" s="239" t="s">
        <v>1770</v>
      </c>
      <c r="Q97" s="239" t="s">
        <v>1764</v>
      </c>
      <c r="R97" s="240" t="s">
        <v>782</v>
      </c>
      <c r="S97" s="196" t="s">
        <v>782</v>
      </c>
      <c r="T97" s="196" t="s">
        <v>1765</v>
      </c>
    </row>
    <row r="98">
      <c r="A98" s="182" t="s">
        <v>263</v>
      </c>
      <c r="B98" s="203" t="s">
        <v>66</v>
      </c>
      <c r="C98" s="173" t="s">
        <v>66</v>
      </c>
      <c r="D98" s="173" t="s">
        <v>1829</v>
      </c>
      <c r="E98" s="196" t="s">
        <v>1829</v>
      </c>
      <c r="F98" s="185" t="s">
        <v>185</v>
      </c>
      <c r="G98" s="185" t="s">
        <v>1500</v>
      </c>
      <c r="H98" s="237" t="b">
        <v>1</v>
      </c>
      <c r="I98" s="185" t="s">
        <v>1762</v>
      </c>
      <c r="J98" s="185" t="s">
        <v>91</v>
      </c>
      <c r="K98" s="185" t="s">
        <v>91</v>
      </c>
      <c r="L98" s="185" t="s">
        <v>85</v>
      </c>
      <c r="M98" s="196" t="s">
        <v>687</v>
      </c>
      <c r="N98" s="185" t="s">
        <v>688</v>
      </c>
      <c r="O98" s="238">
        <v>44180.0</v>
      </c>
      <c r="P98" s="239" t="s">
        <v>1786</v>
      </c>
      <c r="Q98" s="239" t="s">
        <v>1787</v>
      </c>
      <c r="R98" s="240" t="s">
        <v>691</v>
      </c>
      <c r="S98" s="196" t="s">
        <v>691</v>
      </c>
      <c r="T98" s="196" t="s">
        <v>1765</v>
      </c>
    </row>
    <row r="99">
      <c r="A99" s="182" t="s">
        <v>455</v>
      </c>
      <c r="B99" s="203" t="s">
        <v>66</v>
      </c>
      <c r="C99" s="173" t="s">
        <v>66</v>
      </c>
      <c r="D99" s="173" t="s">
        <v>456</v>
      </c>
      <c r="E99" s="196" t="s">
        <v>456</v>
      </c>
      <c r="F99" s="185" t="s">
        <v>83</v>
      </c>
      <c r="G99" s="185" t="s">
        <v>1761</v>
      </c>
      <c r="H99" s="237" t="s">
        <v>457</v>
      </c>
      <c r="I99" s="185" t="s">
        <v>335</v>
      </c>
      <c r="J99" s="185" t="s">
        <v>91</v>
      </c>
      <c r="K99" s="185" t="s">
        <v>91</v>
      </c>
      <c r="L99" s="185" t="s">
        <v>85</v>
      </c>
      <c r="M99" s="196" t="s">
        <v>687</v>
      </c>
      <c r="N99" s="185" t="s">
        <v>688</v>
      </c>
      <c r="O99" s="238">
        <v>44180.0</v>
      </c>
      <c r="P99" s="239" t="s">
        <v>1763</v>
      </c>
      <c r="Q99" s="239" t="s">
        <v>1764</v>
      </c>
      <c r="R99" s="240" t="s">
        <v>705</v>
      </c>
      <c r="S99" s="196" t="s">
        <v>705</v>
      </c>
      <c r="T99" s="196" t="s">
        <v>1765</v>
      </c>
    </row>
    <row r="100">
      <c r="A100" s="182" t="s">
        <v>856</v>
      </c>
      <c r="B100" s="203" t="s">
        <v>66</v>
      </c>
      <c r="C100" s="173" t="s">
        <v>66</v>
      </c>
      <c r="D100" s="173" t="s">
        <v>857</v>
      </c>
      <c r="E100" s="196" t="s">
        <v>857</v>
      </c>
      <c r="F100" s="185" t="s">
        <v>185</v>
      </c>
      <c r="G100" s="185" t="s">
        <v>777</v>
      </c>
      <c r="H100" s="237">
        <v>1024.0</v>
      </c>
      <c r="I100" s="185" t="s">
        <v>723</v>
      </c>
      <c r="J100" s="185" t="s">
        <v>91</v>
      </c>
      <c r="K100" s="185" t="s">
        <v>723</v>
      </c>
      <c r="L100" s="185" t="e">
        <v>#N/A</v>
      </c>
      <c r="M100" s="196" t="s">
        <v>687</v>
      </c>
      <c r="N100" s="185" t="s">
        <v>688</v>
      </c>
      <c r="O100" s="238">
        <v>44179.0</v>
      </c>
      <c r="P100" s="239" t="s">
        <v>1777</v>
      </c>
      <c r="Q100" s="239" t="s">
        <v>1764</v>
      </c>
      <c r="R100" s="240" t="s">
        <v>724</v>
      </c>
      <c r="S100" s="196" t="s">
        <v>724</v>
      </c>
      <c r="T100" s="196" t="s">
        <v>1765</v>
      </c>
    </row>
    <row r="101">
      <c r="A101" s="182" t="s">
        <v>858</v>
      </c>
      <c r="B101" s="203" t="s">
        <v>66</v>
      </c>
      <c r="C101" s="173" t="s">
        <v>66</v>
      </c>
      <c r="D101" s="173" t="s">
        <v>859</v>
      </c>
      <c r="E101" s="196" t="s">
        <v>859</v>
      </c>
      <c r="F101" s="185" t="s">
        <v>135</v>
      </c>
      <c r="G101" s="185" t="s">
        <v>698</v>
      </c>
      <c r="H101" s="237">
        <v>40469.62163194444</v>
      </c>
      <c r="I101" s="185" t="s">
        <v>136</v>
      </c>
      <c r="J101" s="185" t="s">
        <v>359</v>
      </c>
      <c r="K101" s="185" t="s">
        <v>359</v>
      </c>
      <c r="L101" s="185" t="s">
        <v>90</v>
      </c>
      <c r="M101" s="196" t="s">
        <v>749</v>
      </c>
      <c r="N101" s="185" t="s">
        <v>749</v>
      </c>
      <c r="O101" s="238">
        <v>44136.0</v>
      </c>
      <c r="P101" s="239" t="s">
        <v>1830</v>
      </c>
      <c r="Q101" s="239" t="s">
        <v>732</v>
      </c>
      <c r="R101" s="240" t="s">
        <v>761</v>
      </c>
      <c r="S101" s="196" t="s">
        <v>761</v>
      </c>
      <c r="T101" s="196" t="s">
        <v>1765</v>
      </c>
    </row>
    <row r="102">
      <c r="A102" s="182" t="s">
        <v>860</v>
      </c>
      <c r="B102" s="203" t="s">
        <v>66</v>
      </c>
      <c r="C102" s="173" t="s">
        <v>66</v>
      </c>
      <c r="D102" s="173" t="s">
        <v>861</v>
      </c>
      <c r="E102" s="196" t="s">
        <v>861</v>
      </c>
      <c r="F102" s="185" t="s">
        <v>135</v>
      </c>
      <c r="G102" s="185" t="s">
        <v>713</v>
      </c>
      <c r="H102" s="237">
        <v>50.0</v>
      </c>
      <c r="I102" s="185" t="s">
        <v>136</v>
      </c>
      <c r="J102" s="185" t="s">
        <v>359</v>
      </c>
      <c r="K102" s="185" t="s">
        <v>359</v>
      </c>
      <c r="L102" s="185" t="s">
        <v>90</v>
      </c>
      <c r="M102" s="196" t="s">
        <v>749</v>
      </c>
      <c r="N102" s="185" t="s">
        <v>749</v>
      </c>
      <c r="O102" s="238">
        <v>44136.0</v>
      </c>
      <c r="P102" s="239" t="s">
        <v>1830</v>
      </c>
      <c r="Q102" s="239" t="s">
        <v>732</v>
      </c>
      <c r="R102" s="240" t="s">
        <v>761</v>
      </c>
      <c r="S102" s="196" t="s">
        <v>761</v>
      </c>
      <c r="T102" s="196" t="s">
        <v>1765</v>
      </c>
    </row>
    <row r="103">
      <c r="A103" s="182" t="s">
        <v>862</v>
      </c>
      <c r="B103" s="203" t="s">
        <v>66</v>
      </c>
      <c r="C103" s="173" t="s">
        <v>66</v>
      </c>
      <c r="D103" s="173" t="s">
        <v>1831</v>
      </c>
      <c r="E103" s="196" t="s">
        <v>863</v>
      </c>
      <c r="F103" s="185" t="s">
        <v>135</v>
      </c>
      <c r="G103" s="185" t="s">
        <v>864</v>
      </c>
      <c r="H103" s="237">
        <v>0.18</v>
      </c>
      <c r="I103" s="185" t="s">
        <v>136</v>
      </c>
      <c r="J103" s="185" t="s">
        <v>311</v>
      </c>
      <c r="K103" s="185" t="s">
        <v>311</v>
      </c>
      <c r="L103" s="185" t="s">
        <v>90</v>
      </c>
      <c r="M103" s="196" t="s">
        <v>749</v>
      </c>
      <c r="N103" s="185" t="s">
        <v>749</v>
      </c>
      <c r="O103" s="238">
        <v>44136.0</v>
      </c>
      <c r="P103" s="239" t="s">
        <v>1830</v>
      </c>
      <c r="Q103" s="239" t="s">
        <v>732</v>
      </c>
      <c r="R103" s="240" t="s">
        <v>761</v>
      </c>
      <c r="S103" s="196" t="s">
        <v>761</v>
      </c>
      <c r="T103" s="196" t="s">
        <v>1765</v>
      </c>
    </row>
    <row r="104">
      <c r="A104" s="182" t="s">
        <v>865</v>
      </c>
      <c r="B104" s="203" t="s">
        <v>66</v>
      </c>
      <c r="C104" s="173" t="s">
        <v>66</v>
      </c>
      <c r="D104" s="173" t="s">
        <v>866</v>
      </c>
      <c r="E104" s="196" t="s">
        <v>866</v>
      </c>
      <c r="F104" s="185" t="s">
        <v>135</v>
      </c>
      <c r="G104" s="185" t="s">
        <v>1761</v>
      </c>
      <c r="H104" s="237" t="s">
        <v>1481</v>
      </c>
      <c r="I104" s="185" t="s">
        <v>136</v>
      </c>
      <c r="J104" s="185" t="s">
        <v>311</v>
      </c>
      <c r="K104" s="185" t="s">
        <v>311</v>
      </c>
      <c r="L104" s="185" t="s">
        <v>90</v>
      </c>
      <c r="M104" s="196" t="s">
        <v>749</v>
      </c>
      <c r="N104" s="185" t="s">
        <v>749</v>
      </c>
      <c r="O104" s="238">
        <v>44136.0</v>
      </c>
      <c r="P104" s="239" t="s">
        <v>1830</v>
      </c>
      <c r="Q104" s="239" t="s">
        <v>732</v>
      </c>
      <c r="R104" s="240" t="s">
        <v>761</v>
      </c>
      <c r="S104" s="196" t="s">
        <v>761</v>
      </c>
      <c r="T104" s="196" t="s">
        <v>1765</v>
      </c>
    </row>
    <row r="105">
      <c r="A105" s="182" t="s">
        <v>871</v>
      </c>
      <c r="B105" s="203" t="s">
        <v>66</v>
      </c>
      <c r="C105" s="173" t="s">
        <v>66</v>
      </c>
      <c r="D105" s="173" t="s">
        <v>872</v>
      </c>
      <c r="E105" s="196" t="s">
        <v>872</v>
      </c>
      <c r="F105" s="185" t="s">
        <v>185</v>
      </c>
      <c r="G105" s="185" t="s">
        <v>768</v>
      </c>
      <c r="H105" s="237">
        <v>50.0</v>
      </c>
      <c r="I105" s="185" t="s">
        <v>723</v>
      </c>
      <c r="J105" s="185" t="s">
        <v>723</v>
      </c>
      <c r="K105" s="185" t="s">
        <v>723</v>
      </c>
      <c r="L105" s="185" t="s">
        <v>85</v>
      </c>
      <c r="M105" s="196" t="s">
        <v>687</v>
      </c>
      <c r="N105" s="185" t="s">
        <v>760</v>
      </c>
      <c r="O105" s="238">
        <v>44179.0</v>
      </c>
      <c r="P105" s="239" t="s">
        <v>1782</v>
      </c>
      <c r="Q105" s="239" t="s">
        <v>1783</v>
      </c>
      <c r="R105" s="240" t="s">
        <v>761</v>
      </c>
      <c r="S105" s="196" t="s">
        <v>761</v>
      </c>
      <c r="T105" s="196" t="s">
        <v>1765</v>
      </c>
    </row>
    <row r="106">
      <c r="A106" s="182" t="s">
        <v>873</v>
      </c>
      <c r="B106" s="203" t="s">
        <v>66</v>
      </c>
      <c r="C106" s="173" t="s">
        <v>66</v>
      </c>
      <c r="D106" s="173" t="s">
        <v>874</v>
      </c>
      <c r="E106" s="196" t="s">
        <v>874</v>
      </c>
      <c r="F106" s="185" t="s">
        <v>185</v>
      </c>
      <c r="G106" s="185" t="s">
        <v>713</v>
      </c>
      <c r="H106" s="237">
        <v>23.0</v>
      </c>
      <c r="I106" s="185" t="s">
        <v>723</v>
      </c>
      <c r="J106" s="185" t="s">
        <v>723</v>
      </c>
      <c r="K106" s="185" t="s">
        <v>723</v>
      </c>
      <c r="L106" s="185" t="s">
        <v>85</v>
      </c>
      <c r="M106" s="196" t="s">
        <v>687</v>
      </c>
      <c r="N106" s="185" t="s">
        <v>760</v>
      </c>
      <c r="O106" s="238">
        <v>44179.0</v>
      </c>
      <c r="P106" s="239" t="s">
        <v>1782</v>
      </c>
      <c r="Q106" s="239" t="s">
        <v>1783</v>
      </c>
      <c r="R106" s="240" t="s">
        <v>761</v>
      </c>
      <c r="S106" s="196" t="s">
        <v>761</v>
      </c>
      <c r="T106" s="196" t="s">
        <v>1765</v>
      </c>
    </row>
    <row r="107">
      <c r="A107" s="182" t="s">
        <v>875</v>
      </c>
      <c r="B107" s="203" t="s">
        <v>66</v>
      </c>
      <c r="C107" s="173" t="s">
        <v>66</v>
      </c>
      <c r="D107" s="173" t="s">
        <v>876</v>
      </c>
      <c r="E107" s="196" t="s">
        <v>876</v>
      </c>
      <c r="F107" s="185" t="s">
        <v>185</v>
      </c>
      <c r="G107" s="185" t="s">
        <v>768</v>
      </c>
      <c r="H107" s="237" t="s">
        <v>877</v>
      </c>
      <c r="I107" s="185" t="s">
        <v>723</v>
      </c>
      <c r="J107" s="185" t="s">
        <v>723</v>
      </c>
      <c r="K107" s="185" t="s">
        <v>723</v>
      </c>
      <c r="L107" s="185" t="s">
        <v>85</v>
      </c>
      <c r="M107" s="196" t="s">
        <v>687</v>
      </c>
      <c r="N107" s="185" t="s">
        <v>760</v>
      </c>
      <c r="O107" s="238">
        <v>44179.0</v>
      </c>
      <c r="P107" s="239" t="s">
        <v>1782</v>
      </c>
      <c r="Q107" s="239" t="s">
        <v>1783</v>
      </c>
      <c r="R107" s="240" t="s">
        <v>761</v>
      </c>
      <c r="S107" s="196" t="s">
        <v>761</v>
      </c>
      <c r="T107" s="196" t="s">
        <v>1765</v>
      </c>
    </row>
    <row r="108">
      <c r="A108" s="182" t="s">
        <v>878</v>
      </c>
      <c r="B108" s="203" t="s">
        <v>66</v>
      </c>
      <c r="C108" s="173" t="s">
        <v>66</v>
      </c>
      <c r="D108" s="173" t="s">
        <v>879</v>
      </c>
      <c r="E108" s="196" t="s">
        <v>879</v>
      </c>
      <c r="F108" s="185" t="s">
        <v>185</v>
      </c>
      <c r="G108" s="185" t="s">
        <v>768</v>
      </c>
      <c r="H108" s="237" t="s">
        <v>877</v>
      </c>
      <c r="I108" s="185" t="s">
        <v>723</v>
      </c>
      <c r="J108" s="185" t="s">
        <v>723</v>
      </c>
      <c r="K108" s="185" t="s">
        <v>723</v>
      </c>
      <c r="L108" s="185" t="s">
        <v>85</v>
      </c>
      <c r="M108" s="196" t="s">
        <v>687</v>
      </c>
      <c r="N108" s="185" t="s">
        <v>760</v>
      </c>
      <c r="O108" s="238">
        <v>44179.0</v>
      </c>
      <c r="P108" s="239" t="s">
        <v>1782</v>
      </c>
      <c r="Q108" s="239" t="s">
        <v>1783</v>
      </c>
      <c r="R108" s="240" t="s">
        <v>761</v>
      </c>
      <c r="S108" s="196" t="s">
        <v>761</v>
      </c>
      <c r="T108" s="196" t="s">
        <v>1765</v>
      </c>
    </row>
    <row r="109">
      <c r="A109" s="182" t="s">
        <v>880</v>
      </c>
      <c r="B109" s="203" t="s">
        <v>66</v>
      </c>
      <c r="C109" s="173" t="s">
        <v>66</v>
      </c>
      <c r="D109" s="173" t="s">
        <v>881</v>
      </c>
      <c r="E109" s="196" t="s">
        <v>881</v>
      </c>
      <c r="F109" s="185" t="s">
        <v>185</v>
      </c>
      <c r="G109" s="185" t="s">
        <v>713</v>
      </c>
      <c r="H109" s="237" t="s">
        <v>877</v>
      </c>
      <c r="I109" s="185" t="s">
        <v>723</v>
      </c>
      <c r="J109" s="185" t="s">
        <v>723</v>
      </c>
      <c r="K109" s="185" t="s">
        <v>723</v>
      </c>
      <c r="L109" s="185" t="s">
        <v>85</v>
      </c>
      <c r="M109" s="196" t="s">
        <v>687</v>
      </c>
      <c r="N109" s="185" t="s">
        <v>760</v>
      </c>
      <c r="O109" s="238">
        <v>44179.0</v>
      </c>
      <c r="P109" s="239" t="s">
        <v>1782</v>
      </c>
      <c r="Q109" s="239" t="s">
        <v>1783</v>
      </c>
      <c r="R109" s="240" t="s">
        <v>761</v>
      </c>
      <c r="S109" s="196" t="s">
        <v>761</v>
      </c>
      <c r="T109" s="196" t="s">
        <v>1765</v>
      </c>
    </row>
    <row r="110">
      <c r="A110" s="182" t="s">
        <v>882</v>
      </c>
      <c r="B110" s="203" t="s">
        <v>66</v>
      </c>
      <c r="C110" s="173" t="s">
        <v>66</v>
      </c>
      <c r="D110" s="173" t="s">
        <v>883</v>
      </c>
      <c r="E110" s="196" t="s">
        <v>883</v>
      </c>
      <c r="F110" s="185" t="s">
        <v>185</v>
      </c>
      <c r="G110" s="185" t="s">
        <v>768</v>
      </c>
      <c r="H110" s="237" t="s">
        <v>877</v>
      </c>
      <c r="I110" s="185" t="s">
        <v>723</v>
      </c>
      <c r="J110" s="185" t="s">
        <v>723</v>
      </c>
      <c r="K110" s="185" t="s">
        <v>723</v>
      </c>
      <c r="L110" s="185" t="s">
        <v>85</v>
      </c>
      <c r="M110" s="196" t="s">
        <v>687</v>
      </c>
      <c r="N110" s="185" t="s">
        <v>760</v>
      </c>
      <c r="O110" s="238">
        <v>44179.0</v>
      </c>
      <c r="P110" s="239" t="s">
        <v>1782</v>
      </c>
      <c r="Q110" s="239" t="s">
        <v>1783</v>
      </c>
      <c r="R110" s="240" t="s">
        <v>761</v>
      </c>
      <c r="S110" s="196" t="s">
        <v>761</v>
      </c>
      <c r="T110" s="196" t="s">
        <v>1765</v>
      </c>
    </row>
    <row r="111">
      <c r="A111" s="182" t="s">
        <v>888</v>
      </c>
      <c r="B111" s="203" t="s">
        <v>66</v>
      </c>
      <c r="C111" s="173" t="s">
        <v>66</v>
      </c>
      <c r="D111" s="173" t="s">
        <v>889</v>
      </c>
      <c r="E111" s="196" t="s">
        <v>889</v>
      </c>
      <c r="F111" s="185" t="s">
        <v>185</v>
      </c>
      <c r="G111" s="185" t="s">
        <v>777</v>
      </c>
      <c r="H111" s="237">
        <v>100.0</v>
      </c>
      <c r="I111" s="185" t="s">
        <v>723</v>
      </c>
      <c r="J111" s="185" t="s">
        <v>91</v>
      </c>
      <c r="K111" s="185" t="s">
        <v>723</v>
      </c>
      <c r="L111" s="185" t="s">
        <v>85</v>
      </c>
      <c r="M111" s="196" t="s">
        <v>687</v>
      </c>
      <c r="N111" s="185" t="s">
        <v>688</v>
      </c>
      <c r="O111" s="238">
        <v>44179.0</v>
      </c>
      <c r="P111" s="239" t="s">
        <v>1763</v>
      </c>
      <c r="Q111" s="239" t="s">
        <v>1764</v>
      </c>
      <c r="R111" s="240" t="s">
        <v>724</v>
      </c>
      <c r="S111" s="196" t="s">
        <v>724</v>
      </c>
      <c r="T111" s="196" t="s">
        <v>1765</v>
      </c>
    </row>
    <row r="112">
      <c r="A112" s="182" t="s">
        <v>890</v>
      </c>
      <c r="B112" s="203" t="s">
        <v>66</v>
      </c>
      <c r="C112" s="173" t="s">
        <v>66</v>
      </c>
      <c r="D112" s="173" t="s">
        <v>891</v>
      </c>
      <c r="E112" s="196" t="s">
        <v>891</v>
      </c>
      <c r="F112" s="185" t="s">
        <v>185</v>
      </c>
      <c r="G112" s="185" t="s">
        <v>713</v>
      </c>
      <c r="H112" s="237">
        <v>62220.0</v>
      </c>
      <c r="I112" s="185" t="s">
        <v>723</v>
      </c>
      <c r="J112" s="185" t="s">
        <v>91</v>
      </c>
      <c r="K112" s="185" t="s">
        <v>723</v>
      </c>
      <c r="L112" s="185" t="s">
        <v>85</v>
      </c>
      <c r="M112" s="196" t="s">
        <v>687</v>
      </c>
      <c r="N112" s="185" t="s">
        <v>688</v>
      </c>
      <c r="O112" s="238">
        <v>44179.0</v>
      </c>
      <c r="P112" s="239" t="s">
        <v>1779</v>
      </c>
      <c r="Q112" s="239" t="s">
        <v>1764</v>
      </c>
      <c r="R112" s="240" t="s">
        <v>724</v>
      </c>
      <c r="S112" s="196" t="s">
        <v>724</v>
      </c>
      <c r="T112" s="196" t="s">
        <v>1765</v>
      </c>
    </row>
    <row r="113">
      <c r="A113" s="182" t="s">
        <v>892</v>
      </c>
      <c r="B113" s="203" t="s">
        <v>66</v>
      </c>
      <c r="C113" s="173" t="s">
        <v>66</v>
      </c>
      <c r="D113" s="173" t="s">
        <v>893</v>
      </c>
      <c r="E113" s="196" t="s">
        <v>893</v>
      </c>
      <c r="F113" s="185" t="s">
        <v>185</v>
      </c>
      <c r="G113" s="185" t="s">
        <v>768</v>
      </c>
      <c r="H113" s="237" t="s">
        <v>894</v>
      </c>
      <c r="I113" s="185" t="s">
        <v>723</v>
      </c>
      <c r="J113" s="185" t="s">
        <v>723</v>
      </c>
      <c r="K113" s="185" t="s">
        <v>723</v>
      </c>
      <c r="L113" s="185" t="s">
        <v>85</v>
      </c>
      <c r="M113" s="196" t="s">
        <v>687</v>
      </c>
      <c r="N113" s="185" t="s">
        <v>688</v>
      </c>
      <c r="O113" s="238">
        <v>44180.0</v>
      </c>
      <c r="P113" s="239" t="s">
        <v>1782</v>
      </c>
      <c r="Q113" s="239" t="s">
        <v>1783</v>
      </c>
      <c r="R113" s="240" t="s">
        <v>721</v>
      </c>
      <c r="S113" s="196" t="s">
        <v>721</v>
      </c>
      <c r="T113" s="196" t="s">
        <v>1765</v>
      </c>
    </row>
    <row r="114">
      <c r="A114" s="182" t="s">
        <v>895</v>
      </c>
      <c r="B114" s="203" t="s">
        <v>66</v>
      </c>
      <c r="C114" s="173" t="s">
        <v>66</v>
      </c>
      <c r="D114" s="173" t="s">
        <v>896</v>
      </c>
      <c r="E114" s="196" t="s">
        <v>896</v>
      </c>
      <c r="F114" s="185" t="s">
        <v>185</v>
      </c>
      <c r="G114" s="185" t="s">
        <v>768</v>
      </c>
      <c r="H114" s="237" t="s">
        <v>894</v>
      </c>
      <c r="I114" s="185" t="s">
        <v>723</v>
      </c>
      <c r="J114" s="185" t="s">
        <v>723</v>
      </c>
      <c r="K114" s="185" t="s">
        <v>723</v>
      </c>
      <c r="L114" s="185" t="s">
        <v>85</v>
      </c>
      <c r="M114" s="196" t="s">
        <v>687</v>
      </c>
      <c r="N114" s="185" t="s">
        <v>688</v>
      </c>
      <c r="O114" s="238">
        <v>44180.0</v>
      </c>
      <c r="P114" s="239" t="s">
        <v>1782</v>
      </c>
      <c r="Q114" s="239" t="s">
        <v>1783</v>
      </c>
      <c r="R114" s="240" t="s">
        <v>721</v>
      </c>
      <c r="S114" s="196" t="s">
        <v>721</v>
      </c>
      <c r="T114" s="196" t="s">
        <v>1765</v>
      </c>
    </row>
    <row r="115">
      <c r="A115" s="182" t="s">
        <v>897</v>
      </c>
      <c r="B115" s="203" t="s">
        <v>66</v>
      </c>
      <c r="C115" s="173" t="s">
        <v>66</v>
      </c>
      <c r="D115" s="173" t="s">
        <v>898</v>
      </c>
      <c r="E115" s="196" t="s">
        <v>898</v>
      </c>
      <c r="F115" s="185" t="s">
        <v>185</v>
      </c>
      <c r="G115" s="185" t="s">
        <v>713</v>
      </c>
      <c r="H115" s="237">
        <v>12.0</v>
      </c>
      <c r="I115" s="185" t="s">
        <v>723</v>
      </c>
      <c r="J115" s="185" t="s">
        <v>723</v>
      </c>
      <c r="K115" s="185" t="s">
        <v>723</v>
      </c>
      <c r="L115" s="185" t="s">
        <v>85</v>
      </c>
      <c r="M115" s="196" t="s">
        <v>687</v>
      </c>
      <c r="N115" s="185" t="s">
        <v>688</v>
      </c>
      <c r="O115" s="238">
        <v>44180.0</v>
      </c>
      <c r="P115" s="239" t="s">
        <v>1782</v>
      </c>
      <c r="Q115" s="239" t="s">
        <v>1783</v>
      </c>
      <c r="R115" s="240" t="s">
        <v>721</v>
      </c>
      <c r="S115" s="196" t="s">
        <v>721</v>
      </c>
      <c r="T115" s="196" t="s">
        <v>1765</v>
      </c>
    </row>
    <row r="116">
      <c r="A116" s="182" t="s">
        <v>899</v>
      </c>
      <c r="B116" s="203" t="s">
        <v>66</v>
      </c>
      <c r="C116" s="173" t="s">
        <v>66</v>
      </c>
      <c r="D116" s="173" t="s">
        <v>900</v>
      </c>
      <c r="E116" s="196" t="s">
        <v>900</v>
      </c>
      <c r="F116" s="185" t="s">
        <v>185</v>
      </c>
      <c r="G116" s="185" t="s">
        <v>713</v>
      </c>
      <c r="H116" s="237">
        <v>49.0</v>
      </c>
      <c r="I116" s="185" t="s">
        <v>723</v>
      </c>
      <c r="J116" s="185" t="s">
        <v>723</v>
      </c>
      <c r="K116" s="185" t="s">
        <v>723</v>
      </c>
      <c r="L116" s="185" t="s">
        <v>85</v>
      </c>
      <c r="M116" s="196" t="s">
        <v>687</v>
      </c>
      <c r="N116" s="185" t="s">
        <v>688</v>
      </c>
      <c r="O116" s="238">
        <v>44180.0</v>
      </c>
      <c r="P116" s="239" t="s">
        <v>1782</v>
      </c>
      <c r="Q116" s="239" t="s">
        <v>1783</v>
      </c>
      <c r="R116" s="240" t="s">
        <v>721</v>
      </c>
      <c r="S116" s="196" t="s">
        <v>721</v>
      </c>
      <c r="T116" s="196" t="s">
        <v>1765</v>
      </c>
    </row>
    <row r="117">
      <c r="A117" s="182" t="s">
        <v>901</v>
      </c>
      <c r="B117" s="203" t="s">
        <v>66</v>
      </c>
      <c r="C117" s="173" t="s">
        <v>66</v>
      </c>
      <c r="D117" s="173" t="s">
        <v>902</v>
      </c>
      <c r="E117" s="196" t="s">
        <v>902</v>
      </c>
      <c r="F117" s="185" t="s">
        <v>185</v>
      </c>
      <c r="G117" s="185" t="s">
        <v>768</v>
      </c>
      <c r="H117" s="237" t="s">
        <v>894</v>
      </c>
      <c r="I117" s="185" t="s">
        <v>723</v>
      </c>
      <c r="J117" s="185" t="s">
        <v>723</v>
      </c>
      <c r="K117" s="185" t="s">
        <v>723</v>
      </c>
      <c r="L117" s="185" t="s">
        <v>85</v>
      </c>
      <c r="M117" s="196" t="s">
        <v>687</v>
      </c>
      <c r="N117" s="185" t="s">
        <v>688</v>
      </c>
      <c r="O117" s="238">
        <v>44180.0</v>
      </c>
      <c r="P117" s="239" t="s">
        <v>1782</v>
      </c>
      <c r="Q117" s="239" t="s">
        <v>1783</v>
      </c>
      <c r="R117" s="240" t="s">
        <v>721</v>
      </c>
      <c r="S117" s="196" t="s">
        <v>721</v>
      </c>
      <c r="T117" s="196" t="s">
        <v>1765</v>
      </c>
    </row>
    <row r="118">
      <c r="A118" s="182" t="s">
        <v>903</v>
      </c>
      <c r="B118" s="203" t="s">
        <v>66</v>
      </c>
      <c r="C118" s="173" t="s">
        <v>66</v>
      </c>
      <c r="D118" s="173" t="s">
        <v>904</v>
      </c>
      <c r="E118" s="196" t="s">
        <v>904</v>
      </c>
      <c r="F118" s="185" t="s">
        <v>185</v>
      </c>
      <c r="G118" s="185" t="s">
        <v>768</v>
      </c>
      <c r="H118" s="237" t="s">
        <v>894</v>
      </c>
      <c r="I118" s="185" t="s">
        <v>723</v>
      </c>
      <c r="J118" s="185" t="s">
        <v>723</v>
      </c>
      <c r="K118" s="185" t="s">
        <v>723</v>
      </c>
      <c r="L118" s="185" t="s">
        <v>85</v>
      </c>
      <c r="M118" s="196" t="s">
        <v>687</v>
      </c>
      <c r="N118" s="185" t="s">
        <v>688</v>
      </c>
      <c r="O118" s="238">
        <v>44180.0</v>
      </c>
      <c r="P118" s="239" t="s">
        <v>1782</v>
      </c>
      <c r="Q118" s="239" t="s">
        <v>1783</v>
      </c>
      <c r="R118" s="240" t="s">
        <v>721</v>
      </c>
      <c r="S118" s="196" t="s">
        <v>721</v>
      </c>
      <c r="T118" s="196" t="s">
        <v>1765</v>
      </c>
    </row>
    <row r="119">
      <c r="A119" s="182" t="s">
        <v>905</v>
      </c>
      <c r="B119" s="203" t="s">
        <v>66</v>
      </c>
      <c r="C119" s="173" t="s">
        <v>66</v>
      </c>
      <c r="D119" s="173" t="s">
        <v>906</v>
      </c>
      <c r="E119" s="196" t="s">
        <v>906</v>
      </c>
      <c r="F119" s="185" t="s">
        <v>185</v>
      </c>
      <c r="G119" s="185" t="s">
        <v>713</v>
      </c>
      <c r="H119" s="237">
        <v>9.0</v>
      </c>
      <c r="I119" s="185" t="s">
        <v>723</v>
      </c>
      <c r="J119" s="185" t="s">
        <v>723</v>
      </c>
      <c r="K119" s="185" t="s">
        <v>723</v>
      </c>
      <c r="L119" s="185" t="s">
        <v>85</v>
      </c>
      <c r="M119" s="196" t="s">
        <v>687</v>
      </c>
      <c r="N119" s="185" t="s">
        <v>760</v>
      </c>
      <c r="O119" s="238">
        <v>44179.0</v>
      </c>
      <c r="P119" s="239" t="s">
        <v>1775</v>
      </c>
      <c r="Q119" s="239" t="s">
        <v>1764</v>
      </c>
      <c r="R119" s="240" t="s">
        <v>724</v>
      </c>
      <c r="S119" s="196" t="s">
        <v>724</v>
      </c>
      <c r="T119" s="196" t="s">
        <v>1765</v>
      </c>
    </row>
    <row r="120">
      <c r="A120" s="182" t="s">
        <v>907</v>
      </c>
      <c r="B120" s="203" t="s">
        <v>66</v>
      </c>
      <c r="C120" s="173" t="s">
        <v>66</v>
      </c>
      <c r="D120" s="173" t="s">
        <v>908</v>
      </c>
      <c r="E120" s="196" t="s">
        <v>908</v>
      </c>
      <c r="F120" s="185" t="s">
        <v>185</v>
      </c>
      <c r="G120" s="185" t="s">
        <v>713</v>
      </c>
      <c r="H120" s="237">
        <v>10.0</v>
      </c>
      <c r="I120" s="185" t="s">
        <v>723</v>
      </c>
      <c r="J120" s="185" t="s">
        <v>723</v>
      </c>
      <c r="K120" s="185" t="s">
        <v>723</v>
      </c>
      <c r="L120" s="185" t="s">
        <v>85</v>
      </c>
      <c r="M120" s="196" t="s">
        <v>687</v>
      </c>
      <c r="N120" s="185" t="s">
        <v>760</v>
      </c>
      <c r="O120" s="238">
        <v>44179.0</v>
      </c>
      <c r="P120" s="239" t="s">
        <v>1775</v>
      </c>
      <c r="Q120" s="239" t="s">
        <v>1764</v>
      </c>
      <c r="R120" s="240" t="s">
        <v>724</v>
      </c>
      <c r="S120" s="196" t="s">
        <v>724</v>
      </c>
      <c r="T120" s="196" t="s">
        <v>1765</v>
      </c>
    </row>
    <row r="121">
      <c r="A121" s="182" t="s">
        <v>909</v>
      </c>
      <c r="B121" s="203" t="s">
        <v>66</v>
      </c>
      <c r="C121" s="173" t="s">
        <v>66</v>
      </c>
      <c r="D121" s="173" t="s">
        <v>910</v>
      </c>
      <c r="E121" s="196" t="s">
        <v>910</v>
      </c>
      <c r="F121" s="185" t="s">
        <v>185</v>
      </c>
      <c r="G121" s="185" t="s">
        <v>694</v>
      </c>
      <c r="H121" s="237">
        <v>41.0</v>
      </c>
      <c r="I121" s="185" t="s">
        <v>723</v>
      </c>
      <c r="J121" s="185" t="s">
        <v>723</v>
      </c>
      <c r="K121" s="185" t="s">
        <v>723</v>
      </c>
      <c r="L121" s="185" t="s">
        <v>85</v>
      </c>
      <c r="M121" s="196" t="s">
        <v>687</v>
      </c>
      <c r="N121" s="185" t="s">
        <v>760</v>
      </c>
      <c r="O121" s="238">
        <v>44179.0</v>
      </c>
      <c r="P121" s="239" t="s">
        <v>1779</v>
      </c>
      <c r="Q121" s="239" t="s">
        <v>1764</v>
      </c>
      <c r="R121" s="240" t="s">
        <v>724</v>
      </c>
      <c r="S121" s="196" t="s">
        <v>724</v>
      </c>
      <c r="T121" s="196" t="s">
        <v>1765</v>
      </c>
    </row>
    <row r="122">
      <c r="A122" s="182" t="s">
        <v>481</v>
      </c>
      <c r="B122" s="203" t="s">
        <v>66</v>
      </c>
      <c r="C122" s="173" t="s">
        <v>66</v>
      </c>
      <c r="D122" s="173" t="s">
        <v>918</v>
      </c>
      <c r="E122" s="196" t="s">
        <v>918</v>
      </c>
      <c r="F122" s="185" t="s">
        <v>185</v>
      </c>
      <c r="G122" s="185" t="s">
        <v>768</v>
      </c>
      <c r="H122" s="237">
        <v>36.0</v>
      </c>
      <c r="I122" s="185" t="s">
        <v>723</v>
      </c>
      <c r="J122" s="185" t="s">
        <v>723</v>
      </c>
      <c r="K122" s="185" t="s">
        <v>723</v>
      </c>
      <c r="L122" s="185" t="s">
        <v>85</v>
      </c>
      <c r="M122" s="196" t="s">
        <v>687</v>
      </c>
      <c r="N122" s="185" t="s">
        <v>760</v>
      </c>
      <c r="O122" s="238">
        <v>44179.0</v>
      </c>
      <c r="P122" s="239" t="s">
        <v>1770</v>
      </c>
      <c r="Q122" s="239" t="s">
        <v>1764</v>
      </c>
      <c r="R122" s="240" t="s">
        <v>724</v>
      </c>
      <c r="S122" s="196" t="s">
        <v>724</v>
      </c>
      <c r="T122" s="196" t="s">
        <v>1765</v>
      </c>
    </row>
    <row r="123">
      <c r="A123" s="182" t="s">
        <v>483</v>
      </c>
      <c r="B123" s="203" t="s">
        <v>66</v>
      </c>
      <c r="C123" s="173" t="s">
        <v>66</v>
      </c>
      <c r="D123" s="173" t="s">
        <v>919</v>
      </c>
      <c r="E123" s="196" t="s">
        <v>919</v>
      </c>
      <c r="F123" s="185" t="s">
        <v>185</v>
      </c>
      <c r="G123" s="185" t="s">
        <v>768</v>
      </c>
      <c r="H123" s="237">
        <v>24.0</v>
      </c>
      <c r="I123" s="185" t="s">
        <v>723</v>
      </c>
      <c r="J123" s="185" t="s">
        <v>723</v>
      </c>
      <c r="K123" s="185" t="s">
        <v>723</v>
      </c>
      <c r="L123" s="185" t="s">
        <v>85</v>
      </c>
      <c r="M123" s="196" t="s">
        <v>687</v>
      </c>
      <c r="N123" s="185" t="s">
        <v>760</v>
      </c>
      <c r="O123" s="238">
        <v>44179.0</v>
      </c>
      <c r="P123" s="239" t="s">
        <v>1775</v>
      </c>
      <c r="Q123" s="239" t="s">
        <v>1764</v>
      </c>
      <c r="R123" s="240" t="s">
        <v>724</v>
      </c>
      <c r="S123" s="196" t="s">
        <v>724</v>
      </c>
      <c r="T123" s="196" t="s">
        <v>1765</v>
      </c>
    </row>
    <row r="124">
      <c r="A124" s="182" t="s">
        <v>485</v>
      </c>
      <c r="B124" s="203" t="s">
        <v>66</v>
      </c>
      <c r="C124" s="173" t="s">
        <v>66</v>
      </c>
      <c r="D124" s="173" t="s">
        <v>920</v>
      </c>
      <c r="E124" s="196" t="s">
        <v>920</v>
      </c>
      <c r="F124" s="185" t="s">
        <v>185</v>
      </c>
      <c r="G124" s="185" t="s">
        <v>713</v>
      </c>
      <c r="H124" s="237">
        <v>19.0</v>
      </c>
      <c r="I124" s="185" t="s">
        <v>723</v>
      </c>
      <c r="J124" s="185" t="s">
        <v>723</v>
      </c>
      <c r="K124" s="185" t="s">
        <v>723</v>
      </c>
      <c r="L124" s="185" t="s">
        <v>85</v>
      </c>
      <c r="M124" s="196" t="s">
        <v>687</v>
      </c>
      <c r="N124" s="185" t="s">
        <v>760</v>
      </c>
      <c r="O124" s="238">
        <v>44179.0</v>
      </c>
      <c r="P124" s="239" t="s">
        <v>1779</v>
      </c>
      <c r="Q124" s="239" t="s">
        <v>1764</v>
      </c>
      <c r="R124" s="240" t="s">
        <v>724</v>
      </c>
      <c r="S124" s="196" t="s">
        <v>724</v>
      </c>
      <c r="T124" s="196" t="s">
        <v>1765</v>
      </c>
    </row>
    <row r="125">
      <c r="A125" s="182" t="s">
        <v>487</v>
      </c>
      <c r="B125" s="203" t="s">
        <v>66</v>
      </c>
      <c r="C125" s="173" t="s">
        <v>66</v>
      </c>
      <c r="D125" s="173" t="s">
        <v>488</v>
      </c>
      <c r="E125" s="196" t="s">
        <v>488</v>
      </c>
      <c r="F125" s="185" t="s">
        <v>185</v>
      </c>
      <c r="G125" s="185" t="s">
        <v>768</v>
      </c>
      <c r="H125" s="237">
        <v>23.0</v>
      </c>
      <c r="I125" s="185" t="s">
        <v>723</v>
      </c>
      <c r="J125" s="185" t="s">
        <v>723</v>
      </c>
      <c r="K125" s="185" t="s">
        <v>723</v>
      </c>
      <c r="L125" s="185" t="s">
        <v>85</v>
      </c>
      <c r="M125" s="196" t="s">
        <v>687</v>
      </c>
      <c r="N125" s="185" t="s">
        <v>760</v>
      </c>
      <c r="O125" s="238">
        <v>44179.0</v>
      </c>
      <c r="P125" s="239" t="s">
        <v>1770</v>
      </c>
      <c r="Q125" s="239" t="s">
        <v>1764</v>
      </c>
      <c r="R125" s="240" t="s">
        <v>724</v>
      </c>
      <c r="S125" s="196" t="s">
        <v>724</v>
      </c>
      <c r="T125" s="196" t="s">
        <v>1765</v>
      </c>
    </row>
    <row r="126">
      <c r="A126" s="182" t="s">
        <v>489</v>
      </c>
      <c r="B126" s="203" t="s">
        <v>66</v>
      </c>
      <c r="C126" s="173" t="s">
        <v>66</v>
      </c>
      <c r="D126" s="173" t="s">
        <v>490</v>
      </c>
      <c r="E126" s="196" t="s">
        <v>490</v>
      </c>
      <c r="F126" s="185" t="s">
        <v>83</v>
      </c>
      <c r="G126" s="185" t="s">
        <v>1761</v>
      </c>
      <c r="H126" s="237" t="s">
        <v>921</v>
      </c>
      <c r="I126" s="185" t="s">
        <v>476</v>
      </c>
      <c r="J126" s="185" t="s">
        <v>476</v>
      </c>
      <c r="K126" s="185" t="s">
        <v>476</v>
      </c>
      <c r="L126" s="185" t="s">
        <v>85</v>
      </c>
      <c r="M126" s="196" t="s">
        <v>749</v>
      </c>
      <c r="N126" s="185" t="s">
        <v>749</v>
      </c>
      <c r="O126" s="238">
        <v>44136.0</v>
      </c>
      <c r="P126" s="239" t="s">
        <v>1770</v>
      </c>
      <c r="Q126" s="239" t="s">
        <v>1764</v>
      </c>
      <c r="R126" s="240" t="s">
        <v>782</v>
      </c>
      <c r="S126" s="196" t="s">
        <v>782</v>
      </c>
      <c r="T126" s="196" t="s">
        <v>1765</v>
      </c>
    </row>
    <row r="127">
      <c r="A127" s="182" t="s">
        <v>491</v>
      </c>
      <c r="B127" s="203" t="s">
        <v>66</v>
      </c>
      <c r="C127" s="173" t="s">
        <v>66</v>
      </c>
      <c r="D127" s="173" t="s">
        <v>492</v>
      </c>
      <c r="E127" s="196" t="s">
        <v>492</v>
      </c>
      <c r="F127" s="185" t="s">
        <v>83</v>
      </c>
      <c r="G127" s="185" t="s">
        <v>1761</v>
      </c>
      <c r="H127" s="237" t="s">
        <v>922</v>
      </c>
      <c r="I127" s="185" t="s">
        <v>476</v>
      </c>
      <c r="J127" s="185" t="s">
        <v>476</v>
      </c>
      <c r="K127" s="185" t="s">
        <v>476</v>
      </c>
      <c r="L127" s="185" t="s">
        <v>85</v>
      </c>
      <c r="M127" s="196" t="s">
        <v>749</v>
      </c>
      <c r="N127" s="185" t="s">
        <v>749</v>
      </c>
      <c r="O127" s="238">
        <v>44136.0</v>
      </c>
      <c r="P127" s="239" t="s">
        <v>1770</v>
      </c>
      <c r="Q127" s="239" t="s">
        <v>1764</v>
      </c>
      <c r="R127" s="240" t="s">
        <v>782</v>
      </c>
      <c r="S127" s="196" t="s">
        <v>782</v>
      </c>
      <c r="T127" s="196" t="s">
        <v>1765</v>
      </c>
    </row>
    <row r="128">
      <c r="A128" s="182" t="s">
        <v>493</v>
      </c>
      <c r="B128" s="203" t="s">
        <v>66</v>
      </c>
      <c r="C128" s="173" t="s">
        <v>66</v>
      </c>
      <c r="D128" s="173" t="s">
        <v>494</v>
      </c>
      <c r="E128" s="196" t="s">
        <v>494</v>
      </c>
      <c r="F128" s="185" t="s">
        <v>83</v>
      </c>
      <c r="G128" s="185" t="s">
        <v>1761</v>
      </c>
      <c r="H128" s="237" t="s">
        <v>923</v>
      </c>
      <c r="I128" s="185" t="s">
        <v>476</v>
      </c>
      <c r="J128" s="185" t="s">
        <v>476</v>
      </c>
      <c r="K128" s="185" t="s">
        <v>476</v>
      </c>
      <c r="L128" s="185" t="s">
        <v>85</v>
      </c>
      <c r="M128" s="196" t="s">
        <v>749</v>
      </c>
      <c r="N128" s="185" t="s">
        <v>749</v>
      </c>
      <c r="O128" s="238">
        <v>44136.0</v>
      </c>
      <c r="P128" s="239" t="s">
        <v>1770</v>
      </c>
      <c r="Q128" s="239" t="s">
        <v>1764</v>
      </c>
      <c r="R128" s="240" t="s">
        <v>782</v>
      </c>
      <c r="S128" s="196" t="s">
        <v>782</v>
      </c>
      <c r="T128" s="196" t="s">
        <v>1765</v>
      </c>
    </row>
    <row r="129">
      <c r="A129" s="182" t="s">
        <v>495</v>
      </c>
      <c r="B129" s="203" t="s">
        <v>66</v>
      </c>
      <c r="C129" s="173" t="s">
        <v>66</v>
      </c>
      <c r="D129" s="173" t="s">
        <v>496</v>
      </c>
      <c r="E129" s="196" t="s">
        <v>496</v>
      </c>
      <c r="F129" s="185" t="s">
        <v>83</v>
      </c>
      <c r="G129" s="185" t="s">
        <v>1761</v>
      </c>
      <c r="H129" s="237" t="s">
        <v>924</v>
      </c>
      <c r="I129" s="185" t="s">
        <v>476</v>
      </c>
      <c r="J129" s="185" t="s">
        <v>476</v>
      </c>
      <c r="K129" s="185" t="s">
        <v>476</v>
      </c>
      <c r="L129" s="185" t="s">
        <v>85</v>
      </c>
      <c r="M129" s="196" t="s">
        <v>749</v>
      </c>
      <c r="N129" s="185" t="s">
        <v>749</v>
      </c>
      <c r="O129" s="238">
        <v>44136.0</v>
      </c>
      <c r="P129" s="239" t="s">
        <v>1770</v>
      </c>
      <c r="Q129" s="239" t="s">
        <v>1764</v>
      </c>
      <c r="R129" s="240" t="s">
        <v>782</v>
      </c>
      <c r="S129" s="196" t="s">
        <v>782</v>
      </c>
      <c r="T129" s="196" t="s">
        <v>1765</v>
      </c>
    </row>
    <row r="130">
      <c r="A130" s="182" t="s">
        <v>497</v>
      </c>
      <c r="B130" s="203" t="s">
        <v>66</v>
      </c>
      <c r="C130" s="173" t="s">
        <v>66</v>
      </c>
      <c r="D130" s="173" t="s">
        <v>498</v>
      </c>
      <c r="E130" s="196" t="s">
        <v>498</v>
      </c>
      <c r="F130" s="185" t="s">
        <v>83</v>
      </c>
      <c r="G130" s="185" t="s">
        <v>1761</v>
      </c>
      <c r="H130" s="237" t="s">
        <v>925</v>
      </c>
      <c r="I130" s="185" t="s">
        <v>476</v>
      </c>
      <c r="J130" s="185" t="s">
        <v>476</v>
      </c>
      <c r="K130" s="185" t="s">
        <v>476</v>
      </c>
      <c r="L130" s="185" t="s">
        <v>85</v>
      </c>
      <c r="M130" s="196" t="s">
        <v>749</v>
      </c>
      <c r="N130" s="185" t="s">
        <v>749</v>
      </c>
      <c r="O130" s="238">
        <v>44136.0</v>
      </c>
      <c r="P130" s="239" t="s">
        <v>1770</v>
      </c>
      <c r="Q130" s="239" t="s">
        <v>1764</v>
      </c>
      <c r="R130" s="240" t="s">
        <v>782</v>
      </c>
      <c r="S130" s="196" t="s">
        <v>782</v>
      </c>
      <c r="T130" s="196" t="s">
        <v>1765</v>
      </c>
    </row>
    <row r="131">
      <c r="A131" s="182" t="s">
        <v>499</v>
      </c>
      <c r="B131" s="203" t="s">
        <v>66</v>
      </c>
      <c r="C131" s="173" t="s">
        <v>66</v>
      </c>
      <c r="D131" s="173" t="s">
        <v>500</v>
      </c>
      <c r="E131" s="196" t="s">
        <v>500</v>
      </c>
      <c r="F131" s="185" t="s">
        <v>83</v>
      </c>
      <c r="G131" s="185" t="s">
        <v>1761</v>
      </c>
      <c r="H131" s="237" t="s">
        <v>926</v>
      </c>
      <c r="I131" s="185" t="s">
        <v>476</v>
      </c>
      <c r="J131" s="185" t="s">
        <v>476</v>
      </c>
      <c r="K131" s="185" t="s">
        <v>476</v>
      </c>
      <c r="L131" s="185" t="s">
        <v>85</v>
      </c>
      <c r="M131" s="196" t="s">
        <v>749</v>
      </c>
      <c r="N131" s="185" t="s">
        <v>749</v>
      </c>
      <c r="O131" s="238">
        <v>44136.0</v>
      </c>
      <c r="P131" s="239" t="s">
        <v>1770</v>
      </c>
      <c r="Q131" s="239" t="s">
        <v>1764</v>
      </c>
      <c r="R131" s="240" t="s">
        <v>782</v>
      </c>
      <c r="S131" s="196" t="s">
        <v>782</v>
      </c>
      <c r="T131" s="196" t="s">
        <v>1765</v>
      </c>
    </row>
    <row r="132">
      <c r="A132" s="182" t="s">
        <v>501</v>
      </c>
      <c r="B132" s="203" t="s">
        <v>66</v>
      </c>
      <c r="C132" s="173" t="s">
        <v>66</v>
      </c>
      <c r="D132" s="173" t="s">
        <v>502</v>
      </c>
      <c r="E132" s="196" t="s">
        <v>502</v>
      </c>
      <c r="F132" s="185" t="s">
        <v>83</v>
      </c>
      <c r="G132" s="185" t="s">
        <v>1761</v>
      </c>
      <c r="H132" s="237" t="s">
        <v>927</v>
      </c>
      <c r="I132" s="185" t="s">
        <v>476</v>
      </c>
      <c r="J132" s="185" t="s">
        <v>476</v>
      </c>
      <c r="K132" s="185" t="s">
        <v>476</v>
      </c>
      <c r="L132" s="185" t="s">
        <v>85</v>
      </c>
      <c r="M132" s="196" t="s">
        <v>749</v>
      </c>
      <c r="N132" s="185" t="s">
        <v>749</v>
      </c>
      <c r="O132" s="238">
        <v>44136.0</v>
      </c>
      <c r="P132" s="239" t="s">
        <v>1770</v>
      </c>
      <c r="Q132" s="239" t="s">
        <v>1764</v>
      </c>
      <c r="R132" s="240" t="s">
        <v>782</v>
      </c>
      <c r="S132" s="196" t="s">
        <v>782</v>
      </c>
      <c r="T132" s="196" t="s">
        <v>1765</v>
      </c>
    </row>
    <row r="133">
      <c r="A133" s="182" t="s">
        <v>503</v>
      </c>
      <c r="B133" s="203" t="s">
        <v>66</v>
      </c>
      <c r="C133" s="173" t="s">
        <v>66</v>
      </c>
      <c r="D133" s="173" t="s">
        <v>504</v>
      </c>
      <c r="E133" s="196" t="s">
        <v>504</v>
      </c>
      <c r="F133" s="185" t="s">
        <v>83</v>
      </c>
      <c r="G133" s="185" t="s">
        <v>1761</v>
      </c>
      <c r="H133" s="237" t="s">
        <v>928</v>
      </c>
      <c r="I133" s="185" t="s">
        <v>476</v>
      </c>
      <c r="J133" s="185" t="s">
        <v>476</v>
      </c>
      <c r="K133" s="185" t="s">
        <v>476</v>
      </c>
      <c r="L133" s="185" t="s">
        <v>85</v>
      </c>
      <c r="M133" s="196" t="s">
        <v>749</v>
      </c>
      <c r="N133" s="185" t="s">
        <v>749</v>
      </c>
      <c r="O133" s="238">
        <v>44136.0</v>
      </c>
      <c r="P133" s="239" t="s">
        <v>1770</v>
      </c>
      <c r="Q133" s="239" t="s">
        <v>1764</v>
      </c>
      <c r="R133" s="240" t="s">
        <v>782</v>
      </c>
      <c r="S133" s="196" t="s">
        <v>782</v>
      </c>
      <c r="T133" s="196" t="s">
        <v>1765</v>
      </c>
    </row>
    <row r="134">
      <c r="A134" s="182" t="s">
        <v>505</v>
      </c>
      <c r="B134" s="203" t="s">
        <v>66</v>
      </c>
      <c r="C134" s="173" t="s">
        <v>66</v>
      </c>
      <c r="D134" s="173" t="s">
        <v>506</v>
      </c>
      <c r="E134" s="196" t="s">
        <v>506</v>
      </c>
      <c r="F134" s="185" t="s">
        <v>83</v>
      </c>
      <c r="G134" s="185" t="s">
        <v>1761</v>
      </c>
      <c r="H134" s="237" t="s">
        <v>921</v>
      </c>
      <c r="I134" s="185" t="s">
        <v>476</v>
      </c>
      <c r="J134" s="185" t="s">
        <v>476</v>
      </c>
      <c r="K134" s="185" t="s">
        <v>476</v>
      </c>
      <c r="L134" s="185" t="s">
        <v>85</v>
      </c>
      <c r="M134" s="196" t="s">
        <v>749</v>
      </c>
      <c r="N134" s="185" t="s">
        <v>749</v>
      </c>
      <c r="O134" s="238">
        <v>44136.0</v>
      </c>
      <c r="P134" s="239" t="s">
        <v>1770</v>
      </c>
      <c r="Q134" s="239" t="s">
        <v>1764</v>
      </c>
      <c r="R134" s="240" t="s">
        <v>782</v>
      </c>
      <c r="S134" s="196" t="s">
        <v>782</v>
      </c>
      <c r="T134" s="196" t="s">
        <v>1765</v>
      </c>
    </row>
    <row r="135">
      <c r="A135" s="182" t="s">
        <v>507</v>
      </c>
      <c r="B135" s="203" t="s">
        <v>66</v>
      </c>
      <c r="C135" s="173" t="s">
        <v>66</v>
      </c>
      <c r="D135" s="173" t="s">
        <v>508</v>
      </c>
      <c r="E135" s="196" t="s">
        <v>508</v>
      </c>
      <c r="F135" s="185" t="s">
        <v>83</v>
      </c>
      <c r="G135" s="185" t="s">
        <v>1761</v>
      </c>
      <c r="H135" s="237" t="s">
        <v>929</v>
      </c>
      <c r="I135" s="185" t="s">
        <v>476</v>
      </c>
      <c r="J135" s="185" t="s">
        <v>476</v>
      </c>
      <c r="K135" s="185" t="s">
        <v>476</v>
      </c>
      <c r="L135" s="185" t="s">
        <v>85</v>
      </c>
      <c r="M135" s="196" t="s">
        <v>749</v>
      </c>
      <c r="N135" s="185" t="s">
        <v>749</v>
      </c>
      <c r="O135" s="238">
        <v>44136.0</v>
      </c>
      <c r="P135" s="239" t="s">
        <v>1770</v>
      </c>
      <c r="Q135" s="239" t="s">
        <v>1764</v>
      </c>
      <c r="R135" s="240" t="s">
        <v>782</v>
      </c>
      <c r="S135" s="196" t="s">
        <v>782</v>
      </c>
      <c r="T135" s="196" t="s">
        <v>1765</v>
      </c>
    </row>
    <row r="136">
      <c r="A136" s="182" t="s">
        <v>509</v>
      </c>
      <c r="B136" s="203" t="s">
        <v>66</v>
      </c>
      <c r="C136" s="173" t="s">
        <v>66</v>
      </c>
      <c r="D136" s="173" t="s">
        <v>510</v>
      </c>
      <c r="E136" s="196" t="s">
        <v>510</v>
      </c>
      <c r="F136" s="185" t="s">
        <v>83</v>
      </c>
      <c r="G136" s="185" t="s">
        <v>1761</v>
      </c>
      <c r="H136" s="237" t="s">
        <v>930</v>
      </c>
      <c r="I136" s="185" t="s">
        <v>476</v>
      </c>
      <c r="J136" s="185" t="s">
        <v>476</v>
      </c>
      <c r="K136" s="185" t="s">
        <v>476</v>
      </c>
      <c r="L136" s="185" t="s">
        <v>85</v>
      </c>
      <c r="M136" s="196" t="s">
        <v>749</v>
      </c>
      <c r="N136" s="185" t="s">
        <v>749</v>
      </c>
      <c r="O136" s="238">
        <v>44136.0</v>
      </c>
      <c r="P136" s="239" t="s">
        <v>1770</v>
      </c>
      <c r="Q136" s="239" t="s">
        <v>1764</v>
      </c>
      <c r="R136" s="240" t="s">
        <v>782</v>
      </c>
      <c r="S136" s="196" t="s">
        <v>782</v>
      </c>
      <c r="T136" s="196" t="s">
        <v>1765</v>
      </c>
    </row>
    <row r="137">
      <c r="A137" s="182" t="s">
        <v>511</v>
      </c>
      <c r="B137" s="203" t="s">
        <v>66</v>
      </c>
      <c r="C137" s="173" t="s">
        <v>66</v>
      </c>
      <c r="D137" s="173" t="s">
        <v>512</v>
      </c>
      <c r="E137" s="196" t="s">
        <v>512</v>
      </c>
      <c r="F137" s="185" t="s">
        <v>83</v>
      </c>
      <c r="G137" s="185" t="s">
        <v>1761</v>
      </c>
      <c r="H137" s="237" t="s">
        <v>931</v>
      </c>
      <c r="I137" s="185" t="s">
        <v>476</v>
      </c>
      <c r="J137" s="185" t="s">
        <v>476</v>
      </c>
      <c r="K137" s="185" t="s">
        <v>476</v>
      </c>
      <c r="L137" s="185" t="s">
        <v>85</v>
      </c>
      <c r="M137" s="196" t="s">
        <v>749</v>
      </c>
      <c r="N137" s="185" t="s">
        <v>749</v>
      </c>
      <c r="O137" s="238">
        <v>44136.0</v>
      </c>
      <c r="P137" s="239" t="s">
        <v>1770</v>
      </c>
      <c r="Q137" s="239" t="s">
        <v>1764</v>
      </c>
      <c r="R137" s="240" t="s">
        <v>782</v>
      </c>
      <c r="S137" s="196" t="s">
        <v>782</v>
      </c>
      <c r="T137" s="196" t="s">
        <v>1765</v>
      </c>
    </row>
    <row r="138">
      <c r="A138" s="182" t="s">
        <v>932</v>
      </c>
      <c r="B138" s="203" t="s">
        <v>66</v>
      </c>
      <c r="C138" s="173" t="s">
        <v>66</v>
      </c>
      <c r="D138" s="173" t="s">
        <v>933</v>
      </c>
      <c r="E138" s="196" t="s">
        <v>933</v>
      </c>
      <c r="F138" s="185" t="s">
        <v>185</v>
      </c>
      <c r="G138" s="185" t="s">
        <v>694</v>
      </c>
      <c r="H138" s="237">
        <v>140769.0</v>
      </c>
      <c r="I138" s="185" t="s">
        <v>723</v>
      </c>
      <c r="J138" s="185" t="s">
        <v>91</v>
      </c>
      <c r="K138" s="185" t="s">
        <v>723</v>
      </c>
      <c r="L138" s="185" t="s">
        <v>85</v>
      </c>
      <c r="M138" s="196" t="s">
        <v>687</v>
      </c>
      <c r="N138" s="185" t="s">
        <v>688</v>
      </c>
      <c r="O138" s="238">
        <v>44179.0</v>
      </c>
      <c r="P138" s="239" t="s">
        <v>701</v>
      </c>
      <c r="Q138" s="239" t="s">
        <v>1787</v>
      </c>
      <c r="R138" s="240" t="s">
        <v>724</v>
      </c>
      <c r="S138" s="196" t="s">
        <v>724</v>
      </c>
      <c r="T138" s="196" t="s">
        <v>1765</v>
      </c>
    </row>
    <row r="139">
      <c r="A139" s="182" t="s">
        <v>1329</v>
      </c>
      <c r="B139" s="203" t="s">
        <v>66</v>
      </c>
      <c r="C139" s="173" t="s">
        <v>66</v>
      </c>
      <c r="D139" s="173" t="s">
        <v>1832</v>
      </c>
      <c r="E139" s="196" t="s">
        <v>934</v>
      </c>
      <c r="F139" s="185" t="s">
        <v>135</v>
      </c>
      <c r="G139" s="185" t="s">
        <v>1500</v>
      </c>
      <c r="H139" s="237" t="b">
        <v>1</v>
      </c>
      <c r="I139" s="185" t="s">
        <v>1762</v>
      </c>
      <c r="J139" s="185" t="s">
        <v>1762</v>
      </c>
      <c r="K139" s="185" t="s">
        <v>1762</v>
      </c>
      <c r="L139" s="185" t="s">
        <v>85</v>
      </c>
      <c r="M139" s="196" t="s">
        <v>749</v>
      </c>
      <c r="N139" s="185" t="s">
        <v>714</v>
      </c>
      <c r="O139" s="238">
        <v>44105.0</v>
      </c>
      <c r="P139" s="239" t="s">
        <v>1763</v>
      </c>
      <c r="Q139" s="239" t="s">
        <v>1764</v>
      </c>
      <c r="R139" s="240" t="s">
        <v>782</v>
      </c>
      <c r="S139" s="196" t="s">
        <v>782</v>
      </c>
      <c r="T139" s="196" t="s">
        <v>1765</v>
      </c>
    </row>
    <row r="140">
      <c r="A140" s="182" t="s">
        <v>1330</v>
      </c>
      <c r="B140" s="203" t="s">
        <v>66</v>
      </c>
      <c r="C140" s="173" t="s">
        <v>66</v>
      </c>
      <c r="D140" s="173" t="s">
        <v>1833</v>
      </c>
      <c r="E140" s="196" t="s">
        <v>935</v>
      </c>
      <c r="F140" s="185" t="s">
        <v>135</v>
      </c>
      <c r="G140" s="185" t="s">
        <v>1761</v>
      </c>
      <c r="H140" s="237" t="s">
        <v>936</v>
      </c>
      <c r="I140" s="185" t="s">
        <v>1762</v>
      </c>
      <c r="J140" s="185" t="s">
        <v>1762</v>
      </c>
      <c r="K140" s="185" t="s">
        <v>1762</v>
      </c>
      <c r="L140" s="185" t="s">
        <v>85</v>
      </c>
      <c r="M140" s="196" t="s">
        <v>749</v>
      </c>
      <c r="N140" s="185" t="s">
        <v>714</v>
      </c>
      <c r="O140" s="238">
        <v>44105.0</v>
      </c>
      <c r="P140" s="239" t="s">
        <v>1763</v>
      </c>
      <c r="Q140" s="239" t="s">
        <v>1764</v>
      </c>
      <c r="R140" s="240" t="s">
        <v>782</v>
      </c>
      <c r="S140" s="196" t="s">
        <v>782</v>
      </c>
      <c r="T140" s="196" t="s">
        <v>1765</v>
      </c>
    </row>
    <row r="141">
      <c r="A141" s="182" t="s">
        <v>1331</v>
      </c>
      <c r="B141" s="203" t="s">
        <v>66</v>
      </c>
      <c r="C141" s="173" t="s">
        <v>66</v>
      </c>
      <c r="D141" s="173" t="s">
        <v>1834</v>
      </c>
      <c r="E141" s="196" t="s">
        <v>937</v>
      </c>
      <c r="F141" s="185" t="s">
        <v>135</v>
      </c>
      <c r="G141" s="185" t="s">
        <v>1761</v>
      </c>
      <c r="H141" s="237" t="s">
        <v>938</v>
      </c>
      <c r="I141" s="185" t="s">
        <v>1762</v>
      </c>
      <c r="J141" s="185" t="s">
        <v>1762</v>
      </c>
      <c r="K141" s="185" t="s">
        <v>1762</v>
      </c>
      <c r="L141" s="185" t="s">
        <v>85</v>
      </c>
      <c r="M141" s="196" t="s">
        <v>749</v>
      </c>
      <c r="N141" s="185" t="s">
        <v>714</v>
      </c>
      <c r="O141" s="238">
        <v>44105.0</v>
      </c>
      <c r="P141" s="239" t="s">
        <v>1763</v>
      </c>
      <c r="Q141" s="239" t="s">
        <v>1764</v>
      </c>
      <c r="R141" s="240" t="s">
        <v>782</v>
      </c>
      <c r="S141" s="196" t="s">
        <v>782</v>
      </c>
      <c r="T141" s="196" t="s">
        <v>1765</v>
      </c>
    </row>
    <row r="142">
      <c r="A142" s="182" t="s">
        <v>531</v>
      </c>
      <c r="B142" s="203" t="s">
        <v>66</v>
      </c>
      <c r="C142" s="173" t="s">
        <v>66</v>
      </c>
      <c r="D142" s="173" t="s">
        <v>1835</v>
      </c>
      <c r="E142" s="196" t="s">
        <v>943</v>
      </c>
      <c r="F142" s="185" t="s">
        <v>135</v>
      </c>
      <c r="G142" s="185" t="s">
        <v>1500</v>
      </c>
      <c r="H142" s="237" t="b">
        <v>1</v>
      </c>
      <c r="I142" s="185" t="s">
        <v>1762</v>
      </c>
      <c r="J142" s="185" t="s">
        <v>1762</v>
      </c>
      <c r="K142" s="185" t="s">
        <v>1762</v>
      </c>
      <c r="L142" s="185" t="s">
        <v>85</v>
      </c>
      <c r="M142" s="196" t="s">
        <v>749</v>
      </c>
      <c r="N142" s="185" t="s">
        <v>714</v>
      </c>
      <c r="O142" s="238">
        <v>44136.0</v>
      </c>
      <c r="P142" s="239" t="s">
        <v>1763</v>
      </c>
      <c r="Q142" s="239" t="s">
        <v>1764</v>
      </c>
      <c r="R142" s="240" t="s">
        <v>782</v>
      </c>
      <c r="S142" s="196" t="s">
        <v>782</v>
      </c>
      <c r="T142" s="196" t="s">
        <v>1765</v>
      </c>
    </row>
    <row r="143">
      <c r="A143" s="182" t="s">
        <v>533</v>
      </c>
      <c r="B143" s="203" t="s">
        <v>66</v>
      </c>
      <c r="C143" s="173" t="s">
        <v>66</v>
      </c>
      <c r="D143" s="173" t="s">
        <v>1836</v>
      </c>
      <c r="E143" s="196" t="s">
        <v>944</v>
      </c>
      <c r="F143" s="185" t="s">
        <v>135</v>
      </c>
      <c r="G143" s="185" t="s">
        <v>1761</v>
      </c>
      <c r="H143" s="237" t="s">
        <v>936</v>
      </c>
      <c r="I143" s="185" t="s">
        <v>1762</v>
      </c>
      <c r="J143" s="185" t="s">
        <v>1762</v>
      </c>
      <c r="K143" s="185" t="s">
        <v>1762</v>
      </c>
      <c r="L143" s="185" t="s">
        <v>85</v>
      </c>
      <c r="M143" s="196" t="s">
        <v>749</v>
      </c>
      <c r="N143" s="185" t="s">
        <v>714</v>
      </c>
      <c r="O143" s="238">
        <v>44136.0</v>
      </c>
      <c r="P143" s="239" t="s">
        <v>1763</v>
      </c>
      <c r="Q143" s="239" t="s">
        <v>1764</v>
      </c>
      <c r="R143" s="240" t="s">
        <v>782</v>
      </c>
      <c r="S143" s="196" t="s">
        <v>782</v>
      </c>
      <c r="T143" s="196" t="s">
        <v>1765</v>
      </c>
    </row>
    <row r="144">
      <c r="A144" s="182" t="s">
        <v>535</v>
      </c>
      <c r="B144" s="203" t="s">
        <v>66</v>
      </c>
      <c r="C144" s="173" t="s">
        <v>66</v>
      </c>
      <c r="D144" s="173" t="s">
        <v>1837</v>
      </c>
      <c r="E144" s="196" t="s">
        <v>945</v>
      </c>
      <c r="F144" s="185" t="s">
        <v>135</v>
      </c>
      <c r="G144" s="185" t="s">
        <v>1761</v>
      </c>
      <c r="H144" s="237" t="s">
        <v>946</v>
      </c>
      <c r="I144" s="185" t="s">
        <v>1762</v>
      </c>
      <c r="J144" s="185" t="s">
        <v>1762</v>
      </c>
      <c r="K144" s="185" t="s">
        <v>1762</v>
      </c>
      <c r="L144" s="185" t="s">
        <v>85</v>
      </c>
      <c r="M144" s="196" t="s">
        <v>749</v>
      </c>
      <c r="N144" s="185" t="s">
        <v>714</v>
      </c>
      <c r="O144" s="238">
        <v>44136.0</v>
      </c>
      <c r="P144" s="239" t="s">
        <v>1763</v>
      </c>
      <c r="Q144" s="239" t="s">
        <v>1764</v>
      </c>
      <c r="R144" s="240" t="s">
        <v>782</v>
      </c>
      <c r="S144" s="196" t="s">
        <v>782</v>
      </c>
      <c r="T144" s="196" t="s">
        <v>1765</v>
      </c>
    </row>
    <row r="145">
      <c r="A145" s="182" t="s">
        <v>538</v>
      </c>
      <c r="B145" s="203" t="s">
        <v>66</v>
      </c>
      <c r="C145" s="173" t="s">
        <v>66</v>
      </c>
      <c r="D145" s="173" t="s">
        <v>1838</v>
      </c>
      <c r="E145" s="196" t="s">
        <v>947</v>
      </c>
      <c r="F145" s="185" t="s">
        <v>135</v>
      </c>
      <c r="G145" s="185" t="s">
        <v>1500</v>
      </c>
      <c r="H145" s="237" t="b">
        <v>1</v>
      </c>
      <c r="I145" s="185" t="s">
        <v>1762</v>
      </c>
      <c r="J145" s="185" t="s">
        <v>1762</v>
      </c>
      <c r="K145" s="185" t="s">
        <v>1762</v>
      </c>
      <c r="L145" s="185" t="s">
        <v>85</v>
      </c>
      <c r="M145" s="196" t="s">
        <v>749</v>
      </c>
      <c r="N145" s="185" t="s">
        <v>714</v>
      </c>
      <c r="O145" s="238">
        <v>44136.0</v>
      </c>
      <c r="P145" s="239" t="s">
        <v>1763</v>
      </c>
      <c r="Q145" s="239" t="s">
        <v>1764</v>
      </c>
      <c r="R145" s="240" t="s">
        <v>782</v>
      </c>
      <c r="S145" s="196" t="s">
        <v>782</v>
      </c>
      <c r="T145" s="196" t="s">
        <v>1765</v>
      </c>
    </row>
    <row r="146">
      <c r="A146" s="182" t="s">
        <v>540</v>
      </c>
      <c r="B146" s="203" t="s">
        <v>66</v>
      </c>
      <c r="C146" s="173" t="s">
        <v>66</v>
      </c>
      <c r="D146" s="173" t="s">
        <v>1839</v>
      </c>
      <c r="E146" s="196" t="s">
        <v>948</v>
      </c>
      <c r="F146" s="185" t="s">
        <v>135</v>
      </c>
      <c r="G146" s="185" t="s">
        <v>1761</v>
      </c>
      <c r="H146" s="237" t="s">
        <v>936</v>
      </c>
      <c r="I146" s="185" t="s">
        <v>1762</v>
      </c>
      <c r="J146" s="185" t="s">
        <v>1762</v>
      </c>
      <c r="K146" s="185" t="s">
        <v>1762</v>
      </c>
      <c r="L146" s="185" t="s">
        <v>85</v>
      </c>
      <c r="M146" s="196" t="s">
        <v>749</v>
      </c>
      <c r="N146" s="185" t="s">
        <v>714</v>
      </c>
      <c r="O146" s="238">
        <v>44136.0</v>
      </c>
      <c r="P146" s="239" t="s">
        <v>1763</v>
      </c>
      <c r="Q146" s="239" t="s">
        <v>1764</v>
      </c>
      <c r="R146" s="240" t="s">
        <v>782</v>
      </c>
      <c r="S146" s="196" t="s">
        <v>782</v>
      </c>
      <c r="T146" s="196" t="s">
        <v>1765</v>
      </c>
    </row>
    <row r="147">
      <c r="A147" s="182" t="s">
        <v>542</v>
      </c>
      <c r="B147" s="203" t="s">
        <v>66</v>
      </c>
      <c r="C147" s="173" t="s">
        <v>66</v>
      </c>
      <c r="D147" s="173" t="s">
        <v>1840</v>
      </c>
      <c r="E147" s="196" t="s">
        <v>949</v>
      </c>
      <c r="F147" s="185" t="s">
        <v>135</v>
      </c>
      <c r="G147" s="185" t="s">
        <v>1761</v>
      </c>
      <c r="H147" s="237" t="s">
        <v>950</v>
      </c>
      <c r="I147" s="185" t="s">
        <v>1762</v>
      </c>
      <c r="J147" s="185" t="s">
        <v>1762</v>
      </c>
      <c r="K147" s="185" t="s">
        <v>1762</v>
      </c>
      <c r="L147" s="185" t="s">
        <v>85</v>
      </c>
      <c r="M147" s="196" t="s">
        <v>749</v>
      </c>
      <c r="N147" s="185" t="s">
        <v>714</v>
      </c>
      <c r="O147" s="238">
        <v>44136.0</v>
      </c>
      <c r="P147" s="239" t="s">
        <v>1763</v>
      </c>
      <c r="Q147" s="239" t="s">
        <v>1764</v>
      </c>
      <c r="R147" s="240" t="s">
        <v>782</v>
      </c>
      <c r="S147" s="196" t="s">
        <v>782</v>
      </c>
      <c r="T147" s="196" t="s">
        <v>1765</v>
      </c>
    </row>
    <row r="148">
      <c r="A148" s="182" t="s">
        <v>545</v>
      </c>
      <c r="B148" s="203" t="s">
        <v>66</v>
      </c>
      <c r="C148" s="173" t="s">
        <v>66</v>
      </c>
      <c r="D148" s="173" t="s">
        <v>1841</v>
      </c>
      <c r="E148" s="196" t="s">
        <v>951</v>
      </c>
      <c r="F148" s="185" t="s">
        <v>135</v>
      </c>
      <c r="G148" s="185" t="s">
        <v>1500</v>
      </c>
      <c r="H148" s="237" t="b">
        <v>1</v>
      </c>
      <c r="I148" s="185" t="s">
        <v>1762</v>
      </c>
      <c r="J148" s="185" t="s">
        <v>1762</v>
      </c>
      <c r="K148" s="185" t="s">
        <v>1762</v>
      </c>
      <c r="L148" s="185" t="s">
        <v>85</v>
      </c>
      <c r="M148" s="196" t="s">
        <v>749</v>
      </c>
      <c r="N148" s="185" t="s">
        <v>714</v>
      </c>
      <c r="O148" s="238">
        <v>44136.0</v>
      </c>
      <c r="P148" s="239" t="s">
        <v>1763</v>
      </c>
      <c r="Q148" s="239" t="s">
        <v>1764</v>
      </c>
      <c r="R148" s="240" t="s">
        <v>782</v>
      </c>
      <c r="S148" s="196" t="s">
        <v>782</v>
      </c>
      <c r="T148" s="196" t="s">
        <v>1765</v>
      </c>
    </row>
    <row r="149">
      <c r="A149" s="182" t="s">
        <v>547</v>
      </c>
      <c r="B149" s="203" t="s">
        <v>66</v>
      </c>
      <c r="C149" s="173" t="s">
        <v>66</v>
      </c>
      <c r="D149" s="173" t="s">
        <v>1842</v>
      </c>
      <c r="E149" s="196" t="s">
        <v>952</v>
      </c>
      <c r="F149" s="185" t="s">
        <v>135</v>
      </c>
      <c r="G149" s="185" t="s">
        <v>1761</v>
      </c>
      <c r="H149" s="237" t="s">
        <v>936</v>
      </c>
      <c r="I149" s="185" t="s">
        <v>1762</v>
      </c>
      <c r="J149" s="185" t="s">
        <v>1762</v>
      </c>
      <c r="K149" s="185" t="s">
        <v>1762</v>
      </c>
      <c r="L149" s="185" t="s">
        <v>85</v>
      </c>
      <c r="M149" s="196" t="s">
        <v>749</v>
      </c>
      <c r="N149" s="185" t="s">
        <v>714</v>
      </c>
      <c r="O149" s="238">
        <v>44136.0</v>
      </c>
      <c r="P149" s="239" t="s">
        <v>1763</v>
      </c>
      <c r="Q149" s="239" t="s">
        <v>1764</v>
      </c>
      <c r="R149" s="240" t="s">
        <v>782</v>
      </c>
      <c r="S149" s="196" t="s">
        <v>782</v>
      </c>
      <c r="T149" s="196" t="s">
        <v>1765</v>
      </c>
    </row>
    <row r="150">
      <c r="A150" s="182" t="s">
        <v>550</v>
      </c>
      <c r="B150" s="203" t="s">
        <v>66</v>
      </c>
      <c r="C150" s="173" t="s">
        <v>66</v>
      </c>
      <c r="D150" s="173" t="s">
        <v>1843</v>
      </c>
      <c r="E150" s="196" t="s">
        <v>953</v>
      </c>
      <c r="F150" s="185" t="s">
        <v>135</v>
      </c>
      <c r="G150" s="185" t="s">
        <v>1761</v>
      </c>
      <c r="H150" s="237" t="s">
        <v>954</v>
      </c>
      <c r="I150" s="185" t="s">
        <v>1762</v>
      </c>
      <c r="J150" s="185" t="s">
        <v>1762</v>
      </c>
      <c r="K150" s="185" t="s">
        <v>1762</v>
      </c>
      <c r="L150" s="185" t="s">
        <v>85</v>
      </c>
      <c r="M150" s="196" t="s">
        <v>749</v>
      </c>
      <c r="N150" s="185" t="s">
        <v>714</v>
      </c>
      <c r="O150" s="238">
        <v>44136.0</v>
      </c>
      <c r="P150" s="239" t="s">
        <v>1763</v>
      </c>
      <c r="Q150" s="239" t="s">
        <v>1764</v>
      </c>
      <c r="R150" s="240" t="s">
        <v>782</v>
      </c>
      <c r="S150" s="196" t="s">
        <v>782</v>
      </c>
      <c r="T150" s="196" t="s">
        <v>1765</v>
      </c>
    </row>
    <row r="151">
      <c r="A151" s="182" t="s">
        <v>553</v>
      </c>
      <c r="B151" s="203" t="s">
        <v>66</v>
      </c>
      <c r="C151" s="173" t="s">
        <v>66</v>
      </c>
      <c r="D151" s="173" t="s">
        <v>1844</v>
      </c>
      <c r="E151" s="196" t="s">
        <v>955</v>
      </c>
      <c r="F151" s="185" t="s">
        <v>135</v>
      </c>
      <c r="G151" s="185" t="s">
        <v>1500</v>
      </c>
      <c r="H151" s="237" t="b">
        <v>1</v>
      </c>
      <c r="I151" s="185" t="s">
        <v>1762</v>
      </c>
      <c r="J151" s="185" t="s">
        <v>1762</v>
      </c>
      <c r="K151" s="185" t="s">
        <v>1762</v>
      </c>
      <c r="L151" s="185" t="s">
        <v>85</v>
      </c>
      <c r="M151" s="196" t="s">
        <v>749</v>
      </c>
      <c r="N151" s="185" t="s">
        <v>714</v>
      </c>
      <c r="O151" s="238">
        <v>44105.0</v>
      </c>
      <c r="P151" s="239" t="s">
        <v>1763</v>
      </c>
      <c r="Q151" s="239" t="s">
        <v>1764</v>
      </c>
      <c r="R151" s="240" t="s">
        <v>782</v>
      </c>
      <c r="S151" s="196" t="s">
        <v>782</v>
      </c>
      <c r="T151" s="196" t="s">
        <v>1765</v>
      </c>
    </row>
    <row r="152">
      <c r="A152" s="182" t="s">
        <v>555</v>
      </c>
      <c r="B152" s="203" t="s">
        <v>66</v>
      </c>
      <c r="C152" s="173" t="s">
        <v>66</v>
      </c>
      <c r="D152" s="173" t="s">
        <v>1845</v>
      </c>
      <c r="E152" s="196" t="s">
        <v>956</v>
      </c>
      <c r="F152" s="185" t="s">
        <v>135</v>
      </c>
      <c r="G152" s="185" t="s">
        <v>1761</v>
      </c>
      <c r="H152" s="237" t="s">
        <v>936</v>
      </c>
      <c r="I152" s="185" t="s">
        <v>1762</v>
      </c>
      <c r="J152" s="185" t="s">
        <v>1762</v>
      </c>
      <c r="K152" s="185" t="s">
        <v>1762</v>
      </c>
      <c r="L152" s="185" t="s">
        <v>85</v>
      </c>
      <c r="M152" s="196" t="s">
        <v>749</v>
      </c>
      <c r="N152" s="185" t="s">
        <v>714</v>
      </c>
      <c r="O152" s="238">
        <v>44105.0</v>
      </c>
      <c r="P152" s="239" t="s">
        <v>1763</v>
      </c>
      <c r="Q152" s="239" t="s">
        <v>1764</v>
      </c>
      <c r="R152" s="240" t="s">
        <v>782</v>
      </c>
      <c r="S152" s="196" t="s">
        <v>782</v>
      </c>
      <c r="T152" s="196" t="s">
        <v>1765</v>
      </c>
    </row>
    <row r="153">
      <c r="A153" s="182" t="s">
        <v>557</v>
      </c>
      <c r="B153" s="203" t="s">
        <v>66</v>
      </c>
      <c r="C153" s="173" t="s">
        <v>66</v>
      </c>
      <c r="D153" s="173" t="s">
        <v>1846</v>
      </c>
      <c r="E153" s="196" t="s">
        <v>957</v>
      </c>
      <c r="F153" s="185" t="s">
        <v>135</v>
      </c>
      <c r="G153" s="185" t="s">
        <v>1761</v>
      </c>
      <c r="H153" s="237" t="s">
        <v>958</v>
      </c>
      <c r="I153" s="185" t="s">
        <v>1762</v>
      </c>
      <c r="J153" s="185" t="s">
        <v>1762</v>
      </c>
      <c r="K153" s="185" t="s">
        <v>1762</v>
      </c>
      <c r="L153" s="185" t="s">
        <v>85</v>
      </c>
      <c r="M153" s="196" t="s">
        <v>749</v>
      </c>
      <c r="N153" s="185" t="s">
        <v>714</v>
      </c>
      <c r="O153" s="238">
        <v>44105.0</v>
      </c>
      <c r="P153" s="239" t="s">
        <v>1763</v>
      </c>
      <c r="Q153" s="239" t="s">
        <v>1764</v>
      </c>
      <c r="R153" s="240" t="s">
        <v>782</v>
      </c>
      <c r="S153" s="196" t="s">
        <v>782</v>
      </c>
      <c r="T153" s="196" t="s">
        <v>1765</v>
      </c>
    </row>
    <row r="154">
      <c r="A154" s="182" t="s">
        <v>560</v>
      </c>
      <c r="B154" s="203" t="s">
        <v>66</v>
      </c>
      <c r="C154" s="173" t="s">
        <v>66</v>
      </c>
      <c r="D154" s="173" t="s">
        <v>1847</v>
      </c>
      <c r="E154" s="196" t="s">
        <v>959</v>
      </c>
      <c r="F154" s="185" t="s">
        <v>135</v>
      </c>
      <c r="G154" s="185" t="s">
        <v>1500</v>
      </c>
      <c r="H154" s="237" t="b">
        <v>1</v>
      </c>
      <c r="I154" s="185" t="s">
        <v>1762</v>
      </c>
      <c r="J154" s="185" t="s">
        <v>1762</v>
      </c>
      <c r="K154" s="185" t="s">
        <v>1762</v>
      </c>
      <c r="L154" s="185" t="s">
        <v>85</v>
      </c>
      <c r="M154" s="196" t="s">
        <v>749</v>
      </c>
      <c r="N154" s="185" t="s">
        <v>714</v>
      </c>
      <c r="O154" s="238">
        <v>44136.0</v>
      </c>
      <c r="P154" s="239" t="s">
        <v>1763</v>
      </c>
      <c r="Q154" s="239" t="s">
        <v>1764</v>
      </c>
      <c r="R154" s="240" t="s">
        <v>782</v>
      </c>
      <c r="S154" s="196" t="s">
        <v>782</v>
      </c>
      <c r="T154" s="196" t="s">
        <v>1765</v>
      </c>
    </row>
    <row r="155">
      <c r="A155" s="182" t="s">
        <v>562</v>
      </c>
      <c r="B155" s="203" t="s">
        <v>66</v>
      </c>
      <c r="C155" s="173" t="s">
        <v>66</v>
      </c>
      <c r="D155" s="173" t="s">
        <v>1848</v>
      </c>
      <c r="E155" s="196" t="s">
        <v>960</v>
      </c>
      <c r="F155" s="185" t="s">
        <v>135</v>
      </c>
      <c r="G155" s="185" t="s">
        <v>1761</v>
      </c>
      <c r="H155" s="237" t="s">
        <v>936</v>
      </c>
      <c r="I155" s="185" t="s">
        <v>1762</v>
      </c>
      <c r="J155" s="185" t="s">
        <v>1762</v>
      </c>
      <c r="K155" s="185" t="s">
        <v>1762</v>
      </c>
      <c r="L155" s="185" t="s">
        <v>85</v>
      </c>
      <c r="M155" s="196" t="s">
        <v>749</v>
      </c>
      <c r="N155" s="185" t="s">
        <v>714</v>
      </c>
      <c r="O155" s="238">
        <v>44136.0</v>
      </c>
      <c r="P155" s="239" t="s">
        <v>1763</v>
      </c>
      <c r="Q155" s="239" t="s">
        <v>1764</v>
      </c>
      <c r="R155" s="240" t="s">
        <v>782</v>
      </c>
      <c r="S155" s="196" t="s">
        <v>782</v>
      </c>
      <c r="T155" s="196" t="s">
        <v>1765</v>
      </c>
    </row>
    <row r="156">
      <c r="A156" s="182" t="s">
        <v>564</v>
      </c>
      <c r="B156" s="203" t="s">
        <v>66</v>
      </c>
      <c r="C156" s="173" t="s">
        <v>66</v>
      </c>
      <c r="D156" s="173" t="s">
        <v>1849</v>
      </c>
      <c r="E156" s="196" t="s">
        <v>961</v>
      </c>
      <c r="F156" s="185" t="s">
        <v>135</v>
      </c>
      <c r="G156" s="185" t="s">
        <v>1761</v>
      </c>
      <c r="H156" s="237" t="s">
        <v>962</v>
      </c>
      <c r="I156" s="185" t="s">
        <v>1762</v>
      </c>
      <c r="J156" s="185" t="s">
        <v>1762</v>
      </c>
      <c r="K156" s="185" t="s">
        <v>1762</v>
      </c>
      <c r="L156" s="185" t="s">
        <v>85</v>
      </c>
      <c r="M156" s="196" t="s">
        <v>749</v>
      </c>
      <c r="N156" s="185" t="s">
        <v>714</v>
      </c>
      <c r="O156" s="238">
        <v>44136.0</v>
      </c>
      <c r="P156" s="239" t="s">
        <v>1763</v>
      </c>
      <c r="Q156" s="239" t="s">
        <v>1764</v>
      </c>
      <c r="R156" s="240" t="s">
        <v>782</v>
      </c>
      <c r="S156" s="196" t="s">
        <v>782</v>
      </c>
      <c r="T156" s="196" t="s">
        <v>1765</v>
      </c>
    </row>
    <row r="157">
      <c r="A157" s="182" t="s">
        <v>567</v>
      </c>
      <c r="B157" s="203" t="s">
        <v>66</v>
      </c>
      <c r="C157" s="173" t="s">
        <v>66</v>
      </c>
      <c r="D157" s="173" t="s">
        <v>1850</v>
      </c>
      <c r="E157" s="196" t="s">
        <v>963</v>
      </c>
      <c r="F157" s="185" t="s">
        <v>135</v>
      </c>
      <c r="G157" s="185" t="s">
        <v>1500</v>
      </c>
      <c r="H157" s="237" t="b">
        <v>1</v>
      </c>
      <c r="I157" s="185" t="s">
        <v>1762</v>
      </c>
      <c r="J157" s="185" t="s">
        <v>1762</v>
      </c>
      <c r="K157" s="185" t="s">
        <v>1762</v>
      </c>
      <c r="L157" s="185" t="s">
        <v>85</v>
      </c>
      <c r="M157" s="196" t="s">
        <v>749</v>
      </c>
      <c r="N157" s="185" t="s">
        <v>714</v>
      </c>
      <c r="O157" s="238">
        <v>44136.0</v>
      </c>
      <c r="P157" s="239" t="s">
        <v>1763</v>
      </c>
      <c r="Q157" s="239" t="s">
        <v>1764</v>
      </c>
      <c r="R157" s="240" t="s">
        <v>782</v>
      </c>
      <c r="S157" s="196" t="s">
        <v>782</v>
      </c>
      <c r="T157" s="196" t="s">
        <v>1765</v>
      </c>
    </row>
    <row r="158">
      <c r="A158" s="182" t="s">
        <v>569</v>
      </c>
      <c r="B158" s="203" t="s">
        <v>66</v>
      </c>
      <c r="C158" s="173" t="s">
        <v>66</v>
      </c>
      <c r="D158" s="173" t="s">
        <v>1851</v>
      </c>
      <c r="E158" s="196" t="s">
        <v>964</v>
      </c>
      <c r="F158" s="185" t="s">
        <v>135</v>
      </c>
      <c r="G158" s="185" t="s">
        <v>1761</v>
      </c>
      <c r="H158" s="237" t="s">
        <v>936</v>
      </c>
      <c r="I158" s="185" t="s">
        <v>1762</v>
      </c>
      <c r="J158" s="185" t="s">
        <v>1762</v>
      </c>
      <c r="K158" s="185" t="s">
        <v>1762</v>
      </c>
      <c r="L158" s="185" t="s">
        <v>85</v>
      </c>
      <c r="M158" s="196" t="s">
        <v>749</v>
      </c>
      <c r="N158" s="185" t="s">
        <v>714</v>
      </c>
      <c r="O158" s="238">
        <v>44136.0</v>
      </c>
      <c r="P158" s="239" t="s">
        <v>1763</v>
      </c>
      <c r="Q158" s="239" t="s">
        <v>1764</v>
      </c>
      <c r="R158" s="240" t="s">
        <v>782</v>
      </c>
      <c r="S158" s="196" t="s">
        <v>782</v>
      </c>
      <c r="T158" s="196" t="s">
        <v>1765</v>
      </c>
    </row>
    <row r="159">
      <c r="A159" s="182" t="s">
        <v>571</v>
      </c>
      <c r="B159" s="203" t="s">
        <v>66</v>
      </c>
      <c r="C159" s="173" t="s">
        <v>66</v>
      </c>
      <c r="D159" s="173" t="s">
        <v>1852</v>
      </c>
      <c r="E159" s="196" t="s">
        <v>965</v>
      </c>
      <c r="F159" s="185" t="s">
        <v>135</v>
      </c>
      <c r="G159" s="185" t="s">
        <v>1761</v>
      </c>
      <c r="H159" s="237" t="s">
        <v>966</v>
      </c>
      <c r="I159" s="185" t="s">
        <v>1762</v>
      </c>
      <c r="J159" s="185" t="s">
        <v>1762</v>
      </c>
      <c r="K159" s="185" t="s">
        <v>1762</v>
      </c>
      <c r="L159" s="185" t="s">
        <v>85</v>
      </c>
      <c r="M159" s="196" t="s">
        <v>749</v>
      </c>
      <c r="N159" s="185" t="s">
        <v>714</v>
      </c>
      <c r="O159" s="238">
        <v>44136.0</v>
      </c>
      <c r="P159" s="239" t="s">
        <v>1763</v>
      </c>
      <c r="Q159" s="239" t="s">
        <v>1764</v>
      </c>
      <c r="R159" s="240" t="s">
        <v>782</v>
      </c>
      <c r="S159" s="196" t="s">
        <v>782</v>
      </c>
      <c r="T159" s="196" t="s">
        <v>1765</v>
      </c>
    </row>
    <row r="160">
      <c r="A160" s="182" t="s">
        <v>574</v>
      </c>
      <c r="B160" s="203" t="s">
        <v>66</v>
      </c>
      <c r="C160" s="173" t="s">
        <v>66</v>
      </c>
      <c r="D160" s="173" t="s">
        <v>1853</v>
      </c>
      <c r="E160" s="196" t="s">
        <v>967</v>
      </c>
      <c r="F160" s="185" t="s">
        <v>135</v>
      </c>
      <c r="G160" s="185" t="s">
        <v>1500</v>
      </c>
      <c r="H160" s="237" t="b">
        <v>1</v>
      </c>
      <c r="I160" s="185" t="s">
        <v>1762</v>
      </c>
      <c r="J160" s="185" t="s">
        <v>1762</v>
      </c>
      <c r="K160" s="185" t="s">
        <v>1762</v>
      </c>
      <c r="L160" s="185" t="s">
        <v>85</v>
      </c>
      <c r="M160" s="196" t="s">
        <v>749</v>
      </c>
      <c r="N160" s="185" t="s">
        <v>714</v>
      </c>
      <c r="O160" s="238">
        <v>44136.0</v>
      </c>
      <c r="P160" s="239" t="s">
        <v>1763</v>
      </c>
      <c r="Q160" s="239" t="s">
        <v>1764</v>
      </c>
      <c r="R160" s="240" t="s">
        <v>782</v>
      </c>
      <c r="S160" s="196" t="s">
        <v>782</v>
      </c>
      <c r="T160" s="196" t="s">
        <v>1765</v>
      </c>
    </row>
    <row r="161">
      <c r="A161" s="182" t="s">
        <v>576</v>
      </c>
      <c r="B161" s="203" t="s">
        <v>66</v>
      </c>
      <c r="C161" s="173" t="s">
        <v>66</v>
      </c>
      <c r="D161" s="173" t="s">
        <v>1854</v>
      </c>
      <c r="E161" s="196" t="s">
        <v>968</v>
      </c>
      <c r="F161" s="185" t="s">
        <v>135</v>
      </c>
      <c r="G161" s="185" t="s">
        <v>1761</v>
      </c>
      <c r="H161" s="237" t="s">
        <v>936</v>
      </c>
      <c r="I161" s="185" t="s">
        <v>1762</v>
      </c>
      <c r="J161" s="185" t="s">
        <v>1762</v>
      </c>
      <c r="K161" s="185" t="s">
        <v>1762</v>
      </c>
      <c r="L161" s="185" t="s">
        <v>85</v>
      </c>
      <c r="M161" s="196" t="s">
        <v>749</v>
      </c>
      <c r="N161" s="185" t="s">
        <v>714</v>
      </c>
      <c r="O161" s="238">
        <v>44136.0</v>
      </c>
      <c r="P161" s="239" t="s">
        <v>1763</v>
      </c>
      <c r="Q161" s="239" t="s">
        <v>1764</v>
      </c>
      <c r="R161" s="240" t="s">
        <v>782</v>
      </c>
      <c r="S161" s="196" t="s">
        <v>782</v>
      </c>
      <c r="T161" s="196" t="s">
        <v>1765</v>
      </c>
    </row>
    <row r="162">
      <c r="A162" s="182" t="s">
        <v>578</v>
      </c>
      <c r="B162" s="203" t="s">
        <v>66</v>
      </c>
      <c r="C162" s="173" t="s">
        <v>66</v>
      </c>
      <c r="D162" s="173" t="s">
        <v>1855</v>
      </c>
      <c r="E162" s="196" t="s">
        <v>969</v>
      </c>
      <c r="F162" s="185" t="s">
        <v>135</v>
      </c>
      <c r="G162" s="185" t="s">
        <v>1761</v>
      </c>
      <c r="H162" s="237" t="s">
        <v>970</v>
      </c>
      <c r="I162" s="185" t="s">
        <v>1762</v>
      </c>
      <c r="J162" s="185" t="s">
        <v>1762</v>
      </c>
      <c r="K162" s="185" t="s">
        <v>1762</v>
      </c>
      <c r="L162" s="185" t="s">
        <v>85</v>
      </c>
      <c r="M162" s="196" t="s">
        <v>749</v>
      </c>
      <c r="N162" s="185" t="s">
        <v>714</v>
      </c>
      <c r="O162" s="238">
        <v>44136.0</v>
      </c>
      <c r="P162" s="239" t="s">
        <v>1763</v>
      </c>
      <c r="Q162" s="239" t="s">
        <v>1764</v>
      </c>
      <c r="R162" s="240" t="s">
        <v>782</v>
      </c>
      <c r="S162" s="196" t="s">
        <v>782</v>
      </c>
      <c r="T162" s="196" t="s">
        <v>1765</v>
      </c>
    </row>
    <row r="163">
      <c r="A163" s="182" t="s">
        <v>581</v>
      </c>
      <c r="B163" s="203" t="s">
        <v>66</v>
      </c>
      <c r="C163" s="173" t="s">
        <v>66</v>
      </c>
      <c r="D163" s="173" t="s">
        <v>1856</v>
      </c>
      <c r="E163" s="196" t="s">
        <v>971</v>
      </c>
      <c r="F163" s="185" t="s">
        <v>135</v>
      </c>
      <c r="G163" s="185" t="s">
        <v>1500</v>
      </c>
      <c r="H163" s="237" t="b">
        <v>1</v>
      </c>
      <c r="I163" s="185" t="s">
        <v>1762</v>
      </c>
      <c r="J163" s="185" t="s">
        <v>1762</v>
      </c>
      <c r="K163" s="185" t="s">
        <v>1762</v>
      </c>
      <c r="L163" s="185" t="s">
        <v>85</v>
      </c>
      <c r="M163" s="196" t="s">
        <v>749</v>
      </c>
      <c r="N163" s="185" t="s">
        <v>714</v>
      </c>
      <c r="O163" s="238">
        <v>44105.0</v>
      </c>
      <c r="P163" s="239" t="s">
        <v>1763</v>
      </c>
      <c r="Q163" s="239" t="s">
        <v>1764</v>
      </c>
      <c r="R163" s="240" t="s">
        <v>782</v>
      </c>
      <c r="S163" s="196" t="s">
        <v>782</v>
      </c>
      <c r="T163" s="196" t="s">
        <v>1765</v>
      </c>
    </row>
    <row r="164">
      <c r="A164" s="182" t="s">
        <v>583</v>
      </c>
      <c r="B164" s="203" t="s">
        <v>66</v>
      </c>
      <c r="C164" s="173" t="s">
        <v>66</v>
      </c>
      <c r="D164" s="173" t="s">
        <v>1857</v>
      </c>
      <c r="E164" s="196" t="s">
        <v>972</v>
      </c>
      <c r="F164" s="185" t="s">
        <v>135</v>
      </c>
      <c r="G164" s="185" t="s">
        <v>1858</v>
      </c>
      <c r="H164" s="237" t="s">
        <v>936</v>
      </c>
      <c r="I164" s="185" t="s">
        <v>1762</v>
      </c>
      <c r="J164" s="185" t="s">
        <v>1762</v>
      </c>
      <c r="K164" s="185" t="s">
        <v>1762</v>
      </c>
      <c r="L164" s="185" t="s">
        <v>85</v>
      </c>
      <c r="M164" s="196" t="s">
        <v>749</v>
      </c>
      <c r="N164" s="185" t="s">
        <v>714</v>
      </c>
      <c r="O164" s="238">
        <v>44105.0</v>
      </c>
      <c r="P164" s="239" t="s">
        <v>1763</v>
      </c>
      <c r="Q164" s="239" t="s">
        <v>1764</v>
      </c>
      <c r="R164" s="240" t="s">
        <v>782</v>
      </c>
      <c r="S164" s="196" t="s">
        <v>782</v>
      </c>
      <c r="T164" s="196" t="s">
        <v>1765</v>
      </c>
    </row>
    <row r="165">
      <c r="A165" s="182" t="s">
        <v>585</v>
      </c>
      <c r="B165" s="203" t="s">
        <v>66</v>
      </c>
      <c r="C165" s="173" t="s">
        <v>66</v>
      </c>
      <c r="D165" s="173" t="s">
        <v>1859</v>
      </c>
      <c r="E165" s="196" t="s">
        <v>973</v>
      </c>
      <c r="F165" s="185" t="s">
        <v>135</v>
      </c>
      <c r="G165" s="185" t="s">
        <v>1761</v>
      </c>
      <c r="H165" s="237" t="s">
        <v>974</v>
      </c>
      <c r="I165" s="185" t="s">
        <v>1762</v>
      </c>
      <c r="J165" s="185" t="s">
        <v>1762</v>
      </c>
      <c r="K165" s="185" t="s">
        <v>1762</v>
      </c>
      <c r="L165" s="185" t="s">
        <v>85</v>
      </c>
      <c r="M165" s="196" t="s">
        <v>749</v>
      </c>
      <c r="N165" s="185" t="s">
        <v>714</v>
      </c>
      <c r="O165" s="238">
        <v>44105.0</v>
      </c>
      <c r="P165" s="239" t="s">
        <v>1763</v>
      </c>
      <c r="Q165" s="239" t="s">
        <v>1764</v>
      </c>
      <c r="R165" s="240" t="s">
        <v>782</v>
      </c>
      <c r="S165" s="196" t="s">
        <v>782</v>
      </c>
      <c r="T165" s="196" t="s">
        <v>1765</v>
      </c>
    </row>
    <row r="166">
      <c r="A166" s="182" t="s">
        <v>588</v>
      </c>
      <c r="B166" s="203" t="s">
        <v>66</v>
      </c>
      <c r="C166" s="173" t="s">
        <v>66</v>
      </c>
      <c r="D166" s="173" t="s">
        <v>1860</v>
      </c>
      <c r="E166" s="196" t="s">
        <v>975</v>
      </c>
      <c r="F166" s="185" t="s">
        <v>135</v>
      </c>
      <c r="G166" s="185" t="s">
        <v>1500</v>
      </c>
      <c r="H166" s="237" t="b">
        <v>1</v>
      </c>
      <c r="I166" s="185" t="s">
        <v>1762</v>
      </c>
      <c r="J166" s="185" t="s">
        <v>1762</v>
      </c>
      <c r="K166" s="185" t="s">
        <v>1762</v>
      </c>
      <c r="L166" s="185" t="s">
        <v>85</v>
      </c>
      <c r="M166" s="196" t="s">
        <v>749</v>
      </c>
      <c r="N166" s="185" t="s">
        <v>714</v>
      </c>
      <c r="O166" s="238">
        <v>44136.0</v>
      </c>
      <c r="P166" s="239" t="s">
        <v>1763</v>
      </c>
      <c r="Q166" s="239" t="s">
        <v>1764</v>
      </c>
      <c r="R166" s="240" t="s">
        <v>782</v>
      </c>
      <c r="S166" s="196" t="s">
        <v>782</v>
      </c>
      <c r="T166" s="196" t="s">
        <v>1765</v>
      </c>
    </row>
    <row r="167">
      <c r="A167" s="182" t="s">
        <v>590</v>
      </c>
      <c r="B167" s="203" t="s">
        <v>66</v>
      </c>
      <c r="C167" s="173" t="s">
        <v>66</v>
      </c>
      <c r="D167" s="173" t="s">
        <v>1861</v>
      </c>
      <c r="E167" s="196" t="s">
        <v>976</v>
      </c>
      <c r="F167" s="185" t="s">
        <v>135</v>
      </c>
      <c r="G167" s="185" t="s">
        <v>1761</v>
      </c>
      <c r="H167" s="237" t="s">
        <v>977</v>
      </c>
      <c r="I167" s="185" t="s">
        <v>1762</v>
      </c>
      <c r="J167" s="185" t="s">
        <v>1762</v>
      </c>
      <c r="K167" s="185" t="s">
        <v>1762</v>
      </c>
      <c r="L167" s="185" t="s">
        <v>85</v>
      </c>
      <c r="M167" s="196" t="s">
        <v>749</v>
      </c>
      <c r="N167" s="185" t="s">
        <v>714</v>
      </c>
      <c r="O167" s="238">
        <v>44136.0</v>
      </c>
      <c r="P167" s="239" t="s">
        <v>1763</v>
      </c>
      <c r="Q167" s="239" t="s">
        <v>1764</v>
      </c>
      <c r="R167" s="240" t="s">
        <v>782</v>
      </c>
      <c r="S167" s="196" t="s">
        <v>782</v>
      </c>
      <c r="T167" s="196" t="s">
        <v>1765</v>
      </c>
    </row>
    <row r="168">
      <c r="A168" s="182" t="s">
        <v>592</v>
      </c>
      <c r="B168" s="203" t="s">
        <v>66</v>
      </c>
      <c r="C168" s="173" t="s">
        <v>66</v>
      </c>
      <c r="D168" s="173" t="s">
        <v>1862</v>
      </c>
      <c r="E168" s="196" t="s">
        <v>978</v>
      </c>
      <c r="F168" s="185" t="s">
        <v>135</v>
      </c>
      <c r="G168" s="185" t="s">
        <v>1761</v>
      </c>
      <c r="H168" s="237" t="s">
        <v>979</v>
      </c>
      <c r="I168" s="185" t="s">
        <v>1762</v>
      </c>
      <c r="J168" s="185" t="s">
        <v>1762</v>
      </c>
      <c r="K168" s="185" t="s">
        <v>1762</v>
      </c>
      <c r="L168" s="185" t="s">
        <v>85</v>
      </c>
      <c r="M168" s="196" t="s">
        <v>749</v>
      </c>
      <c r="N168" s="185" t="s">
        <v>714</v>
      </c>
      <c r="O168" s="238">
        <v>44136.0</v>
      </c>
      <c r="P168" s="239" t="s">
        <v>1763</v>
      </c>
      <c r="Q168" s="239" t="s">
        <v>1764</v>
      </c>
      <c r="R168" s="240" t="s">
        <v>782</v>
      </c>
      <c r="S168" s="196" t="s">
        <v>782</v>
      </c>
      <c r="T168" s="196" t="s">
        <v>1765</v>
      </c>
    </row>
    <row r="169">
      <c r="A169" s="182" t="s">
        <v>595</v>
      </c>
      <c r="B169" s="203" t="s">
        <v>66</v>
      </c>
      <c r="C169" s="173" t="s">
        <v>66</v>
      </c>
      <c r="D169" s="173" t="s">
        <v>1863</v>
      </c>
      <c r="E169" s="196" t="s">
        <v>980</v>
      </c>
      <c r="F169" s="185" t="s">
        <v>135</v>
      </c>
      <c r="G169" s="185" t="s">
        <v>1500</v>
      </c>
      <c r="H169" s="237" t="b">
        <v>1</v>
      </c>
      <c r="I169" s="185" t="s">
        <v>1762</v>
      </c>
      <c r="J169" s="185" t="s">
        <v>1762</v>
      </c>
      <c r="K169" s="185" t="s">
        <v>1762</v>
      </c>
      <c r="L169" s="185" t="s">
        <v>85</v>
      </c>
      <c r="M169" s="196" t="s">
        <v>749</v>
      </c>
      <c r="N169" s="185" t="s">
        <v>714</v>
      </c>
      <c r="O169" s="238">
        <v>44136.0</v>
      </c>
      <c r="P169" s="239" t="s">
        <v>1763</v>
      </c>
      <c r="Q169" s="239" t="s">
        <v>1764</v>
      </c>
      <c r="R169" s="240" t="s">
        <v>782</v>
      </c>
      <c r="S169" s="196" t="s">
        <v>782</v>
      </c>
      <c r="T169" s="196" t="s">
        <v>1765</v>
      </c>
    </row>
    <row r="170">
      <c r="A170" s="182" t="s">
        <v>597</v>
      </c>
      <c r="B170" s="203" t="s">
        <v>66</v>
      </c>
      <c r="C170" s="173" t="s">
        <v>66</v>
      </c>
      <c r="D170" s="173" t="s">
        <v>1864</v>
      </c>
      <c r="E170" s="196" t="s">
        <v>981</v>
      </c>
      <c r="F170" s="185" t="s">
        <v>135</v>
      </c>
      <c r="G170" s="185" t="s">
        <v>1761</v>
      </c>
      <c r="H170" s="237" t="s">
        <v>982</v>
      </c>
      <c r="I170" s="185" t="s">
        <v>1762</v>
      </c>
      <c r="J170" s="185" t="s">
        <v>1762</v>
      </c>
      <c r="K170" s="185" t="s">
        <v>1762</v>
      </c>
      <c r="L170" s="185" t="s">
        <v>85</v>
      </c>
      <c r="M170" s="196" t="s">
        <v>749</v>
      </c>
      <c r="N170" s="185" t="s">
        <v>714</v>
      </c>
      <c r="O170" s="238">
        <v>44136.0</v>
      </c>
      <c r="P170" s="239" t="s">
        <v>1763</v>
      </c>
      <c r="Q170" s="239" t="s">
        <v>1764</v>
      </c>
      <c r="R170" s="240" t="s">
        <v>782</v>
      </c>
      <c r="S170" s="196" t="s">
        <v>782</v>
      </c>
      <c r="T170" s="196" t="s">
        <v>1765</v>
      </c>
    </row>
    <row r="171">
      <c r="A171" s="182" t="s">
        <v>599</v>
      </c>
      <c r="B171" s="203" t="s">
        <v>66</v>
      </c>
      <c r="C171" s="173" t="s">
        <v>66</v>
      </c>
      <c r="D171" s="173" t="s">
        <v>1865</v>
      </c>
      <c r="E171" s="196" t="s">
        <v>983</v>
      </c>
      <c r="F171" s="185" t="s">
        <v>135</v>
      </c>
      <c r="G171" s="185" t="s">
        <v>1761</v>
      </c>
      <c r="H171" s="237" t="s">
        <v>984</v>
      </c>
      <c r="I171" s="185" t="s">
        <v>1762</v>
      </c>
      <c r="J171" s="185" t="s">
        <v>1762</v>
      </c>
      <c r="K171" s="185" t="s">
        <v>1762</v>
      </c>
      <c r="L171" s="185" t="s">
        <v>85</v>
      </c>
      <c r="M171" s="196" t="s">
        <v>749</v>
      </c>
      <c r="N171" s="185" t="s">
        <v>714</v>
      </c>
      <c r="O171" s="238">
        <v>44136.0</v>
      </c>
      <c r="P171" s="239" t="s">
        <v>1763</v>
      </c>
      <c r="Q171" s="239" t="s">
        <v>1764</v>
      </c>
      <c r="R171" s="240" t="s">
        <v>782</v>
      </c>
      <c r="S171" s="196" t="s">
        <v>782</v>
      </c>
      <c r="T171" s="196" t="s">
        <v>1765</v>
      </c>
    </row>
    <row r="172">
      <c r="A172" s="182" t="s">
        <v>602</v>
      </c>
      <c r="B172" s="203" t="s">
        <v>66</v>
      </c>
      <c r="C172" s="173" t="s">
        <v>66</v>
      </c>
      <c r="D172" s="173" t="s">
        <v>1866</v>
      </c>
      <c r="E172" s="196" t="s">
        <v>985</v>
      </c>
      <c r="F172" s="185" t="s">
        <v>135</v>
      </c>
      <c r="G172" s="185" t="s">
        <v>1500</v>
      </c>
      <c r="H172" s="237" t="b">
        <v>1</v>
      </c>
      <c r="I172" s="185" t="s">
        <v>1762</v>
      </c>
      <c r="J172" s="185" t="s">
        <v>1762</v>
      </c>
      <c r="K172" s="185" t="s">
        <v>1762</v>
      </c>
      <c r="L172" s="185" t="s">
        <v>85</v>
      </c>
      <c r="M172" s="196" t="s">
        <v>749</v>
      </c>
      <c r="N172" s="185" t="s">
        <v>714</v>
      </c>
      <c r="O172" s="238">
        <v>44105.0</v>
      </c>
      <c r="P172" s="239" t="s">
        <v>1763</v>
      </c>
      <c r="Q172" s="239" t="s">
        <v>1764</v>
      </c>
      <c r="R172" s="240" t="s">
        <v>782</v>
      </c>
      <c r="S172" s="196" t="s">
        <v>782</v>
      </c>
      <c r="T172" s="196" t="s">
        <v>1765</v>
      </c>
    </row>
    <row r="173">
      <c r="A173" s="182" t="s">
        <v>604</v>
      </c>
      <c r="B173" s="203" t="s">
        <v>66</v>
      </c>
      <c r="C173" s="173" t="s">
        <v>66</v>
      </c>
      <c r="D173" s="173" t="s">
        <v>1867</v>
      </c>
      <c r="E173" s="196" t="s">
        <v>986</v>
      </c>
      <c r="F173" s="185" t="s">
        <v>135</v>
      </c>
      <c r="G173" s="185" t="s">
        <v>1761</v>
      </c>
      <c r="H173" s="237" t="s">
        <v>936</v>
      </c>
      <c r="I173" s="185" t="s">
        <v>1762</v>
      </c>
      <c r="J173" s="185" t="s">
        <v>1762</v>
      </c>
      <c r="K173" s="185" t="s">
        <v>1762</v>
      </c>
      <c r="L173" s="185" t="s">
        <v>85</v>
      </c>
      <c r="M173" s="196" t="s">
        <v>749</v>
      </c>
      <c r="N173" s="185" t="s">
        <v>714</v>
      </c>
      <c r="O173" s="238">
        <v>44105.0</v>
      </c>
      <c r="P173" s="239" t="s">
        <v>1763</v>
      </c>
      <c r="Q173" s="239" t="s">
        <v>1764</v>
      </c>
      <c r="R173" s="240" t="s">
        <v>782</v>
      </c>
      <c r="S173" s="196" t="s">
        <v>782</v>
      </c>
      <c r="T173" s="196" t="s">
        <v>1765</v>
      </c>
    </row>
    <row r="174">
      <c r="A174" s="182" t="s">
        <v>606</v>
      </c>
      <c r="B174" s="203" t="s">
        <v>66</v>
      </c>
      <c r="C174" s="173" t="s">
        <v>66</v>
      </c>
      <c r="D174" s="173" t="s">
        <v>1868</v>
      </c>
      <c r="E174" s="196" t="s">
        <v>987</v>
      </c>
      <c r="F174" s="185" t="s">
        <v>135</v>
      </c>
      <c r="G174" s="185" t="s">
        <v>1761</v>
      </c>
      <c r="H174" s="237" t="s">
        <v>988</v>
      </c>
      <c r="I174" s="185" t="s">
        <v>1762</v>
      </c>
      <c r="J174" s="185" t="s">
        <v>1762</v>
      </c>
      <c r="K174" s="185" t="s">
        <v>1762</v>
      </c>
      <c r="L174" s="185" t="s">
        <v>85</v>
      </c>
      <c r="M174" s="196" t="s">
        <v>749</v>
      </c>
      <c r="N174" s="185" t="s">
        <v>714</v>
      </c>
      <c r="O174" s="238">
        <v>44105.0</v>
      </c>
      <c r="P174" s="239" t="s">
        <v>1763</v>
      </c>
      <c r="Q174" s="239" t="s">
        <v>1764</v>
      </c>
      <c r="R174" s="240" t="s">
        <v>782</v>
      </c>
      <c r="S174" s="196" t="s">
        <v>782</v>
      </c>
      <c r="T174" s="196" t="s">
        <v>1765</v>
      </c>
    </row>
    <row r="175">
      <c r="A175" s="182" t="s">
        <v>609</v>
      </c>
      <c r="B175" s="203" t="s">
        <v>66</v>
      </c>
      <c r="C175" s="173" t="s">
        <v>66</v>
      </c>
      <c r="D175" s="173" t="s">
        <v>1869</v>
      </c>
      <c r="E175" s="196" t="s">
        <v>989</v>
      </c>
      <c r="F175" s="185" t="s">
        <v>135</v>
      </c>
      <c r="G175" s="185" t="s">
        <v>1500</v>
      </c>
      <c r="H175" s="237" t="b">
        <v>1</v>
      </c>
      <c r="I175" s="185" t="s">
        <v>1762</v>
      </c>
      <c r="J175" s="185" t="s">
        <v>1762</v>
      </c>
      <c r="K175" s="185" t="s">
        <v>1762</v>
      </c>
      <c r="L175" s="185" t="s">
        <v>85</v>
      </c>
      <c r="M175" s="196" t="s">
        <v>749</v>
      </c>
      <c r="N175" s="185" t="s">
        <v>714</v>
      </c>
      <c r="O175" s="238">
        <v>44136.0</v>
      </c>
      <c r="P175" s="239" t="s">
        <v>1777</v>
      </c>
      <c r="Q175" s="239" t="s">
        <v>1764</v>
      </c>
      <c r="R175" s="240" t="s">
        <v>782</v>
      </c>
      <c r="S175" s="196" t="s">
        <v>782</v>
      </c>
      <c r="T175" s="196" t="s">
        <v>1765</v>
      </c>
    </row>
    <row r="176">
      <c r="A176" s="182" t="s">
        <v>611</v>
      </c>
      <c r="B176" s="203" t="s">
        <v>66</v>
      </c>
      <c r="C176" s="173" t="s">
        <v>66</v>
      </c>
      <c r="D176" s="173" t="s">
        <v>1870</v>
      </c>
      <c r="E176" s="196" t="s">
        <v>990</v>
      </c>
      <c r="F176" s="185" t="s">
        <v>135</v>
      </c>
      <c r="G176" s="185" t="s">
        <v>1761</v>
      </c>
      <c r="H176" s="237" t="s">
        <v>982</v>
      </c>
      <c r="I176" s="185" t="s">
        <v>1762</v>
      </c>
      <c r="J176" s="185" t="s">
        <v>1762</v>
      </c>
      <c r="K176" s="185" t="s">
        <v>1762</v>
      </c>
      <c r="L176" s="185" t="s">
        <v>85</v>
      </c>
      <c r="M176" s="196" t="s">
        <v>749</v>
      </c>
      <c r="N176" s="185" t="s">
        <v>714</v>
      </c>
      <c r="O176" s="238">
        <v>44136.0</v>
      </c>
      <c r="P176" s="239" t="s">
        <v>1777</v>
      </c>
      <c r="Q176" s="239" t="s">
        <v>1764</v>
      </c>
      <c r="R176" s="240" t="s">
        <v>782</v>
      </c>
      <c r="S176" s="196" t="s">
        <v>782</v>
      </c>
      <c r="T176" s="196" t="s">
        <v>1765</v>
      </c>
    </row>
    <row r="177">
      <c r="A177" s="182" t="s">
        <v>613</v>
      </c>
      <c r="B177" s="203" t="s">
        <v>66</v>
      </c>
      <c r="C177" s="173" t="s">
        <v>66</v>
      </c>
      <c r="D177" s="173" t="s">
        <v>1871</v>
      </c>
      <c r="E177" s="196" t="s">
        <v>991</v>
      </c>
      <c r="F177" s="185" t="s">
        <v>135</v>
      </c>
      <c r="G177" s="185" t="s">
        <v>1761</v>
      </c>
      <c r="H177" s="237" t="s">
        <v>992</v>
      </c>
      <c r="I177" s="185" t="s">
        <v>1762</v>
      </c>
      <c r="J177" s="185" t="s">
        <v>1762</v>
      </c>
      <c r="K177" s="185" t="s">
        <v>1762</v>
      </c>
      <c r="L177" s="185" t="s">
        <v>85</v>
      </c>
      <c r="M177" s="196" t="s">
        <v>749</v>
      </c>
      <c r="N177" s="185" t="s">
        <v>714</v>
      </c>
      <c r="O177" s="238">
        <v>44136.0</v>
      </c>
      <c r="P177" s="239" t="s">
        <v>1777</v>
      </c>
      <c r="Q177" s="239" t="s">
        <v>1764</v>
      </c>
      <c r="R177" s="240" t="s">
        <v>782</v>
      </c>
      <c r="S177" s="196" t="s">
        <v>782</v>
      </c>
      <c r="T177" s="196" t="s">
        <v>1765</v>
      </c>
    </row>
    <row r="178">
      <c r="A178" s="182" t="s">
        <v>1332</v>
      </c>
      <c r="B178" s="203" t="s">
        <v>66</v>
      </c>
      <c r="C178" s="173" t="s">
        <v>66</v>
      </c>
      <c r="D178" s="173" t="s">
        <v>1872</v>
      </c>
      <c r="E178" s="196" t="s">
        <v>993</v>
      </c>
      <c r="F178" s="185" t="s">
        <v>135</v>
      </c>
      <c r="G178" s="185" t="s">
        <v>1500</v>
      </c>
      <c r="H178" s="237" t="b">
        <v>1</v>
      </c>
      <c r="I178" s="185" t="s">
        <v>1762</v>
      </c>
      <c r="J178" s="185" t="s">
        <v>1762</v>
      </c>
      <c r="K178" s="185" t="s">
        <v>1762</v>
      </c>
      <c r="L178" s="185" t="s">
        <v>85</v>
      </c>
      <c r="M178" s="196" t="s">
        <v>749</v>
      </c>
      <c r="N178" s="185" t="s">
        <v>714</v>
      </c>
      <c r="O178" s="238">
        <v>44105.0</v>
      </c>
      <c r="P178" s="239" t="s">
        <v>1763</v>
      </c>
      <c r="Q178" s="239" t="s">
        <v>1764</v>
      </c>
      <c r="R178" s="240" t="s">
        <v>782</v>
      </c>
      <c r="S178" s="196" t="s">
        <v>782</v>
      </c>
      <c r="T178" s="196" t="s">
        <v>1765</v>
      </c>
    </row>
    <row r="179">
      <c r="A179" s="182" t="s">
        <v>1333</v>
      </c>
      <c r="B179" s="203" t="s">
        <v>66</v>
      </c>
      <c r="C179" s="173" t="s">
        <v>66</v>
      </c>
      <c r="D179" s="173" t="s">
        <v>1873</v>
      </c>
      <c r="E179" s="196" t="s">
        <v>994</v>
      </c>
      <c r="F179" s="185" t="s">
        <v>135</v>
      </c>
      <c r="G179" s="185" t="s">
        <v>1761</v>
      </c>
      <c r="H179" s="237" t="s">
        <v>977</v>
      </c>
      <c r="I179" s="185" t="s">
        <v>1762</v>
      </c>
      <c r="J179" s="185" t="s">
        <v>1762</v>
      </c>
      <c r="K179" s="185" t="s">
        <v>1762</v>
      </c>
      <c r="L179" s="185" t="s">
        <v>85</v>
      </c>
      <c r="M179" s="196" t="s">
        <v>749</v>
      </c>
      <c r="N179" s="185" t="s">
        <v>714</v>
      </c>
      <c r="O179" s="238">
        <v>44105.0</v>
      </c>
      <c r="P179" s="239" t="s">
        <v>1763</v>
      </c>
      <c r="Q179" s="239" t="s">
        <v>1764</v>
      </c>
      <c r="R179" s="240" t="s">
        <v>782</v>
      </c>
      <c r="S179" s="196" t="s">
        <v>782</v>
      </c>
      <c r="T179" s="196" t="s">
        <v>1765</v>
      </c>
    </row>
    <row r="180">
      <c r="A180" s="182" t="s">
        <v>1334</v>
      </c>
      <c r="B180" s="203" t="s">
        <v>66</v>
      </c>
      <c r="C180" s="173" t="s">
        <v>66</v>
      </c>
      <c r="D180" s="173" t="s">
        <v>1874</v>
      </c>
      <c r="E180" s="196" t="s">
        <v>995</v>
      </c>
      <c r="F180" s="185" t="s">
        <v>135</v>
      </c>
      <c r="G180" s="185" t="s">
        <v>1761</v>
      </c>
      <c r="H180" s="237" t="s">
        <v>996</v>
      </c>
      <c r="I180" s="185" t="s">
        <v>1762</v>
      </c>
      <c r="J180" s="185" t="s">
        <v>1762</v>
      </c>
      <c r="K180" s="185" t="s">
        <v>1762</v>
      </c>
      <c r="L180" s="185" t="s">
        <v>85</v>
      </c>
      <c r="M180" s="196" t="s">
        <v>749</v>
      </c>
      <c r="N180" s="185" t="s">
        <v>714</v>
      </c>
      <c r="O180" s="238">
        <v>44105.0</v>
      </c>
      <c r="P180" s="239" t="s">
        <v>1763</v>
      </c>
      <c r="Q180" s="239" t="s">
        <v>1764</v>
      </c>
      <c r="R180" s="240" t="s">
        <v>782</v>
      </c>
      <c r="S180" s="196" t="s">
        <v>782</v>
      </c>
      <c r="T180" s="196" t="s">
        <v>1765</v>
      </c>
    </row>
    <row r="181">
      <c r="A181" s="182" t="s">
        <v>630</v>
      </c>
      <c r="B181" s="203" t="s">
        <v>66</v>
      </c>
      <c r="C181" s="173" t="s">
        <v>66</v>
      </c>
      <c r="D181" s="173" t="s">
        <v>1875</v>
      </c>
      <c r="E181" s="196" t="s">
        <v>997</v>
      </c>
      <c r="F181" s="185" t="s">
        <v>135</v>
      </c>
      <c r="G181" s="185" t="s">
        <v>1500</v>
      </c>
      <c r="H181" s="237" t="b">
        <v>1</v>
      </c>
      <c r="I181" s="185" t="s">
        <v>1762</v>
      </c>
      <c r="J181" s="185" t="s">
        <v>1762</v>
      </c>
      <c r="K181" s="185" t="s">
        <v>1762</v>
      </c>
      <c r="L181" s="185" t="s">
        <v>85</v>
      </c>
      <c r="M181" s="196" t="s">
        <v>749</v>
      </c>
      <c r="N181" s="185" t="s">
        <v>714</v>
      </c>
      <c r="O181" s="238">
        <v>44136.0</v>
      </c>
      <c r="P181" s="239" t="s">
        <v>1763</v>
      </c>
      <c r="Q181" s="239" t="s">
        <v>1764</v>
      </c>
      <c r="R181" s="240" t="s">
        <v>782</v>
      </c>
      <c r="S181" s="196" t="s">
        <v>782</v>
      </c>
      <c r="T181" s="196" t="s">
        <v>1765</v>
      </c>
    </row>
    <row r="182">
      <c r="A182" s="182" t="s">
        <v>632</v>
      </c>
      <c r="B182" s="203" t="s">
        <v>66</v>
      </c>
      <c r="C182" s="173" t="s">
        <v>66</v>
      </c>
      <c r="D182" s="173" t="s">
        <v>1876</v>
      </c>
      <c r="E182" s="196" t="s">
        <v>998</v>
      </c>
      <c r="F182" s="185" t="s">
        <v>135</v>
      </c>
      <c r="G182" s="185" t="s">
        <v>1761</v>
      </c>
      <c r="H182" s="237" t="s">
        <v>982</v>
      </c>
      <c r="I182" s="185" t="s">
        <v>1762</v>
      </c>
      <c r="J182" s="185" t="s">
        <v>1762</v>
      </c>
      <c r="K182" s="185" t="s">
        <v>1762</v>
      </c>
      <c r="L182" s="185" t="s">
        <v>85</v>
      </c>
      <c r="M182" s="196" t="s">
        <v>749</v>
      </c>
      <c r="N182" s="185" t="s">
        <v>714</v>
      </c>
      <c r="O182" s="238">
        <v>44136.0</v>
      </c>
      <c r="P182" s="239" t="s">
        <v>1763</v>
      </c>
      <c r="Q182" s="239" t="s">
        <v>1764</v>
      </c>
      <c r="R182" s="240" t="s">
        <v>782</v>
      </c>
      <c r="S182" s="196" t="s">
        <v>782</v>
      </c>
      <c r="T182" s="196" t="s">
        <v>1765</v>
      </c>
    </row>
    <row r="183">
      <c r="A183" s="182" t="s">
        <v>634</v>
      </c>
      <c r="B183" s="203" t="s">
        <v>66</v>
      </c>
      <c r="C183" s="173" t="s">
        <v>66</v>
      </c>
      <c r="D183" s="173" t="s">
        <v>1877</v>
      </c>
      <c r="E183" s="196" t="s">
        <v>999</v>
      </c>
      <c r="F183" s="185" t="s">
        <v>135</v>
      </c>
      <c r="G183" s="185" t="s">
        <v>1761</v>
      </c>
      <c r="H183" s="237" t="s">
        <v>1000</v>
      </c>
      <c r="I183" s="185" t="s">
        <v>1762</v>
      </c>
      <c r="J183" s="185" t="s">
        <v>1762</v>
      </c>
      <c r="K183" s="185" t="s">
        <v>1762</v>
      </c>
      <c r="L183" s="185" t="s">
        <v>85</v>
      </c>
      <c r="M183" s="196" t="s">
        <v>749</v>
      </c>
      <c r="N183" s="185" t="s">
        <v>714</v>
      </c>
      <c r="O183" s="238">
        <v>44136.0</v>
      </c>
      <c r="P183" s="239" t="s">
        <v>1763</v>
      </c>
      <c r="Q183" s="239" t="s">
        <v>1764</v>
      </c>
      <c r="R183" s="240" t="s">
        <v>782</v>
      </c>
      <c r="S183" s="196" t="s">
        <v>782</v>
      </c>
      <c r="T183" s="196" t="s">
        <v>1765</v>
      </c>
    </row>
    <row r="184">
      <c r="A184" s="182" t="s">
        <v>637</v>
      </c>
      <c r="B184" s="203" t="s">
        <v>66</v>
      </c>
      <c r="C184" s="173" t="s">
        <v>66</v>
      </c>
      <c r="D184" s="173" t="s">
        <v>1878</v>
      </c>
      <c r="E184" s="196" t="s">
        <v>1001</v>
      </c>
      <c r="F184" s="185" t="s">
        <v>135</v>
      </c>
      <c r="G184" s="185" t="s">
        <v>1500</v>
      </c>
      <c r="H184" s="237" t="b">
        <v>1</v>
      </c>
      <c r="I184" s="185" t="s">
        <v>1762</v>
      </c>
      <c r="J184" s="185" t="s">
        <v>1762</v>
      </c>
      <c r="K184" s="185" t="s">
        <v>1762</v>
      </c>
      <c r="L184" s="185" t="s">
        <v>85</v>
      </c>
      <c r="M184" s="196" t="s">
        <v>749</v>
      </c>
      <c r="N184" s="185" t="s">
        <v>714</v>
      </c>
      <c r="O184" s="238">
        <v>44136.0</v>
      </c>
      <c r="P184" s="239" t="s">
        <v>1763</v>
      </c>
      <c r="Q184" s="239" t="s">
        <v>1764</v>
      </c>
      <c r="R184" s="240" t="s">
        <v>782</v>
      </c>
      <c r="S184" s="196" t="s">
        <v>782</v>
      </c>
      <c r="T184" s="196" t="s">
        <v>1765</v>
      </c>
    </row>
    <row r="185">
      <c r="A185" s="182" t="s">
        <v>639</v>
      </c>
      <c r="B185" s="203" t="s">
        <v>66</v>
      </c>
      <c r="C185" s="173" t="s">
        <v>66</v>
      </c>
      <c r="D185" s="173" t="s">
        <v>1879</v>
      </c>
      <c r="E185" s="196" t="s">
        <v>1002</v>
      </c>
      <c r="F185" s="185" t="s">
        <v>135</v>
      </c>
      <c r="G185" s="185" t="s">
        <v>1761</v>
      </c>
      <c r="H185" s="237" t="s">
        <v>977</v>
      </c>
      <c r="I185" s="185" t="s">
        <v>1762</v>
      </c>
      <c r="J185" s="185" t="s">
        <v>1762</v>
      </c>
      <c r="K185" s="185" t="s">
        <v>1762</v>
      </c>
      <c r="L185" s="185" t="s">
        <v>85</v>
      </c>
      <c r="M185" s="196" t="s">
        <v>749</v>
      </c>
      <c r="N185" s="185" t="s">
        <v>714</v>
      </c>
      <c r="O185" s="238">
        <v>44136.0</v>
      </c>
      <c r="P185" s="239" t="s">
        <v>1763</v>
      </c>
      <c r="Q185" s="239" t="s">
        <v>1764</v>
      </c>
      <c r="R185" s="240" t="s">
        <v>782</v>
      </c>
      <c r="S185" s="196" t="s">
        <v>782</v>
      </c>
      <c r="T185" s="196" t="s">
        <v>1765</v>
      </c>
    </row>
    <row r="186">
      <c r="A186" s="182" t="s">
        <v>641</v>
      </c>
      <c r="B186" s="203" t="s">
        <v>66</v>
      </c>
      <c r="C186" s="173" t="s">
        <v>66</v>
      </c>
      <c r="D186" s="173" t="s">
        <v>1880</v>
      </c>
      <c r="E186" s="196" t="s">
        <v>1003</v>
      </c>
      <c r="F186" s="185" t="s">
        <v>135</v>
      </c>
      <c r="G186" s="185" t="s">
        <v>1761</v>
      </c>
      <c r="H186" s="237" t="s">
        <v>1000</v>
      </c>
      <c r="I186" s="185" t="s">
        <v>1762</v>
      </c>
      <c r="J186" s="185" t="s">
        <v>1762</v>
      </c>
      <c r="K186" s="185" t="s">
        <v>1762</v>
      </c>
      <c r="L186" s="185" t="s">
        <v>85</v>
      </c>
      <c r="M186" s="196" t="s">
        <v>749</v>
      </c>
      <c r="N186" s="185" t="s">
        <v>714</v>
      </c>
      <c r="O186" s="238">
        <v>44136.0</v>
      </c>
      <c r="P186" s="239" t="s">
        <v>1763</v>
      </c>
      <c r="Q186" s="239" t="s">
        <v>1764</v>
      </c>
      <c r="R186" s="240" t="s">
        <v>782</v>
      </c>
      <c r="S186" s="196" t="s">
        <v>782</v>
      </c>
      <c r="T186" s="196" t="s">
        <v>1765</v>
      </c>
    </row>
    <row r="187">
      <c r="A187" s="182" t="s">
        <v>644</v>
      </c>
      <c r="B187" s="203" t="s">
        <v>66</v>
      </c>
      <c r="C187" s="173" t="s">
        <v>66</v>
      </c>
      <c r="D187" s="173" t="s">
        <v>1881</v>
      </c>
      <c r="E187" s="196" t="s">
        <v>1004</v>
      </c>
      <c r="F187" s="185" t="s">
        <v>135</v>
      </c>
      <c r="G187" s="185" t="s">
        <v>1500</v>
      </c>
      <c r="H187" s="237" t="b">
        <v>1</v>
      </c>
      <c r="I187" s="185" t="s">
        <v>1762</v>
      </c>
      <c r="J187" s="185" t="s">
        <v>1762</v>
      </c>
      <c r="K187" s="185" t="s">
        <v>1762</v>
      </c>
      <c r="L187" s="185" t="s">
        <v>85</v>
      </c>
      <c r="M187" s="196" t="s">
        <v>749</v>
      </c>
      <c r="N187" s="185" t="s">
        <v>714</v>
      </c>
      <c r="O187" s="238">
        <v>44136.0</v>
      </c>
      <c r="P187" s="239" t="s">
        <v>1763</v>
      </c>
      <c r="Q187" s="239" t="s">
        <v>1764</v>
      </c>
      <c r="R187" s="240" t="s">
        <v>782</v>
      </c>
      <c r="S187" s="196" t="s">
        <v>782</v>
      </c>
      <c r="T187" s="196" t="s">
        <v>1765</v>
      </c>
    </row>
    <row r="188">
      <c r="A188" s="182" t="s">
        <v>646</v>
      </c>
      <c r="B188" s="203" t="s">
        <v>66</v>
      </c>
      <c r="C188" s="173" t="s">
        <v>66</v>
      </c>
      <c r="D188" s="173" t="s">
        <v>1882</v>
      </c>
      <c r="E188" s="196" t="s">
        <v>1005</v>
      </c>
      <c r="F188" s="185" t="s">
        <v>135</v>
      </c>
      <c r="G188" s="185" t="s">
        <v>1761</v>
      </c>
      <c r="H188" s="237" t="s">
        <v>936</v>
      </c>
      <c r="I188" s="185" t="s">
        <v>1762</v>
      </c>
      <c r="J188" s="185" t="s">
        <v>1762</v>
      </c>
      <c r="K188" s="185" t="s">
        <v>1762</v>
      </c>
      <c r="L188" s="185" t="s">
        <v>85</v>
      </c>
      <c r="M188" s="196" t="s">
        <v>749</v>
      </c>
      <c r="N188" s="185" t="s">
        <v>714</v>
      </c>
      <c r="O188" s="238">
        <v>44136.0</v>
      </c>
      <c r="P188" s="239" t="s">
        <v>1763</v>
      </c>
      <c r="Q188" s="239" t="s">
        <v>1764</v>
      </c>
      <c r="R188" s="240" t="s">
        <v>782</v>
      </c>
      <c r="S188" s="196" t="s">
        <v>782</v>
      </c>
      <c r="T188" s="196" t="s">
        <v>1765</v>
      </c>
    </row>
    <row r="189">
      <c r="A189" s="182" t="s">
        <v>648</v>
      </c>
      <c r="B189" s="203" t="s">
        <v>66</v>
      </c>
      <c r="C189" s="173" t="s">
        <v>66</v>
      </c>
      <c r="D189" s="173" t="s">
        <v>1883</v>
      </c>
      <c r="E189" s="196" t="s">
        <v>1006</v>
      </c>
      <c r="F189" s="185" t="s">
        <v>135</v>
      </c>
      <c r="G189" s="185" t="s">
        <v>1761</v>
      </c>
      <c r="H189" s="237" t="s">
        <v>1007</v>
      </c>
      <c r="I189" s="185" t="s">
        <v>1762</v>
      </c>
      <c r="J189" s="185" t="s">
        <v>1762</v>
      </c>
      <c r="K189" s="185" t="s">
        <v>1762</v>
      </c>
      <c r="L189" s="185" t="s">
        <v>85</v>
      </c>
      <c r="M189" s="196" t="s">
        <v>749</v>
      </c>
      <c r="N189" s="185" t="s">
        <v>714</v>
      </c>
      <c r="O189" s="238">
        <v>44136.0</v>
      </c>
      <c r="P189" s="239" t="s">
        <v>1763</v>
      </c>
      <c r="Q189" s="239" t="s">
        <v>1764</v>
      </c>
      <c r="R189" s="240" t="s">
        <v>782</v>
      </c>
      <c r="S189" s="196" t="s">
        <v>782</v>
      </c>
      <c r="T189" s="196" t="s">
        <v>1765</v>
      </c>
    </row>
    <row r="190">
      <c r="A190" s="182" t="s">
        <v>651</v>
      </c>
      <c r="B190" s="203" t="s">
        <v>66</v>
      </c>
      <c r="C190" s="173" t="s">
        <v>66</v>
      </c>
      <c r="D190" s="173" t="s">
        <v>1884</v>
      </c>
      <c r="E190" s="196" t="s">
        <v>1008</v>
      </c>
      <c r="F190" s="185" t="s">
        <v>135</v>
      </c>
      <c r="G190" s="185" t="s">
        <v>1500</v>
      </c>
      <c r="H190" s="237" t="b">
        <v>1</v>
      </c>
      <c r="I190" s="185" t="s">
        <v>1762</v>
      </c>
      <c r="J190" s="185" t="s">
        <v>1762</v>
      </c>
      <c r="K190" s="185" t="s">
        <v>1762</v>
      </c>
      <c r="L190" s="185" t="s">
        <v>85</v>
      </c>
      <c r="M190" s="196" t="s">
        <v>749</v>
      </c>
      <c r="N190" s="185" t="s">
        <v>714</v>
      </c>
      <c r="O190" s="238">
        <v>44136.0</v>
      </c>
      <c r="P190" s="239" t="s">
        <v>1763</v>
      </c>
      <c r="Q190" s="239" t="s">
        <v>1764</v>
      </c>
      <c r="R190" s="240" t="s">
        <v>782</v>
      </c>
      <c r="S190" s="196" t="s">
        <v>782</v>
      </c>
      <c r="T190" s="196" t="s">
        <v>1765</v>
      </c>
    </row>
    <row r="191">
      <c r="A191" s="182" t="s">
        <v>653</v>
      </c>
      <c r="B191" s="203" t="s">
        <v>66</v>
      </c>
      <c r="C191" s="173" t="s">
        <v>66</v>
      </c>
      <c r="D191" s="173" t="s">
        <v>1885</v>
      </c>
      <c r="E191" s="196" t="s">
        <v>1009</v>
      </c>
      <c r="F191" s="185" t="s">
        <v>135</v>
      </c>
      <c r="G191" s="185" t="s">
        <v>1761</v>
      </c>
      <c r="H191" s="237" t="s">
        <v>936</v>
      </c>
      <c r="I191" s="185" t="s">
        <v>1762</v>
      </c>
      <c r="J191" s="185" t="s">
        <v>1762</v>
      </c>
      <c r="K191" s="185" t="s">
        <v>1762</v>
      </c>
      <c r="L191" s="185" t="s">
        <v>85</v>
      </c>
      <c r="M191" s="196" t="s">
        <v>749</v>
      </c>
      <c r="N191" s="185" t="s">
        <v>714</v>
      </c>
      <c r="O191" s="238">
        <v>44136.0</v>
      </c>
      <c r="P191" s="239" t="s">
        <v>1763</v>
      </c>
      <c r="Q191" s="239" t="s">
        <v>1764</v>
      </c>
      <c r="R191" s="240" t="s">
        <v>782</v>
      </c>
      <c r="S191" s="196" t="s">
        <v>782</v>
      </c>
      <c r="T191" s="196" t="s">
        <v>1765</v>
      </c>
    </row>
    <row r="192">
      <c r="A192" s="182" t="s">
        <v>655</v>
      </c>
      <c r="B192" s="203" t="s">
        <v>66</v>
      </c>
      <c r="C192" s="173" t="s">
        <v>66</v>
      </c>
      <c r="D192" s="173" t="s">
        <v>1886</v>
      </c>
      <c r="E192" s="196" t="s">
        <v>1010</v>
      </c>
      <c r="F192" s="185" t="s">
        <v>135</v>
      </c>
      <c r="G192" s="185" t="s">
        <v>1761</v>
      </c>
      <c r="H192" s="237" t="s">
        <v>1011</v>
      </c>
      <c r="I192" s="185" t="s">
        <v>1762</v>
      </c>
      <c r="J192" s="185" t="s">
        <v>1762</v>
      </c>
      <c r="K192" s="185" t="s">
        <v>1762</v>
      </c>
      <c r="L192" s="185" t="s">
        <v>85</v>
      </c>
      <c r="M192" s="196" t="s">
        <v>749</v>
      </c>
      <c r="N192" s="185" t="s">
        <v>714</v>
      </c>
      <c r="O192" s="238">
        <v>44136.0</v>
      </c>
      <c r="P192" s="239" t="s">
        <v>1763</v>
      </c>
      <c r="Q192" s="239" t="s">
        <v>1764</v>
      </c>
      <c r="R192" s="240" t="s">
        <v>782</v>
      </c>
      <c r="S192" s="196" t="s">
        <v>782</v>
      </c>
      <c r="T192" s="196" t="s">
        <v>1765</v>
      </c>
    </row>
    <row r="193">
      <c r="A193" s="182" t="s">
        <v>658</v>
      </c>
      <c r="B193" s="203" t="s">
        <v>66</v>
      </c>
      <c r="C193" s="173" t="s">
        <v>66</v>
      </c>
      <c r="D193" s="173" t="s">
        <v>1887</v>
      </c>
      <c r="E193" s="196" t="s">
        <v>1012</v>
      </c>
      <c r="F193" s="185" t="s">
        <v>135</v>
      </c>
      <c r="G193" s="185" t="s">
        <v>1500</v>
      </c>
      <c r="H193" s="237" t="b">
        <v>1</v>
      </c>
      <c r="I193" s="185" t="s">
        <v>1762</v>
      </c>
      <c r="J193" s="185" t="s">
        <v>1762</v>
      </c>
      <c r="K193" s="185" t="s">
        <v>1762</v>
      </c>
      <c r="L193" s="185" t="s">
        <v>85</v>
      </c>
      <c r="M193" s="196" t="s">
        <v>749</v>
      </c>
      <c r="N193" s="185" t="s">
        <v>714</v>
      </c>
      <c r="O193" s="238">
        <v>44136.0</v>
      </c>
      <c r="P193" s="239" t="s">
        <v>1763</v>
      </c>
      <c r="Q193" s="239" t="s">
        <v>1764</v>
      </c>
      <c r="R193" s="240" t="s">
        <v>782</v>
      </c>
      <c r="S193" s="196" t="s">
        <v>782</v>
      </c>
      <c r="T193" s="196" t="s">
        <v>1765</v>
      </c>
    </row>
    <row r="194">
      <c r="A194" s="182" t="s">
        <v>660</v>
      </c>
      <c r="B194" s="203" t="s">
        <v>66</v>
      </c>
      <c r="C194" s="173" t="s">
        <v>66</v>
      </c>
      <c r="D194" s="173" t="s">
        <v>1888</v>
      </c>
      <c r="E194" s="196" t="s">
        <v>1013</v>
      </c>
      <c r="F194" s="185" t="s">
        <v>135</v>
      </c>
      <c r="G194" s="185" t="s">
        <v>1761</v>
      </c>
      <c r="H194" s="237" t="s">
        <v>936</v>
      </c>
      <c r="I194" s="185" t="s">
        <v>1762</v>
      </c>
      <c r="J194" s="185" t="s">
        <v>1762</v>
      </c>
      <c r="K194" s="185" t="s">
        <v>1762</v>
      </c>
      <c r="L194" s="185" t="s">
        <v>85</v>
      </c>
      <c r="M194" s="196" t="s">
        <v>749</v>
      </c>
      <c r="N194" s="185" t="s">
        <v>714</v>
      </c>
      <c r="O194" s="238">
        <v>44136.0</v>
      </c>
      <c r="P194" s="239" t="s">
        <v>1763</v>
      </c>
      <c r="Q194" s="239" t="s">
        <v>1764</v>
      </c>
      <c r="R194" s="240" t="s">
        <v>782</v>
      </c>
      <c r="S194" s="196" t="s">
        <v>782</v>
      </c>
      <c r="T194" s="196" t="s">
        <v>1765</v>
      </c>
    </row>
    <row r="195">
      <c r="A195" s="182" t="s">
        <v>662</v>
      </c>
      <c r="B195" s="203" t="s">
        <v>66</v>
      </c>
      <c r="C195" s="173" t="s">
        <v>66</v>
      </c>
      <c r="D195" s="173" t="s">
        <v>1889</v>
      </c>
      <c r="E195" s="196" t="s">
        <v>1014</v>
      </c>
      <c r="F195" s="185" t="s">
        <v>135</v>
      </c>
      <c r="G195" s="185" t="s">
        <v>1761</v>
      </c>
      <c r="H195" s="237" t="s">
        <v>1015</v>
      </c>
      <c r="I195" s="185" t="s">
        <v>1762</v>
      </c>
      <c r="J195" s="185" t="s">
        <v>1762</v>
      </c>
      <c r="K195" s="185" t="s">
        <v>1762</v>
      </c>
      <c r="L195" s="185" t="s">
        <v>85</v>
      </c>
      <c r="M195" s="196" t="s">
        <v>749</v>
      </c>
      <c r="N195" s="185" t="s">
        <v>714</v>
      </c>
      <c r="O195" s="238">
        <v>44136.0</v>
      </c>
      <c r="P195" s="239" t="s">
        <v>1763</v>
      </c>
      <c r="Q195" s="239" t="s">
        <v>1764</v>
      </c>
      <c r="R195" s="240" t="s">
        <v>782</v>
      </c>
      <c r="S195" s="196" t="s">
        <v>782</v>
      </c>
      <c r="T195" s="196" t="s">
        <v>1765</v>
      </c>
    </row>
    <row r="196">
      <c r="A196" s="182" t="s">
        <v>665</v>
      </c>
      <c r="B196" s="203" t="s">
        <v>66</v>
      </c>
      <c r="C196" s="173" t="s">
        <v>66</v>
      </c>
      <c r="D196" s="173" t="s">
        <v>1890</v>
      </c>
      <c r="E196" s="196" t="s">
        <v>1016</v>
      </c>
      <c r="F196" s="185" t="s">
        <v>135</v>
      </c>
      <c r="G196" s="185" t="s">
        <v>1500</v>
      </c>
      <c r="H196" s="237" t="b">
        <v>1</v>
      </c>
      <c r="I196" s="185" t="s">
        <v>1762</v>
      </c>
      <c r="J196" s="185" t="s">
        <v>1762</v>
      </c>
      <c r="K196" s="185" t="s">
        <v>1762</v>
      </c>
      <c r="L196" s="185" t="s">
        <v>85</v>
      </c>
      <c r="M196" s="196" t="s">
        <v>749</v>
      </c>
      <c r="N196" s="185" t="s">
        <v>714</v>
      </c>
      <c r="O196" s="238">
        <v>44105.0</v>
      </c>
      <c r="P196" s="239" t="s">
        <v>1779</v>
      </c>
      <c r="Q196" s="239" t="s">
        <v>1764</v>
      </c>
      <c r="R196" s="240" t="s">
        <v>782</v>
      </c>
      <c r="S196" s="196" t="s">
        <v>782</v>
      </c>
      <c r="T196" s="196" t="s">
        <v>1765</v>
      </c>
    </row>
    <row r="197">
      <c r="A197" s="182" t="s">
        <v>667</v>
      </c>
      <c r="B197" s="203" t="s">
        <v>66</v>
      </c>
      <c r="C197" s="173" t="s">
        <v>66</v>
      </c>
      <c r="D197" s="173" t="s">
        <v>1891</v>
      </c>
      <c r="E197" s="196" t="s">
        <v>1335</v>
      </c>
      <c r="F197" s="185" t="s">
        <v>135</v>
      </c>
      <c r="G197" s="185" t="s">
        <v>1761</v>
      </c>
      <c r="H197" s="237" t="s">
        <v>936</v>
      </c>
      <c r="I197" s="185" t="s">
        <v>1762</v>
      </c>
      <c r="J197" s="185" t="s">
        <v>1762</v>
      </c>
      <c r="K197" s="185" t="s">
        <v>1762</v>
      </c>
      <c r="L197" s="185" t="s">
        <v>85</v>
      </c>
      <c r="M197" s="196" t="s">
        <v>749</v>
      </c>
      <c r="N197" s="185" t="s">
        <v>714</v>
      </c>
      <c r="O197" s="238">
        <v>44105.0</v>
      </c>
      <c r="P197" s="239" t="s">
        <v>1779</v>
      </c>
      <c r="Q197" s="239" t="s">
        <v>1764</v>
      </c>
      <c r="R197" s="240" t="s">
        <v>782</v>
      </c>
      <c r="S197" s="196" t="s">
        <v>782</v>
      </c>
      <c r="T197" s="196" t="s">
        <v>1765</v>
      </c>
    </row>
    <row r="198">
      <c r="A198" s="182" t="s">
        <v>669</v>
      </c>
      <c r="B198" s="203" t="s">
        <v>66</v>
      </c>
      <c r="C198" s="173" t="s">
        <v>66</v>
      </c>
      <c r="D198" s="173" t="s">
        <v>1892</v>
      </c>
      <c r="E198" s="196" t="s">
        <v>1018</v>
      </c>
      <c r="F198" s="185" t="s">
        <v>135</v>
      </c>
      <c r="G198" s="185" t="s">
        <v>1761</v>
      </c>
      <c r="H198" s="237" t="s">
        <v>1019</v>
      </c>
      <c r="I198" s="185" t="s">
        <v>1762</v>
      </c>
      <c r="J198" s="185" t="s">
        <v>1762</v>
      </c>
      <c r="K198" s="185" t="s">
        <v>1762</v>
      </c>
      <c r="L198" s="185" t="s">
        <v>85</v>
      </c>
      <c r="M198" s="196" t="s">
        <v>749</v>
      </c>
      <c r="N198" s="185" t="s">
        <v>714</v>
      </c>
      <c r="O198" s="238">
        <v>44105.0</v>
      </c>
      <c r="P198" s="239" t="s">
        <v>1779</v>
      </c>
      <c r="Q198" s="239" t="s">
        <v>1764</v>
      </c>
      <c r="R198" s="240" t="s">
        <v>782</v>
      </c>
      <c r="S198" s="196" t="s">
        <v>782</v>
      </c>
      <c r="T198" s="196" t="s">
        <v>1765</v>
      </c>
    </row>
    <row r="199">
      <c r="A199" s="182" t="s">
        <v>672</v>
      </c>
      <c r="B199" s="203" t="s">
        <v>66</v>
      </c>
      <c r="C199" s="173" t="s">
        <v>66</v>
      </c>
      <c r="D199" s="173" t="s">
        <v>1893</v>
      </c>
      <c r="E199" s="196" t="s">
        <v>1020</v>
      </c>
      <c r="F199" s="185" t="s">
        <v>135</v>
      </c>
      <c r="G199" s="185" t="s">
        <v>1500</v>
      </c>
      <c r="H199" s="237" t="b">
        <v>1</v>
      </c>
      <c r="I199" s="185" t="s">
        <v>1762</v>
      </c>
      <c r="J199" s="185" t="s">
        <v>1762</v>
      </c>
      <c r="K199" s="185" t="s">
        <v>1762</v>
      </c>
      <c r="L199" s="185" t="s">
        <v>85</v>
      </c>
      <c r="M199" s="196" t="s">
        <v>749</v>
      </c>
      <c r="N199" s="185" t="s">
        <v>714</v>
      </c>
      <c r="O199" s="238">
        <v>44136.0</v>
      </c>
      <c r="P199" s="239" t="s">
        <v>1763</v>
      </c>
      <c r="Q199" s="239" t="s">
        <v>1764</v>
      </c>
      <c r="R199" s="240" t="s">
        <v>782</v>
      </c>
      <c r="S199" s="196" t="s">
        <v>782</v>
      </c>
      <c r="T199" s="196" t="s">
        <v>1765</v>
      </c>
    </row>
    <row r="200">
      <c r="A200" s="182" t="s">
        <v>674</v>
      </c>
      <c r="B200" s="203" t="s">
        <v>66</v>
      </c>
      <c r="C200" s="173" t="s">
        <v>66</v>
      </c>
      <c r="D200" s="173" t="s">
        <v>1894</v>
      </c>
      <c r="E200" s="196" t="s">
        <v>1021</v>
      </c>
      <c r="F200" s="185" t="s">
        <v>135</v>
      </c>
      <c r="G200" s="185" t="s">
        <v>1761</v>
      </c>
      <c r="H200" s="237" t="s">
        <v>936</v>
      </c>
      <c r="I200" s="185" t="s">
        <v>1762</v>
      </c>
      <c r="J200" s="185" t="s">
        <v>1762</v>
      </c>
      <c r="K200" s="185" t="s">
        <v>1762</v>
      </c>
      <c r="L200" s="185" t="s">
        <v>85</v>
      </c>
      <c r="M200" s="196" t="s">
        <v>749</v>
      </c>
      <c r="N200" s="185" t="s">
        <v>714</v>
      </c>
      <c r="O200" s="238">
        <v>44136.0</v>
      </c>
      <c r="P200" s="239" t="s">
        <v>1763</v>
      </c>
      <c r="Q200" s="239" t="s">
        <v>1764</v>
      </c>
      <c r="R200" s="240" t="s">
        <v>782</v>
      </c>
      <c r="S200" s="196" t="s">
        <v>782</v>
      </c>
      <c r="T200" s="196" t="s">
        <v>1765</v>
      </c>
    </row>
    <row r="201">
      <c r="A201" s="182" t="s">
        <v>676</v>
      </c>
      <c r="B201" s="203" t="s">
        <v>66</v>
      </c>
      <c r="C201" s="173" t="s">
        <v>66</v>
      </c>
      <c r="D201" s="173" t="s">
        <v>1895</v>
      </c>
      <c r="E201" s="196" t="s">
        <v>1022</v>
      </c>
      <c r="F201" s="185" t="s">
        <v>135</v>
      </c>
      <c r="G201" s="185" t="s">
        <v>1761</v>
      </c>
      <c r="H201" s="237" t="s">
        <v>1023</v>
      </c>
      <c r="I201" s="185" t="s">
        <v>1762</v>
      </c>
      <c r="J201" s="185" t="s">
        <v>1762</v>
      </c>
      <c r="K201" s="185" t="s">
        <v>1762</v>
      </c>
      <c r="L201" s="185" t="s">
        <v>85</v>
      </c>
      <c r="M201" s="196" t="s">
        <v>749</v>
      </c>
      <c r="N201" s="185" t="s">
        <v>714</v>
      </c>
      <c r="O201" s="238">
        <v>44136.0</v>
      </c>
      <c r="P201" s="239" t="s">
        <v>1763</v>
      </c>
      <c r="Q201" s="239" t="s">
        <v>1764</v>
      </c>
      <c r="R201" s="240" t="s">
        <v>782</v>
      </c>
      <c r="S201" s="196" t="s">
        <v>782</v>
      </c>
      <c r="T201" s="196" t="s">
        <v>1765</v>
      </c>
    </row>
    <row r="202">
      <c r="A202" s="182" t="s">
        <v>472</v>
      </c>
      <c r="B202" s="203" t="s">
        <v>66</v>
      </c>
      <c r="C202" s="173" t="s">
        <v>66</v>
      </c>
      <c r="D202" s="173" t="s">
        <v>475</v>
      </c>
      <c r="E202" s="196" t="s">
        <v>475</v>
      </c>
      <c r="F202" s="185" t="s">
        <v>185</v>
      </c>
      <c r="G202" s="185" t="s">
        <v>713</v>
      </c>
      <c r="H202" s="237">
        <v>1.0</v>
      </c>
      <c r="I202" s="185" t="s">
        <v>476</v>
      </c>
      <c r="J202" s="185" t="s">
        <v>476</v>
      </c>
      <c r="K202" s="185" t="s">
        <v>476</v>
      </c>
      <c r="L202" s="185" t="s">
        <v>85</v>
      </c>
      <c r="M202" s="196" t="s">
        <v>749</v>
      </c>
      <c r="N202" s="185" t="s">
        <v>749</v>
      </c>
      <c r="O202" s="238">
        <v>44136.0</v>
      </c>
      <c r="P202" s="239" t="s">
        <v>1779</v>
      </c>
      <c r="Q202" s="239" t="s">
        <v>1764</v>
      </c>
      <c r="R202" s="240" t="s">
        <v>724</v>
      </c>
      <c r="S202" s="196" t="s">
        <v>724</v>
      </c>
      <c r="T202" s="196" t="s">
        <v>1765</v>
      </c>
    </row>
    <row r="203">
      <c r="A203" s="182" t="s">
        <v>477</v>
      </c>
      <c r="B203" s="203" t="s">
        <v>66</v>
      </c>
      <c r="C203" s="173" t="s">
        <v>66</v>
      </c>
      <c r="D203" s="173" t="s">
        <v>1024</v>
      </c>
      <c r="E203" s="196" t="s">
        <v>1024</v>
      </c>
      <c r="F203" s="185" t="s">
        <v>185</v>
      </c>
      <c r="G203" s="185" t="s">
        <v>713</v>
      </c>
      <c r="H203" s="237">
        <v>1.0</v>
      </c>
      <c r="I203" s="185" t="s">
        <v>476</v>
      </c>
      <c r="J203" s="185" t="s">
        <v>476</v>
      </c>
      <c r="K203" s="185" t="s">
        <v>476</v>
      </c>
      <c r="L203" s="185" t="s">
        <v>85</v>
      </c>
      <c r="M203" s="196" t="s">
        <v>749</v>
      </c>
      <c r="N203" s="185" t="s">
        <v>749</v>
      </c>
      <c r="O203" s="238">
        <v>44136.0</v>
      </c>
      <c r="P203" s="239" t="s">
        <v>1775</v>
      </c>
      <c r="Q203" s="239" t="s">
        <v>1764</v>
      </c>
      <c r="R203" s="240" t="s">
        <v>724</v>
      </c>
      <c r="S203" s="196" t="s">
        <v>724</v>
      </c>
      <c r="T203" s="196" t="s">
        <v>1765</v>
      </c>
    </row>
    <row r="204">
      <c r="A204" s="182" t="s">
        <v>479</v>
      </c>
      <c r="B204" s="203" t="s">
        <v>66</v>
      </c>
      <c r="C204" s="173" t="s">
        <v>66</v>
      </c>
      <c r="D204" s="173" t="s">
        <v>1025</v>
      </c>
      <c r="E204" s="196" t="s">
        <v>1025</v>
      </c>
      <c r="F204" s="185" t="s">
        <v>185</v>
      </c>
      <c r="G204" s="185" t="s">
        <v>694</v>
      </c>
      <c r="H204" s="237">
        <v>2.24E9</v>
      </c>
      <c r="I204" s="185" t="s">
        <v>476</v>
      </c>
      <c r="J204" s="185" t="s">
        <v>476</v>
      </c>
      <c r="K204" s="185" t="s">
        <v>476</v>
      </c>
      <c r="L204" s="185" t="s">
        <v>85</v>
      </c>
      <c r="M204" s="196" t="s">
        <v>749</v>
      </c>
      <c r="N204" s="185" t="s">
        <v>749</v>
      </c>
      <c r="O204" s="238">
        <v>44136.0</v>
      </c>
      <c r="P204" s="239" t="s">
        <v>1779</v>
      </c>
      <c r="Q204" s="239" t="s">
        <v>1764</v>
      </c>
      <c r="R204" s="240" t="s">
        <v>724</v>
      </c>
      <c r="S204" s="196" t="s">
        <v>724</v>
      </c>
      <c r="T204" s="196" t="s">
        <v>1765</v>
      </c>
    </row>
    <row r="205">
      <c r="A205" s="182" t="s">
        <v>1026</v>
      </c>
      <c r="B205" s="203" t="s">
        <v>66</v>
      </c>
      <c r="C205" s="173" t="s">
        <v>66</v>
      </c>
      <c r="D205" s="173" t="s">
        <v>1896</v>
      </c>
      <c r="E205" s="196" t="s">
        <v>1027</v>
      </c>
      <c r="F205" s="185" t="s">
        <v>135</v>
      </c>
      <c r="G205" s="185" t="s">
        <v>1500</v>
      </c>
      <c r="H205" s="237" t="b">
        <v>1</v>
      </c>
      <c r="I205" s="185" t="s">
        <v>1762</v>
      </c>
      <c r="J205" s="185" t="s">
        <v>1762</v>
      </c>
      <c r="K205" s="185" t="s">
        <v>1762</v>
      </c>
      <c r="L205" s="185" t="s">
        <v>85</v>
      </c>
      <c r="M205" s="196" t="s">
        <v>749</v>
      </c>
      <c r="N205" s="185" t="s">
        <v>714</v>
      </c>
      <c r="O205" s="238">
        <v>44136.0</v>
      </c>
      <c r="P205" s="239" t="s">
        <v>1763</v>
      </c>
      <c r="Q205" s="239" t="s">
        <v>1764</v>
      </c>
      <c r="R205" s="240" t="s">
        <v>782</v>
      </c>
      <c r="S205" s="196" t="s">
        <v>782</v>
      </c>
      <c r="T205" s="196" t="s">
        <v>1765</v>
      </c>
    </row>
    <row r="206">
      <c r="A206" s="182" t="s">
        <v>1028</v>
      </c>
      <c r="B206" s="203" t="s">
        <v>66</v>
      </c>
      <c r="C206" s="173" t="s">
        <v>66</v>
      </c>
      <c r="D206" s="173" t="s">
        <v>1897</v>
      </c>
      <c r="E206" s="196" t="s">
        <v>1029</v>
      </c>
      <c r="F206" s="185" t="s">
        <v>135</v>
      </c>
      <c r="G206" s="185" t="s">
        <v>1761</v>
      </c>
      <c r="H206" s="237" t="s">
        <v>936</v>
      </c>
      <c r="I206" s="185" t="s">
        <v>1762</v>
      </c>
      <c r="J206" s="185" t="s">
        <v>1762</v>
      </c>
      <c r="K206" s="185" t="s">
        <v>1762</v>
      </c>
      <c r="L206" s="185" t="s">
        <v>85</v>
      </c>
      <c r="M206" s="196" t="s">
        <v>749</v>
      </c>
      <c r="N206" s="185" t="s">
        <v>714</v>
      </c>
      <c r="O206" s="238">
        <v>44136.0</v>
      </c>
      <c r="P206" s="239" t="s">
        <v>1763</v>
      </c>
      <c r="Q206" s="239" t="s">
        <v>1764</v>
      </c>
      <c r="R206" s="240" t="s">
        <v>782</v>
      </c>
      <c r="S206" s="196" t="s">
        <v>782</v>
      </c>
      <c r="T206" s="196" t="s">
        <v>1765</v>
      </c>
    </row>
    <row r="207">
      <c r="A207" s="182" t="s">
        <v>1030</v>
      </c>
      <c r="B207" s="203" t="s">
        <v>66</v>
      </c>
      <c r="C207" s="173" t="s">
        <v>66</v>
      </c>
      <c r="D207" s="173" t="s">
        <v>1898</v>
      </c>
      <c r="E207" s="196" t="s">
        <v>1031</v>
      </c>
      <c r="F207" s="185" t="s">
        <v>135</v>
      </c>
      <c r="G207" s="185" t="s">
        <v>1761</v>
      </c>
      <c r="H207" s="237" t="s">
        <v>1032</v>
      </c>
      <c r="I207" s="185" t="s">
        <v>1762</v>
      </c>
      <c r="J207" s="185" t="s">
        <v>1762</v>
      </c>
      <c r="K207" s="185" t="s">
        <v>1762</v>
      </c>
      <c r="L207" s="185" t="s">
        <v>85</v>
      </c>
      <c r="M207" s="196" t="s">
        <v>749</v>
      </c>
      <c r="N207" s="185" t="s">
        <v>714</v>
      </c>
      <c r="O207" s="238">
        <v>44136.0</v>
      </c>
      <c r="P207" s="239" t="s">
        <v>1763</v>
      </c>
      <c r="Q207" s="239" t="s">
        <v>1764</v>
      </c>
      <c r="R207" s="240" t="s">
        <v>782</v>
      </c>
      <c r="S207" s="196" t="s">
        <v>782</v>
      </c>
      <c r="T207" s="196" t="s">
        <v>1765</v>
      </c>
    </row>
    <row r="208">
      <c r="A208" s="182" t="s">
        <v>1336</v>
      </c>
      <c r="B208" s="203" t="s">
        <v>66</v>
      </c>
      <c r="C208" s="173" t="s">
        <v>66</v>
      </c>
      <c r="D208" s="173" t="s">
        <v>1899</v>
      </c>
      <c r="E208" s="196" t="s">
        <v>1034</v>
      </c>
      <c r="F208" s="185" t="s">
        <v>135</v>
      </c>
      <c r="G208" s="185" t="s">
        <v>1500</v>
      </c>
      <c r="H208" s="237" t="b">
        <v>1</v>
      </c>
      <c r="I208" s="185" t="s">
        <v>1762</v>
      </c>
      <c r="J208" s="185" t="s">
        <v>1762</v>
      </c>
      <c r="K208" s="185" t="s">
        <v>1762</v>
      </c>
      <c r="L208" s="185" t="s">
        <v>85</v>
      </c>
      <c r="M208" s="196" t="s">
        <v>749</v>
      </c>
      <c r="N208" s="185" t="s">
        <v>714</v>
      </c>
      <c r="O208" s="238">
        <v>44136.0</v>
      </c>
      <c r="P208" s="239" t="s">
        <v>1763</v>
      </c>
      <c r="Q208" s="239" t="s">
        <v>1764</v>
      </c>
      <c r="R208" s="240" t="s">
        <v>782</v>
      </c>
      <c r="S208" s="196" t="s">
        <v>782</v>
      </c>
      <c r="T208" s="196" t="s">
        <v>1765</v>
      </c>
    </row>
    <row r="209">
      <c r="A209" s="182" t="s">
        <v>1337</v>
      </c>
      <c r="B209" s="203" t="s">
        <v>66</v>
      </c>
      <c r="C209" s="173" t="s">
        <v>66</v>
      </c>
      <c r="D209" s="173" t="s">
        <v>1900</v>
      </c>
      <c r="E209" s="196" t="s">
        <v>1036</v>
      </c>
      <c r="F209" s="185" t="s">
        <v>135</v>
      </c>
      <c r="G209" s="185" t="s">
        <v>1761</v>
      </c>
      <c r="H209" s="237" t="s">
        <v>936</v>
      </c>
      <c r="I209" s="185" t="s">
        <v>1762</v>
      </c>
      <c r="J209" s="185" t="s">
        <v>1762</v>
      </c>
      <c r="K209" s="185" t="s">
        <v>1762</v>
      </c>
      <c r="L209" s="185" t="s">
        <v>85</v>
      </c>
      <c r="M209" s="196" t="s">
        <v>749</v>
      </c>
      <c r="N209" s="185" t="s">
        <v>714</v>
      </c>
      <c r="O209" s="238">
        <v>44136.0</v>
      </c>
      <c r="P209" s="239" t="s">
        <v>1763</v>
      </c>
      <c r="Q209" s="239" t="s">
        <v>1764</v>
      </c>
      <c r="R209" s="240" t="s">
        <v>782</v>
      </c>
      <c r="S209" s="196" t="s">
        <v>782</v>
      </c>
      <c r="T209" s="196" t="s">
        <v>1765</v>
      </c>
    </row>
    <row r="210">
      <c r="A210" s="182" t="s">
        <v>1338</v>
      </c>
      <c r="B210" s="203" t="s">
        <v>66</v>
      </c>
      <c r="C210" s="173" t="s">
        <v>66</v>
      </c>
      <c r="D210" s="173" t="s">
        <v>1901</v>
      </c>
      <c r="E210" s="196" t="s">
        <v>1038</v>
      </c>
      <c r="F210" s="185" t="s">
        <v>135</v>
      </c>
      <c r="G210" s="185" t="s">
        <v>1761</v>
      </c>
      <c r="H210" s="237" t="s">
        <v>1032</v>
      </c>
      <c r="I210" s="185" t="s">
        <v>1762</v>
      </c>
      <c r="J210" s="185" t="s">
        <v>1762</v>
      </c>
      <c r="K210" s="185" t="s">
        <v>1762</v>
      </c>
      <c r="L210" s="185" t="s">
        <v>85</v>
      </c>
      <c r="M210" s="196" t="s">
        <v>749</v>
      </c>
      <c r="N210" s="185" t="s">
        <v>714</v>
      </c>
      <c r="O210" s="238">
        <v>44136.0</v>
      </c>
      <c r="P210" s="239" t="s">
        <v>1763</v>
      </c>
      <c r="Q210" s="239" t="s">
        <v>1764</v>
      </c>
      <c r="R210" s="240" t="s">
        <v>782</v>
      </c>
      <c r="S210" s="196" t="s">
        <v>782</v>
      </c>
      <c r="T210" s="196" t="s">
        <v>1765</v>
      </c>
    </row>
    <row r="211">
      <c r="A211" s="182" t="s">
        <v>1039</v>
      </c>
      <c r="B211" s="203" t="s">
        <v>66</v>
      </c>
      <c r="C211" s="173" t="s">
        <v>66</v>
      </c>
      <c r="D211" s="173" t="s">
        <v>1040</v>
      </c>
      <c r="E211" s="196" t="s">
        <v>1040</v>
      </c>
      <c r="F211" s="185" t="s">
        <v>185</v>
      </c>
      <c r="G211" s="185" t="s">
        <v>698</v>
      </c>
      <c r="H211" s="237">
        <v>36706.333333333336</v>
      </c>
      <c r="I211" s="185" t="s">
        <v>723</v>
      </c>
      <c r="J211" s="185" t="s">
        <v>723</v>
      </c>
      <c r="K211" s="185" t="s">
        <v>723</v>
      </c>
      <c r="L211" s="185" t="s">
        <v>85</v>
      </c>
      <c r="M211" s="196" t="s">
        <v>687</v>
      </c>
      <c r="N211" s="185" t="s">
        <v>688</v>
      </c>
      <c r="O211" s="238">
        <v>44180.0</v>
      </c>
      <c r="P211" s="239" t="s">
        <v>1782</v>
      </c>
      <c r="Q211" s="239" t="s">
        <v>1783</v>
      </c>
      <c r="R211" s="240" t="s">
        <v>721</v>
      </c>
      <c r="S211" s="196" t="s">
        <v>721</v>
      </c>
      <c r="T211" s="196" t="s">
        <v>1765</v>
      </c>
    </row>
    <row r="212">
      <c r="A212" s="182" t="s">
        <v>1041</v>
      </c>
      <c r="B212" s="203" t="s">
        <v>66</v>
      </c>
      <c r="C212" s="173" t="s">
        <v>66</v>
      </c>
      <c r="D212" s="173" t="s">
        <v>1042</v>
      </c>
      <c r="E212" s="196" t="s">
        <v>1042</v>
      </c>
      <c r="F212" s="185" t="s">
        <v>185</v>
      </c>
      <c r="G212" s="185" t="s">
        <v>698</v>
      </c>
      <c r="H212" s="237">
        <v>40131.52979166667</v>
      </c>
      <c r="I212" s="185" t="s">
        <v>723</v>
      </c>
      <c r="J212" s="185" t="s">
        <v>723</v>
      </c>
      <c r="K212" s="185" t="s">
        <v>723</v>
      </c>
      <c r="L212" s="185" t="s">
        <v>85</v>
      </c>
      <c r="M212" s="196" t="s">
        <v>687</v>
      </c>
      <c r="N212" s="185" t="s">
        <v>688</v>
      </c>
      <c r="O212" s="238">
        <v>44180.0</v>
      </c>
      <c r="P212" s="239" t="s">
        <v>1782</v>
      </c>
      <c r="Q212" s="239" t="s">
        <v>1783</v>
      </c>
      <c r="R212" s="240" t="s">
        <v>721</v>
      </c>
      <c r="S212" s="196" t="s">
        <v>721</v>
      </c>
      <c r="T212" s="196" t="s">
        <v>1765</v>
      </c>
    </row>
    <row r="213">
      <c r="A213" s="182" t="s">
        <v>1043</v>
      </c>
      <c r="B213" s="203" t="s">
        <v>66</v>
      </c>
      <c r="C213" s="173" t="s">
        <v>66</v>
      </c>
      <c r="D213" s="173" t="s">
        <v>1044</v>
      </c>
      <c r="E213" s="196" t="s">
        <v>1044</v>
      </c>
      <c r="F213" s="185" t="s">
        <v>185</v>
      </c>
      <c r="G213" s="185" t="s">
        <v>713</v>
      </c>
      <c r="H213" s="237">
        <v>20.0</v>
      </c>
      <c r="I213" s="185" t="s">
        <v>723</v>
      </c>
      <c r="J213" s="185" t="s">
        <v>723</v>
      </c>
      <c r="K213" s="185" t="s">
        <v>723</v>
      </c>
      <c r="L213" s="185" t="s">
        <v>85</v>
      </c>
      <c r="M213" s="196" t="s">
        <v>687</v>
      </c>
      <c r="N213" s="185" t="s">
        <v>688</v>
      </c>
      <c r="O213" s="238">
        <v>44180.0</v>
      </c>
      <c r="P213" s="239" t="s">
        <v>1782</v>
      </c>
      <c r="Q213" s="239" t="s">
        <v>1783</v>
      </c>
      <c r="R213" s="240" t="s">
        <v>721</v>
      </c>
      <c r="S213" s="196" t="s">
        <v>721</v>
      </c>
      <c r="T213" s="196" t="s">
        <v>1765</v>
      </c>
    </row>
    <row r="214">
      <c r="A214" s="182" t="s">
        <v>1045</v>
      </c>
      <c r="B214" s="203" t="s">
        <v>66</v>
      </c>
      <c r="C214" s="173" t="s">
        <v>66</v>
      </c>
      <c r="D214" s="173" t="s">
        <v>1046</v>
      </c>
      <c r="E214" s="196" t="s">
        <v>1046</v>
      </c>
      <c r="F214" s="185" t="s">
        <v>185</v>
      </c>
      <c r="G214" s="185" t="s">
        <v>713</v>
      </c>
      <c r="H214" s="237">
        <v>36.0</v>
      </c>
      <c r="I214" s="185" t="s">
        <v>723</v>
      </c>
      <c r="J214" s="185" t="s">
        <v>723</v>
      </c>
      <c r="K214" s="185" t="s">
        <v>723</v>
      </c>
      <c r="L214" s="185" t="s">
        <v>85</v>
      </c>
      <c r="M214" s="196" t="s">
        <v>687</v>
      </c>
      <c r="N214" s="185" t="s">
        <v>688</v>
      </c>
      <c r="O214" s="238">
        <v>44180.0</v>
      </c>
      <c r="P214" s="239" t="s">
        <v>1782</v>
      </c>
      <c r="Q214" s="239" t="s">
        <v>1783</v>
      </c>
      <c r="R214" s="240" t="s">
        <v>721</v>
      </c>
      <c r="S214" s="196" t="s">
        <v>721</v>
      </c>
      <c r="T214" s="196" t="s">
        <v>1765</v>
      </c>
    </row>
    <row r="215">
      <c r="A215" s="182" t="s">
        <v>1047</v>
      </c>
      <c r="B215" s="203" t="s">
        <v>66</v>
      </c>
      <c r="C215" s="173" t="s">
        <v>66</v>
      </c>
      <c r="D215" s="173" t="s">
        <v>1048</v>
      </c>
      <c r="E215" s="196" t="s">
        <v>1048</v>
      </c>
      <c r="F215" s="185" t="s">
        <v>185</v>
      </c>
      <c r="G215" s="185" t="s">
        <v>768</v>
      </c>
      <c r="H215" s="237">
        <v>50.0</v>
      </c>
      <c r="I215" s="185" t="s">
        <v>723</v>
      </c>
      <c r="J215" s="185" t="s">
        <v>723</v>
      </c>
      <c r="K215" s="185" t="s">
        <v>723</v>
      </c>
      <c r="L215" s="185" t="s">
        <v>85</v>
      </c>
      <c r="M215" s="196" t="s">
        <v>687</v>
      </c>
      <c r="N215" s="185" t="s">
        <v>760</v>
      </c>
      <c r="O215" s="238">
        <v>44179.0</v>
      </c>
      <c r="P215" s="239" t="s">
        <v>1782</v>
      </c>
      <c r="Q215" s="239" t="s">
        <v>1783</v>
      </c>
      <c r="R215" s="240" t="s">
        <v>761</v>
      </c>
      <c r="S215" s="196" t="s">
        <v>761</v>
      </c>
      <c r="T215" s="196" t="s">
        <v>1765</v>
      </c>
    </row>
    <row r="216" hidden="1">
      <c r="A216" s="182" t="s">
        <v>1049</v>
      </c>
      <c r="B216" s="241" t="s">
        <v>48</v>
      </c>
      <c r="C216" s="173"/>
      <c r="D216" s="173" t="s">
        <v>1050</v>
      </c>
      <c r="E216" s="196" t="s">
        <v>1050</v>
      </c>
      <c r="F216" s="185" t="s">
        <v>135</v>
      </c>
      <c r="G216" s="185" t="s">
        <v>1500</v>
      </c>
      <c r="H216" s="237" t="b">
        <v>1</v>
      </c>
      <c r="I216" s="185" t="s">
        <v>136</v>
      </c>
      <c r="J216" s="185" t="s">
        <v>1052</v>
      </c>
      <c r="K216" s="185" t="s">
        <v>1052</v>
      </c>
      <c r="L216" s="185" t="s">
        <v>85</v>
      </c>
      <c r="M216" s="196" t="s">
        <v>749</v>
      </c>
      <c r="N216" s="185" t="s">
        <v>688</v>
      </c>
      <c r="O216" s="238">
        <v>44136.0</v>
      </c>
      <c r="P216" s="239" t="s">
        <v>913</v>
      </c>
      <c r="Q216" s="239" t="s">
        <v>1902</v>
      </c>
      <c r="R216" s="240" t="s">
        <v>724</v>
      </c>
      <c r="S216" s="196" t="s">
        <v>724</v>
      </c>
      <c r="T216" s="196" t="s">
        <v>1903</v>
      </c>
    </row>
    <row r="217">
      <c r="A217" s="182" t="s">
        <v>1053</v>
      </c>
      <c r="B217" s="203" t="s">
        <v>66</v>
      </c>
      <c r="C217" s="173" t="s">
        <v>66</v>
      </c>
      <c r="D217" s="173" t="s">
        <v>1054</v>
      </c>
      <c r="E217" s="196" t="s">
        <v>1054</v>
      </c>
      <c r="F217" s="185" t="s">
        <v>185</v>
      </c>
      <c r="G217" s="185" t="s">
        <v>1500</v>
      </c>
      <c r="H217" s="237" t="b">
        <v>1</v>
      </c>
      <c r="I217" s="185" t="s">
        <v>1051</v>
      </c>
      <c r="J217" s="185" t="s">
        <v>1052</v>
      </c>
      <c r="K217" s="185" t="s">
        <v>1052</v>
      </c>
      <c r="L217" s="185" t="s">
        <v>85</v>
      </c>
      <c r="M217" s="196" t="s">
        <v>687</v>
      </c>
      <c r="N217" s="185" t="s">
        <v>688</v>
      </c>
      <c r="O217" s="238">
        <v>44181.0</v>
      </c>
      <c r="P217" s="239" t="s">
        <v>1904</v>
      </c>
      <c r="Q217" s="239" t="s">
        <v>1905</v>
      </c>
      <c r="R217" s="240" t="s">
        <v>691</v>
      </c>
      <c r="S217" s="196" t="s">
        <v>691</v>
      </c>
      <c r="T217" s="196" t="s">
        <v>1765</v>
      </c>
    </row>
    <row r="218">
      <c r="A218" s="182" t="s">
        <v>1055</v>
      </c>
      <c r="B218" s="203" t="s">
        <v>66</v>
      </c>
      <c r="C218" s="173" t="s">
        <v>66</v>
      </c>
      <c r="D218" s="173" t="s">
        <v>1056</v>
      </c>
      <c r="E218" s="196" t="s">
        <v>1056</v>
      </c>
      <c r="F218" s="185" t="s">
        <v>185</v>
      </c>
      <c r="G218" s="185" t="s">
        <v>1761</v>
      </c>
      <c r="H218" s="237">
        <v>9.05E9</v>
      </c>
      <c r="I218" s="185" t="s">
        <v>1051</v>
      </c>
      <c r="J218" s="185" t="s">
        <v>1052</v>
      </c>
      <c r="K218" s="185" t="s">
        <v>1052</v>
      </c>
      <c r="L218" s="185" t="s">
        <v>85</v>
      </c>
      <c r="M218" s="196" t="s">
        <v>687</v>
      </c>
      <c r="N218" s="185" t="s">
        <v>760</v>
      </c>
      <c r="O218" s="238">
        <v>44179.0</v>
      </c>
      <c r="P218" s="239" t="s">
        <v>1782</v>
      </c>
      <c r="Q218" s="239" t="s">
        <v>1783</v>
      </c>
      <c r="R218" s="240" t="s">
        <v>761</v>
      </c>
      <c r="S218" s="196" t="s">
        <v>761</v>
      </c>
      <c r="T218" s="196" t="s">
        <v>1765</v>
      </c>
    </row>
    <row r="219">
      <c r="A219" s="182" t="s">
        <v>1057</v>
      </c>
      <c r="B219" s="203" t="s">
        <v>66</v>
      </c>
      <c r="C219" s="173" t="s">
        <v>66</v>
      </c>
      <c r="D219" s="173" t="s">
        <v>1058</v>
      </c>
      <c r="E219" s="196" t="s">
        <v>1058</v>
      </c>
      <c r="F219" s="185" t="s">
        <v>185</v>
      </c>
      <c r="G219" s="185" t="s">
        <v>1761</v>
      </c>
      <c r="H219" s="237">
        <v>6.49E8</v>
      </c>
      <c r="I219" s="185" t="s">
        <v>1051</v>
      </c>
      <c r="J219" s="185" t="s">
        <v>1052</v>
      </c>
      <c r="K219" s="185" t="s">
        <v>1052</v>
      </c>
      <c r="L219" s="185" t="s">
        <v>85</v>
      </c>
      <c r="M219" s="196" t="s">
        <v>687</v>
      </c>
      <c r="N219" s="185" t="s">
        <v>760</v>
      </c>
      <c r="O219" s="238">
        <v>44179.0</v>
      </c>
      <c r="P219" s="239" t="s">
        <v>1782</v>
      </c>
      <c r="Q219" s="239" t="s">
        <v>1783</v>
      </c>
      <c r="R219" s="240" t="s">
        <v>761</v>
      </c>
      <c r="S219" s="196" t="s">
        <v>761</v>
      </c>
      <c r="T219" s="196" t="s">
        <v>1765</v>
      </c>
    </row>
    <row r="220">
      <c r="A220" s="182" t="s">
        <v>1059</v>
      </c>
      <c r="B220" s="203" t="s">
        <v>66</v>
      </c>
      <c r="C220" s="173" t="s">
        <v>66</v>
      </c>
      <c r="D220" s="173" t="s">
        <v>1060</v>
      </c>
      <c r="E220" s="196" t="s">
        <v>1060</v>
      </c>
      <c r="F220" s="185" t="s">
        <v>185</v>
      </c>
      <c r="G220" s="185" t="s">
        <v>1500</v>
      </c>
      <c r="H220" s="237" t="b">
        <v>1</v>
      </c>
      <c r="I220" s="185" t="s">
        <v>1762</v>
      </c>
      <c r="J220" s="185" t="s">
        <v>91</v>
      </c>
      <c r="K220" s="185" t="s">
        <v>91</v>
      </c>
      <c r="L220" s="185" t="s">
        <v>85</v>
      </c>
      <c r="M220" s="196" t="s">
        <v>687</v>
      </c>
      <c r="N220" s="185" t="s">
        <v>688</v>
      </c>
      <c r="O220" s="238">
        <v>44179.0</v>
      </c>
      <c r="P220" s="239" t="s">
        <v>1770</v>
      </c>
      <c r="Q220" s="239" t="s">
        <v>1764</v>
      </c>
      <c r="R220" s="240" t="s">
        <v>724</v>
      </c>
      <c r="S220" s="196" t="s">
        <v>724</v>
      </c>
      <c r="T220" s="196" t="s">
        <v>1765</v>
      </c>
    </row>
    <row r="221">
      <c r="A221" s="182" t="s">
        <v>1061</v>
      </c>
      <c r="B221" s="203" t="s">
        <v>66</v>
      </c>
      <c r="C221" s="173" t="s">
        <v>66</v>
      </c>
      <c r="D221" s="173" t="s">
        <v>1062</v>
      </c>
      <c r="E221" s="196" t="s">
        <v>1062</v>
      </c>
      <c r="F221" s="185" t="s">
        <v>185</v>
      </c>
      <c r="G221" s="185" t="s">
        <v>768</v>
      </c>
      <c r="H221" s="237">
        <v>65.0</v>
      </c>
      <c r="I221" s="185" t="s">
        <v>723</v>
      </c>
      <c r="J221" s="185" t="s">
        <v>723</v>
      </c>
      <c r="K221" s="185" t="s">
        <v>723</v>
      </c>
      <c r="L221" s="185" t="s">
        <v>85</v>
      </c>
      <c r="M221" s="196" t="s">
        <v>687</v>
      </c>
      <c r="N221" s="185" t="s">
        <v>760</v>
      </c>
      <c r="O221" s="238">
        <v>44179.0</v>
      </c>
      <c r="P221" s="239" t="s">
        <v>1782</v>
      </c>
      <c r="Q221" s="239" t="s">
        <v>1783</v>
      </c>
      <c r="R221" s="240" t="s">
        <v>761</v>
      </c>
      <c r="S221" s="196" t="s">
        <v>761</v>
      </c>
      <c r="T221" s="196" t="s">
        <v>1765</v>
      </c>
    </row>
    <row r="222">
      <c r="A222" s="182" t="s">
        <v>1063</v>
      </c>
      <c r="B222" s="203" t="s">
        <v>66</v>
      </c>
      <c r="C222" s="173" t="s">
        <v>66</v>
      </c>
      <c r="D222" s="173" t="s">
        <v>1064</v>
      </c>
      <c r="E222" s="196" t="s">
        <v>1064</v>
      </c>
      <c r="F222" s="185" t="s">
        <v>185</v>
      </c>
      <c r="G222" s="185" t="s">
        <v>768</v>
      </c>
      <c r="H222" s="237">
        <v>55.0</v>
      </c>
      <c r="I222" s="185" t="s">
        <v>723</v>
      </c>
      <c r="J222" s="185" t="s">
        <v>723</v>
      </c>
      <c r="K222" s="185" t="s">
        <v>723</v>
      </c>
      <c r="L222" s="185" t="s">
        <v>85</v>
      </c>
      <c r="M222" s="196" t="s">
        <v>687</v>
      </c>
      <c r="N222" s="185" t="s">
        <v>760</v>
      </c>
      <c r="O222" s="238">
        <v>44179.0</v>
      </c>
      <c r="P222" s="239" t="s">
        <v>1782</v>
      </c>
      <c r="Q222" s="239" t="s">
        <v>1783</v>
      </c>
      <c r="R222" s="240" t="s">
        <v>761</v>
      </c>
      <c r="S222" s="196" t="s">
        <v>761</v>
      </c>
      <c r="T222" s="196" t="s">
        <v>1765</v>
      </c>
    </row>
    <row r="223">
      <c r="A223" s="182" t="s">
        <v>1065</v>
      </c>
      <c r="B223" s="203" t="s">
        <v>66</v>
      </c>
      <c r="C223" s="173" t="s">
        <v>66</v>
      </c>
      <c r="D223" s="173" t="s">
        <v>1066</v>
      </c>
      <c r="E223" s="196" t="s">
        <v>1066</v>
      </c>
      <c r="F223" s="185" t="s">
        <v>185</v>
      </c>
      <c r="G223" s="185" t="s">
        <v>768</v>
      </c>
      <c r="H223" s="237">
        <v>19401.0</v>
      </c>
      <c r="I223" s="185" t="s">
        <v>723</v>
      </c>
      <c r="J223" s="185" t="s">
        <v>1067</v>
      </c>
      <c r="K223" s="185" t="s">
        <v>723</v>
      </c>
      <c r="L223" s="185" t="s">
        <v>85</v>
      </c>
      <c r="M223" s="196" t="s">
        <v>749</v>
      </c>
      <c r="N223" s="185" t="s">
        <v>688</v>
      </c>
      <c r="O223" s="238">
        <v>44136.0</v>
      </c>
      <c r="P223" s="239" t="s">
        <v>1786</v>
      </c>
      <c r="Q223" s="239" t="s">
        <v>1787</v>
      </c>
      <c r="R223" s="240" t="s">
        <v>750</v>
      </c>
      <c r="S223" s="196" t="s">
        <v>750</v>
      </c>
      <c r="T223" s="196" t="s">
        <v>1765</v>
      </c>
    </row>
    <row r="224">
      <c r="A224" s="182" t="s">
        <v>1068</v>
      </c>
      <c r="B224" s="203" t="s">
        <v>66</v>
      </c>
      <c r="C224" s="173" t="s">
        <v>66</v>
      </c>
      <c r="D224" s="173" t="s">
        <v>1069</v>
      </c>
      <c r="E224" s="196" t="s">
        <v>1069</v>
      </c>
      <c r="F224" s="185" t="s">
        <v>185</v>
      </c>
      <c r="G224" s="185" t="s">
        <v>1500</v>
      </c>
      <c r="H224" s="237" t="b">
        <v>1</v>
      </c>
      <c r="I224" s="185" t="s">
        <v>723</v>
      </c>
      <c r="J224" s="185" t="s">
        <v>1067</v>
      </c>
      <c r="K224" s="185" t="s">
        <v>723</v>
      </c>
      <c r="L224" s="185" t="s">
        <v>85</v>
      </c>
      <c r="M224" s="196" t="s">
        <v>687</v>
      </c>
      <c r="N224" s="185" t="s">
        <v>688</v>
      </c>
      <c r="O224" s="238">
        <v>44180.0</v>
      </c>
      <c r="P224" s="239" t="s">
        <v>701</v>
      </c>
      <c r="Q224" s="239" t="s">
        <v>1787</v>
      </c>
      <c r="R224" s="240" t="s">
        <v>744</v>
      </c>
      <c r="S224" s="196" t="s">
        <v>744</v>
      </c>
      <c r="T224" s="196" t="s">
        <v>1765</v>
      </c>
    </row>
    <row r="225">
      <c r="A225" s="182" t="s">
        <v>1070</v>
      </c>
      <c r="B225" s="203" t="s">
        <v>66</v>
      </c>
      <c r="C225" s="173" t="s">
        <v>66</v>
      </c>
      <c r="D225" s="173" t="s">
        <v>1071</v>
      </c>
      <c r="E225" s="196" t="s">
        <v>1071</v>
      </c>
      <c r="F225" s="185" t="s">
        <v>185</v>
      </c>
      <c r="G225" s="185" t="s">
        <v>768</v>
      </c>
      <c r="H225" s="237">
        <v>8374.31</v>
      </c>
      <c r="I225" s="185" t="s">
        <v>723</v>
      </c>
      <c r="J225" s="185" t="s">
        <v>1067</v>
      </c>
      <c r="K225" s="185" t="s">
        <v>723</v>
      </c>
      <c r="L225" s="185" t="s">
        <v>85</v>
      </c>
      <c r="M225" s="196" t="s">
        <v>749</v>
      </c>
      <c r="N225" s="185" t="s">
        <v>688</v>
      </c>
      <c r="O225" s="238">
        <v>44161.0</v>
      </c>
      <c r="P225" s="239" t="s">
        <v>1786</v>
      </c>
      <c r="Q225" s="239" t="s">
        <v>1787</v>
      </c>
      <c r="R225" s="240" t="s">
        <v>771</v>
      </c>
      <c r="S225" s="196" t="s">
        <v>771</v>
      </c>
      <c r="T225" s="196" t="s">
        <v>1765</v>
      </c>
    </row>
    <row r="226">
      <c r="A226" s="182" t="s">
        <v>1072</v>
      </c>
      <c r="B226" s="203" t="s">
        <v>66</v>
      </c>
      <c r="C226" s="173" t="s">
        <v>66</v>
      </c>
      <c r="D226" s="173" t="s">
        <v>1073</v>
      </c>
      <c r="E226" s="196" t="s">
        <v>1073</v>
      </c>
      <c r="F226" s="185" t="s">
        <v>185</v>
      </c>
      <c r="G226" s="185" t="s">
        <v>768</v>
      </c>
      <c r="H226" s="237">
        <v>1383.48</v>
      </c>
      <c r="I226" s="185" t="s">
        <v>723</v>
      </c>
      <c r="J226" s="185" t="s">
        <v>1067</v>
      </c>
      <c r="K226" s="185" t="s">
        <v>723</v>
      </c>
      <c r="L226" s="185" t="s">
        <v>85</v>
      </c>
      <c r="M226" s="196" t="s">
        <v>749</v>
      </c>
      <c r="N226" s="185" t="s">
        <v>688</v>
      </c>
      <c r="O226" s="238">
        <v>44161.0</v>
      </c>
      <c r="P226" s="239" t="s">
        <v>1786</v>
      </c>
      <c r="Q226" s="239" t="s">
        <v>1787</v>
      </c>
      <c r="R226" s="240" t="s">
        <v>771</v>
      </c>
      <c r="S226" s="196" t="s">
        <v>771</v>
      </c>
      <c r="T226" s="196" t="s">
        <v>1765</v>
      </c>
    </row>
    <row r="227">
      <c r="A227" s="182" t="s">
        <v>1074</v>
      </c>
      <c r="B227" s="203" t="s">
        <v>66</v>
      </c>
      <c r="C227" s="173" t="s">
        <v>66</v>
      </c>
      <c r="D227" s="173" t="s">
        <v>1075</v>
      </c>
      <c r="E227" s="196" t="s">
        <v>1075</v>
      </c>
      <c r="F227" s="185" t="s">
        <v>185</v>
      </c>
      <c r="G227" s="185" t="s">
        <v>768</v>
      </c>
      <c r="H227" s="237">
        <v>8374.31</v>
      </c>
      <c r="I227" s="185" t="s">
        <v>1051</v>
      </c>
      <c r="J227" s="185" t="s">
        <v>1052</v>
      </c>
      <c r="K227" s="185" t="s">
        <v>1052</v>
      </c>
      <c r="L227" s="185" t="s">
        <v>85</v>
      </c>
      <c r="M227" s="196" t="s">
        <v>749</v>
      </c>
      <c r="N227" s="185" t="s">
        <v>688</v>
      </c>
      <c r="O227" s="238">
        <v>44161.0</v>
      </c>
      <c r="P227" s="239" t="s">
        <v>701</v>
      </c>
      <c r="Q227" s="239" t="s">
        <v>1787</v>
      </c>
      <c r="R227" s="240" t="s">
        <v>771</v>
      </c>
      <c r="S227" s="196" t="s">
        <v>771</v>
      </c>
      <c r="T227" s="196" t="s">
        <v>1765</v>
      </c>
    </row>
    <row r="228">
      <c r="A228" s="182" t="s">
        <v>1076</v>
      </c>
      <c r="B228" s="203" t="s">
        <v>66</v>
      </c>
      <c r="C228" s="173" t="s">
        <v>66</v>
      </c>
      <c r="D228" s="173" t="s">
        <v>1906</v>
      </c>
      <c r="E228" s="196" t="s">
        <v>1077</v>
      </c>
      <c r="F228" s="185" t="s">
        <v>83</v>
      </c>
      <c r="G228" s="185" t="s">
        <v>698</v>
      </c>
      <c r="H228" s="237">
        <v>40417.489224537036</v>
      </c>
      <c r="I228" s="185" t="s">
        <v>1051</v>
      </c>
      <c r="J228" s="185" t="s">
        <v>1052</v>
      </c>
      <c r="K228" s="185" t="s">
        <v>1052</v>
      </c>
      <c r="L228" s="185" t="s">
        <v>85</v>
      </c>
      <c r="M228" s="196" t="s">
        <v>687</v>
      </c>
      <c r="N228" s="185" t="s">
        <v>688</v>
      </c>
      <c r="O228" s="238">
        <v>44180.0</v>
      </c>
      <c r="P228" s="239" t="s">
        <v>1782</v>
      </c>
      <c r="Q228" s="239" t="s">
        <v>1783</v>
      </c>
      <c r="R228" s="240" t="s">
        <v>691</v>
      </c>
      <c r="S228" s="196" t="s">
        <v>691</v>
      </c>
      <c r="T228" s="196" t="s">
        <v>1765</v>
      </c>
    </row>
    <row r="229">
      <c r="A229" s="182" t="s">
        <v>1078</v>
      </c>
      <c r="B229" s="203" t="s">
        <v>66</v>
      </c>
      <c r="C229" s="173" t="s">
        <v>66</v>
      </c>
      <c r="D229" s="173" t="s">
        <v>1079</v>
      </c>
      <c r="E229" s="196" t="s">
        <v>1079</v>
      </c>
      <c r="F229" s="185" t="s">
        <v>185</v>
      </c>
      <c r="G229" s="185" t="s">
        <v>1500</v>
      </c>
      <c r="H229" s="237" t="b">
        <v>1</v>
      </c>
      <c r="I229" s="185" t="s">
        <v>1051</v>
      </c>
      <c r="J229" s="185" t="s">
        <v>1052</v>
      </c>
      <c r="K229" s="185" t="s">
        <v>1052</v>
      </c>
      <c r="L229" s="185" t="s">
        <v>85</v>
      </c>
      <c r="M229" s="196" t="s">
        <v>687</v>
      </c>
      <c r="N229" s="185" t="s">
        <v>760</v>
      </c>
      <c r="O229" s="238">
        <v>44179.0</v>
      </c>
      <c r="P229" s="239" t="s">
        <v>1782</v>
      </c>
      <c r="Q229" s="239" t="s">
        <v>1783</v>
      </c>
      <c r="R229" s="240" t="s">
        <v>761</v>
      </c>
      <c r="S229" s="196" t="s">
        <v>761</v>
      </c>
      <c r="T229" s="196" t="s">
        <v>1765</v>
      </c>
    </row>
    <row r="230">
      <c r="A230" s="182" t="s">
        <v>1080</v>
      </c>
      <c r="B230" s="203" t="s">
        <v>66</v>
      </c>
      <c r="C230" s="173" t="s">
        <v>66</v>
      </c>
      <c r="D230" s="173" t="s">
        <v>1081</v>
      </c>
      <c r="E230" s="196" t="s">
        <v>1081</v>
      </c>
      <c r="F230" s="185" t="s">
        <v>185</v>
      </c>
      <c r="G230" s="185" t="s">
        <v>1500</v>
      </c>
      <c r="H230" s="237" t="b">
        <v>1</v>
      </c>
      <c r="I230" s="185" t="s">
        <v>1051</v>
      </c>
      <c r="J230" s="185" t="s">
        <v>1052</v>
      </c>
      <c r="K230" s="185" t="s">
        <v>1052</v>
      </c>
      <c r="L230" s="185" t="s">
        <v>85</v>
      </c>
      <c r="M230" s="196" t="s">
        <v>687</v>
      </c>
      <c r="N230" s="185" t="s">
        <v>760</v>
      </c>
      <c r="O230" s="238">
        <v>44179.0</v>
      </c>
      <c r="P230" s="239" t="s">
        <v>1782</v>
      </c>
      <c r="Q230" s="239" t="s">
        <v>1783</v>
      </c>
      <c r="R230" s="240" t="s">
        <v>761</v>
      </c>
      <c r="S230" s="196" t="s">
        <v>761</v>
      </c>
      <c r="T230" s="196" t="s">
        <v>1765</v>
      </c>
    </row>
    <row r="231" hidden="1">
      <c r="A231" s="182" t="s">
        <v>1082</v>
      </c>
      <c r="B231" s="241" t="s">
        <v>48</v>
      </c>
      <c r="C231" s="173"/>
      <c r="D231" s="173" t="s">
        <v>1083</v>
      </c>
      <c r="E231" s="196" t="s">
        <v>1083</v>
      </c>
      <c r="F231" s="185" t="s">
        <v>135</v>
      </c>
      <c r="G231" s="185" t="s">
        <v>768</v>
      </c>
      <c r="H231" s="237">
        <v>0.05</v>
      </c>
      <c r="I231" s="185" t="s">
        <v>835</v>
      </c>
      <c r="J231" s="185" t="s">
        <v>1052</v>
      </c>
      <c r="K231" s="185" t="s">
        <v>1052</v>
      </c>
      <c r="L231" s="185"/>
      <c r="M231" s="196" t="s">
        <v>749</v>
      </c>
      <c r="N231" s="185" t="s">
        <v>763</v>
      </c>
      <c r="O231" s="238">
        <v>44136.0</v>
      </c>
      <c r="P231" s="239" t="s">
        <v>913</v>
      </c>
      <c r="Q231" s="239" t="s">
        <v>1902</v>
      </c>
      <c r="R231" s="240" t="s">
        <v>724</v>
      </c>
      <c r="S231" s="196" t="s">
        <v>724</v>
      </c>
      <c r="T231" s="196" t="s">
        <v>1903</v>
      </c>
    </row>
    <row r="232">
      <c r="A232" s="182" t="s">
        <v>1086</v>
      </c>
      <c r="B232" s="203" t="s">
        <v>66</v>
      </c>
      <c r="C232" s="173" t="s">
        <v>66</v>
      </c>
      <c r="D232" s="173" t="s">
        <v>1087</v>
      </c>
      <c r="E232" s="196" t="s">
        <v>1087</v>
      </c>
      <c r="F232" s="185" t="s">
        <v>185</v>
      </c>
      <c r="G232" s="185" t="s">
        <v>1500</v>
      </c>
      <c r="H232" s="237" t="b">
        <v>1</v>
      </c>
      <c r="I232" s="185" t="s">
        <v>723</v>
      </c>
      <c r="J232" s="185" t="s">
        <v>1067</v>
      </c>
      <c r="K232" s="185" t="s">
        <v>723</v>
      </c>
      <c r="L232" s="185" t="s">
        <v>85</v>
      </c>
      <c r="M232" s="196" t="s">
        <v>687</v>
      </c>
      <c r="N232" s="185" t="s">
        <v>688</v>
      </c>
      <c r="O232" s="238">
        <v>44180.0</v>
      </c>
      <c r="P232" s="239" t="s">
        <v>701</v>
      </c>
      <c r="Q232" s="239" t="s">
        <v>1905</v>
      </c>
      <c r="R232" s="240" t="s">
        <v>771</v>
      </c>
      <c r="S232" s="196" t="s">
        <v>771</v>
      </c>
      <c r="T232" s="196" t="s">
        <v>1765</v>
      </c>
    </row>
    <row r="233">
      <c r="A233" s="182" t="s">
        <v>1088</v>
      </c>
      <c r="B233" s="203" t="s">
        <v>66</v>
      </c>
      <c r="C233" s="173" t="s">
        <v>66</v>
      </c>
      <c r="D233" s="173" t="s">
        <v>1907</v>
      </c>
      <c r="E233" s="196" t="s">
        <v>1907</v>
      </c>
      <c r="F233" s="185" t="s">
        <v>185</v>
      </c>
      <c r="G233" s="185" t="s">
        <v>1761</v>
      </c>
      <c r="H233" s="237" t="s">
        <v>1090</v>
      </c>
      <c r="I233" s="185" t="s">
        <v>1051</v>
      </c>
      <c r="J233" s="185" t="s">
        <v>1052</v>
      </c>
      <c r="K233" s="185" t="s">
        <v>1052</v>
      </c>
      <c r="L233" s="185" t="s">
        <v>85</v>
      </c>
      <c r="M233" s="196" t="s">
        <v>687</v>
      </c>
      <c r="N233" s="185" t="s">
        <v>688</v>
      </c>
      <c r="O233" s="238">
        <v>44180.0</v>
      </c>
      <c r="P233" s="239" t="s">
        <v>1782</v>
      </c>
      <c r="Q233" s="239" t="s">
        <v>1783</v>
      </c>
      <c r="R233" s="240" t="s">
        <v>721</v>
      </c>
      <c r="S233" s="196" t="s">
        <v>721</v>
      </c>
      <c r="T233" s="196" t="s">
        <v>1765</v>
      </c>
    </row>
    <row r="234">
      <c r="A234" s="182" t="s">
        <v>1091</v>
      </c>
      <c r="B234" s="203" t="s">
        <v>66</v>
      </c>
      <c r="C234" s="173" t="s">
        <v>66</v>
      </c>
      <c r="D234" s="173" t="s">
        <v>1092</v>
      </c>
      <c r="E234" s="196" t="s">
        <v>1092</v>
      </c>
      <c r="F234" s="185" t="s">
        <v>185</v>
      </c>
      <c r="G234" s="185" t="s">
        <v>1761</v>
      </c>
      <c r="H234" s="237" t="s">
        <v>1093</v>
      </c>
      <c r="I234" s="185" t="s">
        <v>1051</v>
      </c>
      <c r="J234" s="185" t="s">
        <v>1052</v>
      </c>
      <c r="K234" s="185" t="s">
        <v>1052</v>
      </c>
      <c r="L234" s="185" t="s">
        <v>85</v>
      </c>
      <c r="M234" s="196" t="s">
        <v>687</v>
      </c>
      <c r="N234" s="185" t="s">
        <v>688</v>
      </c>
      <c r="O234" s="238">
        <v>44180.0</v>
      </c>
      <c r="P234" s="239" t="s">
        <v>1782</v>
      </c>
      <c r="Q234" s="239" t="s">
        <v>1783</v>
      </c>
      <c r="R234" s="240" t="s">
        <v>721</v>
      </c>
      <c r="S234" s="196" t="s">
        <v>721</v>
      </c>
      <c r="T234" s="196" t="s">
        <v>1765</v>
      </c>
    </row>
    <row r="235">
      <c r="A235" s="182" t="s">
        <v>1094</v>
      </c>
      <c r="B235" s="203" t="s">
        <v>66</v>
      </c>
      <c r="C235" s="173" t="s">
        <v>66</v>
      </c>
      <c r="D235" s="173" t="s">
        <v>1908</v>
      </c>
      <c r="E235" s="196" t="s">
        <v>1095</v>
      </c>
      <c r="F235" s="185" t="s">
        <v>83</v>
      </c>
      <c r="G235" s="185" t="s">
        <v>768</v>
      </c>
      <c r="H235" s="237">
        <v>3030.15</v>
      </c>
      <c r="I235" s="185" t="s">
        <v>1051</v>
      </c>
      <c r="J235" s="185" t="s">
        <v>1052</v>
      </c>
      <c r="K235" s="185" t="s">
        <v>1052</v>
      </c>
      <c r="L235" s="185" t="s">
        <v>85</v>
      </c>
      <c r="M235" s="196" t="s">
        <v>749</v>
      </c>
      <c r="N235" s="185" t="s">
        <v>749</v>
      </c>
      <c r="O235" s="238">
        <v>44136.0</v>
      </c>
      <c r="P235" s="239" t="s">
        <v>1775</v>
      </c>
      <c r="Q235" s="239" t="s">
        <v>1764</v>
      </c>
      <c r="R235" s="240" t="s">
        <v>750</v>
      </c>
      <c r="S235" s="196" t="s">
        <v>750</v>
      </c>
      <c r="T235" s="196" t="s">
        <v>1765</v>
      </c>
    </row>
    <row r="236">
      <c r="A236" s="182" t="s">
        <v>1096</v>
      </c>
      <c r="B236" s="203" t="s">
        <v>66</v>
      </c>
      <c r="C236" s="173" t="s">
        <v>66</v>
      </c>
      <c r="D236" s="173" t="s">
        <v>1909</v>
      </c>
      <c r="E236" s="196" t="s">
        <v>1910</v>
      </c>
      <c r="F236" s="185" t="s">
        <v>185</v>
      </c>
      <c r="G236" s="185" t="s">
        <v>768</v>
      </c>
      <c r="H236" s="237">
        <v>3000.0</v>
      </c>
      <c r="I236" s="185" t="s">
        <v>835</v>
      </c>
      <c r="J236" s="185" t="s">
        <v>91</v>
      </c>
      <c r="K236" s="185" t="s">
        <v>91</v>
      </c>
      <c r="L236" s="185" t="s">
        <v>85</v>
      </c>
      <c r="M236" s="196" t="s">
        <v>687</v>
      </c>
      <c r="N236" s="185" t="s">
        <v>688</v>
      </c>
      <c r="O236" s="238">
        <v>44180.0</v>
      </c>
      <c r="P236" s="239" t="s">
        <v>1786</v>
      </c>
      <c r="Q236" s="239" t="s">
        <v>1787</v>
      </c>
      <c r="R236" s="240" t="s">
        <v>750</v>
      </c>
      <c r="S236" s="196" t="s">
        <v>750</v>
      </c>
      <c r="T236" s="196" t="s">
        <v>1765</v>
      </c>
    </row>
    <row r="237">
      <c r="A237" s="182" t="s">
        <v>1098</v>
      </c>
      <c r="B237" s="203" t="s">
        <v>66</v>
      </c>
      <c r="C237" s="173" t="s">
        <v>66</v>
      </c>
      <c r="D237" s="173" t="s">
        <v>1099</v>
      </c>
      <c r="E237" s="196" t="s">
        <v>1099</v>
      </c>
      <c r="F237" s="185" t="s">
        <v>185</v>
      </c>
      <c r="G237" s="185" t="s">
        <v>768</v>
      </c>
      <c r="H237" s="237">
        <v>1499.0</v>
      </c>
      <c r="I237" s="185" t="s">
        <v>723</v>
      </c>
      <c r="J237" s="185" t="s">
        <v>1067</v>
      </c>
      <c r="K237" s="185" t="s">
        <v>723</v>
      </c>
      <c r="L237" s="185" t="s">
        <v>85</v>
      </c>
      <c r="M237" s="196" t="s">
        <v>749</v>
      </c>
      <c r="N237" s="185" t="s">
        <v>688</v>
      </c>
      <c r="O237" s="238">
        <v>44180.0</v>
      </c>
      <c r="P237" s="239" t="s">
        <v>1786</v>
      </c>
      <c r="Q237" s="239" t="s">
        <v>1787</v>
      </c>
      <c r="R237" s="240" t="s">
        <v>705</v>
      </c>
      <c r="S237" s="196" t="s">
        <v>705</v>
      </c>
      <c r="T237" s="196" t="s">
        <v>1765</v>
      </c>
    </row>
    <row r="238">
      <c r="A238" s="182" t="s">
        <v>1100</v>
      </c>
      <c r="B238" s="203" t="s">
        <v>66</v>
      </c>
      <c r="C238" s="173" t="s">
        <v>66</v>
      </c>
      <c r="D238" s="173" t="s">
        <v>1629</v>
      </c>
      <c r="E238" s="196" t="s">
        <v>1629</v>
      </c>
      <c r="F238" s="185" t="s">
        <v>185</v>
      </c>
      <c r="G238" s="185" t="s">
        <v>768</v>
      </c>
      <c r="H238" s="237">
        <v>15142.27</v>
      </c>
      <c r="I238" s="185" t="s">
        <v>1630</v>
      </c>
      <c r="J238" s="185" t="s">
        <v>1630</v>
      </c>
      <c r="K238" s="185" t="s">
        <v>1630</v>
      </c>
      <c r="L238" s="185" t="s">
        <v>85</v>
      </c>
      <c r="M238" s="196" t="s">
        <v>749</v>
      </c>
      <c r="N238" s="185" t="s">
        <v>749</v>
      </c>
      <c r="O238" s="238">
        <v>44136.0</v>
      </c>
      <c r="P238" s="239" t="s">
        <v>1791</v>
      </c>
      <c r="Q238" s="239" t="s">
        <v>1787</v>
      </c>
      <c r="R238" s="240" t="s">
        <v>750</v>
      </c>
      <c r="S238" s="196" t="s">
        <v>750</v>
      </c>
      <c r="T238" s="196" t="s">
        <v>1765</v>
      </c>
    </row>
    <row r="239">
      <c r="A239" s="182" t="s">
        <v>1103</v>
      </c>
      <c r="B239" s="203" t="s">
        <v>66</v>
      </c>
      <c r="C239" s="173" t="s">
        <v>66</v>
      </c>
      <c r="D239" s="173" t="s">
        <v>1631</v>
      </c>
      <c r="E239" s="196" t="s">
        <v>1631</v>
      </c>
      <c r="F239" s="185" t="s">
        <v>185</v>
      </c>
      <c r="G239" s="185" t="s">
        <v>768</v>
      </c>
      <c r="H239" s="237">
        <v>504.0</v>
      </c>
      <c r="I239" s="185" t="s">
        <v>1630</v>
      </c>
      <c r="J239" s="185" t="s">
        <v>1630</v>
      </c>
      <c r="K239" s="185" t="s">
        <v>1630</v>
      </c>
      <c r="L239" s="185" t="s">
        <v>85</v>
      </c>
      <c r="M239" s="196" t="s">
        <v>749</v>
      </c>
      <c r="N239" s="185" t="s">
        <v>749</v>
      </c>
      <c r="O239" s="238">
        <v>44136.0</v>
      </c>
      <c r="P239" s="239" t="s">
        <v>1791</v>
      </c>
      <c r="Q239" s="239" t="s">
        <v>1787</v>
      </c>
      <c r="R239" s="240" t="s">
        <v>750</v>
      </c>
      <c r="S239" s="196" t="s">
        <v>750</v>
      </c>
      <c r="T239" s="196" t="s">
        <v>1765</v>
      </c>
    </row>
    <row r="240">
      <c r="A240" s="182" t="s">
        <v>1105</v>
      </c>
      <c r="B240" s="203" t="s">
        <v>66</v>
      </c>
      <c r="C240" s="173" t="s">
        <v>66</v>
      </c>
      <c r="D240" s="173" t="s">
        <v>1632</v>
      </c>
      <c r="E240" s="196" t="s">
        <v>1632</v>
      </c>
      <c r="F240" s="185" t="s">
        <v>185</v>
      </c>
      <c r="G240" s="185" t="s">
        <v>768</v>
      </c>
      <c r="H240" s="237">
        <v>1602.75</v>
      </c>
      <c r="I240" s="185" t="s">
        <v>1630</v>
      </c>
      <c r="J240" s="185" t="s">
        <v>1630</v>
      </c>
      <c r="K240" s="185" t="s">
        <v>1630</v>
      </c>
      <c r="L240" s="185" t="s">
        <v>85</v>
      </c>
      <c r="M240" s="196" t="s">
        <v>749</v>
      </c>
      <c r="N240" s="185" t="s">
        <v>749</v>
      </c>
      <c r="O240" s="238">
        <v>44136.0</v>
      </c>
      <c r="P240" s="239" t="s">
        <v>1791</v>
      </c>
      <c r="Q240" s="239" t="s">
        <v>1787</v>
      </c>
      <c r="R240" s="240" t="s">
        <v>750</v>
      </c>
      <c r="S240" s="196" t="s">
        <v>750</v>
      </c>
      <c r="T240" s="196" t="s">
        <v>1765</v>
      </c>
    </row>
    <row r="241">
      <c r="A241" s="182" t="s">
        <v>1107</v>
      </c>
      <c r="B241" s="203" t="s">
        <v>66</v>
      </c>
      <c r="C241" s="173" t="s">
        <v>66</v>
      </c>
      <c r="D241" s="173" t="s">
        <v>1633</v>
      </c>
      <c r="E241" s="196" t="s">
        <v>1633</v>
      </c>
      <c r="F241" s="185" t="s">
        <v>185</v>
      </c>
      <c r="G241" s="185" t="s">
        <v>768</v>
      </c>
      <c r="H241" s="237">
        <v>0.0</v>
      </c>
      <c r="I241" s="185" t="s">
        <v>1630</v>
      </c>
      <c r="J241" s="185" t="s">
        <v>1630</v>
      </c>
      <c r="K241" s="185" t="s">
        <v>1630</v>
      </c>
      <c r="L241" s="185" t="s">
        <v>85</v>
      </c>
      <c r="M241" s="196" t="s">
        <v>749</v>
      </c>
      <c r="N241" s="185" t="s">
        <v>749</v>
      </c>
      <c r="O241" s="238">
        <v>44136.0</v>
      </c>
      <c r="P241" s="239" t="s">
        <v>1791</v>
      </c>
      <c r="Q241" s="239" t="s">
        <v>1787</v>
      </c>
      <c r="R241" s="240" t="s">
        <v>750</v>
      </c>
      <c r="S241" s="196" t="s">
        <v>750</v>
      </c>
      <c r="T241" s="196" t="s">
        <v>1765</v>
      </c>
    </row>
    <row r="242">
      <c r="A242" s="182" t="s">
        <v>1109</v>
      </c>
      <c r="B242" s="203" t="s">
        <v>66</v>
      </c>
      <c r="C242" s="173" t="s">
        <v>66</v>
      </c>
      <c r="D242" s="173" t="s">
        <v>1634</v>
      </c>
      <c r="E242" s="196" t="s">
        <v>1634</v>
      </c>
      <c r="F242" s="185" t="s">
        <v>185</v>
      </c>
      <c r="G242" s="185" t="s">
        <v>768</v>
      </c>
      <c r="H242" s="237">
        <v>99.0</v>
      </c>
      <c r="I242" s="185" t="s">
        <v>1630</v>
      </c>
      <c r="J242" s="185" t="s">
        <v>1630</v>
      </c>
      <c r="K242" s="185" t="s">
        <v>1630</v>
      </c>
      <c r="L242" s="185" t="s">
        <v>85</v>
      </c>
      <c r="M242" s="196" t="s">
        <v>749</v>
      </c>
      <c r="N242" s="185" t="s">
        <v>749</v>
      </c>
      <c r="O242" s="238">
        <v>44136.0</v>
      </c>
      <c r="P242" s="239" t="s">
        <v>1791</v>
      </c>
      <c r="Q242" s="239" t="s">
        <v>1787</v>
      </c>
      <c r="R242" s="240" t="s">
        <v>750</v>
      </c>
      <c r="S242" s="196" t="s">
        <v>750</v>
      </c>
      <c r="T242" s="196" t="s">
        <v>1765</v>
      </c>
    </row>
    <row r="243">
      <c r="A243" s="182" t="s">
        <v>1111</v>
      </c>
      <c r="B243" s="203" t="s">
        <v>66</v>
      </c>
      <c r="C243" s="173" t="s">
        <v>66</v>
      </c>
      <c r="D243" s="173" t="s">
        <v>1635</v>
      </c>
      <c r="E243" s="196" t="s">
        <v>1635</v>
      </c>
      <c r="F243" s="185" t="s">
        <v>185</v>
      </c>
      <c r="G243" s="185" t="s">
        <v>768</v>
      </c>
      <c r="H243" s="237">
        <v>49.5</v>
      </c>
      <c r="I243" s="185" t="s">
        <v>1630</v>
      </c>
      <c r="J243" s="185" t="s">
        <v>1630</v>
      </c>
      <c r="K243" s="185" t="s">
        <v>1630</v>
      </c>
      <c r="L243" s="185" t="s">
        <v>85</v>
      </c>
      <c r="M243" s="196" t="s">
        <v>749</v>
      </c>
      <c r="N243" s="185" t="s">
        <v>749</v>
      </c>
      <c r="O243" s="238">
        <v>44136.0</v>
      </c>
      <c r="P243" s="239" t="s">
        <v>1791</v>
      </c>
      <c r="Q243" s="239" t="s">
        <v>1787</v>
      </c>
      <c r="R243" s="240" t="s">
        <v>750</v>
      </c>
      <c r="S243" s="196" t="s">
        <v>750</v>
      </c>
      <c r="T243" s="196" t="s">
        <v>1765</v>
      </c>
    </row>
    <row r="244">
      <c r="A244" s="182" t="s">
        <v>1113</v>
      </c>
      <c r="B244" s="203" t="s">
        <v>66</v>
      </c>
      <c r="C244" s="173" t="s">
        <v>66</v>
      </c>
      <c r="D244" s="173" t="s">
        <v>1114</v>
      </c>
      <c r="E244" s="196" t="s">
        <v>1114</v>
      </c>
      <c r="F244" s="185" t="s">
        <v>185</v>
      </c>
      <c r="G244" s="185" t="s">
        <v>713</v>
      </c>
      <c r="H244" s="237">
        <v>15.0</v>
      </c>
      <c r="I244" s="185" t="s">
        <v>394</v>
      </c>
      <c r="J244" s="185" t="s">
        <v>394</v>
      </c>
      <c r="K244" s="185" t="s">
        <v>394</v>
      </c>
      <c r="L244" s="185" t="s">
        <v>85</v>
      </c>
      <c r="M244" s="196" t="s">
        <v>687</v>
      </c>
      <c r="N244" s="185" t="s">
        <v>760</v>
      </c>
      <c r="O244" s="238">
        <v>44179.0</v>
      </c>
      <c r="P244" s="239" t="s">
        <v>1782</v>
      </c>
      <c r="Q244" s="239" t="s">
        <v>1783</v>
      </c>
      <c r="R244" s="240" t="s">
        <v>761</v>
      </c>
      <c r="S244" s="196" t="s">
        <v>761</v>
      </c>
      <c r="T244" s="196" t="s">
        <v>1765</v>
      </c>
    </row>
    <row r="245">
      <c r="A245" s="182" t="s">
        <v>1116</v>
      </c>
      <c r="B245" s="203" t="s">
        <v>66</v>
      </c>
      <c r="C245" s="173" t="s">
        <v>66</v>
      </c>
      <c r="D245" s="173" t="s">
        <v>1117</v>
      </c>
      <c r="E245" s="196" t="s">
        <v>1117</v>
      </c>
      <c r="F245" s="185" t="s">
        <v>185</v>
      </c>
      <c r="G245" s="185" t="s">
        <v>713</v>
      </c>
      <c r="H245" s="237">
        <v>15.0</v>
      </c>
      <c r="I245" s="185" t="s">
        <v>394</v>
      </c>
      <c r="J245" s="185" t="s">
        <v>394</v>
      </c>
      <c r="K245" s="185" t="s">
        <v>394</v>
      </c>
      <c r="L245" s="185" t="s">
        <v>85</v>
      </c>
      <c r="M245" s="196" t="s">
        <v>687</v>
      </c>
      <c r="N245" s="185" t="s">
        <v>760</v>
      </c>
      <c r="O245" s="238">
        <v>44179.0</v>
      </c>
      <c r="P245" s="239" t="s">
        <v>1782</v>
      </c>
      <c r="Q245" s="239" t="s">
        <v>1783</v>
      </c>
      <c r="R245" s="240" t="s">
        <v>761</v>
      </c>
      <c r="S245" s="196" t="s">
        <v>761</v>
      </c>
      <c r="T245" s="196" t="s">
        <v>1765</v>
      </c>
    </row>
    <row r="246">
      <c r="A246" s="182" t="s">
        <v>1118</v>
      </c>
      <c r="B246" s="203" t="s">
        <v>66</v>
      </c>
      <c r="C246" s="173" t="s">
        <v>66</v>
      </c>
      <c r="D246" s="173" t="s">
        <v>1119</v>
      </c>
      <c r="E246" s="196" t="s">
        <v>1119</v>
      </c>
      <c r="F246" s="185" t="s">
        <v>185</v>
      </c>
      <c r="G246" s="185" t="s">
        <v>713</v>
      </c>
      <c r="H246" s="237">
        <v>15.0</v>
      </c>
      <c r="I246" s="185" t="s">
        <v>394</v>
      </c>
      <c r="J246" s="185" t="s">
        <v>394</v>
      </c>
      <c r="K246" s="185" t="s">
        <v>394</v>
      </c>
      <c r="L246" s="185" t="s">
        <v>85</v>
      </c>
      <c r="M246" s="196" t="s">
        <v>687</v>
      </c>
      <c r="N246" s="185" t="s">
        <v>760</v>
      </c>
      <c r="O246" s="238">
        <v>44179.0</v>
      </c>
      <c r="P246" s="239" t="s">
        <v>1782</v>
      </c>
      <c r="Q246" s="239" t="s">
        <v>1783</v>
      </c>
      <c r="R246" s="240" t="s">
        <v>761</v>
      </c>
      <c r="S246" s="196" t="s">
        <v>761</v>
      </c>
      <c r="T246" s="196" t="s">
        <v>1765</v>
      </c>
    </row>
    <row r="247">
      <c r="A247" s="182" t="s">
        <v>133</v>
      </c>
      <c r="B247" s="203" t="s">
        <v>66</v>
      </c>
      <c r="C247" s="173" t="s">
        <v>66</v>
      </c>
      <c r="D247" s="173" t="s">
        <v>1911</v>
      </c>
      <c r="E247" s="196" t="s">
        <v>1911</v>
      </c>
      <c r="F247" s="185" t="s">
        <v>792</v>
      </c>
      <c r="G247" s="185" t="s">
        <v>713</v>
      </c>
      <c r="H247" s="237">
        <v>58.0</v>
      </c>
      <c r="I247" s="185" t="s">
        <v>136</v>
      </c>
      <c r="J247" s="185" t="s">
        <v>136</v>
      </c>
      <c r="K247" s="185" t="s">
        <v>136</v>
      </c>
      <c r="L247" s="185" t="s">
        <v>85</v>
      </c>
      <c r="M247" s="196" t="s">
        <v>749</v>
      </c>
      <c r="N247" s="185" t="s">
        <v>763</v>
      </c>
      <c r="O247" s="238">
        <v>44136.0</v>
      </c>
      <c r="P247" s="239" t="s">
        <v>1763</v>
      </c>
      <c r="Q247" s="239" t="s">
        <v>1764</v>
      </c>
      <c r="R247" s="240" t="s">
        <v>691</v>
      </c>
      <c r="S247" s="196" t="s">
        <v>691</v>
      </c>
      <c r="T247" s="196" t="s">
        <v>1765</v>
      </c>
    </row>
    <row r="248">
      <c r="A248" s="182" t="s">
        <v>172</v>
      </c>
      <c r="B248" s="203" t="s">
        <v>66</v>
      </c>
      <c r="C248" s="173" t="s">
        <v>66</v>
      </c>
      <c r="D248" s="173" t="s">
        <v>1125</v>
      </c>
      <c r="E248" s="196" t="s">
        <v>1125</v>
      </c>
      <c r="F248" s="185" t="s">
        <v>792</v>
      </c>
      <c r="G248" s="185" t="s">
        <v>1761</v>
      </c>
      <c r="H248" s="237" t="s">
        <v>1126</v>
      </c>
      <c r="I248" s="185" t="s">
        <v>136</v>
      </c>
      <c r="J248" s="185" t="s">
        <v>136</v>
      </c>
      <c r="K248" s="185" t="s">
        <v>136</v>
      </c>
      <c r="L248" s="185" t="s">
        <v>85</v>
      </c>
      <c r="M248" s="196" t="s">
        <v>749</v>
      </c>
      <c r="N248" s="185" t="s">
        <v>763</v>
      </c>
      <c r="O248" s="238">
        <v>44136.0</v>
      </c>
      <c r="P248" s="239" t="s">
        <v>1763</v>
      </c>
      <c r="Q248" s="239" t="s">
        <v>1764</v>
      </c>
      <c r="R248" s="240" t="s">
        <v>691</v>
      </c>
      <c r="S248" s="196" t="s">
        <v>691</v>
      </c>
      <c r="T248" s="196" t="s">
        <v>1765</v>
      </c>
    </row>
    <row r="249">
      <c r="A249" s="182" t="s">
        <v>1127</v>
      </c>
      <c r="B249" s="203" t="s">
        <v>66</v>
      </c>
      <c r="C249" s="173" t="s">
        <v>66</v>
      </c>
      <c r="D249" s="173" t="s">
        <v>1636</v>
      </c>
      <c r="E249" s="196" t="s">
        <v>1636</v>
      </c>
      <c r="F249" s="185" t="s">
        <v>185</v>
      </c>
      <c r="G249" s="185" t="s">
        <v>768</v>
      </c>
      <c r="H249" s="237">
        <v>8437.33</v>
      </c>
      <c r="I249" s="185" t="s">
        <v>1630</v>
      </c>
      <c r="J249" s="185" t="s">
        <v>1630</v>
      </c>
      <c r="K249" s="185" t="s">
        <v>1630</v>
      </c>
      <c r="L249" s="185" t="s">
        <v>85</v>
      </c>
      <c r="M249" s="196" t="s">
        <v>749</v>
      </c>
      <c r="N249" s="185" t="s">
        <v>749</v>
      </c>
      <c r="O249" s="238">
        <v>44136.0</v>
      </c>
      <c r="P249" s="239" t="s">
        <v>1791</v>
      </c>
      <c r="Q249" s="239" t="s">
        <v>1787</v>
      </c>
      <c r="R249" s="240" t="s">
        <v>750</v>
      </c>
      <c r="S249" s="196" t="s">
        <v>750</v>
      </c>
      <c r="T249" s="196" t="s">
        <v>1765</v>
      </c>
    </row>
    <row r="250">
      <c r="A250" s="182" t="s">
        <v>1129</v>
      </c>
      <c r="B250" s="203" t="s">
        <v>66</v>
      </c>
      <c r="C250" s="173" t="s">
        <v>66</v>
      </c>
      <c r="D250" s="173" t="s">
        <v>1637</v>
      </c>
      <c r="E250" s="196" t="s">
        <v>1637</v>
      </c>
      <c r="F250" s="185" t="s">
        <v>185</v>
      </c>
      <c r="G250" s="185" t="s">
        <v>768</v>
      </c>
      <c r="H250" s="237">
        <v>998.5</v>
      </c>
      <c r="I250" s="185" t="s">
        <v>1630</v>
      </c>
      <c r="J250" s="185" t="s">
        <v>1630</v>
      </c>
      <c r="K250" s="185" t="s">
        <v>1630</v>
      </c>
      <c r="L250" s="185" t="s">
        <v>85</v>
      </c>
      <c r="M250" s="196" t="s">
        <v>749</v>
      </c>
      <c r="N250" s="185" t="s">
        <v>749</v>
      </c>
      <c r="O250" s="238">
        <v>44136.0</v>
      </c>
      <c r="P250" s="239" t="s">
        <v>1791</v>
      </c>
      <c r="Q250" s="239" t="s">
        <v>1787</v>
      </c>
      <c r="R250" s="240" t="s">
        <v>750</v>
      </c>
      <c r="S250" s="196" t="s">
        <v>750</v>
      </c>
      <c r="T250" s="196" t="s">
        <v>1765</v>
      </c>
    </row>
    <row r="251">
      <c r="A251" s="182" t="s">
        <v>1131</v>
      </c>
      <c r="B251" s="203" t="s">
        <v>66</v>
      </c>
      <c r="C251" s="173" t="s">
        <v>66</v>
      </c>
      <c r="D251" s="173" t="s">
        <v>1638</v>
      </c>
      <c r="E251" s="196" t="s">
        <v>1638</v>
      </c>
      <c r="F251" s="185" t="s">
        <v>185</v>
      </c>
      <c r="G251" s="185" t="s">
        <v>768</v>
      </c>
      <c r="H251" s="237">
        <v>25312.0</v>
      </c>
      <c r="I251" s="185" t="s">
        <v>1630</v>
      </c>
      <c r="J251" s="185" t="s">
        <v>1630</v>
      </c>
      <c r="K251" s="185" t="s">
        <v>1630</v>
      </c>
      <c r="L251" s="185" t="s">
        <v>85</v>
      </c>
      <c r="M251" s="196" t="s">
        <v>749</v>
      </c>
      <c r="N251" s="185" t="s">
        <v>749</v>
      </c>
      <c r="O251" s="238">
        <v>44136.0</v>
      </c>
      <c r="P251" s="239" t="s">
        <v>1791</v>
      </c>
      <c r="Q251" s="239" t="s">
        <v>1787</v>
      </c>
      <c r="R251" s="240" t="s">
        <v>750</v>
      </c>
      <c r="S251" s="196" t="s">
        <v>750</v>
      </c>
      <c r="T251" s="196" t="s">
        <v>1765</v>
      </c>
    </row>
    <row r="252">
      <c r="A252" s="182" t="s">
        <v>1133</v>
      </c>
      <c r="B252" s="203" t="s">
        <v>66</v>
      </c>
      <c r="C252" s="173" t="s">
        <v>66</v>
      </c>
      <c r="D252" s="173" t="s">
        <v>1134</v>
      </c>
      <c r="E252" s="196" t="s">
        <v>1134</v>
      </c>
      <c r="F252" s="185" t="s">
        <v>185</v>
      </c>
      <c r="G252" s="185" t="s">
        <v>768</v>
      </c>
      <c r="H252" s="237">
        <v>340.0</v>
      </c>
      <c r="I252" s="185" t="s">
        <v>723</v>
      </c>
      <c r="J252" s="185" t="s">
        <v>723</v>
      </c>
      <c r="K252" s="185" t="s">
        <v>723</v>
      </c>
      <c r="L252" s="185" t="s">
        <v>85</v>
      </c>
      <c r="M252" s="196" t="s">
        <v>687</v>
      </c>
      <c r="N252" s="185" t="s">
        <v>760</v>
      </c>
      <c r="O252" s="238">
        <v>44179.0</v>
      </c>
      <c r="P252" s="239" t="s">
        <v>1779</v>
      </c>
      <c r="Q252" s="239" t="s">
        <v>1764</v>
      </c>
      <c r="R252" s="240" t="s">
        <v>724</v>
      </c>
      <c r="S252" s="196" t="s">
        <v>724</v>
      </c>
      <c r="T252" s="196" t="s">
        <v>1765</v>
      </c>
    </row>
    <row r="253">
      <c r="A253" s="182" t="s">
        <v>1135</v>
      </c>
      <c r="B253" s="203" t="s">
        <v>66</v>
      </c>
      <c r="C253" s="173" t="s">
        <v>66</v>
      </c>
      <c r="D253" s="173" t="s">
        <v>1136</v>
      </c>
      <c r="E253" s="196" t="s">
        <v>1136</v>
      </c>
      <c r="F253" s="185" t="s">
        <v>185</v>
      </c>
      <c r="G253" s="185" t="s">
        <v>768</v>
      </c>
      <c r="H253" s="237">
        <v>37.0</v>
      </c>
      <c r="I253" s="185" t="s">
        <v>723</v>
      </c>
      <c r="J253" s="185" t="s">
        <v>723</v>
      </c>
      <c r="K253" s="185" t="s">
        <v>723</v>
      </c>
      <c r="L253" s="185" t="s">
        <v>85</v>
      </c>
      <c r="M253" s="196" t="s">
        <v>687</v>
      </c>
      <c r="N253" s="185" t="s">
        <v>760</v>
      </c>
      <c r="O253" s="238">
        <v>44179.0</v>
      </c>
      <c r="P253" s="239" t="s">
        <v>1779</v>
      </c>
      <c r="Q253" s="239" t="s">
        <v>1764</v>
      </c>
      <c r="R253" s="240" t="s">
        <v>724</v>
      </c>
      <c r="S253" s="196" t="s">
        <v>724</v>
      </c>
      <c r="T253" s="196" t="s">
        <v>1765</v>
      </c>
    </row>
    <row r="254">
      <c r="A254" s="182" t="s">
        <v>1137</v>
      </c>
      <c r="B254" s="203" t="s">
        <v>66</v>
      </c>
      <c r="C254" s="173" t="s">
        <v>66</v>
      </c>
      <c r="D254" s="173" t="s">
        <v>1138</v>
      </c>
      <c r="E254" s="196" t="s">
        <v>1138</v>
      </c>
      <c r="F254" s="185" t="s">
        <v>185</v>
      </c>
      <c r="G254" s="185" t="s">
        <v>768</v>
      </c>
      <c r="H254" s="237">
        <v>73.0</v>
      </c>
      <c r="I254" s="185" t="s">
        <v>723</v>
      </c>
      <c r="J254" s="185" t="s">
        <v>723</v>
      </c>
      <c r="K254" s="185" t="s">
        <v>723</v>
      </c>
      <c r="L254" s="185" t="s">
        <v>85</v>
      </c>
      <c r="M254" s="196" t="s">
        <v>687</v>
      </c>
      <c r="N254" s="185" t="s">
        <v>760</v>
      </c>
      <c r="O254" s="238">
        <v>44179.0</v>
      </c>
      <c r="P254" s="239" t="s">
        <v>1824</v>
      </c>
      <c r="Q254" s="239" t="s">
        <v>1764</v>
      </c>
      <c r="R254" s="240" t="s">
        <v>724</v>
      </c>
      <c r="S254" s="196" t="s">
        <v>724</v>
      </c>
      <c r="T254" s="196" t="s">
        <v>1765</v>
      </c>
    </row>
    <row r="255">
      <c r="A255" s="182" t="s">
        <v>1139</v>
      </c>
      <c r="B255" s="203" t="s">
        <v>66</v>
      </c>
      <c r="C255" s="173" t="s">
        <v>66</v>
      </c>
      <c r="D255" s="173" t="s">
        <v>1140</v>
      </c>
      <c r="E255" s="196" t="s">
        <v>1140</v>
      </c>
      <c r="F255" s="185" t="s">
        <v>185</v>
      </c>
      <c r="G255" s="185" t="s">
        <v>713</v>
      </c>
      <c r="H255" s="237">
        <v>1.0</v>
      </c>
      <c r="I255" s="185" t="s">
        <v>394</v>
      </c>
      <c r="J255" s="185" t="s">
        <v>394</v>
      </c>
      <c r="K255" s="185" t="s">
        <v>394</v>
      </c>
      <c r="L255" s="185" t="s">
        <v>85</v>
      </c>
      <c r="M255" s="196" t="s">
        <v>687</v>
      </c>
      <c r="N255" s="185" t="s">
        <v>760</v>
      </c>
      <c r="O255" s="238">
        <v>44179.0</v>
      </c>
      <c r="P255" s="239" t="s">
        <v>1782</v>
      </c>
      <c r="Q255" s="239" t="s">
        <v>1783</v>
      </c>
      <c r="R255" s="240" t="s">
        <v>761</v>
      </c>
      <c r="S255" s="196" t="s">
        <v>761</v>
      </c>
      <c r="T255" s="196" t="s">
        <v>1765</v>
      </c>
    </row>
    <row r="256">
      <c r="A256" s="182" t="s">
        <v>1141</v>
      </c>
      <c r="B256" s="203" t="s">
        <v>66</v>
      </c>
      <c r="C256" s="173" t="s">
        <v>66</v>
      </c>
      <c r="D256" s="173" t="s">
        <v>1142</v>
      </c>
      <c r="E256" s="196" t="s">
        <v>1142</v>
      </c>
      <c r="F256" s="185" t="s">
        <v>185</v>
      </c>
      <c r="G256" s="185" t="s">
        <v>713</v>
      </c>
      <c r="H256" s="237">
        <v>4.0</v>
      </c>
      <c r="I256" s="185" t="s">
        <v>394</v>
      </c>
      <c r="J256" s="185" t="s">
        <v>394</v>
      </c>
      <c r="K256" s="185" t="s">
        <v>394</v>
      </c>
      <c r="L256" s="185" t="s">
        <v>85</v>
      </c>
      <c r="M256" s="196" t="s">
        <v>687</v>
      </c>
      <c r="N256" s="185" t="s">
        <v>760</v>
      </c>
      <c r="O256" s="238">
        <v>44179.0</v>
      </c>
      <c r="P256" s="239" t="s">
        <v>1782</v>
      </c>
      <c r="Q256" s="239" t="s">
        <v>1783</v>
      </c>
      <c r="R256" s="240" t="s">
        <v>761</v>
      </c>
      <c r="S256" s="196" t="s">
        <v>761</v>
      </c>
      <c r="T256" s="196" t="s">
        <v>1765</v>
      </c>
    </row>
    <row r="257">
      <c r="A257" s="182" t="s">
        <v>1143</v>
      </c>
      <c r="B257" s="203" t="s">
        <v>66</v>
      </c>
      <c r="C257" s="173" t="s">
        <v>66</v>
      </c>
      <c r="D257" s="173" t="s">
        <v>1144</v>
      </c>
      <c r="E257" s="196" t="s">
        <v>1144</v>
      </c>
      <c r="F257" s="185" t="s">
        <v>185</v>
      </c>
      <c r="G257" s="185" t="s">
        <v>713</v>
      </c>
      <c r="H257" s="237">
        <v>6.0</v>
      </c>
      <c r="I257" s="185" t="s">
        <v>394</v>
      </c>
      <c r="J257" s="185" t="s">
        <v>394</v>
      </c>
      <c r="K257" s="185" t="s">
        <v>394</v>
      </c>
      <c r="L257" s="185" t="s">
        <v>85</v>
      </c>
      <c r="M257" s="196" t="s">
        <v>687</v>
      </c>
      <c r="N257" s="185" t="s">
        <v>760</v>
      </c>
      <c r="O257" s="238">
        <v>44179.0</v>
      </c>
      <c r="P257" s="239" t="s">
        <v>1782</v>
      </c>
      <c r="Q257" s="239" t="s">
        <v>1783</v>
      </c>
      <c r="R257" s="240" t="s">
        <v>761</v>
      </c>
      <c r="S257" s="196" t="s">
        <v>761</v>
      </c>
      <c r="T257" s="196" t="s">
        <v>1765</v>
      </c>
    </row>
    <row r="258">
      <c r="A258" s="182" t="s">
        <v>1145</v>
      </c>
      <c r="B258" s="203" t="s">
        <v>66</v>
      </c>
      <c r="C258" s="173" t="s">
        <v>66</v>
      </c>
      <c r="D258" s="173" t="s">
        <v>1639</v>
      </c>
      <c r="E258" s="196" t="s">
        <v>1639</v>
      </c>
      <c r="F258" s="185" t="s">
        <v>185</v>
      </c>
      <c r="G258" s="185" t="s">
        <v>768</v>
      </c>
      <c r="H258" s="237">
        <v>932.0</v>
      </c>
      <c r="I258" s="185" t="s">
        <v>1630</v>
      </c>
      <c r="J258" s="185" t="s">
        <v>1630</v>
      </c>
      <c r="K258" s="185" t="s">
        <v>1630</v>
      </c>
      <c r="L258" s="185" t="s">
        <v>85</v>
      </c>
      <c r="M258" s="196" t="s">
        <v>749</v>
      </c>
      <c r="N258" s="185" t="s">
        <v>749</v>
      </c>
      <c r="O258" s="238">
        <v>44136.0</v>
      </c>
      <c r="P258" s="239" t="s">
        <v>1791</v>
      </c>
      <c r="Q258" s="239" t="s">
        <v>1787</v>
      </c>
      <c r="R258" s="240" t="s">
        <v>750</v>
      </c>
      <c r="S258" s="196" t="s">
        <v>750</v>
      </c>
      <c r="T258" s="196" t="s">
        <v>1765</v>
      </c>
    </row>
    <row r="259">
      <c r="A259" s="182" t="s">
        <v>1147</v>
      </c>
      <c r="B259" s="203" t="s">
        <v>66</v>
      </c>
      <c r="C259" s="173" t="s">
        <v>66</v>
      </c>
      <c r="D259" s="173" t="s">
        <v>1640</v>
      </c>
      <c r="E259" s="196" t="s">
        <v>1640</v>
      </c>
      <c r="F259" s="185" t="s">
        <v>185</v>
      </c>
      <c r="G259" s="185" t="s">
        <v>768</v>
      </c>
      <c r="H259" s="237">
        <v>51.66</v>
      </c>
      <c r="I259" s="185" t="s">
        <v>1630</v>
      </c>
      <c r="J259" s="185" t="s">
        <v>1630</v>
      </c>
      <c r="K259" s="185" t="s">
        <v>1630</v>
      </c>
      <c r="L259" s="185" t="s">
        <v>85</v>
      </c>
      <c r="M259" s="196" t="s">
        <v>749</v>
      </c>
      <c r="N259" s="185" t="s">
        <v>749</v>
      </c>
      <c r="O259" s="238">
        <v>44136.0</v>
      </c>
      <c r="P259" s="239" t="s">
        <v>1791</v>
      </c>
      <c r="Q259" s="239" t="s">
        <v>1787</v>
      </c>
      <c r="R259" s="240" t="s">
        <v>750</v>
      </c>
      <c r="S259" s="196" t="s">
        <v>750</v>
      </c>
      <c r="T259" s="196" t="s">
        <v>1765</v>
      </c>
    </row>
    <row r="260">
      <c r="A260" s="182" t="s">
        <v>1149</v>
      </c>
      <c r="B260" s="203" t="s">
        <v>66</v>
      </c>
      <c r="C260" s="173" t="s">
        <v>66</v>
      </c>
      <c r="D260" s="173" t="s">
        <v>1641</v>
      </c>
      <c r="E260" s="196" t="s">
        <v>1641</v>
      </c>
      <c r="F260" s="185" t="s">
        <v>185</v>
      </c>
      <c r="G260" s="185" t="s">
        <v>768</v>
      </c>
      <c r="H260" s="237">
        <v>33.0</v>
      </c>
      <c r="I260" s="185" t="s">
        <v>1630</v>
      </c>
      <c r="J260" s="185" t="s">
        <v>1630</v>
      </c>
      <c r="K260" s="185" t="s">
        <v>1630</v>
      </c>
      <c r="L260" s="185" t="s">
        <v>85</v>
      </c>
      <c r="M260" s="196" t="s">
        <v>749</v>
      </c>
      <c r="N260" s="185" t="s">
        <v>749</v>
      </c>
      <c r="O260" s="238">
        <v>44136.0</v>
      </c>
      <c r="P260" s="239" t="s">
        <v>1791</v>
      </c>
      <c r="Q260" s="239" t="s">
        <v>1787</v>
      </c>
      <c r="R260" s="240" t="s">
        <v>750</v>
      </c>
      <c r="S260" s="196" t="s">
        <v>750</v>
      </c>
      <c r="T260" s="196" t="s">
        <v>1765</v>
      </c>
    </row>
    <row r="261">
      <c r="A261" s="182" t="s">
        <v>1151</v>
      </c>
      <c r="B261" s="203" t="s">
        <v>66</v>
      </c>
      <c r="C261" s="173" t="s">
        <v>66</v>
      </c>
      <c r="D261" s="173" t="s">
        <v>1912</v>
      </c>
      <c r="E261" s="196" t="s">
        <v>1152</v>
      </c>
      <c r="F261" s="185" t="s">
        <v>135</v>
      </c>
      <c r="G261" s="185" t="s">
        <v>768</v>
      </c>
      <c r="H261" s="237">
        <v>66.78</v>
      </c>
      <c r="I261" s="185" t="s">
        <v>136</v>
      </c>
      <c r="J261" s="185" t="s">
        <v>136</v>
      </c>
      <c r="K261" s="185" t="s">
        <v>835</v>
      </c>
      <c r="L261" s="185" t="s">
        <v>85</v>
      </c>
      <c r="M261" s="196" t="s">
        <v>749</v>
      </c>
      <c r="N261" s="185" t="s">
        <v>1153</v>
      </c>
      <c r="O261" s="238">
        <v>44136.0</v>
      </c>
      <c r="P261" s="239" t="s">
        <v>1830</v>
      </c>
      <c r="Q261" s="239" t="s">
        <v>732</v>
      </c>
      <c r="R261" s="240" t="s">
        <v>721</v>
      </c>
      <c r="S261" s="196" t="s">
        <v>721</v>
      </c>
      <c r="T261" s="196" t="s">
        <v>1765</v>
      </c>
    </row>
    <row r="262">
      <c r="A262" s="182" t="s">
        <v>1154</v>
      </c>
      <c r="B262" s="203" t="s">
        <v>66</v>
      </c>
      <c r="C262" s="173" t="s">
        <v>66</v>
      </c>
      <c r="D262" s="173" t="s">
        <v>1155</v>
      </c>
      <c r="E262" s="196" t="s">
        <v>1155</v>
      </c>
      <c r="F262" s="185" t="s">
        <v>185</v>
      </c>
      <c r="G262" s="185" t="s">
        <v>713</v>
      </c>
      <c r="H262" s="237">
        <v>289.0</v>
      </c>
      <c r="I262" s="185" t="s">
        <v>723</v>
      </c>
      <c r="J262" s="185" t="s">
        <v>91</v>
      </c>
      <c r="K262" s="185" t="s">
        <v>723</v>
      </c>
      <c r="L262" s="185" t="s">
        <v>85</v>
      </c>
      <c r="M262" s="196" t="s">
        <v>687</v>
      </c>
      <c r="N262" s="185" t="s">
        <v>688</v>
      </c>
      <c r="O262" s="238">
        <v>44179.0</v>
      </c>
      <c r="P262" s="239" t="s">
        <v>1775</v>
      </c>
      <c r="Q262" s="239" t="s">
        <v>1764</v>
      </c>
      <c r="R262" s="240" t="s">
        <v>724</v>
      </c>
      <c r="S262" s="196" t="s">
        <v>724</v>
      </c>
      <c r="T262" s="196" t="s">
        <v>1765</v>
      </c>
    </row>
    <row r="263">
      <c r="A263" s="182" t="s">
        <v>1156</v>
      </c>
      <c r="B263" s="203" t="s">
        <v>66</v>
      </c>
      <c r="C263" s="173" t="s">
        <v>66</v>
      </c>
      <c r="D263" s="173" t="s">
        <v>1157</v>
      </c>
      <c r="E263" s="196" t="s">
        <v>1157</v>
      </c>
      <c r="F263" s="185" t="s">
        <v>185</v>
      </c>
      <c r="G263" s="185" t="s">
        <v>698</v>
      </c>
      <c r="H263" s="237">
        <v>42354.333333333336</v>
      </c>
      <c r="I263" s="185" t="s">
        <v>723</v>
      </c>
      <c r="J263" s="185" t="s">
        <v>723</v>
      </c>
      <c r="K263" s="185" t="s">
        <v>723</v>
      </c>
      <c r="L263" s="185" t="s">
        <v>85</v>
      </c>
      <c r="M263" s="196" t="s">
        <v>687</v>
      </c>
      <c r="N263" s="185" t="s">
        <v>688</v>
      </c>
      <c r="O263" s="238">
        <v>44180.0</v>
      </c>
      <c r="P263" s="239" t="s">
        <v>1830</v>
      </c>
      <c r="Q263" s="239" t="s">
        <v>1783</v>
      </c>
      <c r="R263" s="240" t="s">
        <v>721</v>
      </c>
      <c r="S263" s="196" t="s">
        <v>721</v>
      </c>
      <c r="T263" s="196" t="s">
        <v>1765</v>
      </c>
    </row>
    <row r="264">
      <c r="A264" s="182" t="s">
        <v>1158</v>
      </c>
      <c r="B264" s="203" t="s">
        <v>66</v>
      </c>
      <c r="C264" s="173" t="s">
        <v>66</v>
      </c>
      <c r="D264" s="173" t="s">
        <v>1159</v>
      </c>
      <c r="E264" s="196" t="s">
        <v>1159</v>
      </c>
      <c r="F264" s="185" t="s">
        <v>185</v>
      </c>
      <c r="G264" s="185" t="s">
        <v>768</v>
      </c>
      <c r="H264" s="237">
        <v>33.5</v>
      </c>
      <c r="I264" s="185" t="s">
        <v>723</v>
      </c>
      <c r="J264" s="185" t="s">
        <v>723</v>
      </c>
      <c r="K264" s="185" t="s">
        <v>723</v>
      </c>
      <c r="L264" s="185" t="s">
        <v>85</v>
      </c>
      <c r="M264" s="196" t="s">
        <v>687</v>
      </c>
      <c r="N264" s="185" t="s">
        <v>688</v>
      </c>
      <c r="O264" s="238">
        <v>44180.0</v>
      </c>
      <c r="P264" s="239" t="s">
        <v>1830</v>
      </c>
      <c r="Q264" s="239" t="s">
        <v>1783</v>
      </c>
      <c r="R264" s="240" t="s">
        <v>721</v>
      </c>
      <c r="S264" s="196" t="s">
        <v>721</v>
      </c>
      <c r="T264" s="196" t="s">
        <v>1765</v>
      </c>
    </row>
    <row r="265">
      <c r="A265" s="182" t="s">
        <v>1160</v>
      </c>
      <c r="B265" s="203" t="s">
        <v>66</v>
      </c>
      <c r="C265" s="173" t="s">
        <v>66</v>
      </c>
      <c r="D265" s="173" t="s">
        <v>1161</v>
      </c>
      <c r="E265" s="196" t="s">
        <v>1161</v>
      </c>
      <c r="F265" s="185" t="s">
        <v>185</v>
      </c>
      <c r="G265" s="185" t="s">
        <v>698</v>
      </c>
      <c r="H265" s="237">
        <v>40469.62163194444</v>
      </c>
      <c r="I265" s="185" t="s">
        <v>723</v>
      </c>
      <c r="J265" s="185" t="s">
        <v>723</v>
      </c>
      <c r="K265" s="185" t="s">
        <v>723</v>
      </c>
      <c r="L265" s="185" t="s">
        <v>85</v>
      </c>
      <c r="M265" s="196" t="s">
        <v>687</v>
      </c>
      <c r="N265" s="185" t="s">
        <v>688</v>
      </c>
      <c r="O265" s="238">
        <v>44180.0</v>
      </c>
      <c r="P265" s="239" t="s">
        <v>1830</v>
      </c>
      <c r="Q265" s="239" t="s">
        <v>1783</v>
      </c>
      <c r="R265" s="240" t="s">
        <v>721</v>
      </c>
      <c r="S265" s="196" t="s">
        <v>721</v>
      </c>
      <c r="T265" s="196" t="s">
        <v>1765</v>
      </c>
    </row>
    <row r="266">
      <c r="A266" s="182" t="s">
        <v>1162</v>
      </c>
      <c r="B266" s="203" t="s">
        <v>66</v>
      </c>
      <c r="C266" s="173" t="s">
        <v>66</v>
      </c>
      <c r="D266" s="173" t="s">
        <v>1163</v>
      </c>
      <c r="E266" s="196" t="s">
        <v>1163</v>
      </c>
      <c r="F266" s="185" t="s">
        <v>185</v>
      </c>
      <c r="G266" s="185" t="s">
        <v>768</v>
      </c>
      <c r="H266" s="237">
        <v>33.5</v>
      </c>
      <c r="I266" s="185" t="s">
        <v>723</v>
      </c>
      <c r="J266" s="185" t="s">
        <v>723</v>
      </c>
      <c r="K266" s="185" t="s">
        <v>723</v>
      </c>
      <c r="L266" s="185" t="s">
        <v>85</v>
      </c>
      <c r="M266" s="196" t="s">
        <v>687</v>
      </c>
      <c r="N266" s="185" t="s">
        <v>688</v>
      </c>
      <c r="O266" s="238">
        <v>44180.0</v>
      </c>
      <c r="P266" s="239" t="s">
        <v>1830</v>
      </c>
      <c r="Q266" s="239" t="s">
        <v>1783</v>
      </c>
      <c r="R266" s="240" t="s">
        <v>721</v>
      </c>
      <c r="S266" s="196" t="s">
        <v>721</v>
      </c>
      <c r="T266" s="196" t="s">
        <v>1765</v>
      </c>
    </row>
    <row r="267">
      <c r="A267" s="182" t="s">
        <v>1164</v>
      </c>
      <c r="B267" s="203" t="s">
        <v>66</v>
      </c>
      <c r="C267" s="173" t="s">
        <v>66</v>
      </c>
      <c r="D267" s="173" t="s">
        <v>1165</v>
      </c>
      <c r="E267" s="196" t="s">
        <v>1165</v>
      </c>
      <c r="F267" s="185" t="s">
        <v>185</v>
      </c>
      <c r="G267" s="185" t="s">
        <v>713</v>
      </c>
      <c r="H267" s="237">
        <v>12.0</v>
      </c>
      <c r="I267" s="185" t="s">
        <v>723</v>
      </c>
      <c r="J267" s="185" t="s">
        <v>723</v>
      </c>
      <c r="K267" s="185" t="s">
        <v>723</v>
      </c>
      <c r="L267" s="185" t="s">
        <v>85</v>
      </c>
      <c r="M267" s="196" t="s">
        <v>687</v>
      </c>
      <c r="N267" s="185" t="s">
        <v>688</v>
      </c>
      <c r="O267" s="238">
        <v>44180.0</v>
      </c>
      <c r="P267" s="239" t="s">
        <v>1782</v>
      </c>
      <c r="Q267" s="239" t="s">
        <v>1783</v>
      </c>
      <c r="R267" s="240" t="s">
        <v>721</v>
      </c>
      <c r="S267" s="196" t="s">
        <v>721</v>
      </c>
      <c r="T267" s="196" t="s">
        <v>1765</v>
      </c>
    </row>
    <row r="268">
      <c r="A268" s="182" t="s">
        <v>1166</v>
      </c>
      <c r="B268" s="203" t="s">
        <v>66</v>
      </c>
      <c r="C268" s="173" t="s">
        <v>66</v>
      </c>
      <c r="D268" s="173" t="s">
        <v>1167</v>
      </c>
      <c r="E268" s="196" t="s">
        <v>1167</v>
      </c>
      <c r="F268" s="185" t="s">
        <v>185</v>
      </c>
      <c r="G268" s="185" t="s">
        <v>768</v>
      </c>
      <c r="H268" s="237">
        <v>33.5</v>
      </c>
      <c r="I268" s="185" t="s">
        <v>723</v>
      </c>
      <c r="J268" s="185" t="s">
        <v>723</v>
      </c>
      <c r="K268" s="185" t="s">
        <v>723</v>
      </c>
      <c r="L268" s="185" t="s">
        <v>85</v>
      </c>
      <c r="M268" s="196" t="s">
        <v>687</v>
      </c>
      <c r="N268" s="185" t="s">
        <v>688</v>
      </c>
      <c r="O268" s="238">
        <v>44180.0</v>
      </c>
      <c r="P268" s="239" t="s">
        <v>1782</v>
      </c>
      <c r="Q268" s="239" t="s">
        <v>1783</v>
      </c>
      <c r="R268" s="240" t="s">
        <v>721</v>
      </c>
      <c r="S268" s="196" t="s">
        <v>721</v>
      </c>
      <c r="T268" s="196" t="s">
        <v>1765</v>
      </c>
    </row>
    <row r="269">
      <c r="A269" s="182" t="s">
        <v>1168</v>
      </c>
      <c r="B269" s="203" t="s">
        <v>66</v>
      </c>
      <c r="C269" s="173" t="s">
        <v>66</v>
      </c>
      <c r="D269" s="173" t="s">
        <v>1169</v>
      </c>
      <c r="E269" s="196" t="s">
        <v>1169</v>
      </c>
      <c r="F269" s="185" t="s">
        <v>185</v>
      </c>
      <c r="G269" s="185" t="s">
        <v>768</v>
      </c>
      <c r="H269" s="237">
        <v>33.5</v>
      </c>
      <c r="I269" s="185" t="s">
        <v>723</v>
      </c>
      <c r="J269" s="185" t="s">
        <v>723</v>
      </c>
      <c r="K269" s="185" t="s">
        <v>723</v>
      </c>
      <c r="L269" s="185" t="s">
        <v>85</v>
      </c>
      <c r="M269" s="196" t="s">
        <v>687</v>
      </c>
      <c r="N269" s="185" t="s">
        <v>688</v>
      </c>
      <c r="O269" s="238">
        <v>44180.0</v>
      </c>
      <c r="P269" s="239" t="s">
        <v>1830</v>
      </c>
      <c r="Q269" s="239" t="s">
        <v>1783</v>
      </c>
      <c r="R269" s="240" t="s">
        <v>721</v>
      </c>
      <c r="S269" s="196" t="s">
        <v>721</v>
      </c>
      <c r="T269" s="196" t="s">
        <v>1765</v>
      </c>
    </row>
    <row r="270">
      <c r="A270" s="182" t="s">
        <v>1170</v>
      </c>
      <c r="B270" s="203" t="s">
        <v>66</v>
      </c>
      <c r="C270" s="173" t="s">
        <v>66</v>
      </c>
      <c r="D270" s="173" t="s">
        <v>1171</v>
      </c>
      <c r="E270" s="196" t="s">
        <v>1171</v>
      </c>
      <c r="F270" s="185" t="s">
        <v>185</v>
      </c>
      <c r="G270" s="185" t="s">
        <v>698</v>
      </c>
      <c r="H270" s="237">
        <v>40610.333333333336</v>
      </c>
      <c r="I270" s="185" t="s">
        <v>723</v>
      </c>
      <c r="J270" s="185" t="s">
        <v>723</v>
      </c>
      <c r="K270" s="185" t="s">
        <v>723</v>
      </c>
      <c r="L270" s="185" t="s">
        <v>85</v>
      </c>
      <c r="M270" s="196" t="s">
        <v>687</v>
      </c>
      <c r="N270" s="185" t="s">
        <v>688</v>
      </c>
      <c r="O270" s="238">
        <v>44180.0</v>
      </c>
      <c r="P270" s="239" t="s">
        <v>1830</v>
      </c>
      <c r="Q270" s="239" t="s">
        <v>1783</v>
      </c>
      <c r="R270" s="240" t="s">
        <v>721</v>
      </c>
      <c r="S270" s="196" t="s">
        <v>721</v>
      </c>
      <c r="T270" s="196" t="s">
        <v>1765</v>
      </c>
    </row>
    <row r="271">
      <c r="A271" s="182" t="s">
        <v>1172</v>
      </c>
      <c r="B271" s="203" t="s">
        <v>66</v>
      </c>
      <c r="C271" s="173" t="s">
        <v>66</v>
      </c>
      <c r="D271" s="173" t="s">
        <v>1173</v>
      </c>
      <c r="E271" s="196" t="s">
        <v>1173</v>
      </c>
      <c r="F271" s="185" t="s">
        <v>185</v>
      </c>
      <c r="G271" s="185" t="s">
        <v>698</v>
      </c>
      <c r="H271" s="237">
        <v>42354.333333333336</v>
      </c>
      <c r="I271" s="185" t="s">
        <v>723</v>
      </c>
      <c r="J271" s="185" t="s">
        <v>723</v>
      </c>
      <c r="K271" s="185" t="s">
        <v>723</v>
      </c>
      <c r="L271" s="185" t="s">
        <v>85</v>
      </c>
      <c r="M271" s="196" t="s">
        <v>687</v>
      </c>
      <c r="N271" s="185" t="s">
        <v>688</v>
      </c>
      <c r="O271" s="238">
        <v>44180.0</v>
      </c>
      <c r="P271" s="239" t="s">
        <v>1830</v>
      </c>
      <c r="Q271" s="239" t="s">
        <v>1783</v>
      </c>
      <c r="R271" s="240" t="s">
        <v>721</v>
      </c>
      <c r="S271" s="196" t="s">
        <v>721</v>
      </c>
      <c r="T271" s="196" t="s">
        <v>1765</v>
      </c>
    </row>
    <row r="272">
      <c r="A272" s="182" t="s">
        <v>1174</v>
      </c>
      <c r="B272" s="203" t="s">
        <v>66</v>
      </c>
      <c r="C272" s="173" t="s">
        <v>66</v>
      </c>
      <c r="D272" s="173" t="s">
        <v>1175</v>
      </c>
      <c r="E272" s="196" t="s">
        <v>1175</v>
      </c>
      <c r="F272" s="185" t="s">
        <v>185</v>
      </c>
      <c r="G272" s="185" t="s">
        <v>768</v>
      </c>
      <c r="H272" s="237">
        <v>33.5</v>
      </c>
      <c r="I272" s="185" t="s">
        <v>723</v>
      </c>
      <c r="J272" s="185" t="s">
        <v>723</v>
      </c>
      <c r="K272" s="185" t="s">
        <v>723</v>
      </c>
      <c r="L272" s="185" t="s">
        <v>85</v>
      </c>
      <c r="M272" s="196" t="s">
        <v>687</v>
      </c>
      <c r="N272" s="185" t="s">
        <v>688</v>
      </c>
      <c r="O272" s="238">
        <v>44180.0</v>
      </c>
      <c r="P272" s="239" t="s">
        <v>1830</v>
      </c>
      <c r="Q272" s="239" t="s">
        <v>1783</v>
      </c>
      <c r="R272" s="240" t="s">
        <v>721</v>
      </c>
      <c r="S272" s="196" t="s">
        <v>721</v>
      </c>
      <c r="T272" s="196" t="s">
        <v>1765</v>
      </c>
    </row>
    <row r="273">
      <c r="A273" s="182" t="s">
        <v>1176</v>
      </c>
      <c r="B273" s="203" t="s">
        <v>66</v>
      </c>
      <c r="C273" s="173" t="s">
        <v>66</v>
      </c>
      <c r="D273" s="173" t="s">
        <v>1177</v>
      </c>
      <c r="E273" s="196" t="s">
        <v>1177</v>
      </c>
      <c r="F273" s="185" t="s">
        <v>185</v>
      </c>
      <c r="G273" s="185" t="s">
        <v>698</v>
      </c>
      <c r="H273" s="237">
        <v>40610.333333333336</v>
      </c>
      <c r="I273" s="185" t="s">
        <v>723</v>
      </c>
      <c r="J273" s="185" t="s">
        <v>723</v>
      </c>
      <c r="K273" s="185" t="s">
        <v>723</v>
      </c>
      <c r="L273" s="185" t="s">
        <v>85</v>
      </c>
      <c r="M273" s="196" t="s">
        <v>687</v>
      </c>
      <c r="N273" s="185" t="s">
        <v>688</v>
      </c>
      <c r="O273" s="238">
        <v>44180.0</v>
      </c>
      <c r="P273" s="239" t="s">
        <v>1830</v>
      </c>
      <c r="Q273" s="239" t="s">
        <v>1783</v>
      </c>
      <c r="R273" s="240" t="s">
        <v>721</v>
      </c>
      <c r="S273" s="196" t="s">
        <v>721</v>
      </c>
      <c r="T273" s="196" t="s">
        <v>1765</v>
      </c>
    </row>
    <row r="274">
      <c r="A274" s="182" t="s">
        <v>193</v>
      </c>
      <c r="B274" s="203" t="s">
        <v>66</v>
      </c>
      <c r="C274" s="173" t="s">
        <v>66</v>
      </c>
      <c r="D274" s="173" t="s">
        <v>1184</v>
      </c>
      <c r="E274" s="196" t="s">
        <v>1184</v>
      </c>
      <c r="F274" s="185" t="s">
        <v>185</v>
      </c>
      <c r="G274" s="185" t="s">
        <v>1761</v>
      </c>
      <c r="H274" s="237" t="s">
        <v>195</v>
      </c>
      <c r="I274" s="185" t="s">
        <v>1762</v>
      </c>
      <c r="J274" s="185" t="s">
        <v>91</v>
      </c>
      <c r="K274" s="185" t="s">
        <v>91</v>
      </c>
      <c r="L274" s="185" t="s">
        <v>85</v>
      </c>
      <c r="M274" s="196" t="s">
        <v>687</v>
      </c>
      <c r="N274" s="185"/>
      <c r="O274" s="238">
        <v>44178.0</v>
      </c>
      <c r="P274" s="239" t="s">
        <v>1770</v>
      </c>
      <c r="Q274" s="239" t="s">
        <v>1764</v>
      </c>
      <c r="R274" s="240" t="s">
        <v>782</v>
      </c>
      <c r="S274" s="196" t="s">
        <v>782</v>
      </c>
      <c r="T274" s="196" t="s">
        <v>1765</v>
      </c>
    </row>
    <row r="275">
      <c r="A275" s="182" t="s">
        <v>1189</v>
      </c>
      <c r="B275" s="203" t="s">
        <v>66</v>
      </c>
      <c r="C275" s="173" t="s">
        <v>66</v>
      </c>
      <c r="D275" s="173" t="s">
        <v>1190</v>
      </c>
      <c r="E275" s="196" t="s">
        <v>1190</v>
      </c>
      <c r="F275" s="185" t="s">
        <v>185</v>
      </c>
      <c r="G275" s="185" t="s">
        <v>698</v>
      </c>
      <c r="H275" s="237">
        <v>40155.46099537037</v>
      </c>
      <c r="I275" s="185" t="s">
        <v>723</v>
      </c>
      <c r="J275" s="185" t="s">
        <v>723</v>
      </c>
      <c r="K275" s="185" t="s">
        <v>723</v>
      </c>
      <c r="L275" s="185" t="s">
        <v>85</v>
      </c>
      <c r="M275" s="196" t="s">
        <v>687</v>
      </c>
      <c r="N275" s="185" t="s">
        <v>760</v>
      </c>
      <c r="O275" s="238">
        <v>44180.0</v>
      </c>
      <c r="P275" s="239" t="s">
        <v>1830</v>
      </c>
      <c r="Q275" s="239" t="s">
        <v>1783</v>
      </c>
      <c r="R275" s="240" t="s">
        <v>721</v>
      </c>
      <c r="S275" s="196" t="s">
        <v>721</v>
      </c>
      <c r="T275" s="196" t="s">
        <v>1765</v>
      </c>
    </row>
    <row r="276">
      <c r="A276" s="182" t="s">
        <v>1242</v>
      </c>
      <c r="B276" s="203" t="s">
        <v>66</v>
      </c>
      <c r="C276" s="173" t="s">
        <v>66</v>
      </c>
      <c r="D276" s="173" t="s">
        <v>1243</v>
      </c>
      <c r="E276" s="196" t="s">
        <v>1243</v>
      </c>
      <c r="F276" s="185" t="s">
        <v>185</v>
      </c>
      <c r="G276" s="185" t="s">
        <v>713</v>
      </c>
      <c r="H276" s="237">
        <v>35.0</v>
      </c>
      <c r="I276" s="185" t="s">
        <v>723</v>
      </c>
      <c r="J276" s="185" t="s">
        <v>723</v>
      </c>
      <c r="K276" s="185" t="s">
        <v>723</v>
      </c>
      <c r="L276" s="185" t="s">
        <v>85</v>
      </c>
      <c r="M276" s="196" t="s">
        <v>687</v>
      </c>
      <c r="N276" s="185" t="s">
        <v>760</v>
      </c>
      <c r="O276" s="238">
        <v>44179.0</v>
      </c>
      <c r="P276" s="239" t="s">
        <v>1782</v>
      </c>
      <c r="Q276" s="239" t="s">
        <v>1783</v>
      </c>
      <c r="R276" s="240" t="s">
        <v>761</v>
      </c>
      <c r="S276" s="196" t="s">
        <v>761</v>
      </c>
      <c r="T276" s="196" t="s">
        <v>1765</v>
      </c>
    </row>
    <row r="277">
      <c r="A277" s="182" t="s">
        <v>1244</v>
      </c>
      <c r="B277" s="203" t="s">
        <v>66</v>
      </c>
      <c r="C277" s="173" t="s">
        <v>66</v>
      </c>
      <c r="D277" s="173" t="s">
        <v>1245</v>
      </c>
      <c r="E277" s="196" t="s">
        <v>1245</v>
      </c>
      <c r="F277" s="185" t="s">
        <v>185</v>
      </c>
      <c r="G277" s="185" t="s">
        <v>768</v>
      </c>
      <c r="H277" s="237">
        <v>23.56</v>
      </c>
      <c r="I277" s="185" t="s">
        <v>723</v>
      </c>
      <c r="J277" s="185" t="s">
        <v>723</v>
      </c>
      <c r="K277" s="185" t="s">
        <v>723</v>
      </c>
      <c r="L277" s="185" t="s">
        <v>85</v>
      </c>
      <c r="M277" s="196" t="s">
        <v>687</v>
      </c>
      <c r="N277" s="185" t="s">
        <v>760</v>
      </c>
      <c r="O277" s="238">
        <v>44179.0</v>
      </c>
      <c r="P277" s="239" t="s">
        <v>1782</v>
      </c>
      <c r="Q277" s="239" t="s">
        <v>1783</v>
      </c>
      <c r="R277" s="240" t="s">
        <v>761</v>
      </c>
      <c r="S277" s="196" t="s">
        <v>761</v>
      </c>
      <c r="T277" s="196" t="s">
        <v>1765</v>
      </c>
    </row>
    <row r="278">
      <c r="A278" s="182" t="s">
        <v>1246</v>
      </c>
      <c r="B278" s="203" t="s">
        <v>66</v>
      </c>
      <c r="C278" s="173" t="s">
        <v>66</v>
      </c>
      <c r="D278" s="173" t="s">
        <v>1247</v>
      </c>
      <c r="E278" s="196" t="s">
        <v>1247</v>
      </c>
      <c r="F278" s="185" t="s">
        <v>185</v>
      </c>
      <c r="G278" s="185" t="s">
        <v>768</v>
      </c>
      <c r="H278" s="237">
        <v>23.56</v>
      </c>
      <c r="I278" s="185" t="s">
        <v>723</v>
      </c>
      <c r="J278" s="185" t="s">
        <v>723</v>
      </c>
      <c r="K278" s="185" t="s">
        <v>723</v>
      </c>
      <c r="L278" s="185" t="s">
        <v>85</v>
      </c>
      <c r="M278" s="196" t="s">
        <v>687</v>
      </c>
      <c r="N278" s="185" t="s">
        <v>760</v>
      </c>
      <c r="O278" s="238">
        <v>44179.0</v>
      </c>
      <c r="P278" s="239" t="s">
        <v>1782</v>
      </c>
      <c r="Q278" s="239" t="s">
        <v>1783</v>
      </c>
      <c r="R278" s="240" t="s">
        <v>761</v>
      </c>
      <c r="S278" s="196" t="s">
        <v>761</v>
      </c>
      <c r="T278" s="196" t="s">
        <v>1765</v>
      </c>
    </row>
    <row r="279">
      <c r="A279" s="182" t="s">
        <v>1248</v>
      </c>
      <c r="B279" s="203" t="s">
        <v>66</v>
      </c>
      <c r="C279" s="173" t="s">
        <v>66</v>
      </c>
      <c r="D279" s="173" t="s">
        <v>1249</v>
      </c>
      <c r="E279" s="196" t="s">
        <v>1249</v>
      </c>
      <c r="F279" s="185" t="s">
        <v>185</v>
      </c>
      <c r="G279" s="185" t="s">
        <v>768</v>
      </c>
      <c r="H279" s="237">
        <v>35.0</v>
      </c>
      <c r="I279" s="185" t="s">
        <v>394</v>
      </c>
      <c r="J279" s="185" t="s">
        <v>394</v>
      </c>
      <c r="K279" s="185" t="s">
        <v>394</v>
      </c>
      <c r="L279" s="185" t="s">
        <v>85</v>
      </c>
      <c r="M279" s="196" t="s">
        <v>687</v>
      </c>
      <c r="N279" s="185" t="s">
        <v>688</v>
      </c>
      <c r="O279" s="238">
        <v>44179.0</v>
      </c>
      <c r="P279" s="239" t="s">
        <v>1782</v>
      </c>
      <c r="Q279" s="239" t="s">
        <v>1783</v>
      </c>
      <c r="R279" s="240" t="s">
        <v>761</v>
      </c>
      <c r="S279" s="196" t="s">
        <v>761</v>
      </c>
      <c r="T279" s="196" t="s">
        <v>1765</v>
      </c>
    </row>
    <row r="280">
      <c r="A280" s="182" t="s">
        <v>1250</v>
      </c>
      <c r="B280" s="203" t="s">
        <v>66</v>
      </c>
      <c r="C280" s="173" t="s">
        <v>66</v>
      </c>
      <c r="D280" s="173" t="s">
        <v>1251</v>
      </c>
      <c r="E280" s="196" t="s">
        <v>1251</v>
      </c>
      <c r="F280" s="185" t="s">
        <v>185</v>
      </c>
      <c r="G280" s="185" t="s">
        <v>768</v>
      </c>
      <c r="H280" s="237">
        <v>23.56</v>
      </c>
      <c r="I280" s="185" t="s">
        <v>394</v>
      </c>
      <c r="J280" s="185" t="s">
        <v>394</v>
      </c>
      <c r="K280" s="185" t="s">
        <v>394</v>
      </c>
      <c r="L280" s="185" t="s">
        <v>85</v>
      </c>
      <c r="M280" s="196" t="s">
        <v>687</v>
      </c>
      <c r="N280" s="185" t="s">
        <v>688</v>
      </c>
      <c r="O280" s="238">
        <v>44179.0</v>
      </c>
      <c r="P280" s="239" t="s">
        <v>1782</v>
      </c>
      <c r="Q280" s="239" t="s">
        <v>1783</v>
      </c>
      <c r="R280" s="240" t="s">
        <v>761</v>
      </c>
      <c r="S280" s="196" t="s">
        <v>761</v>
      </c>
      <c r="T280" s="196" t="s">
        <v>1765</v>
      </c>
    </row>
    <row r="281">
      <c r="A281" s="182" t="s">
        <v>1252</v>
      </c>
      <c r="B281" s="203" t="s">
        <v>66</v>
      </c>
      <c r="C281" s="173" t="s">
        <v>66</v>
      </c>
      <c r="D281" s="173" t="s">
        <v>1253</v>
      </c>
      <c r="E281" s="196" t="s">
        <v>1253</v>
      </c>
      <c r="F281" s="185" t="s">
        <v>185</v>
      </c>
      <c r="G281" s="185" t="s">
        <v>768</v>
      </c>
      <c r="H281" s="237">
        <v>100.0</v>
      </c>
      <c r="I281" s="185" t="s">
        <v>394</v>
      </c>
      <c r="J281" s="185" t="s">
        <v>394</v>
      </c>
      <c r="K281" s="185" t="s">
        <v>394</v>
      </c>
      <c r="L281" s="185" t="s">
        <v>85</v>
      </c>
      <c r="M281" s="196" t="s">
        <v>687</v>
      </c>
      <c r="N281" s="185" t="s">
        <v>688</v>
      </c>
      <c r="O281" s="238">
        <v>44179.0</v>
      </c>
      <c r="P281" s="239" t="s">
        <v>1782</v>
      </c>
      <c r="Q281" s="239" t="s">
        <v>1783</v>
      </c>
      <c r="R281" s="240" t="s">
        <v>761</v>
      </c>
      <c r="S281" s="196" t="s">
        <v>761</v>
      </c>
      <c r="T281" s="196" t="s">
        <v>1765</v>
      </c>
    </row>
    <row r="282">
      <c r="A282" s="182" t="s">
        <v>1254</v>
      </c>
      <c r="B282" s="203" t="s">
        <v>66</v>
      </c>
      <c r="C282" s="173" t="s">
        <v>66</v>
      </c>
      <c r="D282" s="173" t="s">
        <v>1255</v>
      </c>
      <c r="E282" s="196" t="s">
        <v>1255</v>
      </c>
      <c r="F282" s="185" t="s">
        <v>185</v>
      </c>
      <c r="G282" s="185" t="s">
        <v>713</v>
      </c>
      <c r="H282" s="237">
        <v>8.0</v>
      </c>
      <c r="I282" s="185" t="s">
        <v>394</v>
      </c>
      <c r="J282" s="185" t="s">
        <v>394</v>
      </c>
      <c r="K282" s="185" t="s">
        <v>394</v>
      </c>
      <c r="L282" s="185" t="s">
        <v>85</v>
      </c>
      <c r="M282" s="196" t="s">
        <v>687</v>
      </c>
      <c r="N282" s="185" t="s">
        <v>688</v>
      </c>
      <c r="O282" s="238">
        <v>44179.0</v>
      </c>
      <c r="P282" s="239" t="s">
        <v>1782</v>
      </c>
      <c r="Q282" s="239" t="s">
        <v>1783</v>
      </c>
      <c r="R282" s="240" t="s">
        <v>761</v>
      </c>
      <c r="S282" s="196" t="s">
        <v>761</v>
      </c>
      <c r="T282" s="196" t="s">
        <v>1765</v>
      </c>
    </row>
    <row r="283">
      <c r="A283" s="182" t="s">
        <v>1256</v>
      </c>
      <c r="B283" s="203" t="s">
        <v>66</v>
      </c>
      <c r="C283" s="173" t="s">
        <v>66</v>
      </c>
      <c r="D283" s="173" t="s">
        <v>1048</v>
      </c>
      <c r="E283" s="196" t="s">
        <v>1048</v>
      </c>
      <c r="F283" s="185" t="s">
        <v>185</v>
      </c>
      <c r="G283" s="185" t="s">
        <v>713</v>
      </c>
      <c r="H283" s="237">
        <v>20.0</v>
      </c>
      <c r="I283" s="185" t="s">
        <v>723</v>
      </c>
      <c r="J283" s="185" t="s">
        <v>723</v>
      </c>
      <c r="K283" s="185" t="s">
        <v>723</v>
      </c>
      <c r="L283" s="185" t="s">
        <v>85</v>
      </c>
      <c r="M283" s="196" t="s">
        <v>687</v>
      </c>
      <c r="N283" s="185" t="s">
        <v>688</v>
      </c>
      <c r="O283" s="238">
        <v>44179.0</v>
      </c>
      <c r="P283" s="239" t="s">
        <v>1782</v>
      </c>
      <c r="Q283" s="239" t="s">
        <v>1783</v>
      </c>
      <c r="R283" s="240" t="s">
        <v>761</v>
      </c>
      <c r="S283" s="196" t="s">
        <v>761</v>
      </c>
      <c r="T283" s="196" t="s">
        <v>1765</v>
      </c>
    </row>
    <row r="284">
      <c r="A284" s="182" t="s">
        <v>1281</v>
      </c>
      <c r="B284" s="203" t="s">
        <v>66</v>
      </c>
      <c r="C284" s="173" t="s">
        <v>66</v>
      </c>
      <c r="D284" s="173" t="s">
        <v>1282</v>
      </c>
      <c r="E284" s="196" t="s">
        <v>1282</v>
      </c>
      <c r="F284" s="185" t="s">
        <v>185</v>
      </c>
      <c r="G284" s="185" t="s">
        <v>1761</v>
      </c>
      <c r="H284" s="237" t="s">
        <v>1283</v>
      </c>
      <c r="I284" s="185" t="s">
        <v>394</v>
      </c>
      <c r="J284" s="185" t="s">
        <v>394</v>
      </c>
      <c r="K284" s="185" t="s">
        <v>394</v>
      </c>
      <c r="L284" s="185" t="s">
        <v>85</v>
      </c>
      <c r="M284" s="196" t="s">
        <v>687</v>
      </c>
      <c r="N284" s="185" t="s">
        <v>760</v>
      </c>
      <c r="O284" s="238">
        <v>44179.0</v>
      </c>
      <c r="P284" s="239" t="s">
        <v>1782</v>
      </c>
      <c r="Q284" s="239" t="s">
        <v>1783</v>
      </c>
      <c r="R284" s="240" t="s">
        <v>761</v>
      </c>
      <c r="S284" s="196" t="s">
        <v>761</v>
      </c>
      <c r="T284" s="196" t="s">
        <v>1765</v>
      </c>
    </row>
    <row r="285">
      <c r="A285" s="182" t="s">
        <v>1284</v>
      </c>
      <c r="B285" s="203" t="s">
        <v>66</v>
      </c>
      <c r="C285" s="173" t="s">
        <v>66</v>
      </c>
      <c r="D285" s="173" t="s">
        <v>1285</v>
      </c>
      <c r="E285" s="196" t="s">
        <v>1285</v>
      </c>
      <c r="F285" s="185" t="s">
        <v>185</v>
      </c>
      <c r="G285" s="185" t="s">
        <v>1761</v>
      </c>
      <c r="H285" s="237" t="s">
        <v>1283</v>
      </c>
      <c r="I285" s="185" t="s">
        <v>394</v>
      </c>
      <c r="J285" s="185" t="s">
        <v>394</v>
      </c>
      <c r="K285" s="185" t="s">
        <v>394</v>
      </c>
      <c r="L285" s="185" t="s">
        <v>85</v>
      </c>
      <c r="M285" s="196" t="s">
        <v>687</v>
      </c>
      <c r="N285" s="185" t="s">
        <v>760</v>
      </c>
      <c r="O285" s="238">
        <v>44179.0</v>
      </c>
      <c r="P285" s="239" t="s">
        <v>1782</v>
      </c>
      <c r="Q285" s="239" t="s">
        <v>1783</v>
      </c>
      <c r="R285" s="240" t="s">
        <v>761</v>
      </c>
      <c r="S285" s="196" t="s">
        <v>761</v>
      </c>
      <c r="T285" s="196" t="s">
        <v>1765</v>
      </c>
    </row>
    <row r="286">
      <c r="A286" s="182" t="s">
        <v>1286</v>
      </c>
      <c r="B286" s="203" t="s">
        <v>66</v>
      </c>
      <c r="C286" s="173" t="s">
        <v>66</v>
      </c>
      <c r="D286" s="173" t="s">
        <v>1287</v>
      </c>
      <c r="E286" s="196" t="s">
        <v>1287</v>
      </c>
      <c r="F286" s="185" t="s">
        <v>185</v>
      </c>
      <c r="G286" s="185" t="s">
        <v>1761</v>
      </c>
      <c r="H286" s="237" t="s">
        <v>1283</v>
      </c>
      <c r="I286" s="185" t="s">
        <v>394</v>
      </c>
      <c r="J286" s="185" t="s">
        <v>394</v>
      </c>
      <c r="K286" s="185" t="s">
        <v>394</v>
      </c>
      <c r="L286" s="185" t="s">
        <v>85</v>
      </c>
      <c r="M286" s="196" t="s">
        <v>687</v>
      </c>
      <c r="N286" s="185" t="s">
        <v>760</v>
      </c>
      <c r="O286" s="238">
        <v>44179.0</v>
      </c>
      <c r="P286" s="239" t="s">
        <v>1782</v>
      </c>
      <c r="Q286" s="239" t="s">
        <v>1783</v>
      </c>
      <c r="R286" s="240" t="s">
        <v>761</v>
      </c>
      <c r="S286" s="196" t="s">
        <v>761</v>
      </c>
      <c r="T286" s="196" t="s">
        <v>1765</v>
      </c>
    </row>
    <row r="287">
      <c r="A287" s="182" t="s">
        <v>1288</v>
      </c>
      <c r="B287" s="203" t="s">
        <v>66</v>
      </c>
      <c r="C287" s="173" t="s">
        <v>66</v>
      </c>
      <c r="D287" s="173" t="s">
        <v>1289</v>
      </c>
      <c r="E287" s="196" t="s">
        <v>1289</v>
      </c>
      <c r="F287" s="185" t="s">
        <v>185</v>
      </c>
      <c r="G287" s="185" t="s">
        <v>1761</v>
      </c>
      <c r="H287" s="237" t="s">
        <v>1283</v>
      </c>
      <c r="I287" s="185" t="s">
        <v>394</v>
      </c>
      <c r="J287" s="185" t="s">
        <v>394</v>
      </c>
      <c r="K287" s="185" t="s">
        <v>394</v>
      </c>
      <c r="L287" s="185" t="s">
        <v>85</v>
      </c>
      <c r="M287" s="196" t="s">
        <v>687</v>
      </c>
      <c r="N287" s="185" t="s">
        <v>760</v>
      </c>
      <c r="O287" s="238">
        <v>44179.0</v>
      </c>
      <c r="P287" s="239" t="s">
        <v>1782</v>
      </c>
      <c r="Q287" s="239" t="s">
        <v>1783</v>
      </c>
      <c r="R287" s="240" t="s">
        <v>761</v>
      </c>
      <c r="S287" s="196" t="s">
        <v>761</v>
      </c>
      <c r="T287" s="196" t="s">
        <v>1765</v>
      </c>
    </row>
    <row r="288">
      <c r="A288" s="182" t="s">
        <v>1290</v>
      </c>
      <c r="B288" s="203" t="s">
        <v>66</v>
      </c>
      <c r="C288" s="173" t="s">
        <v>66</v>
      </c>
      <c r="D288" s="173" t="s">
        <v>1291</v>
      </c>
      <c r="E288" s="196" t="s">
        <v>1291</v>
      </c>
      <c r="F288" s="185" t="s">
        <v>185</v>
      </c>
      <c r="G288" s="185" t="s">
        <v>1761</v>
      </c>
      <c r="H288" s="237" t="s">
        <v>1283</v>
      </c>
      <c r="I288" s="185" t="s">
        <v>394</v>
      </c>
      <c r="J288" s="185" t="s">
        <v>394</v>
      </c>
      <c r="K288" s="185" t="s">
        <v>394</v>
      </c>
      <c r="L288" s="185" t="s">
        <v>85</v>
      </c>
      <c r="M288" s="196" t="s">
        <v>687</v>
      </c>
      <c r="N288" s="185" t="s">
        <v>760</v>
      </c>
      <c r="O288" s="238">
        <v>44179.0</v>
      </c>
      <c r="P288" s="239" t="s">
        <v>1782</v>
      </c>
      <c r="Q288" s="239" t="s">
        <v>1783</v>
      </c>
      <c r="R288" s="240" t="s">
        <v>761</v>
      </c>
      <c r="S288" s="196" t="s">
        <v>761</v>
      </c>
      <c r="T288" s="196" t="s">
        <v>1765</v>
      </c>
    </row>
    <row r="289">
      <c r="A289" s="182" t="s">
        <v>1292</v>
      </c>
      <c r="B289" s="203" t="s">
        <v>66</v>
      </c>
      <c r="C289" s="173" t="s">
        <v>66</v>
      </c>
      <c r="D289" s="173" t="s">
        <v>1293</v>
      </c>
      <c r="E289" s="196" t="s">
        <v>1293</v>
      </c>
      <c r="F289" s="185" t="s">
        <v>185</v>
      </c>
      <c r="G289" s="185" t="s">
        <v>1761</v>
      </c>
      <c r="H289" s="237" t="s">
        <v>1483</v>
      </c>
      <c r="I289" s="185" t="s">
        <v>394</v>
      </c>
      <c r="J289" s="185" t="s">
        <v>394</v>
      </c>
      <c r="K289" s="185" t="s">
        <v>394</v>
      </c>
      <c r="L289" s="185" t="s">
        <v>85</v>
      </c>
      <c r="M289" s="196" t="s">
        <v>687</v>
      </c>
      <c r="N289" s="185" t="s">
        <v>760</v>
      </c>
      <c r="O289" s="238">
        <v>44179.0</v>
      </c>
      <c r="P289" s="239" t="s">
        <v>1782</v>
      </c>
      <c r="Q289" s="239" t="s">
        <v>1783</v>
      </c>
      <c r="R289" s="240" t="s">
        <v>761</v>
      </c>
      <c r="S289" s="196" t="s">
        <v>761</v>
      </c>
      <c r="T289" s="196" t="s">
        <v>1765</v>
      </c>
    </row>
    <row r="290">
      <c r="A290" s="182" t="s">
        <v>1294</v>
      </c>
      <c r="B290" s="203" t="s">
        <v>66</v>
      </c>
      <c r="C290" s="173" t="s">
        <v>66</v>
      </c>
      <c r="D290" s="173" t="s">
        <v>1295</v>
      </c>
      <c r="E290" s="196" t="s">
        <v>1295</v>
      </c>
      <c r="F290" s="185" t="s">
        <v>185</v>
      </c>
      <c r="G290" s="185" t="s">
        <v>1761</v>
      </c>
      <c r="H290" s="237" t="s">
        <v>1296</v>
      </c>
      <c r="I290" s="185" t="s">
        <v>394</v>
      </c>
      <c r="J290" s="185" t="s">
        <v>394</v>
      </c>
      <c r="K290" s="185" t="s">
        <v>394</v>
      </c>
      <c r="L290" s="185" t="s">
        <v>85</v>
      </c>
      <c r="M290" s="196" t="s">
        <v>687</v>
      </c>
      <c r="N290" s="185" t="s">
        <v>688</v>
      </c>
      <c r="O290" s="238">
        <v>44180.0</v>
      </c>
      <c r="P290" s="239" t="s">
        <v>701</v>
      </c>
      <c r="Q290" s="239" t="s">
        <v>1787</v>
      </c>
      <c r="R290" s="240" t="s">
        <v>744</v>
      </c>
      <c r="S290" s="196" t="s">
        <v>744</v>
      </c>
      <c r="T290" s="196" t="s">
        <v>1765</v>
      </c>
    </row>
    <row r="291">
      <c r="A291" s="182" t="s">
        <v>1297</v>
      </c>
      <c r="B291" s="203" t="s">
        <v>66</v>
      </c>
      <c r="C291" s="173" t="s">
        <v>66</v>
      </c>
      <c r="D291" s="173" t="s">
        <v>1298</v>
      </c>
      <c r="E291" s="196" t="s">
        <v>1298</v>
      </c>
      <c r="F291" s="185" t="s">
        <v>185</v>
      </c>
      <c r="G291" s="185" t="s">
        <v>768</v>
      </c>
      <c r="H291" s="237">
        <v>56.67</v>
      </c>
      <c r="I291" s="185" t="s">
        <v>394</v>
      </c>
      <c r="J291" s="185" t="s">
        <v>394</v>
      </c>
      <c r="K291" s="185" t="s">
        <v>394</v>
      </c>
      <c r="L291" s="185" t="s">
        <v>85</v>
      </c>
      <c r="M291" s="196" t="s">
        <v>687</v>
      </c>
      <c r="N291" s="185" t="s">
        <v>760</v>
      </c>
      <c r="O291" s="238">
        <v>44179.0</v>
      </c>
      <c r="P291" s="239" t="s">
        <v>1782</v>
      </c>
      <c r="Q291" s="239" t="s">
        <v>1783</v>
      </c>
      <c r="R291" s="240" t="s">
        <v>750</v>
      </c>
      <c r="S291" s="196" t="s">
        <v>750</v>
      </c>
      <c r="T291" s="196" t="s">
        <v>1765</v>
      </c>
    </row>
    <row r="292">
      <c r="A292" s="182" t="s">
        <v>1300</v>
      </c>
      <c r="B292" s="203" t="s">
        <v>66</v>
      </c>
      <c r="C292" s="173" t="s">
        <v>66</v>
      </c>
      <c r="D292" s="173" t="s">
        <v>1301</v>
      </c>
      <c r="E292" s="196" t="s">
        <v>1301</v>
      </c>
      <c r="F292" s="185" t="s">
        <v>185</v>
      </c>
      <c r="G292" s="185" t="s">
        <v>768</v>
      </c>
      <c r="H292" s="237">
        <v>86.5</v>
      </c>
      <c r="I292" s="185" t="s">
        <v>394</v>
      </c>
      <c r="J292" s="185" t="s">
        <v>394</v>
      </c>
      <c r="K292" s="185" t="s">
        <v>394</v>
      </c>
      <c r="L292" s="185" t="s">
        <v>85</v>
      </c>
      <c r="M292" s="196" t="s">
        <v>687</v>
      </c>
      <c r="N292" s="185" t="s">
        <v>760</v>
      </c>
      <c r="O292" s="238">
        <v>44179.0</v>
      </c>
      <c r="P292" s="239" t="s">
        <v>1782</v>
      </c>
      <c r="Q292" s="239" t="s">
        <v>1783</v>
      </c>
      <c r="R292" s="240" t="s">
        <v>750</v>
      </c>
      <c r="S292" s="196" t="s">
        <v>750</v>
      </c>
      <c r="T292" s="196" t="s">
        <v>1765</v>
      </c>
    </row>
    <row r="293">
      <c r="A293" s="182" t="s">
        <v>1302</v>
      </c>
      <c r="B293" s="203" t="s">
        <v>66</v>
      </c>
      <c r="C293" s="173" t="s">
        <v>66</v>
      </c>
      <c r="D293" s="173" t="s">
        <v>1913</v>
      </c>
      <c r="E293" s="196" t="s">
        <v>1303</v>
      </c>
      <c r="F293" s="185" t="s">
        <v>185</v>
      </c>
      <c r="G293" s="185" t="s">
        <v>768</v>
      </c>
      <c r="H293" s="237">
        <v>61.0</v>
      </c>
      <c r="I293" s="185" t="s">
        <v>394</v>
      </c>
      <c r="J293" s="185" t="s">
        <v>394</v>
      </c>
      <c r="K293" s="185" t="s">
        <v>394</v>
      </c>
      <c r="L293" s="185" t="s">
        <v>85</v>
      </c>
      <c r="M293" s="196" t="s">
        <v>687</v>
      </c>
      <c r="N293" s="185" t="s">
        <v>760</v>
      </c>
      <c r="O293" s="238">
        <v>44179.0</v>
      </c>
      <c r="P293" s="239" t="s">
        <v>1782</v>
      </c>
      <c r="Q293" s="239" t="s">
        <v>1783</v>
      </c>
      <c r="R293" s="240" t="s">
        <v>750</v>
      </c>
      <c r="S293" s="196" t="s">
        <v>750</v>
      </c>
      <c r="T293" s="196" t="s">
        <v>1765</v>
      </c>
    </row>
    <row r="294">
      <c r="A294" s="182" t="s">
        <v>1304</v>
      </c>
      <c r="B294" s="203" t="s">
        <v>66</v>
      </c>
      <c r="C294" s="173" t="s">
        <v>66</v>
      </c>
      <c r="D294" s="173" t="s">
        <v>1914</v>
      </c>
      <c r="E294" s="196" t="s">
        <v>1305</v>
      </c>
      <c r="F294" s="185" t="s">
        <v>83</v>
      </c>
      <c r="G294" s="185" t="s">
        <v>1761</v>
      </c>
      <c r="H294" s="237" t="s">
        <v>1307</v>
      </c>
      <c r="I294" s="185" t="s">
        <v>394</v>
      </c>
      <c r="J294" s="185" t="s">
        <v>394</v>
      </c>
      <c r="K294" s="185" t="s">
        <v>394</v>
      </c>
      <c r="L294" s="185" t="s">
        <v>85</v>
      </c>
      <c r="M294" s="196" t="s">
        <v>687</v>
      </c>
      <c r="N294" s="185" t="s">
        <v>688</v>
      </c>
      <c r="O294" s="238">
        <v>44179.0</v>
      </c>
      <c r="P294" s="239" t="s">
        <v>701</v>
      </c>
      <c r="Q294" s="239" t="s">
        <v>1787</v>
      </c>
      <c r="R294" s="240" t="s">
        <v>744</v>
      </c>
      <c r="S294" s="196" t="s">
        <v>744</v>
      </c>
      <c r="T294" s="196" t="s">
        <v>1765</v>
      </c>
    </row>
    <row r="295">
      <c r="A295" s="182" t="s">
        <v>1308</v>
      </c>
      <c r="B295" s="203" t="s">
        <v>66</v>
      </c>
      <c r="C295" s="173" t="s">
        <v>66</v>
      </c>
      <c r="D295" s="173" t="s">
        <v>1341</v>
      </c>
      <c r="E295" s="196" t="s">
        <v>1341</v>
      </c>
      <c r="F295" s="185" t="s">
        <v>185</v>
      </c>
      <c r="G295" s="185" t="s">
        <v>768</v>
      </c>
      <c r="H295" s="237">
        <v>25.0</v>
      </c>
      <c r="I295" s="185" t="s">
        <v>394</v>
      </c>
      <c r="J295" s="185" t="s">
        <v>1310</v>
      </c>
      <c r="K295" s="185" t="s">
        <v>394</v>
      </c>
      <c r="L295" s="185" t="s">
        <v>85</v>
      </c>
      <c r="M295" s="196" t="s">
        <v>687</v>
      </c>
      <c r="N295" s="185" t="s">
        <v>760</v>
      </c>
      <c r="O295" s="238">
        <v>44179.0</v>
      </c>
      <c r="P295" s="239" t="s">
        <v>1779</v>
      </c>
      <c r="Q295" s="239" t="s">
        <v>1764</v>
      </c>
      <c r="R295" s="240" t="s">
        <v>724</v>
      </c>
      <c r="S295" s="196" t="s">
        <v>724</v>
      </c>
      <c r="T295" s="196" t="s">
        <v>1765</v>
      </c>
    </row>
    <row r="296">
      <c r="A296" s="182" t="s">
        <v>1311</v>
      </c>
      <c r="B296" s="203" t="s">
        <v>66</v>
      </c>
      <c r="C296" s="173" t="s">
        <v>66</v>
      </c>
      <c r="D296" s="173" t="s">
        <v>1342</v>
      </c>
      <c r="E296" s="196" t="s">
        <v>1342</v>
      </c>
      <c r="F296" s="185" t="s">
        <v>185</v>
      </c>
      <c r="G296" s="185" t="s">
        <v>768</v>
      </c>
      <c r="H296" s="237">
        <v>5.0</v>
      </c>
      <c r="I296" s="185" t="s">
        <v>394</v>
      </c>
      <c r="J296" s="185" t="s">
        <v>1310</v>
      </c>
      <c r="K296" s="185" t="s">
        <v>394</v>
      </c>
      <c r="L296" s="185" t="s">
        <v>85</v>
      </c>
      <c r="M296" s="196" t="s">
        <v>687</v>
      </c>
      <c r="N296" s="185" t="s">
        <v>760</v>
      </c>
      <c r="O296" s="238">
        <v>44179.0</v>
      </c>
      <c r="P296" s="239" t="s">
        <v>1779</v>
      </c>
      <c r="Q296" s="239" t="s">
        <v>1764</v>
      </c>
      <c r="R296" s="240" t="s">
        <v>724</v>
      </c>
      <c r="S296" s="196" t="s">
        <v>724</v>
      </c>
      <c r="T296" s="196" t="s">
        <v>1765</v>
      </c>
    </row>
    <row r="297">
      <c r="A297" s="182" t="s">
        <v>210</v>
      </c>
      <c r="B297" s="203" t="s">
        <v>66</v>
      </c>
      <c r="C297" s="173" t="s">
        <v>66</v>
      </c>
      <c r="D297" s="173" t="s">
        <v>1915</v>
      </c>
      <c r="E297" s="196" t="s">
        <v>211</v>
      </c>
      <c r="F297" s="185" t="s">
        <v>185</v>
      </c>
      <c r="G297" s="185" t="s">
        <v>1500</v>
      </c>
      <c r="H297" s="237" t="b">
        <v>1</v>
      </c>
      <c r="I297" s="185" t="s">
        <v>835</v>
      </c>
      <c r="J297" s="185" t="s">
        <v>91</v>
      </c>
      <c r="K297" s="185" t="s">
        <v>394</v>
      </c>
      <c r="L297" s="185" t="s">
        <v>85</v>
      </c>
      <c r="M297" s="196" t="s">
        <v>749</v>
      </c>
      <c r="N297" s="185"/>
      <c r="O297" s="238">
        <v>44105.0</v>
      </c>
      <c r="P297" s="239" t="s">
        <v>1830</v>
      </c>
      <c r="Q297" s="239" t="s">
        <v>732</v>
      </c>
      <c r="R297" s="240" t="s">
        <v>702</v>
      </c>
      <c r="S297" s="196" t="s">
        <v>702</v>
      </c>
      <c r="T297" s="196" t="s">
        <v>1765</v>
      </c>
    </row>
    <row r="298">
      <c r="A298" s="182" t="s">
        <v>1343</v>
      </c>
      <c r="B298" s="203" t="s">
        <v>66</v>
      </c>
      <c r="C298" s="173" t="s">
        <v>66</v>
      </c>
      <c r="D298" s="173" t="s">
        <v>1344</v>
      </c>
      <c r="E298" s="196" t="s">
        <v>1344</v>
      </c>
      <c r="F298" s="185" t="s">
        <v>185</v>
      </c>
      <c r="G298" s="185" t="s">
        <v>698</v>
      </c>
      <c r="H298" s="237">
        <v>40417.489224537036</v>
      </c>
      <c r="I298" s="185" t="s">
        <v>1346</v>
      </c>
      <c r="J298" s="185" t="s">
        <v>1346</v>
      </c>
      <c r="K298" s="185" t="s">
        <v>1346</v>
      </c>
      <c r="L298" s="185" t="s">
        <v>85</v>
      </c>
      <c r="M298" s="196" t="s">
        <v>687</v>
      </c>
      <c r="N298" s="185" t="s">
        <v>760</v>
      </c>
      <c r="O298" s="238">
        <v>44179.0</v>
      </c>
      <c r="P298" s="239" t="s">
        <v>1777</v>
      </c>
      <c r="Q298" s="239" t="s">
        <v>1764</v>
      </c>
      <c r="R298" s="240" t="s">
        <v>724</v>
      </c>
      <c r="S298" s="196" t="s">
        <v>724</v>
      </c>
      <c r="T298" s="196" t="s">
        <v>1765</v>
      </c>
    </row>
    <row r="299">
      <c r="A299" s="182" t="s">
        <v>1347</v>
      </c>
      <c r="B299" s="203" t="s">
        <v>66</v>
      </c>
      <c r="C299" s="173" t="s">
        <v>66</v>
      </c>
      <c r="D299" s="173" t="s">
        <v>1348</v>
      </c>
      <c r="E299" s="196" t="s">
        <v>1348</v>
      </c>
      <c r="F299" s="185" t="s">
        <v>185</v>
      </c>
      <c r="G299" s="185" t="s">
        <v>768</v>
      </c>
      <c r="H299" s="237">
        <v>120.0</v>
      </c>
      <c r="I299" s="185" t="s">
        <v>1346</v>
      </c>
      <c r="J299" s="185" t="s">
        <v>1346</v>
      </c>
      <c r="K299" s="185" t="s">
        <v>1346</v>
      </c>
      <c r="L299" s="185" t="s">
        <v>85</v>
      </c>
      <c r="M299" s="196" t="s">
        <v>687</v>
      </c>
      <c r="N299" s="185" t="s">
        <v>760</v>
      </c>
      <c r="O299" s="238">
        <v>44180.0</v>
      </c>
      <c r="P299" s="239" t="s">
        <v>1782</v>
      </c>
      <c r="Q299" s="239" t="s">
        <v>1783</v>
      </c>
      <c r="R299" s="240" t="s">
        <v>721</v>
      </c>
      <c r="S299" s="196" t="s">
        <v>721</v>
      </c>
      <c r="T299" s="196" t="s">
        <v>1765</v>
      </c>
    </row>
    <row r="300">
      <c r="A300" s="182" t="s">
        <v>1349</v>
      </c>
      <c r="B300" s="203" t="s">
        <v>66</v>
      </c>
      <c r="C300" s="173" t="s">
        <v>66</v>
      </c>
      <c r="D300" s="173" t="s">
        <v>1350</v>
      </c>
      <c r="E300" s="196" t="s">
        <v>1350</v>
      </c>
      <c r="F300" s="185" t="s">
        <v>185</v>
      </c>
      <c r="G300" s="185" t="s">
        <v>768</v>
      </c>
      <c r="H300" s="237">
        <v>120.0</v>
      </c>
      <c r="I300" s="185" t="s">
        <v>1346</v>
      </c>
      <c r="J300" s="185" t="s">
        <v>1346</v>
      </c>
      <c r="K300" s="185" t="s">
        <v>1346</v>
      </c>
      <c r="L300" s="185" t="s">
        <v>85</v>
      </c>
      <c r="M300" s="196" t="s">
        <v>687</v>
      </c>
      <c r="N300" s="185" t="s">
        <v>760</v>
      </c>
      <c r="O300" s="238">
        <v>44180.0</v>
      </c>
      <c r="P300" s="239" t="s">
        <v>1782</v>
      </c>
      <c r="Q300" s="239" t="s">
        <v>1783</v>
      </c>
      <c r="R300" s="240" t="s">
        <v>721</v>
      </c>
      <c r="S300" s="196" t="s">
        <v>721</v>
      </c>
      <c r="T300" s="196" t="s">
        <v>1765</v>
      </c>
    </row>
    <row r="301">
      <c r="A301" s="182" t="s">
        <v>1351</v>
      </c>
      <c r="B301" s="203" t="s">
        <v>66</v>
      </c>
      <c r="C301" s="173" t="s">
        <v>66</v>
      </c>
      <c r="D301" s="173" t="s">
        <v>1916</v>
      </c>
      <c r="E301" s="196" t="s">
        <v>1352</v>
      </c>
      <c r="F301" s="185" t="s">
        <v>185</v>
      </c>
      <c r="G301" s="185" t="s">
        <v>768</v>
      </c>
      <c r="H301" s="237">
        <v>20.25</v>
      </c>
      <c r="I301" s="185" t="s">
        <v>1346</v>
      </c>
      <c r="J301" s="185" t="s">
        <v>1346</v>
      </c>
      <c r="K301" s="185" t="s">
        <v>1346</v>
      </c>
      <c r="L301" s="185" t="s">
        <v>85</v>
      </c>
      <c r="M301" s="196" t="s">
        <v>687</v>
      </c>
      <c r="N301" s="185" t="s">
        <v>760</v>
      </c>
      <c r="O301" s="238">
        <v>44179.0</v>
      </c>
      <c r="P301" s="239" t="s">
        <v>1782</v>
      </c>
      <c r="Q301" s="239" t="s">
        <v>1783</v>
      </c>
      <c r="R301" s="240" t="s">
        <v>750</v>
      </c>
      <c r="S301" s="196" t="s">
        <v>750</v>
      </c>
      <c r="T301" s="196" t="s">
        <v>1765</v>
      </c>
    </row>
    <row r="302">
      <c r="A302" s="182" t="s">
        <v>1355</v>
      </c>
      <c r="B302" s="203" t="s">
        <v>66</v>
      </c>
      <c r="C302" s="173" t="s">
        <v>66</v>
      </c>
      <c r="D302" s="173" t="s">
        <v>1356</v>
      </c>
      <c r="E302" s="196" t="s">
        <v>1356</v>
      </c>
      <c r="F302" s="185" t="s">
        <v>185</v>
      </c>
      <c r="G302" s="185" t="s">
        <v>1761</v>
      </c>
      <c r="H302" s="237" t="s">
        <v>1357</v>
      </c>
      <c r="I302" s="185" t="s">
        <v>1358</v>
      </c>
      <c r="J302" s="185" t="s">
        <v>1358</v>
      </c>
      <c r="K302" s="185" t="s">
        <v>1358</v>
      </c>
      <c r="L302" s="185" t="s">
        <v>85</v>
      </c>
      <c r="M302" s="196" t="s">
        <v>1479</v>
      </c>
      <c r="N302" s="185" t="s">
        <v>1360</v>
      </c>
      <c r="O302" s="238">
        <v>44136.0</v>
      </c>
      <c r="P302" s="239" t="s">
        <v>1770</v>
      </c>
      <c r="Q302" s="239" t="s">
        <v>1764</v>
      </c>
      <c r="R302" s="240" t="s">
        <v>782</v>
      </c>
      <c r="S302" s="196" t="s">
        <v>782</v>
      </c>
      <c r="T302" s="196" t="s">
        <v>1765</v>
      </c>
    </row>
    <row r="303">
      <c r="A303" s="182" t="s">
        <v>1361</v>
      </c>
      <c r="B303" s="203" t="s">
        <v>66</v>
      </c>
      <c r="C303" s="173" t="s">
        <v>66</v>
      </c>
      <c r="D303" s="173" t="s">
        <v>1362</v>
      </c>
      <c r="E303" s="196" t="s">
        <v>1362</v>
      </c>
      <c r="F303" s="185" t="s">
        <v>185</v>
      </c>
      <c r="G303" s="185" t="s">
        <v>1761</v>
      </c>
      <c r="H303" s="237" t="s">
        <v>1363</v>
      </c>
      <c r="I303" s="185" t="s">
        <v>1358</v>
      </c>
      <c r="J303" s="185" t="s">
        <v>1358</v>
      </c>
      <c r="K303" s="185" t="s">
        <v>1358</v>
      </c>
      <c r="L303" s="185" t="s">
        <v>85</v>
      </c>
      <c r="M303" s="196" t="s">
        <v>1479</v>
      </c>
      <c r="N303" s="185" t="s">
        <v>1360</v>
      </c>
      <c r="O303" s="238">
        <v>44136.0</v>
      </c>
      <c r="P303" s="239" t="s">
        <v>1770</v>
      </c>
      <c r="Q303" s="239" t="s">
        <v>1764</v>
      </c>
      <c r="R303" s="240" t="s">
        <v>782</v>
      </c>
      <c r="S303" s="196" t="s">
        <v>782</v>
      </c>
      <c r="T303" s="196" t="s">
        <v>1765</v>
      </c>
    </row>
    <row r="304">
      <c r="A304" s="182" t="s">
        <v>1364</v>
      </c>
      <c r="B304" s="203" t="s">
        <v>66</v>
      </c>
      <c r="C304" s="173" t="s">
        <v>66</v>
      </c>
      <c r="D304" s="173" t="s">
        <v>1365</v>
      </c>
      <c r="E304" s="196" t="s">
        <v>1365</v>
      </c>
      <c r="F304" s="185" t="s">
        <v>185</v>
      </c>
      <c r="G304" s="185" t="s">
        <v>1761</v>
      </c>
      <c r="H304" s="237" t="s">
        <v>1357</v>
      </c>
      <c r="I304" s="185" t="s">
        <v>1358</v>
      </c>
      <c r="J304" s="185" t="s">
        <v>1358</v>
      </c>
      <c r="K304" s="185" t="s">
        <v>1358</v>
      </c>
      <c r="L304" s="185" t="s">
        <v>85</v>
      </c>
      <c r="M304" s="196" t="s">
        <v>1479</v>
      </c>
      <c r="N304" s="185" t="s">
        <v>1360</v>
      </c>
      <c r="O304" s="238">
        <v>44136.0</v>
      </c>
      <c r="P304" s="239" t="s">
        <v>1770</v>
      </c>
      <c r="Q304" s="239" t="s">
        <v>1764</v>
      </c>
      <c r="R304" s="240" t="s">
        <v>782</v>
      </c>
      <c r="S304" s="196" t="s">
        <v>782</v>
      </c>
      <c r="T304" s="196" t="s">
        <v>1765</v>
      </c>
    </row>
    <row r="305">
      <c r="A305" s="182" t="s">
        <v>1366</v>
      </c>
      <c r="B305" s="203" t="s">
        <v>66</v>
      </c>
      <c r="C305" s="173" t="s">
        <v>66</v>
      </c>
      <c r="D305" s="173" t="s">
        <v>1367</v>
      </c>
      <c r="E305" s="196" t="s">
        <v>1367</v>
      </c>
      <c r="F305" s="185" t="s">
        <v>185</v>
      </c>
      <c r="G305" s="185" t="s">
        <v>1761</v>
      </c>
      <c r="H305" s="237" t="s">
        <v>1363</v>
      </c>
      <c r="I305" s="185" t="s">
        <v>1358</v>
      </c>
      <c r="J305" s="185" t="s">
        <v>1358</v>
      </c>
      <c r="K305" s="185" t="s">
        <v>1358</v>
      </c>
      <c r="L305" s="185" t="s">
        <v>85</v>
      </c>
      <c r="M305" s="196" t="s">
        <v>1479</v>
      </c>
      <c r="N305" s="185" t="s">
        <v>1360</v>
      </c>
      <c r="O305" s="238">
        <v>44136.0</v>
      </c>
      <c r="P305" s="239" t="s">
        <v>1770</v>
      </c>
      <c r="Q305" s="239" t="s">
        <v>1764</v>
      </c>
      <c r="R305" s="240" t="s">
        <v>782</v>
      </c>
      <c r="S305" s="196" t="s">
        <v>782</v>
      </c>
      <c r="T305" s="196" t="s">
        <v>1765</v>
      </c>
    </row>
    <row r="306">
      <c r="A306" s="182" t="s">
        <v>1382</v>
      </c>
      <c r="B306" s="203" t="s">
        <v>66</v>
      </c>
      <c r="C306" s="173" t="s">
        <v>66</v>
      </c>
      <c r="D306" s="173" t="s">
        <v>1383</v>
      </c>
      <c r="E306" s="196" t="s">
        <v>1383</v>
      </c>
      <c r="F306" s="185" t="s">
        <v>185</v>
      </c>
      <c r="G306" s="185" t="s">
        <v>768</v>
      </c>
      <c r="H306" s="237">
        <v>23.55</v>
      </c>
      <c r="I306" s="185" t="s">
        <v>1346</v>
      </c>
      <c r="J306" s="185" t="s">
        <v>1346</v>
      </c>
      <c r="K306" s="185" t="s">
        <v>1346</v>
      </c>
      <c r="L306" s="185" t="s">
        <v>85</v>
      </c>
      <c r="M306" s="196" t="s">
        <v>687</v>
      </c>
      <c r="N306" s="185" t="s">
        <v>760</v>
      </c>
      <c r="O306" s="238">
        <v>44179.0</v>
      </c>
      <c r="P306" s="239" t="s">
        <v>1782</v>
      </c>
      <c r="Q306" s="239" t="s">
        <v>1783</v>
      </c>
      <c r="R306" s="240" t="s">
        <v>761</v>
      </c>
      <c r="S306" s="196" t="s">
        <v>761</v>
      </c>
      <c r="T306" s="196" t="s">
        <v>1765</v>
      </c>
    </row>
    <row r="307">
      <c r="A307" s="182" t="s">
        <v>1384</v>
      </c>
      <c r="B307" s="203" t="s">
        <v>66</v>
      </c>
      <c r="C307" s="173" t="s">
        <v>66</v>
      </c>
      <c r="D307" s="173" t="s">
        <v>1917</v>
      </c>
      <c r="E307" s="196" t="s">
        <v>1385</v>
      </c>
      <c r="F307" s="185" t="s">
        <v>185</v>
      </c>
      <c r="G307" s="185" t="s">
        <v>1761</v>
      </c>
      <c r="H307" s="237" t="s">
        <v>1386</v>
      </c>
      <c r="I307" s="185" t="s">
        <v>136</v>
      </c>
      <c r="J307" s="185" t="s">
        <v>1346</v>
      </c>
      <c r="K307" s="185" t="s">
        <v>1346</v>
      </c>
      <c r="L307" s="185" t="s">
        <v>85</v>
      </c>
      <c r="M307" s="196" t="s">
        <v>749</v>
      </c>
      <c r="N307" s="185" t="s">
        <v>749</v>
      </c>
      <c r="O307" s="238">
        <v>44136.0</v>
      </c>
      <c r="P307" s="239" t="s">
        <v>913</v>
      </c>
      <c r="Q307" s="239" t="s">
        <v>1902</v>
      </c>
      <c r="R307" s="240" t="s">
        <v>761</v>
      </c>
      <c r="S307" s="196" t="s">
        <v>761</v>
      </c>
      <c r="T307" s="196" t="s">
        <v>1765</v>
      </c>
    </row>
    <row r="308">
      <c r="A308" s="182" t="s">
        <v>1387</v>
      </c>
      <c r="B308" s="203" t="s">
        <v>66</v>
      </c>
      <c r="C308" s="173" t="s">
        <v>66</v>
      </c>
      <c r="D308" s="173" t="s">
        <v>1388</v>
      </c>
      <c r="E308" s="196" t="s">
        <v>1388</v>
      </c>
      <c r="F308" s="185" t="s">
        <v>185</v>
      </c>
      <c r="G308" s="185" t="s">
        <v>1761</v>
      </c>
      <c r="H308" s="237">
        <v>4977716.0</v>
      </c>
      <c r="I308" s="185" t="s">
        <v>1389</v>
      </c>
      <c r="J308" s="185" t="s">
        <v>1389</v>
      </c>
      <c r="K308" s="185" t="s">
        <v>1389</v>
      </c>
      <c r="L308" s="185" t="s">
        <v>85</v>
      </c>
      <c r="M308" s="196" t="s">
        <v>687</v>
      </c>
      <c r="N308" s="185" t="s">
        <v>688</v>
      </c>
      <c r="O308" s="238">
        <v>44180.0</v>
      </c>
      <c r="P308" s="239" t="s">
        <v>1791</v>
      </c>
      <c r="Q308" s="239" t="s">
        <v>1787</v>
      </c>
      <c r="R308" s="240" t="s">
        <v>702</v>
      </c>
      <c r="S308" s="196" t="s">
        <v>702</v>
      </c>
      <c r="T308" s="196" t="s">
        <v>1765</v>
      </c>
    </row>
    <row r="309">
      <c r="A309" s="182" t="s">
        <v>1390</v>
      </c>
      <c r="B309" s="203" t="s">
        <v>66</v>
      </c>
      <c r="C309" s="173" t="s">
        <v>66</v>
      </c>
      <c r="D309" s="173" t="s">
        <v>1391</v>
      </c>
      <c r="E309" s="196" t="s">
        <v>1391</v>
      </c>
      <c r="F309" s="185" t="s">
        <v>83</v>
      </c>
      <c r="G309" s="185" t="s">
        <v>1761</v>
      </c>
      <c r="H309" s="237" t="s">
        <v>1392</v>
      </c>
      <c r="I309" s="185" t="s">
        <v>1389</v>
      </c>
      <c r="J309" s="185" t="s">
        <v>1389</v>
      </c>
      <c r="K309" s="185" t="s">
        <v>1389</v>
      </c>
      <c r="L309" s="185" t="s">
        <v>85</v>
      </c>
      <c r="M309" s="196" t="s">
        <v>687</v>
      </c>
      <c r="N309" s="185" t="s">
        <v>688</v>
      </c>
      <c r="O309" s="238">
        <v>44180.0</v>
      </c>
      <c r="P309" s="239" t="s">
        <v>1791</v>
      </c>
      <c r="Q309" s="239" t="s">
        <v>1787</v>
      </c>
      <c r="R309" s="240" t="s">
        <v>702</v>
      </c>
      <c r="S309" s="196" t="s">
        <v>702</v>
      </c>
      <c r="T309" s="196" t="s">
        <v>1765</v>
      </c>
    </row>
    <row r="310">
      <c r="A310" s="182" t="s">
        <v>1393</v>
      </c>
      <c r="B310" s="203" t="s">
        <v>66</v>
      </c>
      <c r="C310" s="173" t="s">
        <v>66</v>
      </c>
      <c r="D310" s="173" t="s">
        <v>1394</v>
      </c>
      <c r="E310" s="196" t="s">
        <v>1394</v>
      </c>
      <c r="F310" s="185" t="s">
        <v>185</v>
      </c>
      <c r="G310" s="185" t="s">
        <v>777</v>
      </c>
      <c r="H310" s="237">
        <v>2500.006</v>
      </c>
      <c r="I310" s="185" t="s">
        <v>1389</v>
      </c>
      <c r="J310" s="185" t="s">
        <v>1389</v>
      </c>
      <c r="K310" s="185" t="s">
        <v>1389</v>
      </c>
      <c r="L310" s="185" t="s">
        <v>85</v>
      </c>
      <c r="M310" s="196" t="s">
        <v>687</v>
      </c>
      <c r="N310" s="185" t="s">
        <v>688</v>
      </c>
      <c r="O310" s="238">
        <v>44180.0</v>
      </c>
      <c r="P310" s="239" t="s">
        <v>1918</v>
      </c>
      <c r="Q310" s="239" t="s">
        <v>1787</v>
      </c>
      <c r="R310" s="240" t="s">
        <v>744</v>
      </c>
      <c r="S310" s="196" t="s">
        <v>744</v>
      </c>
      <c r="T310" s="196" t="s">
        <v>1765</v>
      </c>
    </row>
    <row r="311">
      <c r="A311" s="182" t="s">
        <v>1395</v>
      </c>
      <c r="B311" s="203" t="s">
        <v>66</v>
      </c>
      <c r="C311" s="173" t="s">
        <v>66</v>
      </c>
      <c r="D311" s="173" t="s">
        <v>1396</v>
      </c>
      <c r="E311" s="196" t="s">
        <v>1396</v>
      </c>
      <c r="F311" s="185" t="s">
        <v>185</v>
      </c>
      <c r="G311" s="185" t="s">
        <v>698</v>
      </c>
      <c r="H311" s="237">
        <v>40155.46099537037</v>
      </c>
      <c r="I311" s="185" t="s">
        <v>1397</v>
      </c>
      <c r="J311" s="185" t="s">
        <v>1397</v>
      </c>
      <c r="K311" s="185" t="s">
        <v>1397</v>
      </c>
      <c r="L311" s="185" t="s">
        <v>85</v>
      </c>
      <c r="M311" s="196" t="s">
        <v>687</v>
      </c>
      <c r="N311" s="185" t="s">
        <v>688</v>
      </c>
      <c r="O311" s="238">
        <v>44180.0</v>
      </c>
      <c r="P311" s="239" t="s">
        <v>1918</v>
      </c>
      <c r="Q311" s="239" t="s">
        <v>1787</v>
      </c>
      <c r="R311" s="240" t="s">
        <v>744</v>
      </c>
      <c r="S311" s="196" t="s">
        <v>744</v>
      </c>
      <c r="T311" s="196" t="s">
        <v>1765</v>
      </c>
    </row>
    <row r="312">
      <c r="A312" s="182" t="s">
        <v>1398</v>
      </c>
      <c r="B312" s="203" t="s">
        <v>66</v>
      </c>
      <c r="C312" s="173" t="s">
        <v>66</v>
      </c>
      <c r="D312" s="173" t="s">
        <v>1919</v>
      </c>
      <c r="E312" s="196" t="s">
        <v>1399</v>
      </c>
      <c r="F312" s="185" t="s">
        <v>83</v>
      </c>
      <c r="G312" s="185" t="s">
        <v>1761</v>
      </c>
      <c r="H312" s="237" t="s">
        <v>1400</v>
      </c>
      <c r="I312" s="185" t="s">
        <v>1389</v>
      </c>
      <c r="J312" s="185" t="s">
        <v>1389</v>
      </c>
      <c r="K312" s="185" t="s">
        <v>1389</v>
      </c>
      <c r="L312" s="185" t="s">
        <v>85</v>
      </c>
      <c r="M312" s="196" t="s">
        <v>687</v>
      </c>
      <c r="N312" s="185" t="s">
        <v>688</v>
      </c>
      <c r="O312" s="238">
        <v>44180.0</v>
      </c>
      <c r="P312" s="239" t="s">
        <v>1920</v>
      </c>
      <c r="Q312" s="239" t="s">
        <v>1905</v>
      </c>
      <c r="R312" s="240" t="s">
        <v>744</v>
      </c>
      <c r="S312" s="196" t="s">
        <v>744</v>
      </c>
      <c r="T312" s="196" t="s">
        <v>1765</v>
      </c>
    </row>
    <row r="313">
      <c r="A313" s="182" t="s">
        <v>1403</v>
      </c>
      <c r="B313" s="203" t="s">
        <v>66</v>
      </c>
      <c r="C313" s="173" t="s">
        <v>66</v>
      </c>
      <c r="D313" s="173" t="s">
        <v>1921</v>
      </c>
      <c r="E313" s="196" t="s">
        <v>1921</v>
      </c>
      <c r="F313" s="185" t="s">
        <v>185</v>
      </c>
      <c r="G313" s="185" t="s">
        <v>1761</v>
      </c>
      <c r="H313" s="237" t="s">
        <v>1400</v>
      </c>
      <c r="I313" s="185" t="s">
        <v>1389</v>
      </c>
      <c r="J313" s="185" t="s">
        <v>1389</v>
      </c>
      <c r="K313" s="185" t="s">
        <v>1389</v>
      </c>
      <c r="L313" s="185" t="s">
        <v>85</v>
      </c>
      <c r="M313" s="196" t="s">
        <v>687</v>
      </c>
      <c r="N313" s="185" t="s">
        <v>688</v>
      </c>
      <c r="O313" s="238">
        <v>44180.0</v>
      </c>
      <c r="P313" s="239" t="s">
        <v>1922</v>
      </c>
      <c r="Q313" s="239" t="s">
        <v>1905</v>
      </c>
      <c r="R313" s="240" t="s">
        <v>744</v>
      </c>
      <c r="S313" s="196" t="s">
        <v>744</v>
      </c>
      <c r="T313" s="196" t="s">
        <v>1765</v>
      </c>
    </row>
    <row r="314">
      <c r="A314" s="182" t="s">
        <v>1405</v>
      </c>
      <c r="B314" s="203" t="s">
        <v>66</v>
      </c>
      <c r="C314" s="173" t="s">
        <v>66</v>
      </c>
      <c r="D314" s="173" t="s">
        <v>1406</v>
      </c>
      <c r="E314" s="196" t="s">
        <v>1406</v>
      </c>
      <c r="F314" s="185" t="s">
        <v>185</v>
      </c>
      <c r="G314" s="185" t="s">
        <v>777</v>
      </c>
      <c r="H314" s="237">
        <v>15.0</v>
      </c>
      <c r="I314" s="185" t="s">
        <v>1389</v>
      </c>
      <c r="J314" s="185" t="s">
        <v>1389</v>
      </c>
      <c r="K314" s="185" t="s">
        <v>1389</v>
      </c>
      <c r="L314" s="185" t="s">
        <v>85</v>
      </c>
      <c r="M314" s="196" t="s">
        <v>687</v>
      </c>
      <c r="N314" s="185" t="s">
        <v>688</v>
      </c>
      <c r="O314" s="238">
        <v>44180.0</v>
      </c>
      <c r="P314" s="239" t="s">
        <v>1791</v>
      </c>
      <c r="Q314" s="239" t="s">
        <v>1787</v>
      </c>
      <c r="R314" s="240" t="s">
        <v>744</v>
      </c>
      <c r="S314" s="196" t="s">
        <v>744</v>
      </c>
      <c r="T314" s="196" t="s">
        <v>1765</v>
      </c>
    </row>
    <row r="315">
      <c r="A315" s="182" t="s">
        <v>1407</v>
      </c>
      <c r="B315" s="203" t="s">
        <v>66</v>
      </c>
      <c r="C315" s="173" t="s">
        <v>66</v>
      </c>
      <c r="D315" s="173" t="s">
        <v>1923</v>
      </c>
      <c r="E315" s="196" t="s">
        <v>1923</v>
      </c>
      <c r="F315" s="185" t="s">
        <v>185</v>
      </c>
      <c r="G315" s="185" t="s">
        <v>777</v>
      </c>
      <c r="H315" s="237">
        <v>15.0</v>
      </c>
      <c r="I315" s="185" t="s">
        <v>1389</v>
      </c>
      <c r="J315" s="185" t="s">
        <v>1389</v>
      </c>
      <c r="K315" s="185" t="s">
        <v>1389</v>
      </c>
      <c r="L315" s="185" t="s">
        <v>85</v>
      </c>
      <c r="M315" s="196" t="s">
        <v>687</v>
      </c>
      <c r="N315" s="185" t="s">
        <v>688</v>
      </c>
      <c r="O315" s="238">
        <v>44180.0</v>
      </c>
      <c r="P315" s="239" t="s">
        <v>1918</v>
      </c>
      <c r="Q315" s="239" t="s">
        <v>1787</v>
      </c>
      <c r="R315" s="240" t="s">
        <v>744</v>
      </c>
      <c r="S315" s="196" t="s">
        <v>744</v>
      </c>
      <c r="T315" s="196" t="s">
        <v>1765</v>
      </c>
    </row>
    <row r="316">
      <c r="A316" s="182" t="s">
        <v>1409</v>
      </c>
      <c r="B316" s="203" t="s">
        <v>66</v>
      </c>
      <c r="C316" s="173" t="s">
        <v>66</v>
      </c>
      <c r="D316" s="173" t="s">
        <v>1924</v>
      </c>
      <c r="E316" s="196" t="s">
        <v>1924</v>
      </c>
      <c r="F316" s="185" t="s">
        <v>83</v>
      </c>
      <c r="G316" s="185" t="s">
        <v>713</v>
      </c>
      <c r="H316" s="237">
        <v>15.0</v>
      </c>
      <c r="I316" s="185" t="s">
        <v>1389</v>
      </c>
      <c r="J316" s="185" t="s">
        <v>1389</v>
      </c>
      <c r="K316" s="185" t="s">
        <v>1389</v>
      </c>
      <c r="L316" s="185" t="s">
        <v>85</v>
      </c>
      <c r="M316" s="196" t="s">
        <v>687</v>
      </c>
      <c r="N316" s="185" t="s">
        <v>688</v>
      </c>
      <c r="O316" s="238">
        <v>44180.0</v>
      </c>
      <c r="P316" s="239" t="s">
        <v>1791</v>
      </c>
      <c r="Q316" s="239" t="s">
        <v>1787</v>
      </c>
      <c r="R316" s="240" t="s">
        <v>1925</v>
      </c>
      <c r="S316" s="196" t="s">
        <v>1925</v>
      </c>
      <c r="T316" s="196" t="s">
        <v>1765</v>
      </c>
    </row>
    <row r="317">
      <c r="A317" s="182" t="s">
        <v>1411</v>
      </c>
      <c r="B317" s="203" t="s">
        <v>65</v>
      </c>
      <c r="C317" s="173" t="s">
        <v>1804</v>
      </c>
      <c r="D317" s="173" t="s">
        <v>1926</v>
      </c>
      <c r="E317" s="196" t="s">
        <v>1926</v>
      </c>
      <c r="F317" s="185" t="s">
        <v>83</v>
      </c>
      <c r="G317" s="185" t="s">
        <v>1761</v>
      </c>
      <c r="H317" s="237" t="s">
        <v>1413</v>
      </c>
      <c r="I317" s="185" t="s">
        <v>1389</v>
      </c>
      <c r="J317" s="185" t="s">
        <v>1389</v>
      </c>
      <c r="K317" s="185" t="s">
        <v>1389</v>
      </c>
      <c r="L317" s="185" t="s">
        <v>85</v>
      </c>
      <c r="M317" s="196" t="s">
        <v>687</v>
      </c>
      <c r="N317" s="185" t="s">
        <v>688</v>
      </c>
      <c r="O317" s="238">
        <v>44180.0</v>
      </c>
      <c r="P317" s="239" t="s">
        <v>1771</v>
      </c>
      <c r="Q317" s="239" t="s">
        <v>1764</v>
      </c>
      <c r="R317" s="240" t="s">
        <v>691</v>
      </c>
      <c r="S317" s="196" t="s">
        <v>691</v>
      </c>
      <c r="T317" s="196" t="s">
        <v>1765</v>
      </c>
    </row>
    <row r="318">
      <c r="A318" s="182" t="s">
        <v>1414</v>
      </c>
      <c r="B318" s="203" t="s">
        <v>66</v>
      </c>
      <c r="C318" s="173" t="s">
        <v>66</v>
      </c>
      <c r="D318" s="173" t="s">
        <v>1415</v>
      </c>
      <c r="E318" s="196" t="s">
        <v>1415</v>
      </c>
      <c r="F318" s="185" t="s">
        <v>185</v>
      </c>
      <c r="G318" s="185" t="s">
        <v>1761</v>
      </c>
      <c r="H318" s="237">
        <v>9.18E9</v>
      </c>
      <c r="I318" s="185" t="s">
        <v>1389</v>
      </c>
      <c r="J318" s="185" t="s">
        <v>1389</v>
      </c>
      <c r="K318" s="185" t="s">
        <v>1389</v>
      </c>
      <c r="L318" s="185" t="s">
        <v>85</v>
      </c>
      <c r="M318" s="196" t="s">
        <v>687</v>
      </c>
      <c r="N318" s="185" t="s">
        <v>688</v>
      </c>
      <c r="O318" s="238">
        <v>44180.0</v>
      </c>
      <c r="P318" s="239" t="s">
        <v>1771</v>
      </c>
      <c r="Q318" s="239" t="s">
        <v>1764</v>
      </c>
      <c r="R318" s="240" t="s">
        <v>691</v>
      </c>
      <c r="S318" s="196" t="s">
        <v>691</v>
      </c>
      <c r="T318" s="196" t="s">
        <v>1765</v>
      </c>
    </row>
    <row r="319">
      <c r="A319" s="182" t="s">
        <v>1416</v>
      </c>
      <c r="B319" s="203" t="s">
        <v>66</v>
      </c>
      <c r="C319" s="173" t="s">
        <v>66</v>
      </c>
      <c r="D319" s="173" t="s">
        <v>1417</v>
      </c>
      <c r="E319" s="196" t="s">
        <v>1417</v>
      </c>
      <c r="F319" s="185" t="s">
        <v>83</v>
      </c>
      <c r="G319" s="185" t="s">
        <v>1761</v>
      </c>
      <c r="H319" s="237">
        <v>1.0</v>
      </c>
      <c r="I319" s="185" t="s">
        <v>1389</v>
      </c>
      <c r="J319" s="185" t="s">
        <v>1389</v>
      </c>
      <c r="K319" s="185" t="s">
        <v>1389</v>
      </c>
      <c r="L319" s="185" t="s">
        <v>85</v>
      </c>
      <c r="M319" s="196" t="s">
        <v>687</v>
      </c>
      <c r="N319" s="185" t="s">
        <v>688</v>
      </c>
      <c r="O319" s="238">
        <v>44180.0</v>
      </c>
      <c r="P319" s="239" t="s">
        <v>1922</v>
      </c>
      <c r="Q319" s="239" t="s">
        <v>1905</v>
      </c>
      <c r="R319" s="240" t="s">
        <v>744</v>
      </c>
      <c r="S319" s="196" t="s">
        <v>744</v>
      </c>
      <c r="T319" s="196" t="s">
        <v>1765</v>
      </c>
    </row>
    <row r="320" hidden="1">
      <c r="A320" s="182" t="s">
        <v>1420</v>
      </c>
      <c r="B320" s="203" t="s">
        <v>66</v>
      </c>
      <c r="C320" s="173" t="s">
        <v>66</v>
      </c>
      <c r="D320" s="173" t="s">
        <v>1421</v>
      </c>
      <c r="E320" s="196" t="s">
        <v>1421</v>
      </c>
      <c r="F320" s="185" t="s">
        <v>185</v>
      </c>
      <c r="G320" s="185" t="s">
        <v>1500</v>
      </c>
      <c r="H320" s="237" t="b">
        <v>1</v>
      </c>
      <c r="I320" s="185" t="s">
        <v>136</v>
      </c>
      <c r="J320" s="185" t="s">
        <v>1422</v>
      </c>
      <c r="K320" s="185" t="s">
        <v>1422</v>
      </c>
      <c r="L320" s="185" t="s">
        <v>85</v>
      </c>
      <c r="M320" s="196" t="s">
        <v>749</v>
      </c>
      <c r="N320" s="185"/>
      <c r="O320" s="238">
        <v>44136.0</v>
      </c>
      <c r="P320" s="239" t="s">
        <v>1830</v>
      </c>
      <c r="Q320" s="239" t="s">
        <v>732</v>
      </c>
      <c r="R320" s="240" t="s">
        <v>782</v>
      </c>
      <c r="S320" s="196" t="s">
        <v>782</v>
      </c>
      <c r="T320" s="196" t="s">
        <v>1927</v>
      </c>
    </row>
    <row r="321" hidden="1">
      <c r="A321" s="182" t="s">
        <v>1423</v>
      </c>
      <c r="B321" s="203" t="s">
        <v>66</v>
      </c>
      <c r="C321" s="173" t="s">
        <v>66</v>
      </c>
      <c r="D321" s="173" t="s">
        <v>1424</v>
      </c>
      <c r="E321" s="196" t="s">
        <v>1424</v>
      </c>
      <c r="F321" s="185" t="s">
        <v>185</v>
      </c>
      <c r="G321" s="185" t="s">
        <v>1500</v>
      </c>
      <c r="H321" s="237" t="b">
        <v>1</v>
      </c>
      <c r="I321" s="185" t="s">
        <v>136</v>
      </c>
      <c r="J321" s="185" t="s">
        <v>1422</v>
      </c>
      <c r="K321" s="185" t="s">
        <v>1422</v>
      </c>
      <c r="L321" s="185" t="s">
        <v>85</v>
      </c>
      <c r="M321" s="196" t="s">
        <v>749</v>
      </c>
      <c r="N321" s="185"/>
      <c r="O321" s="238">
        <v>44136.0</v>
      </c>
      <c r="P321" s="239" t="s">
        <v>1830</v>
      </c>
      <c r="Q321" s="239" t="s">
        <v>732</v>
      </c>
      <c r="R321" s="240" t="s">
        <v>782</v>
      </c>
      <c r="S321" s="196" t="s">
        <v>782</v>
      </c>
      <c r="T321" s="196" t="s">
        <v>1927</v>
      </c>
    </row>
    <row r="322" hidden="1">
      <c r="A322" s="182" t="s">
        <v>1425</v>
      </c>
      <c r="B322" s="203" t="s">
        <v>66</v>
      </c>
      <c r="C322" s="173" t="s">
        <v>66</v>
      </c>
      <c r="D322" s="173" t="s">
        <v>1426</v>
      </c>
      <c r="E322" s="196" t="s">
        <v>1426</v>
      </c>
      <c r="F322" s="185" t="s">
        <v>185</v>
      </c>
      <c r="G322" s="185" t="s">
        <v>1500</v>
      </c>
      <c r="H322" s="237" t="b">
        <v>1</v>
      </c>
      <c r="I322" s="185" t="s">
        <v>136</v>
      </c>
      <c r="J322" s="185" t="s">
        <v>1422</v>
      </c>
      <c r="K322" s="185" t="s">
        <v>1422</v>
      </c>
      <c r="L322" s="185" t="s">
        <v>85</v>
      </c>
      <c r="M322" s="196" t="s">
        <v>749</v>
      </c>
      <c r="N322" s="185"/>
      <c r="O322" s="238">
        <v>44136.0</v>
      </c>
      <c r="P322" s="239" t="s">
        <v>1830</v>
      </c>
      <c r="Q322" s="239" t="s">
        <v>732</v>
      </c>
      <c r="R322" s="240" t="s">
        <v>782</v>
      </c>
      <c r="S322" s="196" t="s">
        <v>782</v>
      </c>
      <c r="T322" s="196" t="s">
        <v>1927</v>
      </c>
    </row>
    <row r="323" hidden="1">
      <c r="A323" s="182" t="s">
        <v>1427</v>
      </c>
      <c r="B323" s="203" t="s">
        <v>66</v>
      </c>
      <c r="C323" s="173" t="s">
        <v>66</v>
      </c>
      <c r="D323" s="173" t="s">
        <v>1428</v>
      </c>
      <c r="E323" s="196" t="s">
        <v>1428</v>
      </c>
      <c r="F323" s="185" t="s">
        <v>185</v>
      </c>
      <c r="G323" s="185" t="s">
        <v>1500</v>
      </c>
      <c r="H323" s="237" t="b">
        <v>1</v>
      </c>
      <c r="I323" s="185" t="s">
        <v>136</v>
      </c>
      <c r="J323" s="185" t="s">
        <v>1422</v>
      </c>
      <c r="K323" s="185" t="s">
        <v>1422</v>
      </c>
      <c r="L323" s="185" t="s">
        <v>85</v>
      </c>
      <c r="M323" s="196" t="s">
        <v>749</v>
      </c>
      <c r="N323" s="185"/>
      <c r="O323" s="238">
        <v>44136.0</v>
      </c>
      <c r="P323" s="239" t="s">
        <v>1830</v>
      </c>
      <c r="Q323" s="239" t="s">
        <v>732</v>
      </c>
      <c r="R323" s="240" t="s">
        <v>782</v>
      </c>
      <c r="S323" s="196" t="s">
        <v>782</v>
      </c>
      <c r="T323" s="196" t="s">
        <v>1927</v>
      </c>
    </row>
    <row r="324" hidden="1">
      <c r="A324" s="182" t="s">
        <v>1429</v>
      </c>
      <c r="B324" s="203" t="s">
        <v>66</v>
      </c>
      <c r="C324" s="173" t="s">
        <v>66</v>
      </c>
      <c r="D324" s="173" t="s">
        <v>1430</v>
      </c>
      <c r="E324" s="196" t="s">
        <v>1430</v>
      </c>
      <c r="F324" s="185" t="s">
        <v>185</v>
      </c>
      <c r="G324" s="185" t="s">
        <v>1500</v>
      </c>
      <c r="H324" s="237" t="b">
        <v>1</v>
      </c>
      <c r="I324" s="185" t="s">
        <v>136</v>
      </c>
      <c r="J324" s="185" t="s">
        <v>1422</v>
      </c>
      <c r="K324" s="185" t="s">
        <v>1422</v>
      </c>
      <c r="L324" s="185" t="s">
        <v>85</v>
      </c>
      <c r="M324" s="196" t="s">
        <v>749</v>
      </c>
      <c r="N324" s="185"/>
      <c r="O324" s="238">
        <v>44136.0</v>
      </c>
      <c r="P324" s="239" t="s">
        <v>1830</v>
      </c>
      <c r="Q324" s="239" t="s">
        <v>732</v>
      </c>
      <c r="R324" s="240" t="s">
        <v>782</v>
      </c>
      <c r="S324" s="196" t="s">
        <v>782</v>
      </c>
      <c r="T324" s="196" t="s">
        <v>1927</v>
      </c>
    </row>
    <row r="325" hidden="1">
      <c r="A325" s="182" t="s">
        <v>1431</v>
      </c>
      <c r="B325" s="203" t="s">
        <v>66</v>
      </c>
      <c r="C325" s="173" t="s">
        <v>66</v>
      </c>
      <c r="D325" s="173" t="s">
        <v>1432</v>
      </c>
      <c r="E325" s="196" t="s">
        <v>1432</v>
      </c>
      <c r="F325" s="185" t="s">
        <v>185</v>
      </c>
      <c r="G325" s="185" t="s">
        <v>1500</v>
      </c>
      <c r="H325" s="237" t="b">
        <v>1</v>
      </c>
      <c r="I325" s="185" t="s">
        <v>136</v>
      </c>
      <c r="J325" s="185" t="s">
        <v>1422</v>
      </c>
      <c r="K325" s="185" t="s">
        <v>1422</v>
      </c>
      <c r="L325" s="185" t="s">
        <v>85</v>
      </c>
      <c r="M325" s="196" t="s">
        <v>749</v>
      </c>
      <c r="N325" s="185"/>
      <c r="O325" s="238">
        <v>44136.0</v>
      </c>
      <c r="P325" s="239" t="s">
        <v>1830</v>
      </c>
      <c r="Q325" s="239" t="s">
        <v>732</v>
      </c>
      <c r="R325" s="240" t="s">
        <v>782</v>
      </c>
      <c r="S325" s="196" t="s">
        <v>782</v>
      </c>
      <c r="T325" s="196" t="s">
        <v>1927</v>
      </c>
    </row>
    <row r="326">
      <c r="A326" s="182" t="s">
        <v>1433</v>
      </c>
      <c r="B326" s="203" t="s">
        <v>66</v>
      </c>
      <c r="C326" s="173" t="s">
        <v>66</v>
      </c>
      <c r="D326" s="173" t="s">
        <v>1928</v>
      </c>
      <c r="E326" s="196" t="s">
        <v>1434</v>
      </c>
      <c r="F326" s="185" t="s">
        <v>185</v>
      </c>
      <c r="G326" s="185" t="s">
        <v>1500</v>
      </c>
      <c r="H326" s="237" t="b">
        <v>1</v>
      </c>
      <c r="I326" s="185" t="s">
        <v>1762</v>
      </c>
      <c r="J326" s="185" t="s">
        <v>1762</v>
      </c>
      <c r="K326" s="185" t="s">
        <v>1762</v>
      </c>
      <c r="L326" s="185" t="s">
        <v>85</v>
      </c>
      <c r="M326" s="196" t="s">
        <v>749</v>
      </c>
      <c r="N326" s="185"/>
      <c r="O326" s="238">
        <v>44136.0</v>
      </c>
      <c r="P326" s="239" t="s">
        <v>1763</v>
      </c>
      <c r="Q326" s="239" t="s">
        <v>1764</v>
      </c>
      <c r="R326" s="240" t="s">
        <v>782</v>
      </c>
      <c r="S326" s="196" t="s">
        <v>782</v>
      </c>
      <c r="T326" s="196" t="s">
        <v>1765</v>
      </c>
    </row>
    <row r="327">
      <c r="A327" s="182" t="s">
        <v>1435</v>
      </c>
      <c r="B327" s="203" t="s">
        <v>66</v>
      </c>
      <c r="C327" s="173" t="s">
        <v>66</v>
      </c>
      <c r="D327" s="173" t="s">
        <v>1929</v>
      </c>
      <c r="E327" s="196" t="s">
        <v>1436</v>
      </c>
      <c r="F327" s="185" t="s">
        <v>83</v>
      </c>
      <c r="G327" s="185" t="s">
        <v>1858</v>
      </c>
      <c r="H327" s="237" t="s">
        <v>977</v>
      </c>
      <c r="I327" s="185" t="s">
        <v>1762</v>
      </c>
      <c r="J327" s="185" t="s">
        <v>1762</v>
      </c>
      <c r="K327" s="185" t="s">
        <v>1762</v>
      </c>
      <c r="L327" s="185" t="s">
        <v>85</v>
      </c>
      <c r="M327" s="196" t="s">
        <v>749</v>
      </c>
      <c r="N327" s="185"/>
      <c r="O327" s="238">
        <v>44136.0</v>
      </c>
      <c r="P327" s="239" t="s">
        <v>1763</v>
      </c>
      <c r="Q327" s="239" t="s">
        <v>1764</v>
      </c>
      <c r="R327" s="240" t="s">
        <v>782</v>
      </c>
      <c r="S327" s="196" t="s">
        <v>782</v>
      </c>
      <c r="T327" s="196" t="s">
        <v>1765</v>
      </c>
    </row>
    <row r="328">
      <c r="A328" s="182" t="s">
        <v>1437</v>
      </c>
      <c r="B328" s="203" t="s">
        <v>66</v>
      </c>
      <c r="C328" s="173" t="s">
        <v>66</v>
      </c>
      <c r="D328" s="173" t="s">
        <v>1930</v>
      </c>
      <c r="E328" s="196" t="s">
        <v>1438</v>
      </c>
      <c r="F328" s="185" t="s">
        <v>185</v>
      </c>
      <c r="G328" s="185" t="s">
        <v>1858</v>
      </c>
      <c r="H328" s="237" t="s">
        <v>1440</v>
      </c>
      <c r="I328" s="185" t="s">
        <v>1762</v>
      </c>
      <c r="J328" s="185" t="s">
        <v>1762</v>
      </c>
      <c r="K328" s="185" t="s">
        <v>1762</v>
      </c>
      <c r="L328" s="185" t="s">
        <v>85</v>
      </c>
      <c r="M328" s="196" t="s">
        <v>714</v>
      </c>
      <c r="N328" s="185"/>
      <c r="O328" s="238">
        <v>44136.0</v>
      </c>
      <c r="P328" s="239" t="s">
        <v>1763</v>
      </c>
      <c r="Q328" s="239" t="s">
        <v>1764</v>
      </c>
      <c r="R328" s="240" t="s">
        <v>782</v>
      </c>
      <c r="S328" s="196" t="s">
        <v>782</v>
      </c>
      <c r="T328" s="196" t="s">
        <v>1765</v>
      </c>
    </row>
    <row r="329">
      <c r="A329" s="182" t="s">
        <v>1441</v>
      </c>
      <c r="B329" s="203" t="s">
        <v>66</v>
      </c>
      <c r="C329" s="173" t="s">
        <v>66</v>
      </c>
      <c r="D329" s="173" t="s">
        <v>1931</v>
      </c>
      <c r="E329" s="196" t="s">
        <v>1442</v>
      </c>
      <c r="F329" s="185" t="s">
        <v>185</v>
      </c>
      <c r="G329" s="185" t="s">
        <v>1500</v>
      </c>
      <c r="H329" s="237" t="b">
        <v>1</v>
      </c>
      <c r="I329" s="185" t="s">
        <v>1762</v>
      </c>
      <c r="J329" s="185" t="s">
        <v>1762</v>
      </c>
      <c r="K329" s="185" t="s">
        <v>1762</v>
      </c>
      <c r="L329" s="185" t="s">
        <v>85</v>
      </c>
      <c r="M329" s="196" t="s">
        <v>714</v>
      </c>
      <c r="N329" s="185"/>
      <c r="O329" s="238">
        <v>44136.0</v>
      </c>
      <c r="P329" s="239" t="s">
        <v>1763</v>
      </c>
      <c r="Q329" s="239" t="s">
        <v>1764</v>
      </c>
      <c r="R329" s="240" t="s">
        <v>782</v>
      </c>
      <c r="S329" s="196" t="s">
        <v>782</v>
      </c>
      <c r="T329" s="196" t="s">
        <v>1765</v>
      </c>
    </row>
    <row r="330">
      <c r="A330" s="182" t="s">
        <v>1443</v>
      </c>
      <c r="B330" s="203" t="s">
        <v>66</v>
      </c>
      <c r="C330" s="173" t="s">
        <v>66</v>
      </c>
      <c r="D330" s="173" t="s">
        <v>1932</v>
      </c>
      <c r="E330" s="196" t="s">
        <v>1444</v>
      </c>
      <c r="F330" s="185" t="s">
        <v>83</v>
      </c>
      <c r="G330" s="185" t="s">
        <v>1858</v>
      </c>
      <c r="H330" s="237" t="s">
        <v>977</v>
      </c>
      <c r="I330" s="185" t="s">
        <v>1762</v>
      </c>
      <c r="J330" s="185" t="s">
        <v>1762</v>
      </c>
      <c r="K330" s="185" t="s">
        <v>1762</v>
      </c>
      <c r="L330" s="185" t="s">
        <v>85</v>
      </c>
      <c r="M330" s="196" t="s">
        <v>714</v>
      </c>
      <c r="N330" s="185"/>
      <c r="O330" s="238">
        <v>44136.0</v>
      </c>
      <c r="P330" s="239" t="s">
        <v>1763</v>
      </c>
      <c r="Q330" s="239" t="s">
        <v>1764</v>
      </c>
      <c r="R330" s="240" t="s">
        <v>782</v>
      </c>
      <c r="S330" s="196" t="s">
        <v>782</v>
      </c>
      <c r="T330" s="196" t="s">
        <v>1765</v>
      </c>
    </row>
    <row r="331">
      <c r="A331" s="182" t="s">
        <v>1445</v>
      </c>
      <c r="B331" s="203" t="s">
        <v>66</v>
      </c>
      <c r="C331" s="173" t="s">
        <v>66</v>
      </c>
      <c r="D331" s="173" t="s">
        <v>1933</v>
      </c>
      <c r="E331" s="196" t="s">
        <v>1446</v>
      </c>
      <c r="F331" s="185" t="s">
        <v>185</v>
      </c>
      <c r="G331" s="185" t="s">
        <v>1858</v>
      </c>
      <c r="H331" s="237" t="s">
        <v>1447</v>
      </c>
      <c r="I331" s="185" t="s">
        <v>1762</v>
      </c>
      <c r="J331" s="185" t="s">
        <v>1762</v>
      </c>
      <c r="K331" s="185" t="s">
        <v>1762</v>
      </c>
      <c r="L331" s="185" t="s">
        <v>85</v>
      </c>
      <c r="M331" s="196" t="s">
        <v>714</v>
      </c>
      <c r="N331" s="185"/>
      <c r="O331" s="238">
        <v>44136.0</v>
      </c>
      <c r="P331" s="239" t="s">
        <v>1763</v>
      </c>
      <c r="Q331" s="239" t="s">
        <v>1764</v>
      </c>
      <c r="R331" s="240" t="s">
        <v>782</v>
      </c>
      <c r="S331" s="196" t="s">
        <v>782</v>
      </c>
      <c r="T331" s="196" t="s">
        <v>1765</v>
      </c>
    </row>
    <row r="332">
      <c r="A332" s="182" t="s">
        <v>1448</v>
      </c>
      <c r="B332" s="203" t="s">
        <v>66</v>
      </c>
      <c r="C332" s="173" t="s">
        <v>66</v>
      </c>
      <c r="D332" s="173" t="s">
        <v>1449</v>
      </c>
      <c r="E332" s="196" t="s">
        <v>1449</v>
      </c>
      <c r="F332" s="185" t="s">
        <v>185</v>
      </c>
      <c r="G332" s="185" t="s">
        <v>1500</v>
      </c>
      <c r="H332" s="237" t="b">
        <v>1</v>
      </c>
      <c r="I332" s="185" t="s">
        <v>1762</v>
      </c>
      <c r="J332" s="185" t="s">
        <v>1762</v>
      </c>
      <c r="K332" s="185" t="s">
        <v>1762</v>
      </c>
      <c r="L332" s="185" t="s">
        <v>85</v>
      </c>
      <c r="M332" s="196" t="s">
        <v>749</v>
      </c>
      <c r="N332" s="185"/>
      <c r="O332" s="238"/>
      <c r="P332" s="239" t="s">
        <v>1777</v>
      </c>
      <c r="Q332" s="239" t="s">
        <v>1764</v>
      </c>
      <c r="R332" s="240" t="s">
        <v>702</v>
      </c>
      <c r="S332" s="196" t="s">
        <v>702</v>
      </c>
      <c r="T332" s="196" t="s">
        <v>1765</v>
      </c>
    </row>
    <row r="333">
      <c r="A333" s="182" t="s">
        <v>1450</v>
      </c>
      <c r="B333" s="203" t="s">
        <v>66</v>
      </c>
      <c r="C333" s="173" t="s">
        <v>66</v>
      </c>
      <c r="D333" s="173" t="s">
        <v>1451</v>
      </c>
      <c r="E333" s="196" t="s">
        <v>1451</v>
      </c>
      <c r="F333" s="185" t="s">
        <v>83</v>
      </c>
      <c r="G333" s="185" t="s">
        <v>1761</v>
      </c>
      <c r="H333" s="237" t="s">
        <v>1452</v>
      </c>
      <c r="I333" s="185" t="s">
        <v>1389</v>
      </c>
      <c r="J333" s="185" t="s">
        <v>1389</v>
      </c>
      <c r="K333" s="185" t="s">
        <v>1389</v>
      </c>
      <c r="L333" s="185" t="s">
        <v>85</v>
      </c>
      <c r="M333" s="196" t="s">
        <v>687</v>
      </c>
      <c r="N333" s="185" t="s">
        <v>688</v>
      </c>
      <c r="O333" s="238"/>
      <c r="P333" s="239" t="s">
        <v>1920</v>
      </c>
      <c r="Q333" s="239" t="s">
        <v>1905</v>
      </c>
      <c r="R333" s="240" t="s">
        <v>744</v>
      </c>
      <c r="S333" s="196" t="s">
        <v>744</v>
      </c>
      <c r="T333" s="196" t="s">
        <v>1765</v>
      </c>
    </row>
    <row r="334">
      <c r="A334" s="182" t="s">
        <v>1453</v>
      </c>
      <c r="B334" s="203" t="s">
        <v>66</v>
      </c>
      <c r="C334" s="173" t="s">
        <v>66</v>
      </c>
      <c r="D334" s="173" t="s">
        <v>1454</v>
      </c>
      <c r="E334" s="196" t="s">
        <v>1454</v>
      </c>
      <c r="F334" s="185" t="s">
        <v>83</v>
      </c>
      <c r="G334" s="185" t="s">
        <v>1761</v>
      </c>
      <c r="H334" s="237">
        <v>6.32E11</v>
      </c>
      <c r="I334" s="185" t="s">
        <v>1389</v>
      </c>
      <c r="J334" s="185" t="s">
        <v>1389</v>
      </c>
      <c r="K334" s="185" t="s">
        <v>1389</v>
      </c>
      <c r="L334" s="185" t="s">
        <v>85</v>
      </c>
      <c r="M334" s="196" t="s">
        <v>687</v>
      </c>
      <c r="N334" s="185" t="s">
        <v>688</v>
      </c>
      <c r="O334" s="238"/>
      <c r="P334" s="239" t="s">
        <v>1920</v>
      </c>
      <c r="Q334" s="239" t="s">
        <v>1905</v>
      </c>
      <c r="R334" s="240" t="s">
        <v>744</v>
      </c>
      <c r="S334" s="196" t="s">
        <v>744</v>
      </c>
      <c r="T334" s="196" t="s">
        <v>1765</v>
      </c>
    </row>
    <row r="335">
      <c r="A335" s="182" t="s">
        <v>1934</v>
      </c>
      <c r="B335" s="203" t="s">
        <v>65</v>
      </c>
      <c r="C335" s="173" t="s">
        <v>1768</v>
      </c>
      <c r="D335" s="173" t="s">
        <v>1935</v>
      </c>
      <c r="E335" s="196" t="s">
        <v>1456</v>
      </c>
      <c r="F335" s="185" t="s">
        <v>83</v>
      </c>
      <c r="G335" s="185" t="s">
        <v>1761</v>
      </c>
      <c r="H335" s="237">
        <v>8.96E19</v>
      </c>
      <c r="I335" s="185" t="s">
        <v>1389</v>
      </c>
      <c r="J335" s="185" t="s">
        <v>1389</v>
      </c>
      <c r="K335" s="185" t="s">
        <v>1389</v>
      </c>
      <c r="L335" s="185" t="s">
        <v>85</v>
      </c>
      <c r="M335" s="196" t="s">
        <v>687</v>
      </c>
      <c r="N335" s="185" t="s">
        <v>688</v>
      </c>
      <c r="O335" s="238"/>
      <c r="P335" s="239" t="s">
        <v>1763</v>
      </c>
      <c r="Q335" s="239" t="s">
        <v>1764</v>
      </c>
      <c r="R335" s="240" t="s">
        <v>744</v>
      </c>
      <c r="S335" s="196" t="s">
        <v>744</v>
      </c>
      <c r="T335" s="196" t="s">
        <v>1765</v>
      </c>
    </row>
    <row r="336">
      <c r="A336" s="182" t="s">
        <v>1458</v>
      </c>
      <c r="B336" s="203" t="s">
        <v>66</v>
      </c>
      <c r="C336" s="173" t="s">
        <v>66</v>
      </c>
      <c r="D336" s="173" t="s">
        <v>1459</v>
      </c>
      <c r="E336" s="196" t="s">
        <v>1459</v>
      </c>
      <c r="F336" s="185" t="s">
        <v>83</v>
      </c>
      <c r="G336" s="185" t="s">
        <v>713</v>
      </c>
      <c r="H336" s="237">
        <v>8.0</v>
      </c>
      <c r="I336" s="185" t="s">
        <v>1389</v>
      </c>
      <c r="J336" s="185" t="s">
        <v>1389</v>
      </c>
      <c r="K336" s="185" t="s">
        <v>1389</v>
      </c>
      <c r="L336" s="185" t="s">
        <v>85</v>
      </c>
      <c r="M336" s="196" t="s">
        <v>687</v>
      </c>
      <c r="N336" s="185" t="s">
        <v>688</v>
      </c>
      <c r="O336" s="238"/>
      <c r="P336" s="239" t="s">
        <v>1920</v>
      </c>
      <c r="Q336" s="239" t="s">
        <v>1905</v>
      </c>
      <c r="R336" s="240" t="s">
        <v>744</v>
      </c>
      <c r="S336" s="196" t="s">
        <v>744</v>
      </c>
      <c r="T336" s="196" t="s">
        <v>1765</v>
      </c>
    </row>
    <row r="337">
      <c r="A337" s="182" t="s">
        <v>1461</v>
      </c>
      <c r="B337" s="203" t="s">
        <v>66</v>
      </c>
      <c r="C337" s="173" t="s">
        <v>66</v>
      </c>
      <c r="D337" s="173" t="s">
        <v>1462</v>
      </c>
      <c r="E337" s="196" t="s">
        <v>1462</v>
      </c>
      <c r="F337" s="185" t="s">
        <v>83</v>
      </c>
      <c r="G337" s="185" t="s">
        <v>1761</v>
      </c>
      <c r="H337" s="237" t="s">
        <v>1463</v>
      </c>
      <c r="I337" s="185" t="s">
        <v>1389</v>
      </c>
      <c r="J337" s="185" t="s">
        <v>1389</v>
      </c>
      <c r="K337" s="185" t="s">
        <v>1389</v>
      </c>
      <c r="L337" s="185" t="s">
        <v>85</v>
      </c>
      <c r="M337" s="196" t="s">
        <v>687</v>
      </c>
      <c r="N337" s="185" t="s">
        <v>688</v>
      </c>
      <c r="O337" s="238"/>
      <c r="P337" s="239" t="s">
        <v>1920</v>
      </c>
      <c r="Q337" s="239" t="s">
        <v>1905</v>
      </c>
      <c r="R337" s="240" t="s">
        <v>744</v>
      </c>
      <c r="S337" s="196" t="s">
        <v>744</v>
      </c>
      <c r="T337" s="196" t="s">
        <v>1765</v>
      </c>
    </row>
    <row r="338">
      <c r="A338" s="182" t="s">
        <v>1464</v>
      </c>
      <c r="B338" s="203" t="s">
        <v>66</v>
      </c>
      <c r="C338" s="173" t="s">
        <v>66</v>
      </c>
      <c r="D338" s="173" t="s">
        <v>1465</v>
      </c>
      <c r="E338" s="196" t="s">
        <v>1465</v>
      </c>
      <c r="F338" s="185" t="s">
        <v>185</v>
      </c>
      <c r="G338" s="185" t="s">
        <v>768</v>
      </c>
      <c r="H338" s="237">
        <v>73.91</v>
      </c>
      <c r="I338" s="185" t="s">
        <v>1397</v>
      </c>
      <c r="J338" s="185" t="s">
        <v>1397</v>
      </c>
      <c r="K338" s="185" t="s">
        <v>1397</v>
      </c>
      <c r="L338" s="185" t="s">
        <v>85</v>
      </c>
      <c r="M338" s="196" t="s">
        <v>687</v>
      </c>
      <c r="N338" s="185" t="s">
        <v>760</v>
      </c>
      <c r="O338" s="238"/>
      <c r="P338" s="239" t="s">
        <v>1782</v>
      </c>
      <c r="Q338" s="239" t="s">
        <v>1783</v>
      </c>
      <c r="R338" s="240" t="s">
        <v>761</v>
      </c>
      <c r="S338" s="196" t="s">
        <v>761</v>
      </c>
      <c r="T338" s="196" t="s">
        <v>1765</v>
      </c>
    </row>
    <row r="339">
      <c r="A339" s="182" t="s">
        <v>1467</v>
      </c>
      <c r="B339" s="203" t="s">
        <v>66</v>
      </c>
      <c r="C339" s="173" t="s">
        <v>66</v>
      </c>
      <c r="D339" s="173" t="s">
        <v>1468</v>
      </c>
      <c r="E339" s="196" t="s">
        <v>1468</v>
      </c>
      <c r="F339" s="185" t="s">
        <v>185</v>
      </c>
      <c r="G339" s="185" t="s">
        <v>768</v>
      </c>
      <c r="H339" s="237">
        <v>58.5</v>
      </c>
      <c r="I339" s="185" t="s">
        <v>1346</v>
      </c>
      <c r="J339" s="185" t="s">
        <v>1346</v>
      </c>
      <c r="K339" s="185" t="s">
        <v>1346</v>
      </c>
      <c r="L339" s="185" t="s">
        <v>85</v>
      </c>
      <c r="M339" s="196" t="s">
        <v>687</v>
      </c>
      <c r="N339" s="185" t="s">
        <v>688</v>
      </c>
      <c r="O339" s="238"/>
      <c r="P339" s="239" t="s">
        <v>1782</v>
      </c>
      <c r="Q339" s="239" t="s">
        <v>1783</v>
      </c>
      <c r="R339" s="240" t="s">
        <v>761</v>
      </c>
      <c r="S339" s="196" t="s">
        <v>761</v>
      </c>
      <c r="T339" s="196" t="s">
        <v>1765</v>
      </c>
    </row>
    <row r="340">
      <c r="A340" s="182" t="s">
        <v>1469</v>
      </c>
      <c r="B340" s="203" t="s">
        <v>66</v>
      </c>
      <c r="C340" s="173" t="s">
        <v>66</v>
      </c>
      <c r="D340" s="173" t="s">
        <v>1470</v>
      </c>
      <c r="E340" s="196" t="s">
        <v>1470</v>
      </c>
      <c r="F340" s="185" t="s">
        <v>185</v>
      </c>
      <c r="G340" s="185" t="s">
        <v>768</v>
      </c>
      <c r="H340" s="237">
        <v>10.94</v>
      </c>
      <c r="I340" s="185" t="s">
        <v>1389</v>
      </c>
      <c r="J340" s="185" t="s">
        <v>1389</v>
      </c>
      <c r="K340" s="185" t="s">
        <v>1389</v>
      </c>
      <c r="L340" s="185" t="s">
        <v>85</v>
      </c>
      <c r="M340" s="196" t="s">
        <v>687</v>
      </c>
      <c r="N340" s="185" t="s">
        <v>760</v>
      </c>
      <c r="O340" s="238"/>
      <c r="P340" s="239" t="s">
        <v>1775</v>
      </c>
      <c r="Q340" s="239" t="s">
        <v>1764</v>
      </c>
      <c r="R340" s="240" t="s">
        <v>724</v>
      </c>
      <c r="S340" s="196" t="s">
        <v>724</v>
      </c>
      <c r="T340" s="196" t="s">
        <v>1765</v>
      </c>
    </row>
    <row r="341">
      <c r="A341" s="182" t="s">
        <v>1471</v>
      </c>
      <c r="B341" s="203" t="s">
        <v>66</v>
      </c>
      <c r="C341" s="173" t="s">
        <v>66</v>
      </c>
      <c r="D341" s="173" t="s">
        <v>1472</v>
      </c>
      <c r="E341" s="196" t="s">
        <v>1472</v>
      </c>
      <c r="F341" s="185" t="s">
        <v>185</v>
      </c>
      <c r="G341" s="185" t="s">
        <v>768</v>
      </c>
      <c r="H341" s="237">
        <v>22.0</v>
      </c>
      <c r="I341" s="185" t="s">
        <v>1473</v>
      </c>
      <c r="J341" s="185" t="s">
        <v>1473</v>
      </c>
      <c r="K341" s="185" t="s">
        <v>1473</v>
      </c>
      <c r="L341" s="185" t="s">
        <v>85</v>
      </c>
      <c r="M341" s="196" t="s">
        <v>687</v>
      </c>
      <c r="N341" s="185" t="s">
        <v>760</v>
      </c>
      <c r="O341" s="238"/>
      <c r="P341" s="239" t="s">
        <v>1779</v>
      </c>
      <c r="Q341" s="239" t="s">
        <v>1764</v>
      </c>
      <c r="R341" s="240" t="s">
        <v>724</v>
      </c>
      <c r="S341" s="196" t="s">
        <v>724</v>
      </c>
      <c r="T341" s="196" t="s">
        <v>1765</v>
      </c>
    </row>
    <row r="342">
      <c r="A342" s="182" t="s">
        <v>1474</v>
      </c>
      <c r="B342" s="203" t="s">
        <v>66</v>
      </c>
      <c r="C342" s="173" t="s">
        <v>66</v>
      </c>
      <c r="D342" s="173" t="s">
        <v>1475</v>
      </c>
      <c r="E342" s="196" t="s">
        <v>1475</v>
      </c>
      <c r="F342" s="185" t="s">
        <v>185</v>
      </c>
      <c r="G342" s="185" t="s">
        <v>768</v>
      </c>
      <c r="H342" s="237">
        <v>446.32</v>
      </c>
      <c r="I342" s="185" t="s">
        <v>1473</v>
      </c>
      <c r="J342" s="185" t="s">
        <v>1473</v>
      </c>
      <c r="K342" s="185" t="s">
        <v>1473</v>
      </c>
      <c r="L342" s="185" t="s">
        <v>85</v>
      </c>
      <c r="M342" s="196" t="s">
        <v>687</v>
      </c>
      <c r="N342" s="185" t="s">
        <v>760</v>
      </c>
      <c r="O342" s="238"/>
      <c r="P342" s="239" t="s">
        <v>1775</v>
      </c>
      <c r="Q342" s="239" t="s">
        <v>1764</v>
      </c>
      <c r="R342" s="240" t="s">
        <v>724</v>
      </c>
      <c r="S342" s="196" t="s">
        <v>724</v>
      </c>
      <c r="T342" s="196" t="s">
        <v>1765</v>
      </c>
    </row>
    <row r="343">
      <c r="A343" s="182" t="s">
        <v>1476</v>
      </c>
      <c r="B343" s="203" t="s">
        <v>66</v>
      </c>
      <c r="C343" s="173" t="s">
        <v>66</v>
      </c>
      <c r="D343" s="173" t="s">
        <v>1477</v>
      </c>
      <c r="E343" s="196" t="s">
        <v>1477</v>
      </c>
      <c r="F343" s="185" t="s">
        <v>185</v>
      </c>
      <c r="G343" s="185" t="s">
        <v>713</v>
      </c>
      <c r="H343" s="237">
        <v>25.0</v>
      </c>
      <c r="I343" s="185" t="s">
        <v>1473</v>
      </c>
      <c r="J343" s="185" t="s">
        <v>1473</v>
      </c>
      <c r="K343" s="185" t="s">
        <v>1473</v>
      </c>
      <c r="L343" s="185" t="s">
        <v>85</v>
      </c>
      <c r="M343" s="196" t="s">
        <v>687</v>
      </c>
      <c r="N343" s="185" t="s">
        <v>760</v>
      </c>
      <c r="O343" s="238"/>
      <c r="P343" s="239" t="s">
        <v>701</v>
      </c>
      <c r="Q343" s="239" t="s">
        <v>1787</v>
      </c>
      <c r="R343" s="240" t="s">
        <v>724</v>
      </c>
      <c r="S343" s="196" t="s">
        <v>724</v>
      </c>
      <c r="T343" s="196" t="s">
        <v>1765</v>
      </c>
    </row>
    <row r="344" hidden="1">
      <c r="A344" s="182" t="s">
        <v>1485</v>
      </c>
      <c r="B344" s="241" t="s">
        <v>46</v>
      </c>
      <c r="C344" s="173"/>
      <c r="D344" s="173" t="s">
        <v>1486</v>
      </c>
      <c r="E344" s="196" t="s">
        <v>1486</v>
      </c>
      <c r="F344" s="185" t="s">
        <v>135</v>
      </c>
      <c r="G344" s="185" t="s">
        <v>1761</v>
      </c>
      <c r="H344" s="237" t="s">
        <v>1487</v>
      </c>
      <c r="I344" s="185" t="s">
        <v>136</v>
      </c>
      <c r="J344" s="185" t="s">
        <v>136</v>
      </c>
      <c r="K344" s="185" t="s">
        <v>136</v>
      </c>
      <c r="L344" s="185"/>
      <c r="M344" s="196" t="s">
        <v>749</v>
      </c>
      <c r="N344" s="185"/>
      <c r="O344" s="238"/>
      <c r="P344" s="239" t="s">
        <v>1782</v>
      </c>
      <c r="Q344" s="239" t="s">
        <v>1783</v>
      </c>
      <c r="R344" s="240" t="s">
        <v>691</v>
      </c>
      <c r="S344" s="196" t="s">
        <v>691</v>
      </c>
      <c r="T344" s="196" t="s">
        <v>1903</v>
      </c>
    </row>
    <row r="345">
      <c r="A345" s="182" t="s">
        <v>433</v>
      </c>
      <c r="B345" s="203" t="s">
        <v>66</v>
      </c>
      <c r="C345" s="173" t="s">
        <v>66</v>
      </c>
      <c r="D345" s="173" t="s">
        <v>1936</v>
      </c>
      <c r="E345" s="196" t="s">
        <v>1936</v>
      </c>
      <c r="F345" s="185" t="s">
        <v>185</v>
      </c>
      <c r="G345" s="185" t="s">
        <v>698</v>
      </c>
      <c r="H345" s="237">
        <v>43705.0</v>
      </c>
      <c r="I345" s="185" t="s">
        <v>91</v>
      </c>
      <c r="J345" s="185" t="s">
        <v>91</v>
      </c>
      <c r="K345" s="185" t="s">
        <v>91</v>
      </c>
      <c r="L345" s="185" t="s">
        <v>85</v>
      </c>
      <c r="M345" s="196" t="s">
        <v>749</v>
      </c>
      <c r="N345" s="185" t="s">
        <v>688</v>
      </c>
      <c r="O345" s="238">
        <v>44180.0</v>
      </c>
      <c r="P345" s="239" t="s">
        <v>1786</v>
      </c>
      <c r="Q345" s="239" t="s">
        <v>1787</v>
      </c>
      <c r="R345" s="240" t="s">
        <v>705</v>
      </c>
      <c r="S345" s="196" t="s">
        <v>705</v>
      </c>
      <c r="T345" s="196" t="s">
        <v>1765</v>
      </c>
    </row>
    <row r="346">
      <c r="A346" s="182" t="s">
        <v>1488</v>
      </c>
      <c r="B346" s="203" t="s">
        <v>66</v>
      </c>
      <c r="C346" s="173" t="s">
        <v>66</v>
      </c>
      <c r="D346" s="173" t="s">
        <v>1937</v>
      </c>
      <c r="E346" s="196" t="s">
        <v>1489</v>
      </c>
      <c r="F346" s="185" t="s">
        <v>185</v>
      </c>
      <c r="G346" s="185" t="s">
        <v>1500</v>
      </c>
      <c r="H346" s="237" t="b">
        <v>1</v>
      </c>
      <c r="I346" s="185" t="s">
        <v>1762</v>
      </c>
      <c r="J346" s="185" t="s">
        <v>1762</v>
      </c>
      <c r="K346" s="185" t="s">
        <v>1762</v>
      </c>
      <c r="L346" s="185"/>
      <c r="M346" s="196" t="s">
        <v>749</v>
      </c>
      <c r="N346" s="185"/>
      <c r="O346" s="238"/>
      <c r="P346" s="239" t="s">
        <v>1763</v>
      </c>
      <c r="Q346" s="239" t="s">
        <v>1764</v>
      </c>
      <c r="R346" s="240" t="s">
        <v>782</v>
      </c>
      <c r="S346" s="196" t="s">
        <v>782</v>
      </c>
      <c r="T346" s="196" t="s">
        <v>1765</v>
      </c>
    </row>
    <row r="347">
      <c r="A347" s="182" t="s">
        <v>1490</v>
      </c>
      <c r="B347" s="203" t="s">
        <v>66</v>
      </c>
      <c r="C347" s="173" t="s">
        <v>66</v>
      </c>
      <c r="D347" s="173" t="s">
        <v>1938</v>
      </c>
      <c r="E347" s="196" t="s">
        <v>1491</v>
      </c>
      <c r="F347" s="185" t="s">
        <v>83</v>
      </c>
      <c r="G347" s="185" t="s">
        <v>1761</v>
      </c>
      <c r="H347" s="237" t="s">
        <v>936</v>
      </c>
      <c r="I347" s="185" t="s">
        <v>1762</v>
      </c>
      <c r="J347" s="185" t="s">
        <v>1762</v>
      </c>
      <c r="K347" s="185" t="s">
        <v>1762</v>
      </c>
      <c r="L347" s="185"/>
      <c r="M347" s="196" t="s">
        <v>749</v>
      </c>
      <c r="N347" s="185"/>
      <c r="O347" s="238"/>
      <c r="P347" s="239" t="s">
        <v>1763</v>
      </c>
      <c r="Q347" s="239" t="s">
        <v>1764</v>
      </c>
      <c r="R347" s="240" t="s">
        <v>782</v>
      </c>
      <c r="S347" s="196" t="s">
        <v>782</v>
      </c>
      <c r="T347" s="196" t="s">
        <v>1765</v>
      </c>
    </row>
    <row r="348">
      <c r="A348" s="182" t="s">
        <v>1493</v>
      </c>
      <c r="B348" s="203" t="s">
        <v>66</v>
      </c>
      <c r="C348" s="173" t="s">
        <v>66</v>
      </c>
      <c r="D348" s="173" t="s">
        <v>1939</v>
      </c>
      <c r="E348" s="196" t="s">
        <v>1494</v>
      </c>
      <c r="F348" s="185" t="s">
        <v>185</v>
      </c>
      <c r="G348" s="185" t="s">
        <v>1761</v>
      </c>
      <c r="H348" s="237" t="s">
        <v>1495</v>
      </c>
      <c r="I348" s="185" t="s">
        <v>1762</v>
      </c>
      <c r="J348" s="185" t="s">
        <v>1762</v>
      </c>
      <c r="K348" s="185" t="s">
        <v>1762</v>
      </c>
      <c r="L348" s="185"/>
      <c r="M348" s="196" t="s">
        <v>749</v>
      </c>
      <c r="N348" s="185"/>
      <c r="O348" s="238"/>
      <c r="P348" s="239" t="s">
        <v>1763</v>
      </c>
      <c r="Q348" s="239" t="s">
        <v>1764</v>
      </c>
      <c r="R348" s="240" t="s">
        <v>782</v>
      </c>
      <c r="S348" s="196" t="s">
        <v>782</v>
      </c>
      <c r="T348" s="196" t="s">
        <v>1765</v>
      </c>
    </row>
    <row r="349">
      <c r="A349" s="182" t="s">
        <v>1496</v>
      </c>
      <c r="B349" s="203" t="s">
        <v>66</v>
      </c>
      <c r="C349" s="173" t="s">
        <v>66</v>
      </c>
      <c r="D349" s="173" t="s">
        <v>1497</v>
      </c>
      <c r="E349" s="196" t="s">
        <v>1497</v>
      </c>
      <c r="F349" s="185" t="s">
        <v>185</v>
      </c>
      <c r="G349" s="185" t="s">
        <v>698</v>
      </c>
      <c r="H349" s="237">
        <v>40417.489224537036</v>
      </c>
      <c r="I349" s="185" t="s">
        <v>1397</v>
      </c>
      <c r="J349" s="185" t="s">
        <v>1397</v>
      </c>
      <c r="K349" s="185" t="s">
        <v>1397</v>
      </c>
      <c r="L349" s="185" t="s">
        <v>85</v>
      </c>
      <c r="M349" s="196" t="s">
        <v>687</v>
      </c>
      <c r="N349" s="185"/>
      <c r="O349" s="238"/>
      <c r="P349" s="239" t="s">
        <v>1770</v>
      </c>
      <c r="Q349" s="239" t="s">
        <v>1764</v>
      </c>
      <c r="R349" s="240" t="s">
        <v>724</v>
      </c>
      <c r="S349" s="196" t="s">
        <v>724</v>
      </c>
      <c r="T349" s="196" t="s">
        <v>1765</v>
      </c>
    </row>
    <row r="350">
      <c r="A350" s="182" t="s">
        <v>1506</v>
      </c>
      <c r="B350" s="203" t="s">
        <v>66</v>
      </c>
      <c r="C350" s="173" t="s">
        <v>66</v>
      </c>
      <c r="D350" s="173" t="s">
        <v>1507</v>
      </c>
      <c r="E350" s="196" t="s">
        <v>1507</v>
      </c>
      <c r="F350" s="185" t="s">
        <v>185</v>
      </c>
      <c r="G350" s="185" t="s">
        <v>713</v>
      </c>
      <c r="H350" s="237">
        <v>5.0</v>
      </c>
      <c r="I350" s="185" t="s">
        <v>1397</v>
      </c>
      <c r="J350" s="185" t="s">
        <v>1397</v>
      </c>
      <c r="K350" s="185" t="s">
        <v>1397</v>
      </c>
      <c r="L350" s="185" t="s">
        <v>85</v>
      </c>
      <c r="M350" s="196" t="s">
        <v>687</v>
      </c>
      <c r="N350" s="185"/>
      <c r="O350" s="238"/>
      <c r="P350" s="239" t="s">
        <v>1782</v>
      </c>
      <c r="Q350" s="239" t="s">
        <v>1783</v>
      </c>
      <c r="R350" s="240" t="s">
        <v>721</v>
      </c>
      <c r="S350" s="196" t="s">
        <v>721</v>
      </c>
      <c r="T350" s="196" t="s">
        <v>1765</v>
      </c>
    </row>
    <row r="351">
      <c r="A351" s="182" t="s">
        <v>1508</v>
      </c>
      <c r="B351" s="203" t="s">
        <v>66</v>
      </c>
      <c r="C351" s="173" t="s">
        <v>66</v>
      </c>
      <c r="D351" s="173" t="s">
        <v>1509</v>
      </c>
      <c r="E351" s="196" t="s">
        <v>1509</v>
      </c>
      <c r="F351" s="185" t="s">
        <v>185</v>
      </c>
      <c r="G351" s="185" t="s">
        <v>713</v>
      </c>
      <c r="H351" s="237">
        <v>5.0</v>
      </c>
      <c r="I351" s="185" t="s">
        <v>1397</v>
      </c>
      <c r="J351" s="185" t="s">
        <v>1397</v>
      </c>
      <c r="K351" s="185" t="s">
        <v>1397</v>
      </c>
      <c r="L351" s="185" t="s">
        <v>85</v>
      </c>
      <c r="M351" s="196" t="s">
        <v>687</v>
      </c>
      <c r="N351" s="185"/>
      <c r="O351" s="238"/>
      <c r="P351" s="239" t="s">
        <v>1775</v>
      </c>
      <c r="Q351" s="239" t="s">
        <v>1764</v>
      </c>
      <c r="R351" s="240" t="s">
        <v>1510</v>
      </c>
      <c r="S351" s="196" t="s">
        <v>1510</v>
      </c>
      <c r="T351" s="196" t="s">
        <v>1765</v>
      </c>
    </row>
    <row r="352">
      <c r="A352" s="182" t="s">
        <v>1511</v>
      </c>
      <c r="B352" s="203" t="s">
        <v>66</v>
      </c>
      <c r="C352" s="173" t="s">
        <v>66</v>
      </c>
      <c r="D352" s="173" t="s">
        <v>1512</v>
      </c>
      <c r="E352" s="196" t="s">
        <v>1512</v>
      </c>
      <c r="F352" s="185" t="s">
        <v>185</v>
      </c>
      <c r="G352" s="185" t="s">
        <v>768</v>
      </c>
      <c r="H352" s="237">
        <v>25.33</v>
      </c>
      <c r="I352" s="185" t="s">
        <v>1389</v>
      </c>
      <c r="J352" s="185" t="s">
        <v>1389</v>
      </c>
      <c r="K352" s="185" t="s">
        <v>1389</v>
      </c>
      <c r="L352" s="185" t="s">
        <v>85</v>
      </c>
      <c r="M352" s="196" t="s">
        <v>1479</v>
      </c>
      <c r="N352" s="185"/>
      <c r="O352" s="238"/>
      <c r="P352" s="239" t="s">
        <v>1940</v>
      </c>
      <c r="Q352" s="239" t="s">
        <v>732</v>
      </c>
      <c r="R352" s="240" t="s">
        <v>721</v>
      </c>
      <c r="S352" s="196" t="s">
        <v>721</v>
      </c>
      <c r="T352" s="196" t="s">
        <v>1765</v>
      </c>
    </row>
    <row r="353">
      <c r="A353" s="182" t="s">
        <v>1513</v>
      </c>
      <c r="B353" s="203" t="s">
        <v>66</v>
      </c>
      <c r="C353" s="173" t="s">
        <v>66</v>
      </c>
      <c r="D353" s="173" t="s">
        <v>1514</v>
      </c>
      <c r="E353" s="196" t="s">
        <v>1514</v>
      </c>
      <c r="F353" s="185" t="s">
        <v>185</v>
      </c>
      <c r="G353" s="185" t="s">
        <v>713</v>
      </c>
      <c r="H353" s="237">
        <v>5.0</v>
      </c>
      <c r="I353" s="185" t="s">
        <v>1397</v>
      </c>
      <c r="J353" s="185" t="s">
        <v>1397</v>
      </c>
      <c r="K353" s="185" t="s">
        <v>1397</v>
      </c>
      <c r="L353" s="185" t="s">
        <v>85</v>
      </c>
      <c r="M353" s="196" t="s">
        <v>687</v>
      </c>
      <c r="N353" s="185"/>
      <c r="O353" s="238"/>
      <c r="P353" s="239" t="s">
        <v>1782</v>
      </c>
      <c r="Q353" s="239" t="s">
        <v>1783</v>
      </c>
      <c r="R353" s="240" t="s">
        <v>761</v>
      </c>
      <c r="S353" s="196" t="s">
        <v>761</v>
      </c>
      <c r="T353" s="196" t="s">
        <v>1765</v>
      </c>
    </row>
    <row r="354">
      <c r="A354" s="182" t="s">
        <v>1554</v>
      </c>
      <c r="B354" s="203" t="s">
        <v>66</v>
      </c>
      <c r="C354" s="173" t="s">
        <v>66</v>
      </c>
      <c r="D354" s="173" t="s">
        <v>1941</v>
      </c>
      <c r="E354" s="196" t="s">
        <v>1555</v>
      </c>
      <c r="F354" s="185" t="s">
        <v>185</v>
      </c>
      <c r="G354" s="185" t="s">
        <v>1761</v>
      </c>
      <c r="H354" s="237" t="s">
        <v>1556</v>
      </c>
      <c r="I354" s="185" t="s">
        <v>1389</v>
      </c>
      <c r="J354" s="185" t="s">
        <v>1389</v>
      </c>
      <c r="K354" s="185" t="s">
        <v>723</v>
      </c>
      <c r="L354" s="185" t="s">
        <v>85</v>
      </c>
      <c r="M354" s="196" t="s">
        <v>687</v>
      </c>
      <c r="N354" s="185"/>
      <c r="O354" s="238"/>
      <c r="P354" s="239" t="s">
        <v>1791</v>
      </c>
      <c r="Q354" s="239" t="s">
        <v>1787</v>
      </c>
      <c r="R354" s="240" t="s">
        <v>744</v>
      </c>
      <c r="S354" s="196" t="s">
        <v>744</v>
      </c>
      <c r="T354" s="196" t="s">
        <v>1765</v>
      </c>
    </row>
    <row r="355">
      <c r="A355" s="182" t="s">
        <v>118</v>
      </c>
      <c r="B355" s="203" t="s">
        <v>66</v>
      </c>
      <c r="C355" s="173" t="s">
        <v>66</v>
      </c>
      <c r="D355" s="173" t="s">
        <v>1558</v>
      </c>
      <c r="E355" s="196" t="s">
        <v>1558</v>
      </c>
      <c r="F355" s="185" t="s">
        <v>83</v>
      </c>
      <c r="G355" s="185" t="s">
        <v>698</v>
      </c>
      <c r="H355" s="237">
        <v>40131.52979166667</v>
      </c>
      <c r="I355" s="185" t="s">
        <v>1559</v>
      </c>
      <c r="J355" s="185" t="s">
        <v>1559</v>
      </c>
      <c r="K355" s="185" t="s">
        <v>723</v>
      </c>
      <c r="L355" s="185" t="s">
        <v>85</v>
      </c>
      <c r="M355" s="196" t="s">
        <v>687</v>
      </c>
      <c r="N355" s="185"/>
      <c r="O355" s="238"/>
      <c r="P355" s="239" t="s">
        <v>1771</v>
      </c>
      <c r="Q355" s="239" t="s">
        <v>1764</v>
      </c>
      <c r="R355" s="240" t="s">
        <v>691</v>
      </c>
      <c r="S355" s="196" t="s">
        <v>691</v>
      </c>
      <c r="T355" s="196" t="s">
        <v>1765</v>
      </c>
    </row>
    <row r="356">
      <c r="A356" s="182" t="s">
        <v>1562</v>
      </c>
      <c r="B356" s="203" t="s">
        <v>66</v>
      </c>
      <c r="C356" s="173" t="s">
        <v>66</v>
      </c>
      <c r="D356" s="173" t="s">
        <v>1563</v>
      </c>
      <c r="E356" s="196" t="s">
        <v>1563</v>
      </c>
      <c r="F356" s="185" t="s">
        <v>185</v>
      </c>
      <c r="G356" s="185" t="s">
        <v>694</v>
      </c>
      <c r="H356" s="237">
        <v>15.0</v>
      </c>
      <c r="I356" s="185" t="s">
        <v>1346</v>
      </c>
      <c r="J356" s="185" t="s">
        <v>1346</v>
      </c>
      <c r="K356" s="185" t="s">
        <v>1346</v>
      </c>
      <c r="L356" s="185" t="s">
        <v>85</v>
      </c>
      <c r="M356" s="196" t="s">
        <v>687</v>
      </c>
      <c r="N356" s="185"/>
      <c r="O356" s="238"/>
      <c r="P356" s="239" t="s">
        <v>1771</v>
      </c>
      <c r="Q356" s="239" t="s">
        <v>1764</v>
      </c>
      <c r="R356" s="240" t="s">
        <v>691</v>
      </c>
      <c r="S356" s="196" t="s">
        <v>691</v>
      </c>
      <c r="T356" s="196" t="s">
        <v>1765</v>
      </c>
    </row>
    <row r="357">
      <c r="A357" s="182" t="s">
        <v>1567</v>
      </c>
      <c r="B357" s="203" t="s">
        <v>66</v>
      </c>
      <c r="C357" s="173" t="s">
        <v>66</v>
      </c>
      <c r="D357" s="173" t="s">
        <v>1568</v>
      </c>
      <c r="E357" s="196" t="s">
        <v>1568</v>
      </c>
      <c r="F357" s="185" t="s">
        <v>185</v>
      </c>
      <c r="G357" s="185" t="s">
        <v>1500</v>
      </c>
      <c r="H357" s="237" t="b">
        <v>1</v>
      </c>
      <c r="I357" s="185" t="s">
        <v>1389</v>
      </c>
      <c r="J357" s="185" t="s">
        <v>1389</v>
      </c>
      <c r="K357" s="185" t="s">
        <v>1389</v>
      </c>
      <c r="L357" s="185" t="s">
        <v>85</v>
      </c>
      <c r="M357" s="196" t="s">
        <v>687</v>
      </c>
      <c r="N357" s="185"/>
      <c r="O357" s="238"/>
      <c r="P357" s="239" t="s">
        <v>1791</v>
      </c>
      <c r="Q357" s="239" t="s">
        <v>1787</v>
      </c>
      <c r="R357" s="240" t="s">
        <v>691</v>
      </c>
      <c r="S357" s="196" t="s">
        <v>691</v>
      </c>
      <c r="T357" s="196" t="s">
        <v>1765</v>
      </c>
    </row>
    <row r="358">
      <c r="A358" s="182" t="s">
        <v>1570</v>
      </c>
      <c r="B358" s="203" t="s">
        <v>66</v>
      </c>
      <c r="C358" s="173" t="s">
        <v>66</v>
      </c>
      <c r="D358" s="173" t="s">
        <v>1571</v>
      </c>
      <c r="E358" s="196" t="s">
        <v>1571</v>
      </c>
      <c r="F358" s="185" t="s">
        <v>83</v>
      </c>
      <c r="G358" s="185" t="s">
        <v>1761</v>
      </c>
      <c r="H358" s="237" t="s">
        <v>1572</v>
      </c>
      <c r="I358" s="185" t="s">
        <v>1389</v>
      </c>
      <c r="J358" s="185" t="s">
        <v>1389</v>
      </c>
      <c r="K358" s="185" t="s">
        <v>1389</v>
      </c>
      <c r="L358" s="185" t="s">
        <v>85</v>
      </c>
      <c r="M358" s="196" t="s">
        <v>687</v>
      </c>
      <c r="N358" s="185"/>
      <c r="O358" s="238"/>
      <c r="P358" s="239" t="s">
        <v>1920</v>
      </c>
      <c r="Q358" s="239" t="s">
        <v>1905</v>
      </c>
      <c r="R358" s="240" t="s">
        <v>744</v>
      </c>
      <c r="S358" s="196" t="s">
        <v>744</v>
      </c>
      <c r="T358" s="196" t="s">
        <v>1765</v>
      </c>
    </row>
    <row r="359">
      <c r="A359" s="182" t="s">
        <v>1573</v>
      </c>
      <c r="B359" s="203" t="s">
        <v>65</v>
      </c>
      <c r="C359" s="173" t="s">
        <v>1768</v>
      </c>
      <c r="D359" s="173" t="s">
        <v>444</v>
      </c>
      <c r="E359" s="196" t="s">
        <v>444</v>
      </c>
      <c r="F359" s="185" t="s">
        <v>83</v>
      </c>
      <c r="G359" s="185" t="s">
        <v>1761</v>
      </c>
      <c r="H359" s="237">
        <v>5.15E14</v>
      </c>
      <c r="I359" s="185" t="s">
        <v>1389</v>
      </c>
      <c r="J359" s="185" t="s">
        <v>1389</v>
      </c>
      <c r="K359" s="185" t="s">
        <v>1389</v>
      </c>
      <c r="L359" s="185" t="s">
        <v>85</v>
      </c>
      <c r="M359" s="196" t="s">
        <v>687</v>
      </c>
      <c r="N359" s="185"/>
      <c r="O359" s="238"/>
      <c r="P359" s="239" t="s">
        <v>1922</v>
      </c>
      <c r="Q359" s="239" t="s">
        <v>1905</v>
      </c>
      <c r="R359" s="240" t="s">
        <v>744</v>
      </c>
      <c r="S359" s="196" t="s">
        <v>744</v>
      </c>
      <c r="T359" s="196" t="s">
        <v>1765</v>
      </c>
    </row>
    <row r="360">
      <c r="A360" s="182" t="s">
        <v>1574</v>
      </c>
      <c r="B360" s="203" t="s">
        <v>66</v>
      </c>
      <c r="C360" s="173" t="s">
        <v>66</v>
      </c>
      <c r="D360" s="173" t="s">
        <v>1575</v>
      </c>
      <c r="E360" s="196" t="s">
        <v>1575</v>
      </c>
      <c r="F360" s="185" t="s">
        <v>83</v>
      </c>
      <c r="G360" s="185" t="s">
        <v>1761</v>
      </c>
      <c r="H360" s="237" t="s">
        <v>1576</v>
      </c>
      <c r="I360" s="185" t="s">
        <v>1389</v>
      </c>
      <c r="J360" s="185" t="s">
        <v>1389</v>
      </c>
      <c r="K360" s="185" t="s">
        <v>1389</v>
      </c>
      <c r="L360" s="185" t="s">
        <v>85</v>
      </c>
      <c r="M360" s="196" t="s">
        <v>687</v>
      </c>
      <c r="N360" s="185"/>
      <c r="O360" s="238"/>
      <c r="P360" s="239" t="s">
        <v>1920</v>
      </c>
      <c r="Q360" s="239" t="s">
        <v>1905</v>
      </c>
      <c r="R360" s="240" t="s">
        <v>744</v>
      </c>
      <c r="S360" s="196" t="s">
        <v>744</v>
      </c>
      <c r="T360" s="196" t="s">
        <v>1765</v>
      </c>
    </row>
    <row r="361">
      <c r="A361" s="182" t="s">
        <v>1577</v>
      </c>
      <c r="B361" s="203" t="s">
        <v>65</v>
      </c>
      <c r="C361" s="173" t="s">
        <v>1799</v>
      </c>
      <c r="D361" s="173" t="s">
        <v>1578</v>
      </c>
      <c r="E361" s="196" t="s">
        <v>1578</v>
      </c>
      <c r="F361" s="185" t="s">
        <v>83</v>
      </c>
      <c r="G361" s="185" t="s">
        <v>1761</v>
      </c>
      <c r="H361" s="237" t="s">
        <v>1579</v>
      </c>
      <c r="I361" s="185" t="s">
        <v>1389</v>
      </c>
      <c r="J361" s="185" t="s">
        <v>1389</v>
      </c>
      <c r="K361" s="185" t="s">
        <v>1389</v>
      </c>
      <c r="L361" s="185" t="s">
        <v>85</v>
      </c>
      <c r="M361" s="196" t="s">
        <v>687</v>
      </c>
      <c r="N361" s="185"/>
      <c r="O361" s="238"/>
      <c r="P361" s="239" t="s">
        <v>1920</v>
      </c>
      <c r="Q361" s="239" t="s">
        <v>1905</v>
      </c>
      <c r="R361" s="240" t="s">
        <v>744</v>
      </c>
      <c r="S361" s="196" t="s">
        <v>744</v>
      </c>
      <c r="T361" s="196" t="s">
        <v>1765</v>
      </c>
    </row>
    <row r="362">
      <c r="A362" s="182" t="s">
        <v>1580</v>
      </c>
      <c r="B362" s="203" t="s">
        <v>66</v>
      </c>
      <c r="C362" s="173" t="s">
        <v>66</v>
      </c>
      <c r="D362" s="173" t="s">
        <v>1581</v>
      </c>
      <c r="E362" s="196" t="s">
        <v>1581</v>
      </c>
      <c r="F362" s="185" t="s">
        <v>83</v>
      </c>
      <c r="G362" s="185" t="s">
        <v>1761</v>
      </c>
      <c r="H362" s="237" t="s">
        <v>1582</v>
      </c>
      <c r="I362" s="185" t="s">
        <v>1389</v>
      </c>
      <c r="J362" s="185" t="s">
        <v>1389</v>
      </c>
      <c r="K362" s="185" t="s">
        <v>1389</v>
      </c>
      <c r="L362" s="185" t="s">
        <v>85</v>
      </c>
      <c r="M362" s="196" t="s">
        <v>687</v>
      </c>
      <c r="N362" s="185"/>
      <c r="O362" s="238"/>
      <c r="P362" s="239" t="s">
        <v>1920</v>
      </c>
      <c r="Q362" s="239" t="s">
        <v>1905</v>
      </c>
      <c r="R362" s="240" t="s">
        <v>744</v>
      </c>
      <c r="S362" s="196" t="s">
        <v>744</v>
      </c>
      <c r="T362" s="196" t="s">
        <v>1765</v>
      </c>
    </row>
    <row r="363">
      <c r="A363" s="182" t="s">
        <v>1583</v>
      </c>
      <c r="B363" s="203" t="s">
        <v>65</v>
      </c>
      <c r="C363" s="173" t="s">
        <v>1799</v>
      </c>
      <c r="D363" s="173" t="s">
        <v>1584</v>
      </c>
      <c r="E363" s="196" t="s">
        <v>1584</v>
      </c>
      <c r="F363" s="185" t="s">
        <v>83</v>
      </c>
      <c r="G363" s="185" t="s">
        <v>1761</v>
      </c>
      <c r="H363" s="237" t="s">
        <v>1585</v>
      </c>
      <c r="I363" s="185" t="s">
        <v>1389</v>
      </c>
      <c r="J363" s="185" t="s">
        <v>1389</v>
      </c>
      <c r="K363" s="185" t="s">
        <v>1389</v>
      </c>
      <c r="L363" s="185" t="s">
        <v>85</v>
      </c>
      <c r="M363" s="196" t="s">
        <v>687</v>
      </c>
      <c r="N363" s="185"/>
      <c r="O363" s="238"/>
      <c r="P363" s="239" t="s">
        <v>1920</v>
      </c>
      <c r="Q363" s="239" t="s">
        <v>1905</v>
      </c>
      <c r="R363" s="240" t="s">
        <v>744</v>
      </c>
      <c r="S363" s="196" t="s">
        <v>744</v>
      </c>
      <c r="T363" s="196" t="s">
        <v>1765</v>
      </c>
    </row>
    <row r="364">
      <c r="A364" s="182" t="s">
        <v>1586</v>
      </c>
      <c r="B364" s="203" t="s">
        <v>66</v>
      </c>
      <c r="C364" s="173" t="s">
        <v>66</v>
      </c>
      <c r="D364" s="173" t="s">
        <v>1587</v>
      </c>
      <c r="E364" s="196" t="s">
        <v>1587</v>
      </c>
      <c r="F364" s="185" t="s">
        <v>83</v>
      </c>
      <c r="G364" s="185" t="s">
        <v>1761</v>
      </c>
      <c r="H364" s="237">
        <v>1200.0</v>
      </c>
      <c r="I364" s="185" t="s">
        <v>1389</v>
      </c>
      <c r="J364" s="185" t="s">
        <v>1389</v>
      </c>
      <c r="K364" s="185" t="s">
        <v>1389</v>
      </c>
      <c r="L364" s="185" t="s">
        <v>85</v>
      </c>
      <c r="M364" s="196" t="s">
        <v>687</v>
      </c>
      <c r="N364" s="185"/>
      <c r="O364" s="238"/>
      <c r="P364" s="239" t="s">
        <v>1920</v>
      </c>
      <c r="Q364" s="239" t="s">
        <v>1905</v>
      </c>
      <c r="R364" s="240" t="s">
        <v>744</v>
      </c>
      <c r="S364" s="196" t="s">
        <v>744</v>
      </c>
      <c r="T364" s="196" t="s">
        <v>1765</v>
      </c>
    </row>
    <row r="365">
      <c r="A365" s="182" t="s">
        <v>1588</v>
      </c>
      <c r="B365" s="203" t="s">
        <v>65</v>
      </c>
      <c r="C365" s="173" t="s">
        <v>1799</v>
      </c>
      <c r="D365" s="173" t="s">
        <v>1589</v>
      </c>
      <c r="E365" s="196" t="s">
        <v>1589</v>
      </c>
      <c r="F365" s="185" t="s">
        <v>83</v>
      </c>
      <c r="G365" s="185" t="s">
        <v>1761</v>
      </c>
      <c r="H365" s="237" t="s">
        <v>1590</v>
      </c>
      <c r="I365" s="185" t="s">
        <v>1389</v>
      </c>
      <c r="J365" s="185" t="s">
        <v>1389</v>
      </c>
      <c r="K365" s="185" t="s">
        <v>1389</v>
      </c>
      <c r="L365" s="185" t="s">
        <v>85</v>
      </c>
      <c r="M365" s="196" t="s">
        <v>687</v>
      </c>
      <c r="N365" s="185"/>
      <c r="O365" s="238"/>
      <c r="P365" s="239" t="s">
        <v>1920</v>
      </c>
      <c r="Q365" s="239" t="s">
        <v>1905</v>
      </c>
      <c r="R365" s="240" t="s">
        <v>744</v>
      </c>
      <c r="S365" s="196" t="s">
        <v>744</v>
      </c>
      <c r="T365" s="196" t="s">
        <v>1765</v>
      </c>
    </row>
    <row r="366">
      <c r="A366" s="182" t="s">
        <v>1591</v>
      </c>
      <c r="B366" s="203" t="s">
        <v>66</v>
      </c>
      <c r="C366" s="173" t="s">
        <v>66</v>
      </c>
      <c r="D366" s="173" t="s">
        <v>1592</v>
      </c>
      <c r="E366" s="196" t="s">
        <v>1592</v>
      </c>
      <c r="F366" s="185" t="s">
        <v>83</v>
      </c>
      <c r="G366" s="185" t="s">
        <v>1761</v>
      </c>
      <c r="H366" s="237" t="s">
        <v>1593</v>
      </c>
      <c r="I366" s="185" t="s">
        <v>1389</v>
      </c>
      <c r="J366" s="185" t="s">
        <v>1389</v>
      </c>
      <c r="K366" s="185" t="s">
        <v>1389</v>
      </c>
      <c r="L366" s="185" t="s">
        <v>85</v>
      </c>
      <c r="M366" s="196" t="s">
        <v>687</v>
      </c>
      <c r="N366" s="185"/>
      <c r="O366" s="238"/>
      <c r="P366" s="239" t="s">
        <v>1920</v>
      </c>
      <c r="Q366" s="239" t="s">
        <v>1905</v>
      </c>
      <c r="R366" s="240" t="s">
        <v>744</v>
      </c>
      <c r="S366" s="196" t="s">
        <v>744</v>
      </c>
      <c r="T366" s="196" t="s">
        <v>1765</v>
      </c>
    </row>
    <row r="367">
      <c r="A367" s="182" t="s">
        <v>1594</v>
      </c>
      <c r="B367" s="203" t="s">
        <v>66</v>
      </c>
      <c r="C367" s="173" t="s">
        <v>66</v>
      </c>
      <c r="D367" s="173" t="s">
        <v>1595</v>
      </c>
      <c r="E367" s="196" t="s">
        <v>1595</v>
      </c>
      <c r="F367" s="185" t="s">
        <v>185</v>
      </c>
      <c r="G367" s="185" t="s">
        <v>1761</v>
      </c>
      <c r="H367" s="237" t="s">
        <v>749</v>
      </c>
      <c r="I367" s="185" t="s">
        <v>1389</v>
      </c>
      <c r="J367" s="185" t="s">
        <v>1389</v>
      </c>
      <c r="K367" s="185" t="s">
        <v>1389</v>
      </c>
      <c r="L367" s="185" t="s">
        <v>85</v>
      </c>
      <c r="M367" s="196" t="s">
        <v>687</v>
      </c>
      <c r="N367" s="185"/>
      <c r="O367" s="238"/>
      <c r="P367" s="239" t="s">
        <v>1920</v>
      </c>
      <c r="Q367" s="239" t="s">
        <v>1905</v>
      </c>
      <c r="R367" s="240" t="s">
        <v>744</v>
      </c>
      <c r="S367" s="196" t="s">
        <v>744</v>
      </c>
      <c r="T367" s="196" t="s">
        <v>1765</v>
      </c>
    </row>
    <row r="368">
      <c r="A368" s="182" t="s">
        <v>1596</v>
      </c>
      <c r="B368" s="203" t="s">
        <v>66</v>
      </c>
      <c r="C368" s="173" t="s">
        <v>66</v>
      </c>
      <c r="D368" s="173" t="s">
        <v>1942</v>
      </c>
      <c r="E368" s="196" t="s">
        <v>1597</v>
      </c>
      <c r="F368" s="185" t="s">
        <v>185</v>
      </c>
      <c r="G368" s="185" t="s">
        <v>1761</v>
      </c>
      <c r="H368" s="237" t="s">
        <v>1598</v>
      </c>
      <c r="I368" s="185" t="s">
        <v>1389</v>
      </c>
      <c r="J368" s="185" t="s">
        <v>1389</v>
      </c>
      <c r="K368" s="185" t="s">
        <v>1389</v>
      </c>
      <c r="L368" s="185" t="s">
        <v>85</v>
      </c>
      <c r="M368" s="196" t="s">
        <v>687</v>
      </c>
      <c r="N368" s="185"/>
      <c r="O368" s="238"/>
      <c r="P368" s="239" t="s">
        <v>1920</v>
      </c>
      <c r="Q368" s="239" t="s">
        <v>1905</v>
      </c>
      <c r="R368" s="240" t="s">
        <v>744</v>
      </c>
      <c r="S368" s="196" t="s">
        <v>744</v>
      </c>
      <c r="T368" s="196" t="s">
        <v>1765</v>
      </c>
    </row>
    <row r="369">
      <c r="A369" s="182" t="s">
        <v>1599</v>
      </c>
      <c r="B369" s="203" t="s">
        <v>65</v>
      </c>
      <c r="C369" s="173" t="s">
        <v>1804</v>
      </c>
      <c r="D369" s="173" t="s">
        <v>1600</v>
      </c>
      <c r="E369" s="196" t="s">
        <v>1600</v>
      </c>
      <c r="F369" s="185" t="s">
        <v>185</v>
      </c>
      <c r="G369" s="185" t="s">
        <v>1761</v>
      </c>
      <c r="H369" s="237">
        <v>9.12E9</v>
      </c>
      <c r="I369" s="185" t="s">
        <v>1389</v>
      </c>
      <c r="J369" s="185" t="s">
        <v>1389</v>
      </c>
      <c r="K369" s="185" t="s">
        <v>1389</v>
      </c>
      <c r="L369" s="185" t="s">
        <v>85</v>
      </c>
      <c r="M369" s="196" t="s">
        <v>687</v>
      </c>
      <c r="N369" s="185"/>
      <c r="O369" s="238"/>
      <c r="P369" s="239" t="s">
        <v>1771</v>
      </c>
      <c r="Q369" s="239" t="s">
        <v>1764</v>
      </c>
      <c r="R369" s="240" t="s">
        <v>691</v>
      </c>
      <c r="S369" s="196" t="s">
        <v>691</v>
      </c>
      <c r="T369" s="196" t="s">
        <v>1765</v>
      </c>
    </row>
    <row r="370">
      <c r="A370" s="182" t="s">
        <v>1603</v>
      </c>
      <c r="B370" s="203" t="s">
        <v>66</v>
      </c>
      <c r="C370" s="173" t="s">
        <v>66</v>
      </c>
      <c r="D370" s="173" t="s">
        <v>1604</v>
      </c>
      <c r="E370" s="196" t="s">
        <v>1604</v>
      </c>
      <c r="F370" s="185" t="s">
        <v>83</v>
      </c>
      <c r="G370" s="185" t="s">
        <v>1761</v>
      </c>
      <c r="H370" s="237">
        <v>9.12E9</v>
      </c>
      <c r="I370" s="185" t="s">
        <v>1389</v>
      </c>
      <c r="J370" s="185" t="s">
        <v>1389</v>
      </c>
      <c r="K370" s="185" t="s">
        <v>1389</v>
      </c>
      <c r="L370" s="185" t="s">
        <v>85</v>
      </c>
      <c r="M370" s="196" t="s">
        <v>687</v>
      </c>
      <c r="N370" s="185"/>
      <c r="O370" s="238"/>
      <c r="P370" s="239" t="s">
        <v>1771</v>
      </c>
      <c r="Q370" s="239" t="s">
        <v>1905</v>
      </c>
      <c r="R370" s="240" t="s">
        <v>691</v>
      </c>
      <c r="S370" s="196" t="s">
        <v>691</v>
      </c>
      <c r="T370" s="196" t="s">
        <v>1765</v>
      </c>
    </row>
    <row r="371">
      <c r="A371" s="182" t="s">
        <v>1619</v>
      </c>
      <c r="B371" s="203" t="s">
        <v>66</v>
      </c>
      <c r="C371" s="173" t="s">
        <v>66</v>
      </c>
      <c r="D371" s="173" t="s">
        <v>1943</v>
      </c>
      <c r="E371" s="196" t="s">
        <v>1620</v>
      </c>
      <c r="F371" s="185" t="s">
        <v>135</v>
      </c>
      <c r="G371" s="185" t="s">
        <v>1761</v>
      </c>
      <c r="H371" s="237" t="s">
        <v>1621</v>
      </c>
      <c r="I371" s="185" t="s">
        <v>136</v>
      </c>
      <c r="J371" s="185" t="s">
        <v>1622</v>
      </c>
      <c r="K371" s="185" t="s">
        <v>1622</v>
      </c>
      <c r="L371" s="185" t="s">
        <v>85</v>
      </c>
      <c r="M371" s="196" t="s">
        <v>749</v>
      </c>
      <c r="N371" s="185"/>
      <c r="O371" s="238"/>
      <c r="P371" s="239" t="s">
        <v>1781</v>
      </c>
      <c r="Q371" s="239" t="s">
        <v>732</v>
      </c>
      <c r="R371" s="240" t="s">
        <v>750</v>
      </c>
      <c r="S371" s="196" t="s">
        <v>750</v>
      </c>
      <c r="T371" s="196" t="s">
        <v>1765</v>
      </c>
    </row>
    <row r="372">
      <c r="A372" s="182" t="s">
        <v>1624</v>
      </c>
      <c r="B372" s="203" t="s">
        <v>66</v>
      </c>
      <c r="C372" s="173" t="s">
        <v>66</v>
      </c>
      <c r="D372" s="173" t="s">
        <v>1944</v>
      </c>
      <c r="E372" s="196" t="s">
        <v>1625</v>
      </c>
      <c r="F372" s="185" t="s">
        <v>135</v>
      </c>
      <c r="G372" s="185" t="s">
        <v>1761</v>
      </c>
      <c r="H372" s="237" t="s">
        <v>936</v>
      </c>
      <c r="I372" s="185" t="s">
        <v>136</v>
      </c>
      <c r="J372" s="185" t="s">
        <v>1622</v>
      </c>
      <c r="K372" s="185" t="s">
        <v>1622</v>
      </c>
      <c r="L372" s="185" t="s">
        <v>85</v>
      </c>
      <c r="M372" s="196" t="s">
        <v>749</v>
      </c>
      <c r="N372" s="185"/>
      <c r="O372" s="238"/>
      <c r="P372" s="239" t="s">
        <v>1781</v>
      </c>
      <c r="Q372" s="239" t="s">
        <v>732</v>
      </c>
      <c r="R372" s="240" t="s">
        <v>750</v>
      </c>
      <c r="S372" s="196" t="s">
        <v>750</v>
      </c>
      <c r="T372" s="196" t="s">
        <v>1765</v>
      </c>
    </row>
    <row r="373">
      <c r="A373" s="182" t="s">
        <v>1626</v>
      </c>
      <c r="B373" s="203" t="s">
        <v>66</v>
      </c>
      <c r="C373" s="173" t="s">
        <v>66</v>
      </c>
      <c r="D373" s="173" t="s">
        <v>1945</v>
      </c>
      <c r="E373" s="196" t="s">
        <v>1627</v>
      </c>
      <c r="F373" s="185" t="s">
        <v>135</v>
      </c>
      <c r="G373" s="185" t="s">
        <v>1761</v>
      </c>
      <c r="H373" s="237" t="s">
        <v>936</v>
      </c>
      <c r="I373" s="185" t="s">
        <v>136</v>
      </c>
      <c r="J373" s="185" t="s">
        <v>1622</v>
      </c>
      <c r="K373" s="185" t="s">
        <v>1622</v>
      </c>
      <c r="L373" s="185" t="s">
        <v>85</v>
      </c>
      <c r="M373" s="196" t="s">
        <v>749</v>
      </c>
      <c r="N373" s="185"/>
      <c r="O373" s="238"/>
      <c r="P373" s="239" t="s">
        <v>1781</v>
      </c>
      <c r="Q373" s="239" t="s">
        <v>732</v>
      </c>
      <c r="R373" s="240" t="s">
        <v>750</v>
      </c>
      <c r="S373" s="196" t="s">
        <v>750</v>
      </c>
      <c r="T373" s="196" t="s">
        <v>1765</v>
      </c>
    </row>
    <row r="374">
      <c r="A374" s="182" t="s">
        <v>1660</v>
      </c>
      <c r="B374" s="203" t="s">
        <v>66</v>
      </c>
      <c r="C374" s="173" t="s">
        <v>66</v>
      </c>
      <c r="D374" s="173" t="s">
        <v>1661</v>
      </c>
      <c r="E374" s="196" t="s">
        <v>1661</v>
      </c>
      <c r="F374" s="185" t="s">
        <v>185</v>
      </c>
      <c r="G374" s="185" t="s">
        <v>768</v>
      </c>
      <c r="H374" s="237">
        <v>9.84</v>
      </c>
      <c r="I374" s="185" t="s">
        <v>136</v>
      </c>
      <c r="J374" s="185" t="s">
        <v>1397</v>
      </c>
      <c r="K374" s="185" t="s">
        <v>1397</v>
      </c>
      <c r="L374" s="185" t="s">
        <v>85</v>
      </c>
      <c r="M374" s="196" t="s">
        <v>749</v>
      </c>
      <c r="N374" s="185"/>
      <c r="O374" s="238"/>
      <c r="P374" s="239" t="s">
        <v>1830</v>
      </c>
      <c r="Q374" s="239" t="s">
        <v>732</v>
      </c>
      <c r="R374" s="240" t="s">
        <v>761</v>
      </c>
      <c r="S374" s="196" t="s">
        <v>761</v>
      </c>
      <c r="T374" s="196" t="s">
        <v>1765</v>
      </c>
    </row>
    <row r="375">
      <c r="A375" s="182" t="s">
        <v>1662</v>
      </c>
      <c r="B375" s="203" t="s">
        <v>66</v>
      </c>
      <c r="C375" s="173" t="s">
        <v>66</v>
      </c>
      <c r="D375" s="173" t="s">
        <v>1946</v>
      </c>
      <c r="E375" s="196" t="s">
        <v>1663</v>
      </c>
      <c r="F375" s="185" t="s">
        <v>185</v>
      </c>
      <c r="G375" s="185" t="s">
        <v>1761</v>
      </c>
      <c r="H375" s="237" t="s">
        <v>1664</v>
      </c>
      <c r="I375" s="185" t="s">
        <v>1397</v>
      </c>
      <c r="J375" s="185" t="s">
        <v>1397</v>
      </c>
      <c r="K375" s="185" t="s">
        <v>1397</v>
      </c>
      <c r="L375" s="185" t="s">
        <v>85</v>
      </c>
      <c r="M375" s="196" t="s">
        <v>687</v>
      </c>
      <c r="N375" s="185"/>
      <c r="O375" s="238"/>
      <c r="P375" s="239" t="s">
        <v>701</v>
      </c>
      <c r="Q375" s="239" t="s">
        <v>1905</v>
      </c>
      <c r="R375" s="240" t="s">
        <v>771</v>
      </c>
      <c r="S375" s="196" t="s">
        <v>771</v>
      </c>
      <c r="T375" s="196" t="s">
        <v>1765</v>
      </c>
    </row>
    <row r="376">
      <c r="A376" s="182" t="s">
        <v>1665</v>
      </c>
      <c r="B376" s="203" t="s">
        <v>66</v>
      </c>
      <c r="C376" s="173" t="s">
        <v>66</v>
      </c>
      <c r="D376" s="173" t="s">
        <v>1666</v>
      </c>
      <c r="E376" s="196" t="s">
        <v>1666</v>
      </c>
      <c r="F376" s="185" t="s">
        <v>185</v>
      </c>
      <c r="G376" s="185" t="s">
        <v>1761</v>
      </c>
      <c r="H376" s="237" t="s">
        <v>1667</v>
      </c>
      <c r="I376" s="185" t="s">
        <v>1397</v>
      </c>
      <c r="J376" s="185" t="s">
        <v>1397</v>
      </c>
      <c r="K376" s="185" t="s">
        <v>1397</v>
      </c>
      <c r="L376" s="185" t="s">
        <v>85</v>
      </c>
      <c r="M376" s="196" t="s">
        <v>1947</v>
      </c>
      <c r="N376" s="185"/>
      <c r="O376" s="238"/>
      <c r="P376" s="239" t="s">
        <v>1777</v>
      </c>
      <c r="Q376" s="239" t="s">
        <v>1764</v>
      </c>
      <c r="R376" s="240" t="s">
        <v>1518</v>
      </c>
      <c r="S376" s="196" t="s">
        <v>1518</v>
      </c>
      <c r="T376" s="196" t="s">
        <v>1765</v>
      </c>
    </row>
    <row r="377">
      <c r="A377" s="182" t="s">
        <v>1669</v>
      </c>
      <c r="B377" s="203" t="s">
        <v>66</v>
      </c>
      <c r="C377" s="173" t="s">
        <v>66</v>
      </c>
      <c r="D377" s="173" t="s">
        <v>1670</v>
      </c>
      <c r="E377" s="196" t="s">
        <v>1670</v>
      </c>
      <c r="F377" s="185" t="s">
        <v>185</v>
      </c>
      <c r="G377" s="185" t="s">
        <v>1761</v>
      </c>
      <c r="H377" s="237" t="s">
        <v>1671</v>
      </c>
      <c r="I377" s="185" t="s">
        <v>1397</v>
      </c>
      <c r="J377" s="185" t="s">
        <v>1397</v>
      </c>
      <c r="K377" s="185" t="s">
        <v>1397</v>
      </c>
      <c r="L377" s="185" t="s">
        <v>85</v>
      </c>
      <c r="M377" s="196" t="s">
        <v>1947</v>
      </c>
      <c r="N377" s="185"/>
      <c r="O377" s="238"/>
      <c r="P377" s="239" t="s">
        <v>1777</v>
      </c>
      <c r="Q377" s="239" t="s">
        <v>1764</v>
      </c>
      <c r="R377" s="240" t="s">
        <v>1518</v>
      </c>
      <c r="S377" s="196" t="s">
        <v>1518</v>
      </c>
      <c r="T377" s="196" t="s">
        <v>1765</v>
      </c>
    </row>
    <row r="378">
      <c r="A378" s="182" t="s">
        <v>1672</v>
      </c>
      <c r="B378" s="203" t="s">
        <v>66</v>
      </c>
      <c r="C378" s="173" t="s">
        <v>66</v>
      </c>
      <c r="D378" s="173" t="s">
        <v>1673</v>
      </c>
      <c r="E378" s="196" t="s">
        <v>1673</v>
      </c>
      <c r="F378" s="185" t="s">
        <v>185</v>
      </c>
      <c r="G378" s="185" t="s">
        <v>1761</v>
      </c>
      <c r="H378" s="237" t="s">
        <v>1674</v>
      </c>
      <c r="I378" s="185" t="s">
        <v>1397</v>
      </c>
      <c r="J378" s="185" t="s">
        <v>1397</v>
      </c>
      <c r="K378" s="185" t="s">
        <v>1397</v>
      </c>
      <c r="L378" s="185" t="s">
        <v>85</v>
      </c>
      <c r="M378" s="196" t="s">
        <v>1947</v>
      </c>
      <c r="N378" s="185"/>
      <c r="O378" s="238"/>
      <c r="P378" s="239" t="s">
        <v>1777</v>
      </c>
      <c r="Q378" s="239" t="s">
        <v>1764</v>
      </c>
      <c r="R378" s="240" t="s">
        <v>1518</v>
      </c>
      <c r="S378" s="196" t="s">
        <v>1518</v>
      </c>
      <c r="T378" s="196" t="s">
        <v>1765</v>
      </c>
    </row>
    <row r="379">
      <c r="A379" s="182" t="s">
        <v>1675</v>
      </c>
      <c r="B379" s="203" t="s">
        <v>66</v>
      </c>
      <c r="C379" s="173" t="s">
        <v>66</v>
      </c>
      <c r="D379" s="173" t="s">
        <v>1676</v>
      </c>
      <c r="E379" s="196" t="s">
        <v>1676</v>
      </c>
      <c r="F379" s="185" t="s">
        <v>185</v>
      </c>
      <c r="G379" s="185" t="s">
        <v>1761</v>
      </c>
      <c r="H379" s="237" t="s">
        <v>1677</v>
      </c>
      <c r="I379" s="185" t="s">
        <v>1397</v>
      </c>
      <c r="J379" s="185" t="s">
        <v>1397</v>
      </c>
      <c r="K379" s="185" t="s">
        <v>1397</v>
      </c>
      <c r="L379" s="185" t="s">
        <v>85</v>
      </c>
      <c r="M379" s="196" t="s">
        <v>1947</v>
      </c>
      <c r="N379" s="185"/>
      <c r="O379" s="238"/>
      <c r="P379" s="239" t="s">
        <v>1777</v>
      </c>
      <c r="Q379" s="239" t="s">
        <v>1764</v>
      </c>
      <c r="R379" s="240" t="s">
        <v>1518</v>
      </c>
      <c r="S379" s="196" t="s">
        <v>1518</v>
      </c>
      <c r="T379" s="196" t="s">
        <v>1765</v>
      </c>
    </row>
    <row r="380">
      <c r="A380" s="182" t="s">
        <v>1678</v>
      </c>
      <c r="B380" s="203" t="s">
        <v>66</v>
      </c>
      <c r="C380" s="173" t="s">
        <v>66</v>
      </c>
      <c r="D380" s="173" t="s">
        <v>1679</v>
      </c>
      <c r="E380" s="196" t="s">
        <v>1679</v>
      </c>
      <c r="F380" s="185" t="s">
        <v>185</v>
      </c>
      <c r="G380" s="185" t="s">
        <v>1761</v>
      </c>
      <c r="H380" s="237" t="s">
        <v>1671</v>
      </c>
      <c r="I380" s="185" t="s">
        <v>1397</v>
      </c>
      <c r="J380" s="185" t="s">
        <v>1397</v>
      </c>
      <c r="K380" s="185" t="s">
        <v>1397</v>
      </c>
      <c r="L380" s="185" t="s">
        <v>85</v>
      </c>
      <c r="M380" s="196" t="s">
        <v>1947</v>
      </c>
      <c r="N380" s="185"/>
      <c r="O380" s="238"/>
      <c r="P380" s="239" t="s">
        <v>1777</v>
      </c>
      <c r="Q380" s="239" t="s">
        <v>1764</v>
      </c>
      <c r="R380" s="240" t="s">
        <v>1518</v>
      </c>
      <c r="S380" s="196" t="s">
        <v>1518</v>
      </c>
      <c r="T380" s="196" t="s">
        <v>1765</v>
      </c>
    </row>
    <row r="381">
      <c r="A381" s="182" t="s">
        <v>1680</v>
      </c>
      <c r="B381" s="203" t="s">
        <v>66</v>
      </c>
      <c r="C381" s="173" t="s">
        <v>66</v>
      </c>
      <c r="D381" s="173" t="s">
        <v>1681</v>
      </c>
      <c r="E381" s="196" t="s">
        <v>1681</v>
      </c>
      <c r="F381" s="185" t="s">
        <v>185</v>
      </c>
      <c r="G381" s="185" t="s">
        <v>1761</v>
      </c>
      <c r="H381" s="237" t="s">
        <v>1667</v>
      </c>
      <c r="I381" s="185" t="s">
        <v>1397</v>
      </c>
      <c r="J381" s="185" t="s">
        <v>1397</v>
      </c>
      <c r="K381" s="185" t="s">
        <v>1397</v>
      </c>
      <c r="L381" s="185" t="s">
        <v>85</v>
      </c>
      <c r="M381" s="196" t="s">
        <v>1947</v>
      </c>
      <c r="N381" s="185"/>
      <c r="O381" s="238"/>
      <c r="P381" s="239" t="s">
        <v>1777</v>
      </c>
      <c r="Q381" s="239" t="s">
        <v>1764</v>
      </c>
      <c r="R381" s="240" t="s">
        <v>1518</v>
      </c>
      <c r="S381" s="196" t="s">
        <v>1518</v>
      </c>
      <c r="T381" s="196" t="s">
        <v>1765</v>
      </c>
    </row>
    <row r="382">
      <c r="A382" s="182" t="s">
        <v>1682</v>
      </c>
      <c r="B382" s="203" t="s">
        <v>66</v>
      </c>
      <c r="C382" s="173" t="s">
        <v>66</v>
      </c>
      <c r="D382" s="173" t="s">
        <v>1683</v>
      </c>
      <c r="E382" s="196" t="s">
        <v>1683</v>
      </c>
      <c r="F382" s="185" t="s">
        <v>185</v>
      </c>
      <c r="G382" s="185" t="s">
        <v>1761</v>
      </c>
      <c r="H382" s="237" t="s">
        <v>1684</v>
      </c>
      <c r="I382" s="185" t="s">
        <v>1397</v>
      </c>
      <c r="J382" s="185" t="s">
        <v>1397</v>
      </c>
      <c r="K382" s="185" t="s">
        <v>1397</v>
      </c>
      <c r="L382" s="185" t="s">
        <v>85</v>
      </c>
      <c r="M382" s="196" t="s">
        <v>1947</v>
      </c>
      <c r="N382" s="185"/>
      <c r="O382" s="238"/>
      <c r="P382" s="239" t="s">
        <v>1777</v>
      </c>
      <c r="Q382" s="239" t="s">
        <v>1764</v>
      </c>
      <c r="R382" s="240" t="s">
        <v>1518</v>
      </c>
      <c r="S382" s="196" t="s">
        <v>1518</v>
      </c>
      <c r="T382" s="196" t="s">
        <v>1765</v>
      </c>
    </row>
    <row r="383">
      <c r="A383" s="182" t="s">
        <v>1685</v>
      </c>
      <c r="B383" s="203" t="s">
        <v>66</v>
      </c>
      <c r="C383" s="173" t="s">
        <v>66</v>
      </c>
      <c r="D383" s="173" t="s">
        <v>1686</v>
      </c>
      <c r="E383" s="196" t="s">
        <v>1686</v>
      </c>
      <c r="F383" s="185" t="s">
        <v>185</v>
      </c>
      <c r="G383" s="185" t="s">
        <v>1761</v>
      </c>
      <c r="H383" s="237" t="s">
        <v>1667</v>
      </c>
      <c r="I383" s="185" t="s">
        <v>1397</v>
      </c>
      <c r="J383" s="185" t="s">
        <v>1397</v>
      </c>
      <c r="K383" s="185" t="s">
        <v>1397</v>
      </c>
      <c r="L383" s="185" t="s">
        <v>85</v>
      </c>
      <c r="M383" s="196" t="s">
        <v>1947</v>
      </c>
      <c r="N383" s="185"/>
      <c r="O383" s="238"/>
      <c r="P383" s="239" t="s">
        <v>1777</v>
      </c>
      <c r="Q383" s="239" t="s">
        <v>1764</v>
      </c>
      <c r="R383" s="240" t="s">
        <v>1518</v>
      </c>
      <c r="S383" s="196" t="s">
        <v>1518</v>
      </c>
      <c r="T383" s="196" t="s">
        <v>1765</v>
      </c>
    </row>
    <row r="384">
      <c r="A384" s="182" t="s">
        <v>1687</v>
      </c>
      <c r="B384" s="203" t="s">
        <v>66</v>
      </c>
      <c r="C384" s="173" t="s">
        <v>66</v>
      </c>
      <c r="D384" s="173" t="s">
        <v>1688</v>
      </c>
      <c r="E384" s="196" t="s">
        <v>1688</v>
      </c>
      <c r="F384" s="185" t="s">
        <v>185</v>
      </c>
      <c r="G384" s="185" t="s">
        <v>1761</v>
      </c>
      <c r="H384" s="237" t="s">
        <v>1674</v>
      </c>
      <c r="I384" s="185" t="s">
        <v>1397</v>
      </c>
      <c r="J384" s="185" t="s">
        <v>1397</v>
      </c>
      <c r="K384" s="185" t="s">
        <v>1397</v>
      </c>
      <c r="L384" s="185" t="s">
        <v>85</v>
      </c>
      <c r="M384" s="196" t="s">
        <v>1947</v>
      </c>
      <c r="N384" s="185"/>
      <c r="O384" s="238"/>
      <c r="P384" s="239" t="s">
        <v>1777</v>
      </c>
      <c r="Q384" s="239" t="s">
        <v>1764</v>
      </c>
      <c r="R384" s="240" t="s">
        <v>1518</v>
      </c>
      <c r="S384" s="196" t="s">
        <v>1518</v>
      </c>
      <c r="T384" s="196" t="s">
        <v>1765</v>
      </c>
    </row>
    <row r="385">
      <c r="A385" s="182" t="s">
        <v>1689</v>
      </c>
      <c r="B385" s="203" t="s">
        <v>66</v>
      </c>
      <c r="C385" s="173" t="s">
        <v>66</v>
      </c>
      <c r="D385" s="173" t="s">
        <v>1690</v>
      </c>
      <c r="E385" s="196" t="s">
        <v>1690</v>
      </c>
      <c r="F385" s="185" t="s">
        <v>185</v>
      </c>
      <c r="G385" s="185" t="s">
        <v>1761</v>
      </c>
      <c r="H385" s="237" t="s">
        <v>1671</v>
      </c>
      <c r="I385" s="185" t="s">
        <v>1397</v>
      </c>
      <c r="J385" s="185" t="s">
        <v>1397</v>
      </c>
      <c r="K385" s="185" t="s">
        <v>1397</v>
      </c>
      <c r="L385" s="185" t="s">
        <v>85</v>
      </c>
      <c r="M385" s="196" t="s">
        <v>1947</v>
      </c>
      <c r="N385" s="185"/>
      <c r="O385" s="238"/>
      <c r="P385" s="239" t="s">
        <v>1777</v>
      </c>
      <c r="Q385" s="239" t="s">
        <v>1764</v>
      </c>
      <c r="R385" s="240" t="s">
        <v>1518</v>
      </c>
      <c r="S385" s="196" t="s">
        <v>1518</v>
      </c>
      <c r="T385" s="196" t="s">
        <v>1765</v>
      </c>
    </row>
    <row r="386">
      <c r="A386" s="182" t="s">
        <v>1691</v>
      </c>
      <c r="B386" s="203" t="s">
        <v>66</v>
      </c>
      <c r="C386" s="173" t="s">
        <v>66</v>
      </c>
      <c r="D386" s="173" t="s">
        <v>1692</v>
      </c>
      <c r="E386" s="196" t="s">
        <v>1692</v>
      </c>
      <c r="F386" s="185" t="s">
        <v>185</v>
      </c>
      <c r="G386" s="185" t="s">
        <v>1761</v>
      </c>
      <c r="H386" s="237" t="s">
        <v>1677</v>
      </c>
      <c r="I386" s="185" t="s">
        <v>1397</v>
      </c>
      <c r="J386" s="185" t="s">
        <v>1397</v>
      </c>
      <c r="K386" s="185" t="s">
        <v>1397</v>
      </c>
      <c r="L386" s="185" t="s">
        <v>85</v>
      </c>
      <c r="M386" s="196" t="s">
        <v>1947</v>
      </c>
      <c r="N386" s="185"/>
      <c r="O386" s="238"/>
      <c r="P386" s="239" t="s">
        <v>1777</v>
      </c>
      <c r="Q386" s="239" t="s">
        <v>1764</v>
      </c>
      <c r="R386" s="240" t="s">
        <v>1518</v>
      </c>
      <c r="S386" s="196" t="s">
        <v>1518</v>
      </c>
      <c r="T386" s="196" t="s">
        <v>1765</v>
      </c>
    </row>
    <row r="387">
      <c r="A387" s="182" t="s">
        <v>1693</v>
      </c>
      <c r="B387" s="203" t="s">
        <v>66</v>
      </c>
      <c r="C387" s="173" t="s">
        <v>66</v>
      </c>
      <c r="D387" s="173" t="s">
        <v>1694</v>
      </c>
      <c r="E387" s="196" t="s">
        <v>1694</v>
      </c>
      <c r="F387" s="185" t="s">
        <v>185</v>
      </c>
      <c r="G387" s="185" t="s">
        <v>1761</v>
      </c>
      <c r="H387" s="237" t="s">
        <v>1671</v>
      </c>
      <c r="I387" s="185" t="s">
        <v>1397</v>
      </c>
      <c r="J387" s="185" t="s">
        <v>1397</v>
      </c>
      <c r="K387" s="185" t="s">
        <v>1397</v>
      </c>
      <c r="L387" s="185" t="s">
        <v>85</v>
      </c>
      <c r="M387" s="196" t="s">
        <v>1947</v>
      </c>
      <c r="N387" s="185"/>
      <c r="O387" s="238"/>
      <c r="P387" s="239" t="s">
        <v>1777</v>
      </c>
      <c r="Q387" s="239" t="s">
        <v>1764</v>
      </c>
      <c r="R387" s="240" t="s">
        <v>1518</v>
      </c>
      <c r="S387" s="196" t="s">
        <v>1518</v>
      </c>
      <c r="T387" s="196" t="s">
        <v>1765</v>
      </c>
    </row>
    <row r="388">
      <c r="A388" s="182" t="s">
        <v>1695</v>
      </c>
      <c r="B388" s="203" t="s">
        <v>66</v>
      </c>
      <c r="C388" s="173" t="s">
        <v>66</v>
      </c>
      <c r="D388" s="173" t="s">
        <v>1696</v>
      </c>
      <c r="E388" s="196" t="s">
        <v>1696</v>
      </c>
      <c r="F388" s="185" t="s">
        <v>185</v>
      </c>
      <c r="G388" s="185" t="s">
        <v>1761</v>
      </c>
      <c r="H388" s="237" t="s">
        <v>1667</v>
      </c>
      <c r="I388" s="185" t="s">
        <v>1397</v>
      </c>
      <c r="J388" s="185" t="s">
        <v>1397</v>
      </c>
      <c r="K388" s="185" t="s">
        <v>1397</v>
      </c>
      <c r="L388" s="185" t="s">
        <v>85</v>
      </c>
      <c r="M388" s="196" t="s">
        <v>1947</v>
      </c>
      <c r="N388" s="185"/>
      <c r="O388" s="238"/>
      <c r="P388" s="239" t="s">
        <v>1777</v>
      </c>
      <c r="Q388" s="239" t="s">
        <v>1764</v>
      </c>
      <c r="R388" s="240" t="s">
        <v>1518</v>
      </c>
      <c r="S388" s="196" t="s">
        <v>1518</v>
      </c>
      <c r="T388" s="196" t="s">
        <v>1765</v>
      </c>
    </row>
    <row r="389">
      <c r="A389" s="182" t="s">
        <v>1697</v>
      </c>
      <c r="B389" s="203" t="s">
        <v>66</v>
      </c>
      <c r="C389" s="173" t="s">
        <v>66</v>
      </c>
      <c r="D389" s="173" t="s">
        <v>1698</v>
      </c>
      <c r="E389" s="196" t="s">
        <v>1698</v>
      </c>
      <c r="F389" s="185" t="s">
        <v>185</v>
      </c>
      <c r="G389" s="185" t="s">
        <v>1761</v>
      </c>
      <c r="H389" s="237" t="s">
        <v>1677</v>
      </c>
      <c r="I389" s="185" t="s">
        <v>1397</v>
      </c>
      <c r="J389" s="185" t="s">
        <v>1397</v>
      </c>
      <c r="K389" s="185" t="s">
        <v>1397</v>
      </c>
      <c r="L389" s="185" t="s">
        <v>85</v>
      </c>
      <c r="M389" s="196" t="s">
        <v>1947</v>
      </c>
      <c r="N389" s="185"/>
      <c r="O389" s="238"/>
      <c r="P389" s="239" t="s">
        <v>1777</v>
      </c>
      <c r="Q389" s="239" t="s">
        <v>1764</v>
      </c>
      <c r="R389" s="240" t="s">
        <v>1518</v>
      </c>
      <c r="S389" s="196" t="s">
        <v>1518</v>
      </c>
      <c r="T389" s="196" t="s">
        <v>1765</v>
      </c>
    </row>
    <row r="390">
      <c r="A390" s="182" t="s">
        <v>1699</v>
      </c>
      <c r="B390" s="203" t="s">
        <v>66</v>
      </c>
      <c r="C390" s="173" t="s">
        <v>66</v>
      </c>
      <c r="D390" s="173" t="s">
        <v>1700</v>
      </c>
      <c r="E390" s="196" t="s">
        <v>1700</v>
      </c>
      <c r="F390" s="185" t="s">
        <v>185</v>
      </c>
      <c r="G390" s="185" t="s">
        <v>1761</v>
      </c>
      <c r="H390" s="237" t="s">
        <v>1677</v>
      </c>
      <c r="I390" s="185" t="s">
        <v>1397</v>
      </c>
      <c r="J390" s="185" t="s">
        <v>1397</v>
      </c>
      <c r="K390" s="185" t="s">
        <v>1397</v>
      </c>
      <c r="L390" s="185" t="s">
        <v>85</v>
      </c>
      <c r="M390" s="196" t="s">
        <v>1947</v>
      </c>
      <c r="N390" s="185"/>
      <c r="O390" s="238"/>
      <c r="P390" s="239" t="s">
        <v>1777</v>
      </c>
      <c r="Q390" s="239" t="s">
        <v>1764</v>
      </c>
      <c r="R390" s="240" t="s">
        <v>1518</v>
      </c>
      <c r="S390" s="196" t="s">
        <v>1518</v>
      </c>
      <c r="T390" s="196" t="s">
        <v>1765</v>
      </c>
    </row>
    <row r="391">
      <c r="A391" s="182" t="s">
        <v>1701</v>
      </c>
      <c r="B391" s="203" t="s">
        <v>66</v>
      </c>
      <c r="C391" s="173" t="s">
        <v>66</v>
      </c>
      <c r="D391" s="173" t="s">
        <v>1702</v>
      </c>
      <c r="E391" s="196" t="s">
        <v>1702</v>
      </c>
      <c r="F391" s="185" t="s">
        <v>185</v>
      </c>
      <c r="G391" s="185" t="s">
        <v>1761</v>
      </c>
      <c r="H391" s="237" t="s">
        <v>1674</v>
      </c>
      <c r="I391" s="185" t="s">
        <v>1397</v>
      </c>
      <c r="J391" s="185" t="s">
        <v>1397</v>
      </c>
      <c r="K391" s="185" t="s">
        <v>1397</v>
      </c>
      <c r="L391" s="185" t="s">
        <v>85</v>
      </c>
      <c r="M391" s="196" t="s">
        <v>1947</v>
      </c>
      <c r="N391" s="185"/>
      <c r="O391" s="238"/>
      <c r="P391" s="239" t="s">
        <v>1777</v>
      </c>
      <c r="Q391" s="239" t="s">
        <v>1764</v>
      </c>
      <c r="R391" s="240" t="s">
        <v>1518</v>
      </c>
      <c r="S391" s="196" t="s">
        <v>1518</v>
      </c>
      <c r="T391" s="196" t="s">
        <v>1765</v>
      </c>
    </row>
    <row r="392">
      <c r="A392" s="182" t="s">
        <v>1703</v>
      </c>
      <c r="B392" s="203" t="s">
        <v>66</v>
      </c>
      <c r="C392" s="173" t="s">
        <v>66</v>
      </c>
      <c r="D392" s="173" t="s">
        <v>1704</v>
      </c>
      <c r="E392" s="196" t="s">
        <v>1704</v>
      </c>
      <c r="F392" s="185" t="s">
        <v>185</v>
      </c>
      <c r="G392" s="185" t="s">
        <v>1761</v>
      </c>
      <c r="H392" s="237" t="s">
        <v>1677</v>
      </c>
      <c r="I392" s="185" t="s">
        <v>1397</v>
      </c>
      <c r="J392" s="185" t="s">
        <v>1397</v>
      </c>
      <c r="K392" s="185" t="s">
        <v>1397</v>
      </c>
      <c r="L392" s="185" t="s">
        <v>85</v>
      </c>
      <c r="M392" s="196" t="s">
        <v>1947</v>
      </c>
      <c r="N392" s="185"/>
      <c r="O392" s="238"/>
      <c r="P392" s="239" t="s">
        <v>1777</v>
      </c>
      <c r="Q392" s="239" t="s">
        <v>1764</v>
      </c>
      <c r="R392" s="240" t="s">
        <v>1518</v>
      </c>
      <c r="S392" s="196" t="s">
        <v>1518</v>
      </c>
      <c r="T392" s="196" t="s">
        <v>1765</v>
      </c>
    </row>
    <row r="393">
      <c r="A393" s="182" t="s">
        <v>1705</v>
      </c>
      <c r="B393" s="203" t="s">
        <v>66</v>
      </c>
      <c r="C393" s="173" t="s">
        <v>66</v>
      </c>
      <c r="D393" s="173" t="s">
        <v>1706</v>
      </c>
      <c r="E393" s="196" t="s">
        <v>1706</v>
      </c>
      <c r="F393" s="185" t="s">
        <v>185</v>
      </c>
      <c r="G393" s="185" t="s">
        <v>1761</v>
      </c>
      <c r="H393" s="237" t="s">
        <v>1667</v>
      </c>
      <c r="I393" s="185" t="s">
        <v>1397</v>
      </c>
      <c r="J393" s="185" t="s">
        <v>1397</v>
      </c>
      <c r="K393" s="185" t="s">
        <v>1397</v>
      </c>
      <c r="L393" s="185" t="s">
        <v>85</v>
      </c>
      <c r="M393" s="196" t="s">
        <v>1947</v>
      </c>
      <c r="N393" s="185"/>
      <c r="O393" s="238"/>
      <c r="P393" s="239" t="s">
        <v>1777</v>
      </c>
      <c r="Q393" s="239" t="s">
        <v>1764</v>
      </c>
      <c r="R393" s="240" t="s">
        <v>1518</v>
      </c>
      <c r="S393" s="196" t="s">
        <v>1518</v>
      </c>
      <c r="T393" s="196" t="s">
        <v>1765</v>
      </c>
    </row>
    <row r="394">
      <c r="A394" s="182" t="s">
        <v>1707</v>
      </c>
      <c r="B394" s="203" t="s">
        <v>66</v>
      </c>
      <c r="C394" s="173" t="s">
        <v>66</v>
      </c>
      <c r="D394" s="173" t="s">
        <v>1708</v>
      </c>
      <c r="E394" s="196" t="s">
        <v>1708</v>
      </c>
      <c r="F394" s="185" t="s">
        <v>185</v>
      </c>
      <c r="G394" s="185" t="s">
        <v>694</v>
      </c>
      <c r="H394" s="237">
        <v>15.0</v>
      </c>
      <c r="I394" s="185" t="s">
        <v>1397</v>
      </c>
      <c r="J394" s="185" t="s">
        <v>1397</v>
      </c>
      <c r="K394" s="185" t="s">
        <v>1397</v>
      </c>
      <c r="L394" s="185" t="s">
        <v>85</v>
      </c>
      <c r="M394" s="196" t="s">
        <v>1947</v>
      </c>
      <c r="N394" s="185"/>
      <c r="O394" s="238"/>
      <c r="P394" s="239" t="s">
        <v>1777</v>
      </c>
      <c r="Q394" s="239" t="s">
        <v>1764</v>
      </c>
      <c r="R394" s="240" t="s">
        <v>1518</v>
      </c>
      <c r="S394" s="196" t="s">
        <v>1518</v>
      </c>
      <c r="T394" s="196" t="s">
        <v>1765</v>
      </c>
    </row>
    <row r="395">
      <c r="A395" s="182" t="s">
        <v>1711</v>
      </c>
      <c r="B395" s="203" t="s">
        <v>66</v>
      </c>
      <c r="C395" s="173" t="s">
        <v>66</v>
      </c>
      <c r="D395" s="173" t="s">
        <v>1712</v>
      </c>
      <c r="E395" s="196" t="s">
        <v>1712</v>
      </c>
      <c r="F395" s="185" t="s">
        <v>185</v>
      </c>
      <c r="G395" s="185" t="s">
        <v>694</v>
      </c>
      <c r="H395" s="237">
        <v>15.0</v>
      </c>
      <c r="I395" s="185" t="s">
        <v>1397</v>
      </c>
      <c r="J395" s="185" t="s">
        <v>1397</v>
      </c>
      <c r="K395" s="185" t="s">
        <v>1397</v>
      </c>
      <c r="L395" s="185" t="s">
        <v>85</v>
      </c>
      <c r="M395" s="196" t="s">
        <v>1947</v>
      </c>
      <c r="N395" s="185"/>
      <c r="O395" s="238"/>
      <c r="P395" s="239" t="s">
        <v>1777</v>
      </c>
      <c r="Q395" s="239" t="s">
        <v>1764</v>
      </c>
      <c r="R395" s="240" t="s">
        <v>1518</v>
      </c>
      <c r="S395" s="196" t="s">
        <v>1518</v>
      </c>
      <c r="T395" s="196" t="s">
        <v>1765</v>
      </c>
    </row>
    <row r="396">
      <c r="A396" s="182" t="s">
        <v>1713</v>
      </c>
      <c r="B396" s="203" t="s">
        <v>66</v>
      </c>
      <c r="C396" s="173" t="s">
        <v>66</v>
      </c>
      <c r="D396" s="173" t="s">
        <v>1714</v>
      </c>
      <c r="E396" s="196" t="s">
        <v>1714</v>
      </c>
      <c r="F396" s="185" t="s">
        <v>185</v>
      </c>
      <c r="G396" s="185" t="s">
        <v>694</v>
      </c>
      <c r="H396" s="237">
        <v>15.0</v>
      </c>
      <c r="I396" s="185" t="s">
        <v>1397</v>
      </c>
      <c r="J396" s="185" t="s">
        <v>1397</v>
      </c>
      <c r="K396" s="185" t="s">
        <v>1397</v>
      </c>
      <c r="L396" s="185" t="s">
        <v>85</v>
      </c>
      <c r="M396" s="196" t="s">
        <v>1947</v>
      </c>
      <c r="N396" s="185"/>
      <c r="O396" s="238"/>
      <c r="P396" s="239" t="s">
        <v>1777</v>
      </c>
      <c r="Q396" s="239" t="s">
        <v>1764</v>
      </c>
      <c r="R396" s="240" t="s">
        <v>1518</v>
      </c>
      <c r="S396" s="196" t="s">
        <v>1518</v>
      </c>
      <c r="T396" s="196" t="s">
        <v>1765</v>
      </c>
    </row>
    <row r="397">
      <c r="A397" s="182" t="s">
        <v>1715</v>
      </c>
      <c r="B397" s="203" t="s">
        <v>66</v>
      </c>
      <c r="C397" s="173" t="s">
        <v>66</v>
      </c>
      <c r="D397" s="173" t="s">
        <v>1716</v>
      </c>
      <c r="E397" s="196" t="s">
        <v>1716</v>
      </c>
      <c r="F397" s="185" t="s">
        <v>185</v>
      </c>
      <c r="G397" s="185" t="s">
        <v>694</v>
      </c>
      <c r="H397" s="237">
        <v>15.0</v>
      </c>
      <c r="I397" s="185" t="s">
        <v>1397</v>
      </c>
      <c r="J397" s="185" t="s">
        <v>1397</v>
      </c>
      <c r="K397" s="185" t="s">
        <v>1397</v>
      </c>
      <c r="L397" s="185" t="s">
        <v>85</v>
      </c>
      <c r="M397" s="196" t="s">
        <v>1947</v>
      </c>
      <c r="N397" s="185"/>
      <c r="O397" s="238"/>
      <c r="P397" s="239" t="s">
        <v>1777</v>
      </c>
      <c r="Q397" s="239" t="s">
        <v>1764</v>
      </c>
      <c r="R397" s="240" t="s">
        <v>1518</v>
      </c>
      <c r="S397" s="196" t="s">
        <v>1518</v>
      </c>
      <c r="T397" s="196" t="s">
        <v>1765</v>
      </c>
    </row>
    <row r="398">
      <c r="A398" s="182" t="s">
        <v>1717</v>
      </c>
      <c r="B398" s="203" t="s">
        <v>66</v>
      </c>
      <c r="C398" s="173" t="s">
        <v>66</v>
      </c>
      <c r="D398" s="173" t="s">
        <v>1718</v>
      </c>
      <c r="E398" s="196" t="s">
        <v>1718</v>
      </c>
      <c r="F398" s="185" t="s">
        <v>185</v>
      </c>
      <c r="G398" s="185" t="s">
        <v>694</v>
      </c>
      <c r="H398" s="237">
        <v>15.0</v>
      </c>
      <c r="I398" s="185" t="s">
        <v>1397</v>
      </c>
      <c r="J398" s="185" t="s">
        <v>1397</v>
      </c>
      <c r="K398" s="185" t="s">
        <v>1397</v>
      </c>
      <c r="L398" s="185" t="s">
        <v>85</v>
      </c>
      <c r="M398" s="196" t="s">
        <v>1947</v>
      </c>
      <c r="N398" s="185"/>
      <c r="O398" s="238"/>
      <c r="P398" s="239" t="s">
        <v>1777</v>
      </c>
      <c r="Q398" s="239" t="s">
        <v>1764</v>
      </c>
      <c r="R398" s="240" t="s">
        <v>1518</v>
      </c>
      <c r="S398" s="196" t="s">
        <v>1518</v>
      </c>
      <c r="T398" s="196" t="s">
        <v>1765</v>
      </c>
    </row>
    <row r="399">
      <c r="A399" s="182" t="s">
        <v>1719</v>
      </c>
      <c r="B399" s="203" t="s">
        <v>66</v>
      </c>
      <c r="C399" s="173" t="s">
        <v>66</v>
      </c>
      <c r="D399" s="173" t="s">
        <v>1720</v>
      </c>
      <c r="E399" s="196" t="s">
        <v>1720</v>
      </c>
      <c r="F399" s="185" t="s">
        <v>185</v>
      </c>
      <c r="G399" s="185" t="s">
        <v>694</v>
      </c>
      <c r="H399" s="237">
        <v>15.0</v>
      </c>
      <c r="I399" s="185" t="s">
        <v>1397</v>
      </c>
      <c r="J399" s="185" t="s">
        <v>1397</v>
      </c>
      <c r="K399" s="185" t="s">
        <v>1397</v>
      </c>
      <c r="L399" s="185" t="s">
        <v>85</v>
      </c>
      <c r="M399" s="196" t="s">
        <v>1947</v>
      </c>
      <c r="N399" s="185"/>
      <c r="O399" s="238"/>
      <c r="P399" s="239" t="s">
        <v>1777</v>
      </c>
      <c r="Q399" s="239" t="s">
        <v>1764</v>
      </c>
      <c r="R399" s="240" t="s">
        <v>1518</v>
      </c>
      <c r="S399" s="196" t="s">
        <v>1518</v>
      </c>
      <c r="T399" s="196" t="s">
        <v>1765</v>
      </c>
    </row>
    <row r="400">
      <c r="A400" s="182" t="s">
        <v>1721</v>
      </c>
      <c r="B400" s="203" t="s">
        <v>66</v>
      </c>
      <c r="C400" s="173" t="s">
        <v>66</v>
      </c>
      <c r="D400" s="173" t="s">
        <v>1722</v>
      </c>
      <c r="E400" s="196" t="s">
        <v>1722</v>
      </c>
      <c r="F400" s="185" t="s">
        <v>185</v>
      </c>
      <c r="G400" s="185" t="s">
        <v>694</v>
      </c>
      <c r="H400" s="237">
        <v>15.0</v>
      </c>
      <c r="I400" s="185" t="s">
        <v>1397</v>
      </c>
      <c r="J400" s="185" t="s">
        <v>1397</v>
      </c>
      <c r="K400" s="185" t="s">
        <v>1397</v>
      </c>
      <c r="L400" s="185" t="s">
        <v>85</v>
      </c>
      <c r="M400" s="196" t="s">
        <v>1947</v>
      </c>
      <c r="N400" s="185"/>
      <c r="O400" s="238"/>
      <c r="P400" s="239" t="s">
        <v>1777</v>
      </c>
      <c r="Q400" s="239" t="s">
        <v>1764</v>
      </c>
      <c r="R400" s="240" t="s">
        <v>1518</v>
      </c>
      <c r="S400" s="196" t="s">
        <v>1518</v>
      </c>
      <c r="T400" s="196" t="s">
        <v>1765</v>
      </c>
    </row>
    <row r="401">
      <c r="A401" s="182" t="s">
        <v>1723</v>
      </c>
      <c r="B401" s="203" t="s">
        <v>66</v>
      </c>
      <c r="C401" s="173" t="s">
        <v>66</v>
      </c>
      <c r="D401" s="173" t="s">
        <v>1724</v>
      </c>
      <c r="E401" s="196" t="s">
        <v>1724</v>
      </c>
      <c r="F401" s="185" t="s">
        <v>185</v>
      </c>
      <c r="G401" s="185" t="s">
        <v>694</v>
      </c>
      <c r="H401" s="237">
        <v>15.0</v>
      </c>
      <c r="I401" s="185" t="s">
        <v>1397</v>
      </c>
      <c r="J401" s="185" t="s">
        <v>1397</v>
      </c>
      <c r="K401" s="185" t="s">
        <v>1397</v>
      </c>
      <c r="L401" s="185" t="s">
        <v>85</v>
      </c>
      <c r="M401" s="196" t="s">
        <v>1947</v>
      </c>
      <c r="N401" s="185"/>
      <c r="O401" s="238"/>
      <c r="P401" s="239" t="s">
        <v>1777</v>
      </c>
      <c r="Q401" s="239" t="s">
        <v>1764</v>
      </c>
      <c r="R401" s="240" t="s">
        <v>1518</v>
      </c>
      <c r="S401" s="196" t="s">
        <v>1518</v>
      </c>
      <c r="T401" s="196" t="s">
        <v>1765</v>
      </c>
    </row>
    <row r="402">
      <c r="A402" s="182" t="s">
        <v>1725</v>
      </c>
      <c r="B402" s="203" t="s">
        <v>66</v>
      </c>
      <c r="C402" s="173" t="s">
        <v>66</v>
      </c>
      <c r="D402" s="173" t="s">
        <v>1726</v>
      </c>
      <c r="E402" s="196" t="s">
        <v>1726</v>
      </c>
      <c r="F402" s="185" t="s">
        <v>185</v>
      </c>
      <c r="G402" s="185" t="s">
        <v>694</v>
      </c>
      <c r="H402" s="237">
        <v>15.0</v>
      </c>
      <c r="I402" s="185" t="s">
        <v>1397</v>
      </c>
      <c r="J402" s="185" t="s">
        <v>1397</v>
      </c>
      <c r="K402" s="185" t="s">
        <v>1397</v>
      </c>
      <c r="L402" s="185" t="s">
        <v>85</v>
      </c>
      <c r="M402" s="196" t="s">
        <v>1947</v>
      </c>
      <c r="N402" s="185"/>
      <c r="O402" s="238"/>
      <c r="P402" s="239" t="s">
        <v>1777</v>
      </c>
      <c r="Q402" s="239" t="s">
        <v>1764</v>
      </c>
      <c r="R402" s="240" t="s">
        <v>1518</v>
      </c>
      <c r="S402" s="196" t="s">
        <v>1518</v>
      </c>
      <c r="T402" s="196" t="s">
        <v>1765</v>
      </c>
    </row>
    <row r="403">
      <c r="A403" s="182" t="s">
        <v>1727</v>
      </c>
      <c r="B403" s="203" t="s">
        <v>66</v>
      </c>
      <c r="C403" s="173" t="s">
        <v>66</v>
      </c>
      <c r="D403" s="173" t="s">
        <v>1728</v>
      </c>
      <c r="E403" s="196" t="s">
        <v>1728</v>
      </c>
      <c r="F403" s="185" t="s">
        <v>185</v>
      </c>
      <c r="G403" s="185" t="s">
        <v>694</v>
      </c>
      <c r="H403" s="237">
        <v>15.0</v>
      </c>
      <c r="I403" s="185" t="s">
        <v>1397</v>
      </c>
      <c r="J403" s="185" t="s">
        <v>1397</v>
      </c>
      <c r="K403" s="185" t="s">
        <v>1397</v>
      </c>
      <c r="L403" s="185" t="s">
        <v>85</v>
      </c>
      <c r="M403" s="196" t="s">
        <v>1947</v>
      </c>
      <c r="N403" s="185"/>
      <c r="O403" s="238"/>
      <c r="P403" s="239" t="s">
        <v>1777</v>
      </c>
      <c r="Q403" s="239" t="s">
        <v>1764</v>
      </c>
      <c r="R403" s="240" t="s">
        <v>1518</v>
      </c>
      <c r="S403" s="196" t="s">
        <v>1518</v>
      </c>
      <c r="T403" s="196" t="s">
        <v>1765</v>
      </c>
    </row>
    <row r="404">
      <c r="A404" s="182" t="s">
        <v>1729</v>
      </c>
      <c r="B404" s="203" t="s">
        <v>66</v>
      </c>
      <c r="C404" s="173" t="s">
        <v>66</v>
      </c>
      <c r="D404" s="173" t="s">
        <v>1730</v>
      </c>
      <c r="E404" s="196" t="s">
        <v>1730</v>
      </c>
      <c r="F404" s="185" t="s">
        <v>185</v>
      </c>
      <c r="G404" s="185" t="s">
        <v>694</v>
      </c>
      <c r="H404" s="237">
        <v>15.0</v>
      </c>
      <c r="I404" s="185" t="s">
        <v>1397</v>
      </c>
      <c r="J404" s="185" t="s">
        <v>1397</v>
      </c>
      <c r="K404" s="185" t="s">
        <v>1397</v>
      </c>
      <c r="L404" s="185" t="s">
        <v>85</v>
      </c>
      <c r="M404" s="196" t="s">
        <v>1947</v>
      </c>
      <c r="N404" s="185"/>
      <c r="O404" s="238"/>
      <c r="P404" s="239" t="s">
        <v>1777</v>
      </c>
      <c r="Q404" s="239" t="s">
        <v>1764</v>
      </c>
      <c r="R404" s="240" t="s">
        <v>1518</v>
      </c>
      <c r="S404" s="196" t="s">
        <v>1518</v>
      </c>
      <c r="T404" s="196" t="s">
        <v>1765</v>
      </c>
    </row>
    <row r="405">
      <c r="A405" s="182" t="s">
        <v>1731</v>
      </c>
      <c r="B405" s="203" t="s">
        <v>66</v>
      </c>
      <c r="C405" s="173" t="s">
        <v>66</v>
      </c>
      <c r="D405" s="173" t="s">
        <v>1732</v>
      </c>
      <c r="E405" s="196" t="s">
        <v>1732</v>
      </c>
      <c r="F405" s="185" t="s">
        <v>185</v>
      </c>
      <c r="G405" s="185" t="s">
        <v>694</v>
      </c>
      <c r="H405" s="237">
        <v>15.0</v>
      </c>
      <c r="I405" s="185" t="s">
        <v>1397</v>
      </c>
      <c r="J405" s="185" t="s">
        <v>1397</v>
      </c>
      <c r="K405" s="185" t="s">
        <v>1397</v>
      </c>
      <c r="L405" s="185" t="s">
        <v>85</v>
      </c>
      <c r="M405" s="196" t="s">
        <v>1947</v>
      </c>
      <c r="N405" s="185"/>
      <c r="O405" s="238"/>
      <c r="P405" s="239" t="s">
        <v>1777</v>
      </c>
      <c r="Q405" s="239" t="s">
        <v>1764</v>
      </c>
      <c r="R405" s="240" t="s">
        <v>1518</v>
      </c>
      <c r="S405" s="196" t="s">
        <v>1518</v>
      </c>
      <c r="T405" s="196" t="s">
        <v>1765</v>
      </c>
    </row>
    <row r="406">
      <c r="A406" s="182" t="s">
        <v>1733</v>
      </c>
      <c r="B406" s="203" t="s">
        <v>66</v>
      </c>
      <c r="C406" s="173" t="s">
        <v>66</v>
      </c>
      <c r="D406" s="173" t="s">
        <v>1734</v>
      </c>
      <c r="E406" s="196" t="s">
        <v>1734</v>
      </c>
      <c r="F406" s="185" t="s">
        <v>185</v>
      </c>
      <c r="G406" s="185" t="s">
        <v>694</v>
      </c>
      <c r="H406" s="237">
        <v>15.0</v>
      </c>
      <c r="I406" s="185" t="s">
        <v>1397</v>
      </c>
      <c r="J406" s="185" t="s">
        <v>1397</v>
      </c>
      <c r="K406" s="185" t="s">
        <v>1397</v>
      </c>
      <c r="L406" s="185" t="s">
        <v>85</v>
      </c>
      <c r="M406" s="196" t="s">
        <v>1947</v>
      </c>
      <c r="N406" s="185"/>
      <c r="O406" s="238"/>
      <c r="P406" s="239" t="s">
        <v>1777</v>
      </c>
      <c r="Q406" s="239" t="s">
        <v>1764</v>
      </c>
      <c r="R406" s="240" t="s">
        <v>1518</v>
      </c>
      <c r="S406" s="196" t="s">
        <v>1518</v>
      </c>
      <c r="T406" s="196" t="s">
        <v>1765</v>
      </c>
    </row>
    <row r="407">
      <c r="A407" s="182" t="s">
        <v>1735</v>
      </c>
      <c r="B407" s="203" t="s">
        <v>66</v>
      </c>
      <c r="C407" s="173" t="s">
        <v>66</v>
      </c>
      <c r="D407" s="173" t="s">
        <v>1736</v>
      </c>
      <c r="E407" s="196" t="s">
        <v>1736</v>
      </c>
      <c r="F407" s="185" t="s">
        <v>185</v>
      </c>
      <c r="G407" s="185" t="s">
        <v>694</v>
      </c>
      <c r="H407" s="237">
        <v>15.0</v>
      </c>
      <c r="I407" s="185" t="s">
        <v>1397</v>
      </c>
      <c r="J407" s="185" t="s">
        <v>1397</v>
      </c>
      <c r="K407" s="185" t="s">
        <v>1397</v>
      </c>
      <c r="L407" s="185" t="s">
        <v>85</v>
      </c>
      <c r="M407" s="196" t="s">
        <v>1947</v>
      </c>
      <c r="N407" s="185"/>
      <c r="O407" s="238"/>
      <c r="P407" s="239" t="s">
        <v>1777</v>
      </c>
      <c r="Q407" s="239" t="s">
        <v>1764</v>
      </c>
      <c r="R407" s="240" t="s">
        <v>1518</v>
      </c>
      <c r="S407" s="196" t="s">
        <v>1518</v>
      </c>
      <c r="T407" s="196" t="s">
        <v>1765</v>
      </c>
    </row>
    <row r="408">
      <c r="A408" s="182" t="s">
        <v>1737</v>
      </c>
      <c r="B408" s="203" t="s">
        <v>66</v>
      </c>
      <c r="C408" s="173" t="s">
        <v>66</v>
      </c>
      <c r="D408" s="173" t="s">
        <v>1738</v>
      </c>
      <c r="E408" s="196" t="s">
        <v>1738</v>
      </c>
      <c r="F408" s="185" t="s">
        <v>185</v>
      </c>
      <c r="G408" s="185" t="s">
        <v>694</v>
      </c>
      <c r="H408" s="237">
        <v>15.0</v>
      </c>
      <c r="I408" s="185" t="s">
        <v>1397</v>
      </c>
      <c r="J408" s="185" t="s">
        <v>1397</v>
      </c>
      <c r="K408" s="185" t="s">
        <v>1397</v>
      </c>
      <c r="L408" s="185" t="s">
        <v>85</v>
      </c>
      <c r="M408" s="196" t="s">
        <v>1947</v>
      </c>
      <c r="N408" s="185"/>
      <c r="O408" s="238"/>
      <c r="P408" s="239" t="s">
        <v>1777</v>
      </c>
      <c r="Q408" s="239" t="s">
        <v>1764</v>
      </c>
      <c r="R408" s="240" t="s">
        <v>1518</v>
      </c>
      <c r="S408" s="196" t="s">
        <v>1518</v>
      </c>
      <c r="T408" s="196" t="s">
        <v>1765</v>
      </c>
    </row>
    <row r="409">
      <c r="A409" s="182" t="s">
        <v>1739</v>
      </c>
      <c r="B409" s="203" t="s">
        <v>66</v>
      </c>
      <c r="C409" s="173" t="s">
        <v>66</v>
      </c>
      <c r="D409" s="173" t="s">
        <v>1740</v>
      </c>
      <c r="E409" s="196" t="s">
        <v>1740</v>
      </c>
      <c r="F409" s="185" t="s">
        <v>185</v>
      </c>
      <c r="G409" s="185" t="s">
        <v>694</v>
      </c>
      <c r="H409" s="237">
        <v>15.0</v>
      </c>
      <c r="I409" s="185" t="s">
        <v>1397</v>
      </c>
      <c r="J409" s="185" t="s">
        <v>1397</v>
      </c>
      <c r="K409" s="185" t="s">
        <v>1397</v>
      </c>
      <c r="L409" s="185" t="s">
        <v>85</v>
      </c>
      <c r="M409" s="196" t="s">
        <v>1947</v>
      </c>
      <c r="N409" s="185"/>
      <c r="O409" s="238"/>
      <c r="P409" s="239" t="s">
        <v>1777</v>
      </c>
      <c r="Q409" s="239" t="s">
        <v>1764</v>
      </c>
      <c r="R409" s="240" t="s">
        <v>1518</v>
      </c>
      <c r="S409" s="196" t="s">
        <v>1518</v>
      </c>
      <c r="T409" s="196" t="s">
        <v>1765</v>
      </c>
    </row>
    <row r="410">
      <c r="A410" s="182" t="s">
        <v>1741</v>
      </c>
      <c r="B410" s="203" t="s">
        <v>66</v>
      </c>
      <c r="C410" s="173" t="s">
        <v>66</v>
      </c>
      <c r="D410" s="173" t="s">
        <v>1742</v>
      </c>
      <c r="E410" s="196" t="s">
        <v>1742</v>
      </c>
      <c r="F410" s="185" t="s">
        <v>185</v>
      </c>
      <c r="G410" s="185" t="s">
        <v>694</v>
      </c>
      <c r="H410" s="237">
        <v>15.0</v>
      </c>
      <c r="I410" s="185" t="s">
        <v>1397</v>
      </c>
      <c r="J410" s="185" t="s">
        <v>1397</v>
      </c>
      <c r="K410" s="185" t="s">
        <v>1397</v>
      </c>
      <c r="L410" s="185" t="s">
        <v>85</v>
      </c>
      <c r="M410" s="196" t="s">
        <v>1947</v>
      </c>
      <c r="N410" s="185"/>
      <c r="O410" s="238"/>
      <c r="P410" s="239" t="s">
        <v>1777</v>
      </c>
      <c r="Q410" s="239" t="s">
        <v>1764</v>
      </c>
      <c r="R410" s="240" t="s">
        <v>1518</v>
      </c>
      <c r="S410" s="196" t="s">
        <v>1518</v>
      </c>
      <c r="T410" s="196" t="s">
        <v>1765</v>
      </c>
    </row>
    <row r="411">
      <c r="A411" s="182" t="s">
        <v>1743</v>
      </c>
      <c r="B411" s="203" t="s">
        <v>66</v>
      </c>
      <c r="C411" s="173" t="s">
        <v>66</v>
      </c>
      <c r="D411" s="173" t="s">
        <v>1744</v>
      </c>
      <c r="E411" s="196" t="s">
        <v>1744</v>
      </c>
      <c r="F411" s="185" t="s">
        <v>185</v>
      </c>
      <c r="G411" s="185" t="s">
        <v>694</v>
      </c>
      <c r="H411" s="237">
        <v>15.0</v>
      </c>
      <c r="I411" s="185" t="s">
        <v>1397</v>
      </c>
      <c r="J411" s="185" t="s">
        <v>1397</v>
      </c>
      <c r="K411" s="185" t="s">
        <v>1397</v>
      </c>
      <c r="L411" s="185" t="s">
        <v>85</v>
      </c>
      <c r="M411" s="196" t="s">
        <v>1947</v>
      </c>
      <c r="N411" s="185"/>
      <c r="O411" s="238"/>
      <c r="P411" s="239" t="s">
        <v>1777</v>
      </c>
      <c r="Q411" s="239" t="s">
        <v>1764</v>
      </c>
      <c r="R411" s="240" t="s">
        <v>1518</v>
      </c>
      <c r="S411" s="196" t="s">
        <v>1518</v>
      </c>
      <c r="T411" s="196" t="s">
        <v>1765</v>
      </c>
    </row>
    <row r="412">
      <c r="A412" s="182" t="s">
        <v>1745</v>
      </c>
      <c r="B412" s="203" t="s">
        <v>66</v>
      </c>
      <c r="C412" s="173" t="s">
        <v>66</v>
      </c>
      <c r="D412" s="173" t="s">
        <v>1746</v>
      </c>
      <c r="E412" s="196" t="s">
        <v>1746</v>
      </c>
      <c r="F412" s="185" t="s">
        <v>185</v>
      </c>
      <c r="G412" s="185" t="s">
        <v>768</v>
      </c>
      <c r="H412" s="237">
        <v>543.0</v>
      </c>
      <c r="I412" s="185" t="s">
        <v>1397</v>
      </c>
      <c r="J412" s="185" t="s">
        <v>1397</v>
      </c>
      <c r="K412" s="185" t="s">
        <v>1397</v>
      </c>
      <c r="L412" s="185" t="s">
        <v>85</v>
      </c>
      <c r="M412" s="196" t="s">
        <v>1947</v>
      </c>
      <c r="N412" s="185"/>
      <c r="O412" s="238"/>
      <c r="P412" s="239" t="s">
        <v>1763</v>
      </c>
      <c r="Q412" s="239" t="s">
        <v>1764</v>
      </c>
      <c r="R412" s="240" t="s">
        <v>1518</v>
      </c>
      <c r="S412" s="196" t="s">
        <v>1518</v>
      </c>
      <c r="T412" s="196" t="s">
        <v>1765</v>
      </c>
    </row>
    <row r="413">
      <c r="A413" s="182" t="s">
        <v>1748</v>
      </c>
      <c r="B413" s="203" t="s">
        <v>66</v>
      </c>
      <c r="C413" s="173" t="s">
        <v>66</v>
      </c>
      <c r="D413" s="173" t="s">
        <v>1749</v>
      </c>
      <c r="E413" s="196" t="s">
        <v>1749</v>
      </c>
      <c r="F413" s="185" t="s">
        <v>185</v>
      </c>
      <c r="G413" s="185" t="s">
        <v>768</v>
      </c>
      <c r="H413" s="237">
        <v>145.0</v>
      </c>
      <c r="I413" s="185" t="s">
        <v>1397</v>
      </c>
      <c r="J413" s="185" t="s">
        <v>1397</v>
      </c>
      <c r="K413" s="185" t="s">
        <v>1397</v>
      </c>
      <c r="L413" s="185" t="s">
        <v>85</v>
      </c>
      <c r="M413" s="196" t="s">
        <v>1947</v>
      </c>
      <c r="N413" s="185"/>
      <c r="O413" s="238"/>
      <c r="P413" s="239" t="s">
        <v>1763</v>
      </c>
      <c r="Q413" s="239" t="s">
        <v>1764</v>
      </c>
      <c r="R413" s="240" t="s">
        <v>1518</v>
      </c>
      <c r="S413" s="196" t="s">
        <v>1518</v>
      </c>
      <c r="T413" s="196" t="s">
        <v>1765</v>
      </c>
    </row>
    <row r="414">
      <c r="A414" s="182" t="s">
        <v>1750</v>
      </c>
      <c r="B414" s="203" t="s">
        <v>66</v>
      </c>
      <c r="C414" s="173" t="s">
        <v>66</v>
      </c>
      <c r="D414" s="173" t="s">
        <v>1948</v>
      </c>
      <c r="E414" s="196" t="s">
        <v>1751</v>
      </c>
      <c r="F414" s="185" t="s">
        <v>185</v>
      </c>
      <c r="G414" s="185" t="s">
        <v>698</v>
      </c>
      <c r="H414" s="237">
        <v>40610.333333333336</v>
      </c>
      <c r="I414" s="185" t="s">
        <v>1752</v>
      </c>
      <c r="J414" s="185" t="s">
        <v>1753</v>
      </c>
      <c r="K414" s="185" t="s">
        <v>1752</v>
      </c>
      <c r="L414" s="185" t="s">
        <v>85</v>
      </c>
      <c r="M414" s="196" t="s">
        <v>1947</v>
      </c>
      <c r="N414" s="185"/>
      <c r="O414" s="238"/>
      <c r="P414" s="239" t="s">
        <v>1763</v>
      </c>
      <c r="Q414" s="239" t="s">
        <v>1764</v>
      </c>
      <c r="R414" s="240" t="s">
        <v>782</v>
      </c>
      <c r="S414" s="196" t="s">
        <v>782</v>
      </c>
      <c r="T414" s="196" t="s">
        <v>1765</v>
      </c>
    </row>
    <row r="415">
      <c r="A415" s="182" t="s">
        <v>1754</v>
      </c>
      <c r="B415" s="203" t="s">
        <v>66</v>
      </c>
      <c r="C415" s="173" t="s">
        <v>66</v>
      </c>
      <c r="D415" s="173" t="s">
        <v>1949</v>
      </c>
      <c r="E415" s="196" t="s">
        <v>1755</v>
      </c>
      <c r="F415" s="185" t="s">
        <v>185</v>
      </c>
      <c r="G415" s="185" t="s">
        <v>713</v>
      </c>
      <c r="H415" s="237">
        <v>15.0</v>
      </c>
      <c r="I415" s="185" t="s">
        <v>1752</v>
      </c>
      <c r="J415" s="185" t="s">
        <v>1753</v>
      </c>
      <c r="K415" s="185" t="s">
        <v>1752</v>
      </c>
      <c r="L415" s="185" t="s">
        <v>85</v>
      </c>
      <c r="M415" s="196" t="s">
        <v>1947</v>
      </c>
      <c r="N415" s="185"/>
      <c r="O415" s="238"/>
      <c r="P415" s="239" t="s">
        <v>1763</v>
      </c>
      <c r="Q415" s="239" t="s">
        <v>1764</v>
      </c>
      <c r="R415" s="240" t="s">
        <v>782</v>
      </c>
      <c r="S415" s="196" t="s">
        <v>782</v>
      </c>
      <c r="T415" s="196" t="s">
        <v>1765</v>
      </c>
    </row>
    <row r="416">
      <c r="A416" s="182" t="s">
        <v>1756</v>
      </c>
      <c r="B416" s="203" t="s">
        <v>66</v>
      </c>
      <c r="C416" s="173" t="s">
        <v>66</v>
      </c>
      <c r="D416" s="173" t="s">
        <v>1950</v>
      </c>
      <c r="E416" s="196" t="s">
        <v>1757</v>
      </c>
      <c r="F416" s="185" t="s">
        <v>185</v>
      </c>
      <c r="G416" s="185" t="s">
        <v>713</v>
      </c>
      <c r="H416" s="237">
        <v>15.0</v>
      </c>
      <c r="I416" s="185" t="s">
        <v>1752</v>
      </c>
      <c r="J416" s="185" t="s">
        <v>1753</v>
      </c>
      <c r="K416" s="185" t="s">
        <v>1752</v>
      </c>
      <c r="L416" s="185" t="s">
        <v>85</v>
      </c>
      <c r="M416" s="196" t="s">
        <v>1947</v>
      </c>
      <c r="N416" s="185"/>
      <c r="O416" s="238"/>
      <c r="P416" s="239" t="s">
        <v>1763</v>
      </c>
      <c r="Q416" s="239" t="s">
        <v>1764</v>
      </c>
      <c r="R416" s="240" t="s">
        <v>782</v>
      </c>
      <c r="S416" s="196" t="s">
        <v>782</v>
      </c>
      <c r="T416" s="196" t="s">
        <v>1765</v>
      </c>
    </row>
    <row r="417">
      <c r="A417" s="182" t="s">
        <v>1951</v>
      </c>
      <c r="B417" s="203" t="s">
        <v>66</v>
      </c>
      <c r="C417" s="173" t="s">
        <v>66</v>
      </c>
      <c r="D417" s="173" t="s">
        <v>1952</v>
      </c>
      <c r="E417" s="196" t="s">
        <v>1953</v>
      </c>
      <c r="F417" s="185" t="s">
        <v>185</v>
      </c>
      <c r="G417" s="185" t="s">
        <v>1954</v>
      </c>
      <c r="H417" s="237">
        <v>35.0055</v>
      </c>
      <c r="I417" s="185" t="s">
        <v>1397</v>
      </c>
      <c r="J417" s="185" t="s">
        <v>1397</v>
      </c>
      <c r="K417" s="185" t="s">
        <v>1397</v>
      </c>
      <c r="L417" s="185" t="s">
        <v>85</v>
      </c>
      <c r="M417" s="196" t="s">
        <v>687</v>
      </c>
      <c r="N417" s="185"/>
      <c r="O417" s="238"/>
      <c r="P417" s="239" t="s">
        <v>1777</v>
      </c>
      <c r="Q417" s="239" t="s">
        <v>1764</v>
      </c>
      <c r="R417" s="240" t="s">
        <v>724</v>
      </c>
      <c r="S417" s="196" t="s">
        <v>724</v>
      </c>
      <c r="T417" s="196" t="s">
        <v>1765</v>
      </c>
    </row>
    <row r="418">
      <c r="A418" s="182" t="s">
        <v>1955</v>
      </c>
      <c r="B418" s="203" t="s">
        <v>66</v>
      </c>
      <c r="C418" s="173" t="s">
        <v>66</v>
      </c>
      <c r="D418" s="173" t="s">
        <v>1956</v>
      </c>
      <c r="E418" s="196" t="s">
        <v>1957</v>
      </c>
      <c r="F418" s="185" t="s">
        <v>185</v>
      </c>
      <c r="G418" s="185" t="s">
        <v>1954</v>
      </c>
      <c r="H418" s="237">
        <v>35.0055</v>
      </c>
      <c r="I418" s="185" t="s">
        <v>1397</v>
      </c>
      <c r="J418" s="185" t="s">
        <v>1397</v>
      </c>
      <c r="K418" s="185" t="s">
        <v>1397</v>
      </c>
      <c r="L418" s="185" t="s">
        <v>85</v>
      </c>
      <c r="M418" s="196" t="s">
        <v>687</v>
      </c>
      <c r="N418" s="185"/>
      <c r="O418" s="238"/>
      <c r="P418" s="239" t="s">
        <v>1777</v>
      </c>
      <c r="Q418" s="239" t="s">
        <v>1764</v>
      </c>
      <c r="R418" s="240" t="s">
        <v>724</v>
      </c>
      <c r="S418" s="196" t="s">
        <v>724</v>
      </c>
      <c r="T418" s="196" t="s">
        <v>1765</v>
      </c>
    </row>
    <row r="419">
      <c r="A419" s="182" t="s">
        <v>1958</v>
      </c>
      <c r="B419" s="203" t="s">
        <v>66</v>
      </c>
      <c r="C419" s="173" t="s">
        <v>66</v>
      </c>
      <c r="D419" s="173" t="s">
        <v>1959</v>
      </c>
      <c r="E419" s="196" t="s">
        <v>1960</v>
      </c>
      <c r="F419" s="185" t="s">
        <v>185</v>
      </c>
      <c r="G419" s="185" t="s">
        <v>1954</v>
      </c>
      <c r="H419" s="237">
        <v>35.0055</v>
      </c>
      <c r="I419" s="185" t="s">
        <v>1397</v>
      </c>
      <c r="J419" s="185" t="s">
        <v>1397</v>
      </c>
      <c r="K419" s="185" t="s">
        <v>1397</v>
      </c>
      <c r="L419" s="185" t="s">
        <v>85</v>
      </c>
      <c r="M419" s="196" t="s">
        <v>687</v>
      </c>
      <c r="N419" s="185"/>
      <c r="O419" s="238"/>
      <c r="P419" s="239" t="s">
        <v>1777</v>
      </c>
      <c r="Q419" s="239" t="s">
        <v>1764</v>
      </c>
      <c r="R419" s="240" t="s">
        <v>724</v>
      </c>
      <c r="S419" s="196" t="s">
        <v>724</v>
      </c>
      <c r="T419" s="196" t="s">
        <v>1765</v>
      </c>
    </row>
    <row r="420">
      <c r="A420" s="182" t="s">
        <v>1961</v>
      </c>
      <c r="B420" s="203" t="s">
        <v>66</v>
      </c>
      <c r="C420" s="173" t="s">
        <v>66</v>
      </c>
      <c r="D420" s="173" t="s">
        <v>1962</v>
      </c>
      <c r="E420" s="196" t="s">
        <v>1963</v>
      </c>
      <c r="F420" s="185" t="s">
        <v>185</v>
      </c>
      <c r="G420" s="185" t="s">
        <v>1954</v>
      </c>
      <c r="H420" s="237">
        <v>35.0055</v>
      </c>
      <c r="I420" s="185" t="s">
        <v>1397</v>
      </c>
      <c r="J420" s="185" t="s">
        <v>1397</v>
      </c>
      <c r="K420" s="185" t="s">
        <v>1397</v>
      </c>
      <c r="L420" s="185" t="s">
        <v>85</v>
      </c>
      <c r="M420" s="196" t="s">
        <v>687</v>
      </c>
      <c r="N420" s="185"/>
      <c r="O420" s="238"/>
      <c r="P420" s="239" t="s">
        <v>1777</v>
      </c>
      <c r="Q420" s="239" t="s">
        <v>1764</v>
      </c>
      <c r="R420" s="240" t="s">
        <v>724</v>
      </c>
      <c r="S420" s="196" t="s">
        <v>724</v>
      </c>
      <c r="T420" s="196" t="s">
        <v>1765</v>
      </c>
    </row>
    <row r="421">
      <c r="A421" s="182" t="s">
        <v>1964</v>
      </c>
      <c r="B421" s="203" t="s">
        <v>66</v>
      </c>
      <c r="C421" s="173" t="s">
        <v>66</v>
      </c>
      <c r="D421" s="173" t="s">
        <v>1965</v>
      </c>
      <c r="E421" s="196" t="s">
        <v>1966</v>
      </c>
      <c r="F421" s="185" t="s">
        <v>185</v>
      </c>
      <c r="G421" s="185" t="s">
        <v>713</v>
      </c>
      <c r="H421" s="237">
        <v>25.0</v>
      </c>
      <c r="I421" s="185" t="s">
        <v>1397</v>
      </c>
      <c r="J421" s="185" t="s">
        <v>1397</v>
      </c>
      <c r="K421" s="185" t="s">
        <v>1397</v>
      </c>
      <c r="L421" s="185" t="s">
        <v>85</v>
      </c>
      <c r="M421" s="196" t="s">
        <v>687</v>
      </c>
      <c r="N421" s="185"/>
      <c r="O421" s="238"/>
      <c r="P421" s="239" t="s">
        <v>1777</v>
      </c>
      <c r="Q421" s="239" t="s">
        <v>1764</v>
      </c>
      <c r="R421" s="240" t="s">
        <v>724</v>
      </c>
      <c r="S421" s="196" t="s">
        <v>724</v>
      </c>
      <c r="T421" s="196" t="s">
        <v>1765</v>
      </c>
    </row>
    <row r="422">
      <c r="A422" s="182" t="s">
        <v>1967</v>
      </c>
      <c r="B422" s="203" t="s">
        <v>66</v>
      </c>
      <c r="C422" s="173" t="s">
        <v>66</v>
      </c>
      <c r="D422" s="173" t="s">
        <v>1968</v>
      </c>
      <c r="E422" s="196" t="s">
        <v>1969</v>
      </c>
      <c r="F422" s="185" t="s">
        <v>185</v>
      </c>
      <c r="G422" s="185" t="s">
        <v>713</v>
      </c>
      <c r="H422" s="237">
        <v>25.0</v>
      </c>
      <c r="I422" s="185" t="s">
        <v>1397</v>
      </c>
      <c r="J422" s="185" t="s">
        <v>1397</v>
      </c>
      <c r="K422" s="185" t="s">
        <v>1397</v>
      </c>
      <c r="L422" s="185" t="s">
        <v>85</v>
      </c>
      <c r="M422" s="196" t="s">
        <v>687</v>
      </c>
      <c r="N422" s="185"/>
      <c r="O422" s="238"/>
      <c r="P422" s="239" t="s">
        <v>1777</v>
      </c>
      <c r="Q422" s="239" t="s">
        <v>1764</v>
      </c>
      <c r="R422" s="240" t="s">
        <v>724</v>
      </c>
      <c r="S422" s="196" t="s">
        <v>724</v>
      </c>
      <c r="T422" s="196" t="s">
        <v>1765</v>
      </c>
    </row>
    <row r="423">
      <c r="A423" s="182" t="s">
        <v>1970</v>
      </c>
      <c r="B423" s="203" t="s">
        <v>66</v>
      </c>
      <c r="C423" s="173" t="s">
        <v>66</v>
      </c>
      <c r="D423" s="173" t="s">
        <v>1971</v>
      </c>
      <c r="E423" s="196" t="s">
        <v>1972</v>
      </c>
      <c r="F423" s="185" t="s">
        <v>185</v>
      </c>
      <c r="G423" s="185" t="s">
        <v>713</v>
      </c>
      <c r="H423" s="237">
        <v>25.0</v>
      </c>
      <c r="I423" s="185" t="s">
        <v>1397</v>
      </c>
      <c r="J423" s="185" t="s">
        <v>1397</v>
      </c>
      <c r="K423" s="185" t="s">
        <v>1397</v>
      </c>
      <c r="L423" s="185" t="s">
        <v>85</v>
      </c>
      <c r="M423" s="196" t="s">
        <v>687</v>
      </c>
      <c r="N423" s="185"/>
      <c r="O423" s="238"/>
      <c r="P423" s="239" t="s">
        <v>1777</v>
      </c>
      <c r="Q423" s="239" t="s">
        <v>1764</v>
      </c>
      <c r="R423" s="240" t="s">
        <v>724</v>
      </c>
      <c r="S423" s="196" t="s">
        <v>724</v>
      </c>
      <c r="T423" s="196" t="s">
        <v>1765</v>
      </c>
    </row>
    <row r="424">
      <c r="A424" s="182" t="s">
        <v>1973</v>
      </c>
      <c r="B424" s="203" t="s">
        <v>66</v>
      </c>
      <c r="C424" s="173" t="s">
        <v>66</v>
      </c>
      <c r="D424" s="173" t="s">
        <v>1974</v>
      </c>
      <c r="E424" s="196" t="s">
        <v>1974</v>
      </c>
      <c r="F424" s="185" t="s">
        <v>185</v>
      </c>
      <c r="G424" s="185" t="s">
        <v>1954</v>
      </c>
      <c r="H424" s="237">
        <v>35.0055</v>
      </c>
      <c r="I424" s="185" t="s">
        <v>1397</v>
      </c>
      <c r="J424" s="185" t="s">
        <v>1397</v>
      </c>
      <c r="K424" s="185" t="s">
        <v>1397</v>
      </c>
      <c r="L424" s="185" t="s">
        <v>85</v>
      </c>
      <c r="M424" s="196" t="s">
        <v>687</v>
      </c>
      <c r="N424" s="185"/>
      <c r="O424" s="238"/>
      <c r="P424" s="239" t="s">
        <v>1777</v>
      </c>
      <c r="Q424" s="239" t="s">
        <v>1764</v>
      </c>
      <c r="R424" s="240" t="s">
        <v>724</v>
      </c>
      <c r="S424" s="196" t="s">
        <v>724</v>
      </c>
      <c r="T424" s="196" t="s">
        <v>1765</v>
      </c>
    </row>
    <row r="425">
      <c r="A425" s="182" t="s">
        <v>1975</v>
      </c>
      <c r="B425" s="203" t="s">
        <v>66</v>
      </c>
      <c r="C425" s="173" t="s">
        <v>66</v>
      </c>
      <c r="D425" s="173" t="s">
        <v>1976</v>
      </c>
      <c r="E425" s="196" t="s">
        <v>1977</v>
      </c>
      <c r="F425" s="185" t="s">
        <v>185</v>
      </c>
      <c r="G425" s="185" t="s">
        <v>1954</v>
      </c>
      <c r="H425" s="237">
        <v>35.0055</v>
      </c>
      <c r="I425" s="185" t="s">
        <v>1397</v>
      </c>
      <c r="J425" s="185" t="s">
        <v>1397</v>
      </c>
      <c r="K425" s="185" t="s">
        <v>1397</v>
      </c>
      <c r="L425" s="185" t="s">
        <v>85</v>
      </c>
      <c r="M425" s="196" t="s">
        <v>687</v>
      </c>
      <c r="N425" s="185"/>
      <c r="O425" s="238"/>
      <c r="P425" s="239" t="s">
        <v>1777</v>
      </c>
      <c r="Q425" s="239" t="s">
        <v>1764</v>
      </c>
      <c r="R425" s="240" t="s">
        <v>724</v>
      </c>
      <c r="S425" s="196" t="s">
        <v>724</v>
      </c>
      <c r="T425" s="196" t="s">
        <v>1765</v>
      </c>
    </row>
    <row r="426">
      <c r="A426" s="182" t="s">
        <v>1978</v>
      </c>
      <c r="B426" s="203" t="s">
        <v>66</v>
      </c>
      <c r="C426" s="173" t="s">
        <v>66</v>
      </c>
      <c r="D426" s="173" t="s">
        <v>1979</v>
      </c>
      <c r="E426" s="196" t="s">
        <v>1980</v>
      </c>
      <c r="F426" s="185" t="s">
        <v>185</v>
      </c>
      <c r="G426" s="185" t="s">
        <v>1954</v>
      </c>
      <c r="H426" s="237">
        <v>35.0055</v>
      </c>
      <c r="I426" s="185" t="s">
        <v>1397</v>
      </c>
      <c r="J426" s="185" t="s">
        <v>1397</v>
      </c>
      <c r="K426" s="185" t="s">
        <v>1397</v>
      </c>
      <c r="L426" s="185" t="s">
        <v>85</v>
      </c>
      <c r="M426" s="196" t="s">
        <v>687</v>
      </c>
      <c r="N426" s="185"/>
      <c r="O426" s="238"/>
      <c r="P426" s="239" t="s">
        <v>1777</v>
      </c>
      <c r="Q426" s="239" t="s">
        <v>1764</v>
      </c>
      <c r="R426" s="240" t="s">
        <v>724</v>
      </c>
      <c r="S426" s="196" t="s">
        <v>724</v>
      </c>
      <c r="T426" s="196" t="s">
        <v>1765</v>
      </c>
    </row>
    <row r="427">
      <c r="A427" s="182" t="s">
        <v>1981</v>
      </c>
      <c r="B427" s="203" t="s">
        <v>66</v>
      </c>
      <c r="C427" s="173" t="s">
        <v>66</v>
      </c>
      <c r="D427" s="173" t="s">
        <v>1982</v>
      </c>
      <c r="E427" s="196" t="s">
        <v>1982</v>
      </c>
      <c r="F427" s="185" t="s">
        <v>185</v>
      </c>
      <c r="G427" s="185" t="s">
        <v>698</v>
      </c>
      <c r="H427" s="237">
        <v>40610.333333333336</v>
      </c>
      <c r="I427" s="185" t="s">
        <v>1397</v>
      </c>
      <c r="J427" s="185" t="s">
        <v>1397</v>
      </c>
      <c r="K427" s="185" t="s">
        <v>1397</v>
      </c>
      <c r="L427" s="185" t="s">
        <v>85</v>
      </c>
      <c r="M427" s="196" t="s">
        <v>687</v>
      </c>
      <c r="N427" s="185"/>
      <c r="O427" s="238"/>
      <c r="P427" s="239" t="s">
        <v>1777</v>
      </c>
      <c r="Q427" s="239" t="s">
        <v>1764</v>
      </c>
      <c r="R427" s="240" t="s">
        <v>724</v>
      </c>
      <c r="S427" s="196" t="s">
        <v>724</v>
      </c>
      <c r="T427" s="196" t="s">
        <v>1765</v>
      </c>
    </row>
    <row r="428">
      <c r="A428" s="182" t="s">
        <v>1983</v>
      </c>
      <c r="B428" s="203" t="s">
        <v>66</v>
      </c>
      <c r="C428" s="173" t="s">
        <v>66</v>
      </c>
      <c r="D428" s="173" t="s">
        <v>1984</v>
      </c>
      <c r="E428" s="196" t="s">
        <v>1984</v>
      </c>
      <c r="F428" s="185" t="s">
        <v>185</v>
      </c>
      <c r="G428" s="185" t="s">
        <v>1985</v>
      </c>
      <c r="H428" s="237">
        <v>0.32</v>
      </c>
      <c r="I428" s="185" t="s">
        <v>136</v>
      </c>
      <c r="J428" s="185" t="s">
        <v>1397</v>
      </c>
      <c r="K428" s="185" t="s">
        <v>1397</v>
      </c>
      <c r="L428" s="185" t="s">
        <v>85</v>
      </c>
      <c r="M428" s="196" t="s">
        <v>749</v>
      </c>
      <c r="N428" s="185"/>
      <c r="O428" s="238"/>
      <c r="P428" s="239" t="s">
        <v>701</v>
      </c>
      <c r="Q428" s="239" t="s">
        <v>732</v>
      </c>
      <c r="R428" s="240" t="s">
        <v>745</v>
      </c>
      <c r="S428" s="196" t="s">
        <v>745</v>
      </c>
      <c r="T428" s="196" t="s">
        <v>1765</v>
      </c>
    </row>
    <row r="429">
      <c r="A429" s="182" t="s">
        <v>1986</v>
      </c>
      <c r="B429" s="203" t="s">
        <v>66</v>
      </c>
      <c r="C429" s="173" t="s">
        <v>66</v>
      </c>
      <c r="D429" s="173" t="s">
        <v>1987</v>
      </c>
      <c r="E429" s="196" t="s">
        <v>1988</v>
      </c>
      <c r="F429" s="185" t="s">
        <v>185</v>
      </c>
      <c r="G429" s="185" t="s">
        <v>1500</v>
      </c>
      <c r="H429" s="237" t="b">
        <v>1</v>
      </c>
      <c r="I429" s="185" t="s">
        <v>136</v>
      </c>
      <c r="J429" s="185" t="s">
        <v>1397</v>
      </c>
      <c r="K429" s="185" t="s">
        <v>1397</v>
      </c>
      <c r="L429" s="185" t="s">
        <v>85</v>
      </c>
      <c r="M429" s="196" t="s">
        <v>749</v>
      </c>
      <c r="N429" s="185"/>
      <c r="O429" s="238"/>
      <c r="P429" s="239" t="s">
        <v>701</v>
      </c>
      <c r="Q429" s="239" t="s">
        <v>732</v>
      </c>
      <c r="R429" s="240" t="s">
        <v>745</v>
      </c>
      <c r="S429" s="196" t="s">
        <v>745</v>
      </c>
      <c r="T429" s="196" t="s">
        <v>1765</v>
      </c>
    </row>
    <row r="430">
      <c r="A430" s="182" t="s">
        <v>1989</v>
      </c>
      <c r="B430" s="203" t="s">
        <v>66</v>
      </c>
      <c r="C430" s="173" t="s">
        <v>66</v>
      </c>
      <c r="D430" s="173" t="s">
        <v>1990</v>
      </c>
      <c r="E430" s="196" t="s">
        <v>1990</v>
      </c>
      <c r="F430" s="185" t="s">
        <v>185</v>
      </c>
      <c r="G430" s="185" t="s">
        <v>768</v>
      </c>
      <c r="H430" s="237">
        <v>30.0</v>
      </c>
      <c r="I430" s="185" t="s">
        <v>394</v>
      </c>
      <c r="J430" s="185" t="s">
        <v>394</v>
      </c>
      <c r="K430" s="185" t="s">
        <v>394</v>
      </c>
      <c r="L430" s="185" t="s">
        <v>85</v>
      </c>
      <c r="M430" s="196" t="s">
        <v>687</v>
      </c>
      <c r="N430" s="185"/>
      <c r="O430" s="238"/>
      <c r="P430" s="239" t="s">
        <v>1782</v>
      </c>
      <c r="Q430" s="239" t="s">
        <v>1905</v>
      </c>
      <c r="R430" s="240" t="s">
        <v>761</v>
      </c>
      <c r="S430" s="196" t="s">
        <v>761</v>
      </c>
      <c r="T430" s="196" t="s">
        <v>1765</v>
      </c>
    </row>
    <row r="431">
      <c r="A431" s="182" t="s">
        <v>1991</v>
      </c>
      <c r="B431" s="203" t="s">
        <v>66</v>
      </c>
      <c r="C431" s="173" t="s">
        <v>66</v>
      </c>
      <c r="D431" s="173" t="s">
        <v>1992</v>
      </c>
      <c r="E431" s="196" t="s">
        <v>1992</v>
      </c>
      <c r="F431" s="185" t="s">
        <v>185</v>
      </c>
      <c r="G431" s="185" t="s">
        <v>768</v>
      </c>
      <c r="H431" s="237">
        <v>619.0</v>
      </c>
      <c r="I431" s="185" t="s">
        <v>394</v>
      </c>
      <c r="J431" s="185" t="s">
        <v>394</v>
      </c>
      <c r="K431" s="185" t="s">
        <v>394</v>
      </c>
      <c r="L431" s="185" t="s">
        <v>85</v>
      </c>
      <c r="M431" s="196" t="s">
        <v>687</v>
      </c>
      <c r="N431" s="185"/>
      <c r="O431" s="238"/>
      <c r="P431" s="239" t="s">
        <v>1782</v>
      </c>
      <c r="Q431" s="239" t="s">
        <v>1905</v>
      </c>
      <c r="R431" s="240" t="s">
        <v>761</v>
      </c>
      <c r="S431" s="196" t="s">
        <v>761</v>
      </c>
      <c r="T431" s="196" t="s">
        <v>1765</v>
      </c>
    </row>
    <row r="432">
      <c r="A432" s="182" t="s">
        <v>1993</v>
      </c>
      <c r="B432" s="203" t="s">
        <v>66</v>
      </c>
      <c r="C432" s="173" t="s">
        <v>66</v>
      </c>
      <c r="D432" s="173" t="s">
        <v>1994</v>
      </c>
      <c r="E432" s="196" t="s">
        <v>1994</v>
      </c>
      <c r="F432" s="185" t="s">
        <v>185</v>
      </c>
      <c r="G432" s="185" t="s">
        <v>768</v>
      </c>
      <c r="H432" s="237">
        <v>417.0</v>
      </c>
      <c r="I432" s="185" t="s">
        <v>394</v>
      </c>
      <c r="J432" s="185" t="s">
        <v>394</v>
      </c>
      <c r="K432" s="185" t="s">
        <v>394</v>
      </c>
      <c r="L432" s="185" t="s">
        <v>85</v>
      </c>
      <c r="M432" s="196" t="s">
        <v>687</v>
      </c>
      <c r="N432" s="185"/>
      <c r="O432" s="238"/>
      <c r="P432" s="239" t="s">
        <v>1782</v>
      </c>
      <c r="Q432" s="239" t="s">
        <v>1905</v>
      </c>
      <c r="R432" s="240" t="s">
        <v>761</v>
      </c>
      <c r="S432" s="196" t="s">
        <v>761</v>
      </c>
      <c r="T432" s="196" t="s">
        <v>1765</v>
      </c>
    </row>
    <row r="433">
      <c r="A433" s="182" t="s">
        <v>1995</v>
      </c>
      <c r="B433" s="203" t="s">
        <v>66</v>
      </c>
      <c r="C433" s="173" t="s">
        <v>66</v>
      </c>
      <c r="D433" s="173" t="s">
        <v>1996</v>
      </c>
      <c r="E433" s="196" t="s">
        <v>1996</v>
      </c>
      <c r="F433" s="185" t="s">
        <v>185</v>
      </c>
      <c r="G433" s="185" t="s">
        <v>713</v>
      </c>
      <c r="H433" s="237">
        <v>24.0</v>
      </c>
      <c r="I433" s="185" t="s">
        <v>1997</v>
      </c>
      <c r="J433" s="185" t="s">
        <v>1997</v>
      </c>
      <c r="K433" s="185" t="s">
        <v>1997</v>
      </c>
      <c r="L433" s="185" t="s">
        <v>85</v>
      </c>
      <c r="M433" s="196" t="s">
        <v>687</v>
      </c>
      <c r="N433" s="185"/>
      <c r="O433" s="238"/>
      <c r="P433" s="239" t="s">
        <v>701</v>
      </c>
      <c r="Q433" s="239" t="s">
        <v>1787</v>
      </c>
      <c r="R433" s="240" t="s">
        <v>1518</v>
      </c>
      <c r="S433" s="196" t="s">
        <v>1518</v>
      </c>
      <c r="T433" s="196" t="s">
        <v>1765</v>
      </c>
    </row>
    <row r="434">
      <c r="A434" s="182" t="s">
        <v>1998</v>
      </c>
      <c r="B434" s="203" t="s">
        <v>66</v>
      </c>
      <c r="C434" s="173" t="s">
        <v>66</v>
      </c>
      <c r="D434" s="173" t="s">
        <v>1999</v>
      </c>
      <c r="E434" s="196" t="s">
        <v>1999</v>
      </c>
      <c r="F434" s="185" t="s">
        <v>185</v>
      </c>
      <c r="G434" s="185" t="s">
        <v>713</v>
      </c>
      <c r="H434" s="237">
        <v>8.0</v>
      </c>
      <c r="I434" s="185" t="s">
        <v>1997</v>
      </c>
      <c r="J434" s="185" t="s">
        <v>1997</v>
      </c>
      <c r="K434" s="185" t="s">
        <v>1997</v>
      </c>
      <c r="L434" s="185" t="s">
        <v>85</v>
      </c>
      <c r="M434" s="196" t="s">
        <v>687</v>
      </c>
      <c r="N434" s="185"/>
      <c r="O434" s="238"/>
      <c r="P434" s="239" t="s">
        <v>701</v>
      </c>
      <c r="Q434" s="239" t="s">
        <v>1787</v>
      </c>
      <c r="R434" s="240" t="s">
        <v>1518</v>
      </c>
      <c r="S434" s="196" t="s">
        <v>1518</v>
      </c>
      <c r="T434" s="196" t="s">
        <v>1765</v>
      </c>
    </row>
    <row r="435">
      <c r="A435" s="182" t="s">
        <v>2000</v>
      </c>
      <c r="B435" s="203" t="s">
        <v>66</v>
      </c>
      <c r="C435" s="173" t="s">
        <v>66</v>
      </c>
      <c r="D435" s="173" t="s">
        <v>2001</v>
      </c>
      <c r="E435" s="196" t="s">
        <v>2001</v>
      </c>
      <c r="F435" s="185" t="s">
        <v>185</v>
      </c>
      <c r="G435" s="185" t="s">
        <v>713</v>
      </c>
      <c r="H435" s="237">
        <v>28.0</v>
      </c>
      <c r="I435" s="185" t="s">
        <v>1997</v>
      </c>
      <c r="J435" s="185" t="s">
        <v>1997</v>
      </c>
      <c r="K435" s="185" t="s">
        <v>1997</v>
      </c>
      <c r="L435" s="185" t="s">
        <v>85</v>
      </c>
      <c r="M435" s="196" t="s">
        <v>687</v>
      </c>
      <c r="N435" s="185"/>
      <c r="O435" s="238"/>
      <c r="P435" s="239" t="s">
        <v>701</v>
      </c>
      <c r="Q435" s="239" t="s">
        <v>1787</v>
      </c>
      <c r="R435" s="240" t="s">
        <v>1518</v>
      </c>
      <c r="S435" s="196" t="s">
        <v>1518</v>
      </c>
      <c r="T435" s="196" t="s">
        <v>1765</v>
      </c>
    </row>
    <row r="436">
      <c r="A436" s="182" t="s">
        <v>2002</v>
      </c>
      <c r="B436" s="203" t="s">
        <v>66</v>
      </c>
      <c r="C436" s="173" t="s">
        <v>66</v>
      </c>
      <c r="D436" s="173" t="s">
        <v>2003</v>
      </c>
      <c r="E436" s="196" t="s">
        <v>2003</v>
      </c>
      <c r="F436" s="185" t="s">
        <v>185</v>
      </c>
      <c r="G436" s="185" t="s">
        <v>713</v>
      </c>
      <c r="H436" s="237">
        <v>12.0</v>
      </c>
      <c r="I436" s="185" t="s">
        <v>1997</v>
      </c>
      <c r="J436" s="185" t="s">
        <v>1997</v>
      </c>
      <c r="K436" s="185" t="s">
        <v>1997</v>
      </c>
      <c r="L436" s="185" t="s">
        <v>85</v>
      </c>
      <c r="M436" s="196" t="s">
        <v>687</v>
      </c>
      <c r="N436" s="185"/>
      <c r="O436" s="238"/>
      <c r="P436" s="239" t="s">
        <v>701</v>
      </c>
      <c r="Q436" s="239" t="s">
        <v>1787</v>
      </c>
      <c r="R436" s="240" t="s">
        <v>1518</v>
      </c>
      <c r="S436" s="196" t="s">
        <v>1518</v>
      </c>
      <c r="T436" s="196" t="s">
        <v>1765</v>
      </c>
    </row>
    <row r="437">
      <c r="A437" s="182" t="s">
        <v>2004</v>
      </c>
      <c r="B437" s="203" t="s">
        <v>66</v>
      </c>
      <c r="C437" s="173" t="s">
        <v>66</v>
      </c>
      <c r="D437" s="173" t="s">
        <v>2005</v>
      </c>
      <c r="E437" s="196" t="s">
        <v>2005</v>
      </c>
      <c r="F437" s="185" t="s">
        <v>185</v>
      </c>
      <c r="G437" s="185" t="s">
        <v>713</v>
      </c>
      <c r="H437" s="237">
        <v>9.0</v>
      </c>
      <c r="I437" s="185" t="s">
        <v>1997</v>
      </c>
      <c r="J437" s="185" t="s">
        <v>1997</v>
      </c>
      <c r="K437" s="185" t="s">
        <v>1997</v>
      </c>
      <c r="L437" s="185" t="s">
        <v>85</v>
      </c>
      <c r="M437" s="196" t="s">
        <v>687</v>
      </c>
      <c r="N437" s="185"/>
      <c r="O437" s="238"/>
      <c r="P437" s="239" t="s">
        <v>701</v>
      </c>
      <c r="Q437" s="239" t="s">
        <v>1787</v>
      </c>
      <c r="R437" s="240" t="s">
        <v>1518</v>
      </c>
      <c r="S437" s="196" t="s">
        <v>1518</v>
      </c>
      <c r="T437" s="196" t="s">
        <v>1765</v>
      </c>
    </row>
    <row r="438">
      <c r="A438" s="182" t="s">
        <v>2006</v>
      </c>
      <c r="B438" s="203" t="s">
        <v>66</v>
      </c>
      <c r="C438" s="173" t="s">
        <v>66</v>
      </c>
      <c r="D438" s="173" t="s">
        <v>2007</v>
      </c>
      <c r="E438" s="196" t="s">
        <v>2008</v>
      </c>
      <c r="F438" s="185" t="s">
        <v>185</v>
      </c>
      <c r="G438" s="185" t="s">
        <v>713</v>
      </c>
      <c r="H438" s="237">
        <v>10.0</v>
      </c>
      <c r="I438" s="185" t="s">
        <v>136</v>
      </c>
      <c r="J438" s="185" t="s">
        <v>1997</v>
      </c>
      <c r="K438" s="185" t="s">
        <v>1997</v>
      </c>
      <c r="L438" s="185" t="s">
        <v>85</v>
      </c>
      <c r="M438" s="196" t="s">
        <v>749</v>
      </c>
      <c r="N438" s="185"/>
      <c r="O438" s="238"/>
      <c r="P438" s="239" t="s">
        <v>701</v>
      </c>
      <c r="Q438" s="239" t="s">
        <v>2009</v>
      </c>
      <c r="R438" s="240" t="s">
        <v>750</v>
      </c>
      <c r="S438" s="196" t="s">
        <v>750</v>
      </c>
      <c r="T438" s="196" t="s">
        <v>1765</v>
      </c>
    </row>
    <row r="439">
      <c r="A439" s="182" t="s">
        <v>2010</v>
      </c>
      <c r="B439" s="203" t="s">
        <v>66</v>
      </c>
      <c r="C439" s="173" t="s">
        <v>66</v>
      </c>
      <c r="D439" s="173" t="s">
        <v>2011</v>
      </c>
      <c r="E439" s="196" t="s">
        <v>2011</v>
      </c>
      <c r="F439" s="185" t="s">
        <v>185</v>
      </c>
      <c r="G439" s="185" t="s">
        <v>768</v>
      </c>
      <c r="H439" s="237">
        <v>0.69</v>
      </c>
      <c r="I439" s="185" t="s">
        <v>136</v>
      </c>
      <c r="J439" s="185" t="s">
        <v>1997</v>
      </c>
      <c r="K439" s="185" t="s">
        <v>1997</v>
      </c>
      <c r="L439" s="185" t="s">
        <v>85</v>
      </c>
      <c r="M439" s="196" t="s">
        <v>749</v>
      </c>
      <c r="N439" s="185"/>
      <c r="O439" s="238"/>
      <c r="P439" s="239" t="s">
        <v>701</v>
      </c>
      <c r="Q439" s="239" t="s">
        <v>2009</v>
      </c>
      <c r="R439" s="240" t="s">
        <v>750</v>
      </c>
      <c r="S439" s="196" t="s">
        <v>750</v>
      </c>
      <c r="T439" s="196" t="s">
        <v>1765</v>
      </c>
    </row>
    <row r="440">
      <c r="A440" s="182" t="s">
        <v>2012</v>
      </c>
      <c r="B440" s="203" t="s">
        <v>66</v>
      </c>
      <c r="C440" s="173" t="s">
        <v>66</v>
      </c>
      <c r="D440" s="173" t="s">
        <v>2013</v>
      </c>
      <c r="E440" s="196" t="s">
        <v>2014</v>
      </c>
      <c r="F440" s="185" t="s">
        <v>185</v>
      </c>
      <c r="G440" s="185" t="s">
        <v>1761</v>
      </c>
      <c r="H440" s="237">
        <v>1.0</v>
      </c>
      <c r="I440" s="185" t="s">
        <v>136</v>
      </c>
      <c r="J440" s="185" t="s">
        <v>1997</v>
      </c>
      <c r="K440" s="185" t="s">
        <v>1997</v>
      </c>
      <c r="L440" s="185" t="s">
        <v>85</v>
      </c>
      <c r="M440" s="196" t="s">
        <v>749</v>
      </c>
      <c r="N440" s="185"/>
      <c r="O440" s="238"/>
      <c r="P440" s="239" t="s">
        <v>2015</v>
      </c>
      <c r="Q440" s="239" t="s">
        <v>2009</v>
      </c>
      <c r="R440" s="240" t="s">
        <v>724</v>
      </c>
      <c r="S440" s="196" t="s">
        <v>724</v>
      </c>
      <c r="T440" s="196" t="s">
        <v>1765</v>
      </c>
    </row>
    <row r="441">
      <c r="A441" s="182" t="s">
        <v>2016</v>
      </c>
      <c r="B441" s="203" t="s">
        <v>66</v>
      </c>
      <c r="C441" s="173" t="s">
        <v>66</v>
      </c>
      <c r="D441" s="173" t="s">
        <v>2017</v>
      </c>
      <c r="E441" s="196" t="s">
        <v>2017</v>
      </c>
      <c r="F441" s="185" t="s">
        <v>83</v>
      </c>
      <c r="G441" s="185" t="s">
        <v>1761</v>
      </c>
      <c r="H441" s="237" t="s">
        <v>2018</v>
      </c>
      <c r="I441" s="185" t="s">
        <v>1997</v>
      </c>
      <c r="J441" s="185" t="s">
        <v>1997</v>
      </c>
      <c r="K441" s="185" t="s">
        <v>1997</v>
      </c>
      <c r="L441" s="185" t="s">
        <v>85</v>
      </c>
      <c r="M441" s="196" t="s">
        <v>687</v>
      </c>
      <c r="N441" s="185"/>
      <c r="O441" s="238"/>
      <c r="P441" s="239" t="s">
        <v>701</v>
      </c>
      <c r="Q441" s="239" t="s">
        <v>1787</v>
      </c>
      <c r="R441" s="240" t="s">
        <v>744</v>
      </c>
      <c r="S441" s="196" t="s">
        <v>744</v>
      </c>
      <c r="T441" s="196" t="s">
        <v>1765</v>
      </c>
    </row>
    <row r="442">
      <c r="A442" s="182" t="s">
        <v>2019</v>
      </c>
      <c r="B442" s="203" t="s">
        <v>66</v>
      </c>
      <c r="C442" s="173" t="s">
        <v>66</v>
      </c>
      <c r="D442" s="173" t="s">
        <v>2020</v>
      </c>
      <c r="E442" s="196" t="s">
        <v>2020</v>
      </c>
      <c r="F442" s="185" t="s">
        <v>83</v>
      </c>
      <c r="G442" s="185" t="s">
        <v>1761</v>
      </c>
      <c r="H442" s="237" t="s">
        <v>2021</v>
      </c>
      <c r="I442" s="185" t="s">
        <v>1997</v>
      </c>
      <c r="J442" s="185" t="s">
        <v>1997</v>
      </c>
      <c r="K442" s="185" t="s">
        <v>1997</v>
      </c>
      <c r="L442" s="185" t="s">
        <v>85</v>
      </c>
      <c r="M442" s="196" t="s">
        <v>687</v>
      </c>
      <c r="N442" s="185"/>
      <c r="O442" s="238"/>
      <c r="P442" s="239" t="s">
        <v>701</v>
      </c>
      <c r="Q442" s="239" t="s">
        <v>1787</v>
      </c>
      <c r="R442" s="240" t="s">
        <v>744</v>
      </c>
      <c r="S442" s="196" t="s">
        <v>744</v>
      </c>
      <c r="T442" s="196" t="s">
        <v>1765</v>
      </c>
    </row>
    <row r="443">
      <c r="A443" s="182" t="s">
        <v>2022</v>
      </c>
      <c r="B443" s="203" t="s">
        <v>65</v>
      </c>
      <c r="C443" s="173" t="s">
        <v>1768</v>
      </c>
      <c r="D443" s="173" t="s">
        <v>2023</v>
      </c>
      <c r="E443" s="196" t="s">
        <v>2023</v>
      </c>
      <c r="F443" s="185" t="s">
        <v>83</v>
      </c>
      <c r="G443" s="185" t="s">
        <v>1761</v>
      </c>
      <c r="H443" s="237">
        <v>3.53E14</v>
      </c>
      <c r="I443" s="185" t="s">
        <v>1997</v>
      </c>
      <c r="J443" s="185" t="s">
        <v>1997</v>
      </c>
      <c r="K443" s="185" t="s">
        <v>1997</v>
      </c>
      <c r="L443" s="185" t="s">
        <v>85</v>
      </c>
      <c r="M443" s="196" t="s">
        <v>687</v>
      </c>
      <c r="N443" s="185"/>
      <c r="O443" s="238"/>
      <c r="P443" s="239" t="s">
        <v>701</v>
      </c>
      <c r="Q443" s="239" t="s">
        <v>1787</v>
      </c>
      <c r="R443" s="240" t="s">
        <v>744</v>
      </c>
      <c r="S443" s="196" t="s">
        <v>744</v>
      </c>
      <c r="T443" s="196" t="s">
        <v>1765</v>
      </c>
    </row>
    <row r="444">
      <c r="A444" s="182" t="s">
        <v>2024</v>
      </c>
      <c r="B444" s="203" t="s">
        <v>66</v>
      </c>
      <c r="C444" s="173" t="s">
        <v>66</v>
      </c>
      <c r="D444" s="173" t="s">
        <v>2025</v>
      </c>
      <c r="E444" s="196" t="s">
        <v>2025</v>
      </c>
      <c r="F444" s="185" t="s">
        <v>83</v>
      </c>
      <c r="G444" s="185" t="s">
        <v>768</v>
      </c>
      <c r="H444" s="237">
        <v>53800.0</v>
      </c>
      <c r="I444" s="185" t="s">
        <v>1997</v>
      </c>
      <c r="J444" s="185" t="s">
        <v>1997</v>
      </c>
      <c r="K444" s="185" t="s">
        <v>1997</v>
      </c>
      <c r="L444" s="185" t="s">
        <v>85</v>
      </c>
      <c r="M444" s="196" t="s">
        <v>687</v>
      </c>
      <c r="N444" s="185"/>
      <c r="O444" s="238"/>
      <c r="P444" s="239" t="s">
        <v>701</v>
      </c>
      <c r="Q444" s="239" t="s">
        <v>1787</v>
      </c>
      <c r="R444" s="240" t="s">
        <v>744</v>
      </c>
      <c r="S444" s="196" t="s">
        <v>744</v>
      </c>
      <c r="T444" s="196" t="s">
        <v>1765</v>
      </c>
    </row>
    <row r="445">
      <c r="A445" s="182" t="s">
        <v>2026</v>
      </c>
      <c r="B445" s="203" t="s">
        <v>66</v>
      </c>
      <c r="C445" s="173" t="s">
        <v>66</v>
      </c>
      <c r="D445" s="173" t="s">
        <v>2027</v>
      </c>
      <c r="E445" s="196" t="s">
        <v>2027</v>
      </c>
      <c r="F445" s="185" t="s">
        <v>83</v>
      </c>
      <c r="G445" s="185" t="s">
        <v>1761</v>
      </c>
      <c r="H445" s="237" t="s">
        <v>2028</v>
      </c>
      <c r="I445" s="185" t="s">
        <v>1997</v>
      </c>
      <c r="J445" s="185" t="s">
        <v>1997</v>
      </c>
      <c r="K445" s="185" t="s">
        <v>1997</v>
      </c>
      <c r="L445" s="185" t="s">
        <v>85</v>
      </c>
      <c r="M445" s="196" t="s">
        <v>687</v>
      </c>
      <c r="N445" s="185"/>
      <c r="O445" s="238"/>
      <c r="P445" s="239" t="s">
        <v>1775</v>
      </c>
      <c r="Q445" s="239" t="s">
        <v>1764</v>
      </c>
      <c r="R445" s="240" t="s">
        <v>691</v>
      </c>
      <c r="S445" s="196" t="s">
        <v>691</v>
      </c>
      <c r="T445" s="196" t="s">
        <v>1765</v>
      </c>
    </row>
    <row r="446">
      <c r="A446" s="182" t="s">
        <v>2029</v>
      </c>
      <c r="B446" s="203" t="s">
        <v>66</v>
      </c>
      <c r="C446" s="173" t="s">
        <v>66</v>
      </c>
      <c r="D446" s="173" t="s">
        <v>2030</v>
      </c>
      <c r="E446" s="196" t="s">
        <v>2030</v>
      </c>
      <c r="F446" s="185" t="s">
        <v>83</v>
      </c>
      <c r="G446" s="185" t="s">
        <v>1761</v>
      </c>
      <c r="H446" s="237" t="s">
        <v>2031</v>
      </c>
      <c r="I446" s="185" t="s">
        <v>1997</v>
      </c>
      <c r="J446" s="185" t="s">
        <v>1997</v>
      </c>
      <c r="K446" s="185" t="s">
        <v>1997</v>
      </c>
      <c r="L446" s="185" t="s">
        <v>85</v>
      </c>
      <c r="M446" s="196" t="s">
        <v>687</v>
      </c>
      <c r="N446" s="185"/>
      <c r="O446" s="238"/>
      <c r="P446" s="239" t="s">
        <v>1775</v>
      </c>
      <c r="Q446" s="239" t="s">
        <v>1787</v>
      </c>
      <c r="R446" s="240" t="s">
        <v>691</v>
      </c>
      <c r="S446" s="196" t="s">
        <v>691</v>
      </c>
      <c r="T446" s="196" t="s">
        <v>1765</v>
      </c>
    </row>
    <row r="447">
      <c r="A447" s="182" t="s">
        <v>2032</v>
      </c>
      <c r="B447" s="203" t="s">
        <v>66</v>
      </c>
      <c r="C447" s="173" t="s">
        <v>66</v>
      </c>
      <c r="D447" s="173" t="s">
        <v>2033</v>
      </c>
      <c r="E447" s="196" t="s">
        <v>2033</v>
      </c>
      <c r="F447" s="185" t="s">
        <v>185</v>
      </c>
      <c r="G447" s="185" t="s">
        <v>713</v>
      </c>
      <c r="H447" s="237">
        <v>10.0</v>
      </c>
      <c r="I447" s="185" t="s">
        <v>1997</v>
      </c>
      <c r="J447" s="185" t="s">
        <v>1997</v>
      </c>
      <c r="K447" s="185" t="s">
        <v>1997</v>
      </c>
      <c r="L447" s="185" t="s">
        <v>85</v>
      </c>
      <c r="M447" s="196" t="s">
        <v>687</v>
      </c>
      <c r="N447" s="185"/>
      <c r="O447" s="238"/>
      <c r="P447" s="239" t="s">
        <v>1781</v>
      </c>
      <c r="Q447" s="239" t="s">
        <v>1764</v>
      </c>
      <c r="R447" s="240" t="s">
        <v>724</v>
      </c>
      <c r="S447" s="196" t="s">
        <v>724</v>
      </c>
      <c r="T447" s="196" t="s">
        <v>1765</v>
      </c>
    </row>
    <row r="448">
      <c r="A448" s="182" t="s">
        <v>2034</v>
      </c>
      <c r="B448" s="203" t="s">
        <v>66</v>
      </c>
      <c r="C448" s="173" t="s">
        <v>66</v>
      </c>
      <c r="D448" s="173" t="s">
        <v>2035</v>
      </c>
      <c r="E448" s="196" t="s">
        <v>2035</v>
      </c>
      <c r="F448" s="185" t="s">
        <v>185</v>
      </c>
      <c r="G448" s="185" t="s">
        <v>713</v>
      </c>
      <c r="H448" s="237">
        <v>30.0</v>
      </c>
      <c r="I448" s="185" t="s">
        <v>1997</v>
      </c>
      <c r="J448" s="185" t="s">
        <v>1997</v>
      </c>
      <c r="K448" s="185" t="s">
        <v>1997</v>
      </c>
      <c r="L448" s="185" t="s">
        <v>85</v>
      </c>
      <c r="M448" s="196" t="s">
        <v>687</v>
      </c>
      <c r="N448" s="185"/>
      <c r="O448" s="238"/>
      <c r="P448" s="239" t="s">
        <v>1781</v>
      </c>
      <c r="Q448" s="239" t="s">
        <v>1764</v>
      </c>
      <c r="R448" s="240" t="s">
        <v>724</v>
      </c>
      <c r="S448" s="196" t="s">
        <v>724</v>
      </c>
      <c r="T448" s="196" t="s">
        <v>1765</v>
      </c>
    </row>
    <row r="449">
      <c r="A449" s="182" t="s">
        <v>2036</v>
      </c>
      <c r="B449" s="203" t="s">
        <v>66</v>
      </c>
      <c r="C449" s="173" t="s">
        <v>66</v>
      </c>
      <c r="D449" s="173" t="s">
        <v>2037</v>
      </c>
      <c r="E449" s="196" t="s">
        <v>2037</v>
      </c>
      <c r="F449" s="185" t="s">
        <v>185</v>
      </c>
      <c r="G449" s="185" t="s">
        <v>713</v>
      </c>
      <c r="H449" s="237">
        <v>20.0</v>
      </c>
      <c r="I449" s="185" t="s">
        <v>1997</v>
      </c>
      <c r="J449" s="185" t="s">
        <v>1997</v>
      </c>
      <c r="K449" s="185" t="s">
        <v>1997</v>
      </c>
      <c r="L449" s="185" t="s">
        <v>85</v>
      </c>
      <c r="M449" s="196" t="s">
        <v>687</v>
      </c>
      <c r="N449" s="185"/>
      <c r="O449" s="238"/>
      <c r="P449" s="239" t="s">
        <v>1781</v>
      </c>
      <c r="Q449" s="239" t="s">
        <v>1764</v>
      </c>
      <c r="R449" s="240" t="s">
        <v>724</v>
      </c>
      <c r="S449" s="196" t="s">
        <v>724</v>
      </c>
      <c r="T449" s="196" t="s">
        <v>1765</v>
      </c>
    </row>
    <row r="450">
      <c r="A450" s="182" t="s">
        <v>2038</v>
      </c>
      <c r="B450" s="203" t="s">
        <v>66</v>
      </c>
      <c r="C450" s="173" t="s">
        <v>66</v>
      </c>
      <c r="D450" s="173" t="s">
        <v>2039</v>
      </c>
      <c r="E450" s="196" t="s">
        <v>2039</v>
      </c>
      <c r="F450" s="185" t="s">
        <v>185</v>
      </c>
      <c r="G450" s="185" t="s">
        <v>713</v>
      </c>
      <c r="H450" s="237">
        <v>25.0</v>
      </c>
      <c r="I450" s="185" t="s">
        <v>1997</v>
      </c>
      <c r="J450" s="185" t="s">
        <v>1997</v>
      </c>
      <c r="K450" s="185" t="s">
        <v>1997</v>
      </c>
      <c r="L450" s="185" t="s">
        <v>85</v>
      </c>
      <c r="M450" s="196" t="s">
        <v>687</v>
      </c>
      <c r="N450" s="185"/>
      <c r="O450" s="238"/>
      <c r="P450" s="239" t="s">
        <v>1775</v>
      </c>
      <c r="Q450" s="239" t="s">
        <v>1764</v>
      </c>
      <c r="R450" s="240" t="s">
        <v>1518</v>
      </c>
      <c r="S450" s="196" t="s">
        <v>1518</v>
      </c>
      <c r="T450" s="196" t="s">
        <v>1765</v>
      </c>
    </row>
    <row r="451">
      <c r="A451" s="182" t="s">
        <v>2040</v>
      </c>
      <c r="B451" s="203" t="s">
        <v>66</v>
      </c>
      <c r="C451" s="173" t="s">
        <v>66</v>
      </c>
      <c r="D451" s="173" t="s">
        <v>2041</v>
      </c>
      <c r="E451" s="196" t="s">
        <v>2041</v>
      </c>
      <c r="F451" s="185" t="s">
        <v>185</v>
      </c>
      <c r="G451" s="185" t="s">
        <v>713</v>
      </c>
      <c r="H451" s="237">
        <v>99.0</v>
      </c>
      <c r="I451" s="185" t="s">
        <v>1997</v>
      </c>
      <c r="J451" s="185" t="s">
        <v>1997</v>
      </c>
      <c r="K451" s="185" t="s">
        <v>1997</v>
      </c>
      <c r="L451" s="185" t="s">
        <v>85</v>
      </c>
      <c r="M451" s="196" t="s">
        <v>687</v>
      </c>
      <c r="N451" s="185"/>
      <c r="O451" s="238"/>
      <c r="P451" s="239" t="s">
        <v>1775</v>
      </c>
      <c r="Q451" s="239" t="s">
        <v>1764</v>
      </c>
      <c r="R451" s="240" t="s">
        <v>1518</v>
      </c>
      <c r="S451" s="196" t="s">
        <v>1518</v>
      </c>
      <c r="T451" s="196" t="s">
        <v>1765</v>
      </c>
    </row>
    <row r="452">
      <c r="A452" s="182" t="s">
        <v>2042</v>
      </c>
      <c r="B452" s="203" t="s">
        <v>66</v>
      </c>
      <c r="C452" s="173" t="s">
        <v>66</v>
      </c>
      <c r="D452" s="173" t="s">
        <v>2043</v>
      </c>
      <c r="E452" s="196" t="s">
        <v>2043</v>
      </c>
      <c r="F452" s="185" t="s">
        <v>185</v>
      </c>
      <c r="G452" s="185" t="s">
        <v>713</v>
      </c>
      <c r="H452" s="237">
        <v>24.0</v>
      </c>
      <c r="I452" s="185" t="s">
        <v>1997</v>
      </c>
      <c r="J452" s="185" t="s">
        <v>1997</v>
      </c>
      <c r="K452" s="185" t="s">
        <v>1997</v>
      </c>
      <c r="L452" s="185" t="s">
        <v>85</v>
      </c>
      <c r="M452" s="196" t="s">
        <v>687</v>
      </c>
      <c r="N452" s="185"/>
      <c r="O452" s="238"/>
      <c r="P452" s="239" t="s">
        <v>1779</v>
      </c>
      <c r="Q452" s="239" t="s">
        <v>1764</v>
      </c>
      <c r="R452" s="240" t="s">
        <v>1518</v>
      </c>
      <c r="S452" s="196" t="s">
        <v>1518</v>
      </c>
      <c r="T452" s="196" t="s">
        <v>1765</v>
      </c>
    </row>
    <row r="453">
      <c r="A453" s="182" t="s">
        <v>2044</v>
      </c>
      <c r="B453" s="203" t="s">
        <v>66</v>
      </c>
      <c r="C453" s="173" t="s">
        <v>66</v>
      </c>
      <c r="D453" s="173" t="s">
        <v>2045</v>
      </c>
      <c r="E453" s="196" t="s">
        <v>2045</v>
      </c>
      <c r="F453" s="185" t="s">
        <v>185</v>
      </c>
      <c r="G453" s="185" t="s">
        <v>713</v>
      </c>
      <c r="H453" s="237">
        <v>23.0</v>
      </c>
      <c r="I453" s="185" t="s">
        <v>1997</v>
      </c>
      <c r="J453" s="185" t="s">
        <v>1997</v>
      </c>
      <c r="K453" s="185" t="s">
        <v>1997</v>
      </c>
      <c r="L453" s="185" t="s">
        <v>85</v>
      </c>
      <c r="M453" s="196" t="s">
        <v>687</v>
      </c>
      <c r="N453" s="185"/>
      <c r="O453" s="238"/>
      <c r="P453" s="239" t="s">
        <v>1779</v>
      </c>
      <c r="Q453" s="239" t="s">
        <v>1764</v>
      </c>
      <c r="R453" s="240" t="s">
        <v>1518</v>
      </c>
      <c r="S453" s="196" t="s">
        <v>1518</v>
      </c>
      <c r="T453" s="196" t="s">
        <v>1765</v>
      </c>
    </row>
    <row r="454">
      <c r="A454" s="182" t="s">
        <v>2046</v>
      </c>
      <c r="B454" s="203" t="s">
        <v>66</v>
      </c>
      <c r="C454" s="173" t="s">
        <v>66</v>
      </c>
      <c r="D454" s="173" t="s">
        <v>2047</v>
      </c>
      <c r="E454" s="196" t="s">
        <v>2047</v>
      </c>
      <c r="F454" s="185" t="s">
        <v>185</v>
      </c>
      <c r="G454" s="185" t="s">
        <v>713</v>
      </c>
      <c r="H454" s="237">
        <v>1787.0</v>
      </c>
      <c r="I454" s="185" t="s">
        <v>1997</v>
      </c>
      <c r="J454" s="185" t="s">
        <v>1997</v>
      </c>
      <c r="K454" s="185" t="s">
        <v>1997</v>
      </c>
      <c r="L454" s="185" t="s">
        <v>85</v>
      </c>
      <c r="M454" s="196" t="s">
        <v>687</v>
      </c>
      <c r="N454" s="185"/>
      <c r="O454" s="238"/>
      <c r="P454" s="239" t="s">
        <v>1779</v>
      </c>
      <c r="Q454" s="239" t="s">
        <v>1764</v>
      </c>
      <c r="R454" s="240" t="s">
        <v>1518</v>
      </c>
      <c r="S454" s="196" t="s">
        <v>1518</v>
      </c>
      <c r="T454" s="196" t="s">
        <v>1765</v>
      </c>
    </row>
    <row r="455">
      <c r="A455" s="182" t="s">
        <v>2048</v>
      </c>
      <c r="B455" s="203" t="s">
        <v>65</v>
      </c>
      <c r="C455" s="173" t="s">
        <v>1804</v>
      </c>
      <c r="D455" s="173" t="s">
        <v>2049</v>
      </c>
      <c r="E455" s="196" t="s">
        <v>2049</v>
      </c>
      <c r="F455" s="185" t="s">
        <v>83</v>
      </c>
      <c r="G455" s="185" t="s">
        <v>1761</v>
      </c>
      <c r="H455" s="237" t="s">
        <v>129</v>
      </c>
      <c r="I455" s="185" t="s">
        <v>1997</v>
      </c>
      <c r="J455" s="185" t="s">
        <v>1997</v>
      </c>
      <c r="K455" s="185" t="s">
        <v>1997</v>
      </c>
      <c r="L455" s="185" t="s">
        <v>85</v>
      </c>
      <c r="M455" s="196" t="s">
        <v>687</v>
      </c>
      <c r="N455" s="185"/>
      <c r="O455" s="238"/>
      <c r="P455" s="239" t="s">
        <v>1775</v>
      </c>
      <c r="Q455" s="239" t="s">
        <v>1764</v>
      </c>
      <c r="R455" s="240" t="s">
        <v>691</v>
      </c>
      <c r="S455" s="196" t="s">
        <v>691</v>
      </c>
      <c r="T455" s="196" t="s">
        <v>1765</v>
      </c>
    </row>
    <row r="456">
      <c r="A456" s="182" t="s">
        <v>2050</v>
      </c>
      <c r="B456" s="203" t="s">
        <v>65</v>
      </c>
      <c r="C456" s="173" t="s">
        <v>1804</v>
      </c>
      <c r="D456" s="173" t="s">
        <v>2051</v>
      </c>
      <c r="E456" s="196" t="s">
        <v>2051</v>
      </c>
      <c r="F456" s="185" t="s">
        <v>83</v>
      </c>
      <c r="G456" s="185" t="s">
        <v>1761</v>
      </c>
      <c r="H456" s="237" t="s">
        <v>2052</v>
      </c>
      <c r="I456" s="185" t="s">
        <v>1997</v>
      </c>
      <c r="J456" s="185" t="s">
        <v>1997</v>
      </c>
      <c r="K456" s="185" t="s">
        <v>1997</v>
      </c>
      <c r="L456" s="185" t="s">
        <v>85</v>
      </c>
      <c r="M456" s="196" t="s">
        <v>687</v>
      </c>
      <c r="N456" s="185"/>
      <c r="O456" s="238"/>
      <c r="P456" s="239" t="s">
        <v>1775</v>
      </c>
      <c r="Q456" s="239" t="s">
        <v>1764</v>
      </c>
      <c r="R456" s="240" t="s">
        <v>691</v>
      </c>
      <c r="S456" s="196" t="s">
        <v>691</v>
      </c>
      <c r="T456" s="196" t="s">
        <v>1765</v>
      </c>
    </row>
    <row r="457">
      <c r="A457" s="182" t="s">
        <v>2053</v>
      </c>
      <c r="B457" s="203" t="s">
        <v>65</v>
      </c>
      <c r="C457" s="173" t="s">
        <v>1804</v>
      </c>
      <c r="D457" s="173" t="s">
        <v>2054</v>
      </c>
      <c r="E457" s="196" t="s">
        <v>2054</v>
      </c>
      <c r="F457" s="185" t="s">
        <v>83</v>
      </c>
      <c r="G457" s="185" t="s">
        <v>1761</v>
      </c>
      <c r="H457" s="237" t="s">
        <v>132</v>
      </c>
      <c r="I457" s="185" t="s">
        <v>1997</v>
      </c>
      <c r="J457" s="185" t="s">
        <v>1997</v>
      </c>
      <c r="K457" s="185" t="s">
        <v>1997</v>
      </c>
      <c r="L457" s="185" t="s">
        <v>85</v>
      </c>
      <c r="M457" s="196" t="s">
        <v>687</v>
      </c>
      <c r="N457" s="185"/>
      <c r="O457" s="238"/>
      <c r="P457" s="239" t="s">
        <v>1775</v>
      </c>
      <c r="Q457" s="239" t="s">
        <v>1764</v>
      </c>
      <c r="R457" s="240" t="s">
        <v>691</v>
      </c>
      <c r="S457" s="196" t="s">
        <v>691</v>
      </c>
      <c r="T457" s="196" t="s">
        <v>1765</v>
      </c>
    </row>
    <row r="458">
      <c r="A458" s="182" t="s">
        <v>2055</v>
      </c>
      <c r="B458" s="203" t="s">
        <v>65</v>
      </c>
      <c r="C458" s="173" t="s">
        <v>1814</v>
      </c>
      <c r="D458" s="173" t="s">
        <v>2056</v>
      </c>
      <c r="E458" s="196" t="s">
        <v>2056</v>
      </c>
      <c r="F458" s="185" t="s">
        <v>83</v>
      </c>
      <c r="G458" s="185" t="s">
        <v>1761</v>
      </c>
      <c r="H458" s="237">
        <v>44177.0</v>
      </c>
      <c r="I458" s="185" t="s">
        <v>1997</v>
      </c>
      <c r="J458" s="185" t="s">
        <v>1997</v>
      </c>
      <c r="K458" s="185" t="s">
        <v>1997</v>
      </c>
      <c r="L458" s="185" t="s">
        <v>85</v>
      </c>
      <c r="M458" s="196" t="s">
        <v>687</v>
      </c>
      <c r="N458" s="185"/>
      <c r="O458" s="238"/>
      <c r="P458" s="239" t="s">
        <v>1775</v>
      </c>
      <c r="Q458" s="239" t="s">
        <v>1764</v>
      </c>
      <c r="R458" s="240" t="s">
        <v>691</v>
      </c>
      <c r="S458" s="196" t="s">
        <v>691</v>
      </c>
      <c r="T458" s="196" t="s">
        <v>1765</v>
      </c>
    </row>
    <row r="459">
      <c r="A459" s="182" t="s">
        <v>2057</v>
      </c>
      <c r="B459" s="203" t="s">
        <v>66</v>
      </c>
      <c r="C459" s="173" t="s">
        <v>66</v>
      </c>
      <c r="D459" s="173" t="s">
        <v>2058</v>
      </c>
      <c r="E459" s="196" t="s">
        <v>2058</v>
      </c>
      <c r="F459" s="185" t="s">
        <v>83</v>
      </c>
      <c r="G459" s="185" t="s">
        <v>1761</v>
      </c>
      <c r="H459" s="237" t="s">
        <v>2059</v>
      </c>
      <c r="I459" s="185" t="s">
        <v>1997</v>
      </c>
      <c r="J459" s="185" t="s">
        <v>1997</v>
      </c>
      <c r="K459" s="185" t="s">
        <v>1997</v>
      </c>
      <c r="L459" s="185" t="s">
        <v>85</v>
      </c>
      <c r="M459" s="196" t="s">
        <v>687</v>
      </c>
      <c r="N459" s="185"/>
      <c r="O459" s="238"/>
      <c r="P459" s="239" t="s">
        <v>1775</v>
      </c>
      <c r="Q459" s="239" t="s">
        <v>1764</v>
      </c>
      <c r="R459" s="240" t="s">
        <v>691</v>
      </c>
      <c r="S459" s="196" t="s">
        <v>691</v>
      </c>
      <c r="T459" s="196" t="s">
        <v>1765</v>
      </c>
    </row>
    <row r="460">
      <c r="A460" s="182" t="s">
        <v>2060</v>
      </c>
      <c r="B460" s="203" t="s">
        <v>66</v>
      </c>
      <c r="C460" s="173" t="s">
        <v>66</v>
      </c>
      <c r="D460" s="173" t="s">
        <v>2061</v>
      </c>
      <c r="E460" s="196" t="s">
        <v>2062</v>
      </c>
      <c r="F460" s="185" t="s">
        <v>185</v>
      </c>
      <c r="G460" s="185" t="s">
        <v>1500</v>
      </c>
      <c r="H460" s="237" t="b">
        <v>1</v>
      </c>
      <c r="I460" s="185" t="s">
        <v>311</v>
      </c>
      <c r="J460" s="185" t="s">
        <v>1823</v>
      </c>
      <c r="K460" s="185" t="s">
        <v>723</v>
      </c>
      <c r="L460" s="185" t="s">
        <v>85</v>
      </c>
      <c r="M460" s="196" t="s">
        <v>749</v>
      </c>
      <c r="N460" s="185"/>
      <c r="O460" s="238"/>
      <c r="P460" s="239" t="s">
        <v>1781</v>
      </c>
      <c r="Q460" s="239" t="s">
        <v>732</v>
      </c>
      <c r="R460" s="240" t="s">
        <v>1510</v>
      </c>
      <c r="S460" s="196" t="s">
        <v>1510</v>
      </c>
      <c r="T460" s="196" t="s">
        <v>1765</v>
      </c>
    </row>
    <row r="461">
      <c r="A461" s="182" t="s">
        <v>2063</v>
      </c>
      <c r="B461" s="203" t="s">
        <v>66</v>
      </c>
      <c r="C461" s="173" t="s">
        <v>66</v>
      </c>
      <c r="D461" s="173" t="s">
        <v>2064</v>
      </c>
      <c r="E461" s="196" t="s">
        <v>2065</v>
      </c>
      <c r="F461" s="185" t="s">
        <v>185</v>
      </c>
      <c r="G461" s="185" t="s">
        <v>713</v>
      </c>
      <c r="H461" s="237">
        <v>2.0</v>
      </c>
      <c r="I461" s="185" t="s">
        <v>136</v>
      </c>
      <c r="J461" s="185" t="s">
        <v>136</v>
      </c>
      <c r="K461" s="185" t="s">
        <v>136</v>
      </c>
      <c r="L461" s="185" t="s">
        <v>85</v>
      </c>
      <c r="M461" s="196" t="s">
        <v>749</v>
      </c>
      <c r="N461" s="185"/>
      <c r="O461" s="238"/>
      <c r="P461" s="239" t="s">
        <v>1830</v>
      </c>
      <c r="Q461" s="239" t="s">
        <v>1764</v>
      </c>
      <c r="R461" s="240" t="s">
        <v>1510</v>
      </c>
      <c r="S461" s="196" t="s">
        <v>1510</v>
      </c>
      <c r="T461" s="196" t="s">
        <v>1765</v>
      </c>
    </row>
    <row r="462">
      <c r="A462" s="182" t="s">
        <v>2066</v>
      </c>
      <c r="B462" s="203" t="s">
        <v>66</v>
      </c>
      <c r="C462" s="173" t="s">
        <v>66</v>
      </c>
      <c r="D462" s="173" t="s">
        <v>2067</v>
      </c>
      <c r="E462" s="196" t="s">
        <v>2068</v>
      </c>
      <c r="F462" s="185" t="s">
        <v>185</v>
      </c>
      <c r="G462" s="185" t="s">
        <v>713</v>
      </c>
      <c r="H462" s="237">
        <v>6.0</v>
      </c>
      <c r="I462" s="185" t="s">
        <v>136</v>
      </c>
      <c r="J462" s="185" t="s">
        <v>136</v>
      </c>
      <c r="K462" s="185" t="s">
        <v>136</v>
      </c>
      <c r="L462" s="185" t="s">
        <v>85</v>
      </c>
      <c r="M462" s="196" t="s">
        <v>749</v>
      </c>
      <c r="N462" s="185"/>
      <c r="O462" s="238"/>
      <c r="P462" s="239" t="s">
        <v>1830</v>
      </c>
      <c r="Q462" s="239" t="s">
        <v>1764</v>
      </c>
      <c r="R462" s="240" t="s">
        <v>1510</v>
      </c>
      <c r="S462" s="196" t="s">
        <v>1510</v>
      </c>
      <c r="T462" s="196" t="s">
        <v>1765</v>
      </c>
    </row>
    <row r="463">
      <c r="A463" s="182" t="s">
        <v>2069</v>
      </c>
      <c r="B463" s="203" t="s">
        <v>66</v>
      </c>
      <c r="C463" s="173" t="s">
        <v>66</v>
      </c>
      <c r="D463" s="173" t="s">
        <v>2070</v>
      </c>
      <c r="E463" s="196" t="s">
        <v>2070</v>
      </c>
      <c r="F463" s="185" t="s">
        <v>185</v>
      </c>
      <c r="G463" s="185" t="s">
        <v>1761</v>
      </c>
      <c r="H463" s="237" t="s">
        <v>2071</v>
      </c>
      <c r="I463" s="185" t="s">
        <v>2072</v>
      </c>
      <c r="J463" s="185" t="s">
        <v>2073</v>
      </c>
      <c r="K463" s="185" t="s">
        <v>2074</v>
      </c>
      <c r="L463" s="185" t="s">
        <v>85</v>
      </c>
      <c r="M463" s="196" t="s">
        <v>687</v>
      </c>
      <c r="N463" s="185"/>
      <c r="O463" s="238"/>
      <c r="P463" s="239" t="s">
        <v>1791</v>
      </c>
      <c r="Q463" s="239" t="s">
        <v>1787</v>
      </c>
      <c r="R463" s="240" t="s">
        <v>705</v>
      </c>
      <c r="S463" s="196" t="s">
        <v>705</v>
      </c>
      <c r="T463" s="196" t="s">
        <v>1765</v>
      </c>
    </row>
    <row r="464">
      <c r="A464" s="182" t="s">
        <v>2075</v>
      </c>
      <c r="B464" s="203" t="s">
        <v>66</v>
      </c>
      <c r="C464" s="173" t="s">
        <v>66</v>
      </c>
      <c r="D464" s="173" t="s">
        <v>2076</v>
      </c>
      <c r="E464" s="196" t="s">
        <v>2076</v>
      </c>
      <c r="F464" s="185" t="s">
        <v>185</v>
      </c>
      <c r="G464" s="185" t="s">
        <v>698</v>
      </c>
      <c r="H464" s="237">
        <v>42351.333333333336</v>
      </c>
      <c r="I464" s="185" t="s">
        <v>2072</v>
      </c>
      <c r="J464" s="185" t="s">
        <v>2073</v>
      </c>
      <c r="K464" s="185" t="s">
        <v>2074</v>
      </c>
      <c r="L464" s="185" t="s">
        <v>85</v>
      </c>
      <c r="M464" s="196" t="s">
        <v>687</v>
      </c>
      <c r="N464" s="185"/>
      <c r="O464" s="238"/>
      <c r="P464" s="239" t="s">
        <v>701</v>
      </c>
      <c r="Q464" s="239" t="s">
        <v>1905</v>
      </c>
      <c r="R464" s="240" t="s">
        <v>771</v>
      </c>
      <c r="S464" s="196" t="s">
        <v>771</v>
      </c>
      <c r="T464" s="196" t="s">
        <v>1765</v>
      </c>
    </row>
    <row r="465">
      <c r="A465" s="182" t="s">
        <v>2077</v>
      </c>
      <c r="B465" s="203" t="s">
        <v>66</v>
      </c>
      <c r="C465" s="173" t="s">
        <v>66</v>
      </c>
      <c r="D465" s="173" t="s">
        <v>2078</v>
      </c>
      <c r="E465" s="196" t="s">
        <v>2078</v>
      </c>
      <c r="F465" s="185" t="s">
        <v>185</v>
      </c>
      <c r="G465" s="185" t="s">
        <v>1761</v>
      </c>
      <c r="H465" s="237" t="s">
        <v>2079</v>
      </c>
      <c r="I465" s="185" t="s">
        <v>2072</v>
      </c>
      <c r="J465" s="185" t="s">
        <v>2073</v>
      </c>
      <c r="K465" s="185" t="s">
        <v>2074</v>
      </c>
      <c r="L465" s="185" t="s">
        <v>85</v>
      </c>
      <c r="M465" s="196" t="s">
        <v>687</v>
      </c>
      <c r="N465" s="185"/>
      <c r="O465" s="238"/>
      <c r="P465" s="239" t="s">
        <v>701</v>
      </c>
      <c r="Q465" s="239" t="s">
        <v>1905</v>
      </c>
      <c r="R465" s="240" t="s">
        <v>771</v>
      </c>
      <c r="S465" s="196" t="s">
        <v>771</v>
      </c>
      <c r="T465" s="196" t="s">
        <v>1765</v>
      </c>
    </row>
    <row r="466">
      <c r="A466" s="182" t="s">
        <v>2080</v>
      </c>
      <c r="B466" s="203" t="s">
        <v>66</v>
      </c>
      <c r="C466" s="173" t="s">
        <v>66</v>
      </c>
      <c r="D466" s="173" t="s">
        <v>2081</v>
      </c>
      <c r="E466" s="196" t="s">
        <v>2081</v>
      </c>
      <c r="F466" s="185" t="s">
        <v>185</v>
      </c>
      <c r="G466" s="185" t="s">
        <v>768</v>
      </c>
      <c r="H466" s="237">
        <v>100.0</v>
      </c>
      <c r="I466" s="185" t="s">
        <v>2072</v>
      </c>
      <c r="J466" s="185" t="s">
        <v>2073</v>
      </c>
      <c r="K466" s="185" t="s">
        <v>1051</v>
      </c>
      <c r="L466" s="185" t="s">
        <v>85</v>
      </c>
      <c r="M466" s="196" t="s">
        <v>687</v>
      </c>
      <c r="N466" s="185"/>
      <c r="O466" s="238"/>
      <c r="P466" s="239" t="s">
        <v>1763</v>
      </c>
      <c r="Q466" s="239" t="s">
        <v>1764</v>
      </c>
      <c r="R466" s="240" t="s">
        <v>1518</v>
      </c>
      <c r="S466" s="196" t="s">
        <v>1518</v>
      </c>
      <c r="T466" s="196" t="s">
        <v>1765</v>
      </c>
    </row>
    <row r="467">
      <c r="A467" s="182" t="s">
        <v>2082</v>
      </c>
      <c r="B467" s="203" t="s">
        <v>66</v>
      </c>
      <c r="C467" s="173" t="s">
        <v>66</v>
      </c>
      <c r="D467" s="173" t="s">
        <v>2083</v>
      </c>
      <c r="E467" s="196" t="s">
        <v>2083</v>
      </c>
      <c r="F467" s="185" t="s">
        <v>185</v>
      </c>
      <c r="G467" s="185" t="s">
        <v>768</v>
      </c>
      <c r="H467" s="237">
        <v>50.0</v>
      </c>
      <c r="I467" s="185" t="s">
        <v>2072</v>
      </c>
      <c r="J467" s="185" t="s">
        <v>2073</v>
      </c>
      <c r="K467" s="185" t="s">
        <v>1051</v>
      </c>
      <c r="L467" s="185" t="s">
        <v>85</v>
      </c>
      <c r="M467" s="196" t="s">
        <v>687</v>
      </c>
      <c r="N467" s="185"/>
      <c r="O467" s="238"/>
      <c r="P467" s="239" t="s">
        <v>1763</v>
      </c>
      <c r="Q467" s="239" t="s">
        <v>1764</v>
      </c>
      <c r="R467" s="240" t="s">
        <v>1518</v>
      </c>
      <c r="S467" s="196" t="s">
        <v>1518</v>
      </c>
      <c r="T467" s="196" t="s">
        <v>1765</v>
      </c>
    </row>
    <row r="468">
      <c r="A468" s="182" t="s">
        <v>2084</v>
      </c>
      <c r="B468" s="203" t="s">
        <v>66</v>
      </c>
      <c r="C468" s="173" t="s">
        <v>66</v>
      </c>
      <c r="D468" s="173" t="s">
        <v>2085</v>
      </c>
      <c r="E468" s="196" t="s">
        <v>2085</v>
      </c>
      <c r="F468" s="185" t="s">
        <v>185</v>
      </c>
      <c r="G468" s="185" t="s">
        <v>768</v>
      </c>
      <c r="H468" s="237">
        <v>1002.0</v>
      </c>
      <c r="I468" s="185" t="s">
        <v>2072</v>
      </c>
      <c r="J468" s="185" t="s">
        <v>2073</v>
      </c>
      <c r="K468" s="185" t="s">
        <v>1051</v>
      </c>
      <c r="L468" s="185" t="s">
        <v>85</v>
      </c>
      <c r="M468" s="196" t="s">
        <v>687</v>
      </c>
      <c r="N468" s="185"/>
      <c r="O468" s="238"/>
      <c r="P468" s="239" t="s">
        <v>1763</v>
      </c>
      <c r="Q468" s="239" t="s">
        <v>1764</v>
      </c>
      <c r="R468" s="240" t="s">
        <v>1518</v>
      </c>
      <c r="S468" s="196" t="s">
        <v>1518</v>
      </c>
      <c r="T468" s="196" t="s">
        <v>1765</v>
      </c>
    </row>
    <row r="469">
      <c r="A469" s="182" t="s">
        <v>2086</v>
      </c>
      <c r="B469" s="203" t="s">
        <v>66</v>
      </c>
      <c r="C469" s="173" t="s">
        <v>66</v>
      </c>
      <c r="D469" s="173" t="s">
        <v>2087</v>
      </c>
      <c r="E469" s="196" t="s">
        <v>2088</v>
      </c>
      <c r="F469" s="185" t="s">
        <v>185</v>
      </c>
      <c r="G469" s="185" t="s">
        <v>1500</v>
      </c>
      <c r="H469" s="237" t="b">
        <v>0</v>
      </c>
      <c r="I469" s="185" t="s">
        <v>2072</v>
      </c>
      <c r="J469" s="185" t="s">
        <v>2073</v>
      </c>
      <c r="K469" s="185" t="s">
        <v>2089</v>
      </c>
      <c r="L469" s="185" t="s">
        <v>85</v>
      </c>
      <c r="M469" s="196" t="s">
        <v>687</v>
      </c>
      <c r="N469" s="185"/>
      <c r="O469" s="238"/>
      <c r="P469" s="239" t="s">
        <v>1777</v>
      </c>
      <c r="Q469" s="239" t="s">
        <v>1764</v>
      </c>
      <c r="R469" s="240" t="s">
        <v>1518</v>
      </c>
      <c r="S469" s="196" t="s">
        <v>1518</v>
      </c>
      <c r="T469" s="196" t="s">
        <v>1765</v>
      </c>
    </row>
    <row r="470">
      <c r="A470" s="182" t="s">
        <v>2090</v>
      </c>
      <c r="B470" s="203" t="s">
        <v>66</v>
      </c>
      <c r="C470" s="173" t="s">
        <v>66</v>
      </c>
      <c r="D470" s="173" t="s">
        <v>2091</v>
      </c>
      <c r="E470" s="196" t="s">
        <v>2091</v>
      </c>
      <c r="F470" s="185" t="s">
        <v>185</v>
      </c>
      <c r="G470" s="185" t="s">
        <v>698</v>
      </c>
      <c r="H470" s="237">
        <v>43705.0</v>
      </c>
      <c r="I470" s="185" t="s">
        <v>2072</v>
      </c>
      <c r="J470" s="185" t="s">
        <v>2073</v>
      </c>
      <c r="K470" s="185" t="s">
        <v>1517</v>
      </c>
      <c r="L470" s="185" t="s">
        <v>85</v>
      </c>
      <c r="M470" s="196" t="s">
        <v>687</v>
      </c>
      <c r="N470" s="185"/>
      <c r="O470" s="238"/>
      <c r="P470" s="239" t="s">
        <v>1777</v>
      </c>
      <c r="Q470" s="239" t="s">
        <v>1764</v>
      </c>
      <c r="R470" s="240" t="s">
        <v>1518</v>
      </c>
      <c r="S470" s="196" t="s">
        <v>1518</v>
      </c>
      <c r="T470" s="196" t="s">
        <v>1765</v>
      </c>
    </row>
    <row r="471">
      <c r="A471" s="182" t="s">
        <v>2092</v>
      </c>
      <c r="B471" s="203" t="s">
        <v>66</v>
      </c>
      <c r="C471" s="173" t="s">
        <v>66</v>
      </c>
      <c r="D471" s="173" t="s">
        <v>2093</v>
      </c>
      <c r="E471" s="196" t="s">
        <v>2094</v>
      </c>
      <c r="F471" s="185" t="s">
        <v>185</v>
      </c>
      <c r="G471" s="185" t="s">
        <v>1500</v>
      </c>
      <c r="H471" s="237" t="b">
        <v>1</v>
      </c>
      <c r="I471" s="185" t="s">
        <v>2072</v>
      </c>
      <c r="J471" s="185" t="s">
        <v>2073</v>
      </c>
      <c r="K471" s="185" t="s">
        <v>1051</v>
      </c>
      <c r="L471" s="185" t="s">
        <v>85</v>
      </c>
      <c r="M471" s="196" t="s">
        <v>687</v>
      </c>
      <c r="N471" s="185"/>
      <c r="O471" s="238"/>
      <c r="P471" s="239" t="s">
        <v>1791</v>
      </c>
      <c r="Q471" s="239" t="s">
        <v>1764</v>
      </c>
      <c r="R471" s="240" t="s">
        <v>721</v>
      </c>
      <c r="S471" s="196" t="s">
        <v>721</v>
      </c>
      <c r="T471" s="196" t="s">
        <v>1765</v>
      </c>
    </row>
    <row r="472">
      <c r="A472" s="182" t="s">
        <v>2095</v>
      </c>
      <c r="B472" s="203" t="s">
        <v>66</v>
      </c>
      <c r="C472" s="173" t="s">
        <v>66</v>
      </c>
      <c r="D472" s="173" t="s">
        <v>2096</v>
      </c>
      <c r="E472" s="196" t="s">
        <v>2096</v>
      </c>
      <c r="F472" s="185" t="s">
        <v>185</v>
      </c>
      <c r="G472" s="185" t="s">
        <v>694</v>
      </c>
      <c r="H472" s="237">
        <v>2.62E8</v>
      </c>
      <c r="I472" s="185" t="s">
        <v>2072</v>
      </c>
      <c r="J472" s="185" t="s">
        <v>2073</v>
      </c>
      <c r="K472" s="185" t="s">
        <v>2097</v>
      </c>
      <c r="L472" s="185" t="s">
        <v>85</v>
      </c>
      <c r="M472" s="196" t="s">
        <v>687</v>
      </c>
      <c r="N472" s="185"/>
      <c r="O472" s="238"/>
      <c r="P472" s="239" t="s">
        <v>1904</v>
      </c>
      <c r="Q472" s="239" t="s">
        <v>732</v>
      </c>
      <c r="R472" s="240" t="s">
        <v>721</v>
      </c>
      <c r="S472" s="196" t="s">
        <v>721</v>
      </c>
      <c r="T472" s="196" t="s">
        <v>1765</v>
      </c>
    </row>
    <row r="473">
      <c r="A473" s="182" t="s">
        <v>2098</v>
      </c>
      <c r="B473" s="203" t="s">
        <v>66</v>
      </c>
      <c r="C473" s="173" t="s">
        <v>66</v>
      </c>
      <c r="D473" s="173" t="s">
        <v>2099</v>
      </c>
      <c r="E473" s="196" t="s">
        <v>2099</v>
      </c>
      <c r="F473" s="185" t="s">
        <v>185</v>
      </c>
      <c r="G473" s="185" t="s">
        <v>694</v>
      </c>
      <c r="H473" s="237">
        <v>3.67E8</v>
      </c>
      <c r="I473" s="185" t="s">
        <v>2072</v>
      </c>
      <c r="J473" s="185" t="s">
        <v>2073</v>
      </c>
      <c r="K473" s="185" t="s">
        <v>2097</v>
      </c>
      <c r="L473" s="185" t="s">
        <v>85</v>
      </c>
      <c r="M473" s="196" t="s">
        <v>687</v>
      </c>
      <c r="N473" s="185"/>
      <c r="O473" s="238"/>
      <c r="P473" s="239" t="s">
        <v>1904</v>
      </c>
      <c r="Q473" s="239" t="s">
        <v>732</v>
      </c>
      <c r="R473" s="240" t="s">
        <v>721</v>
      </c>
      <c r="S473" s="196" t="s">
        <v>721</v>
      </c>
      <c r="T473" s="196" t="s">
        <v>1765</v>
      </c>
    </row>
    <row r="474">
      <c r="A474" s="182" t="s">
        <v>2100</v>
      </c>
      <c r="B474" s="203" t="s">
        <v>66</v>
      </c>
      <c r="C474" s="173" t="s">
        <v>66</v>
      </c>
      <c r="D474" s="173" t="s">
        <v>2101</v>
      </c>
      <c r="E474" s="196" t="s">
        <v>2101</v>
      </c>
      <c r="F474" s="185" t="s">
        <v>185</v>
      </c>
      <c r="G474" s="185" t="s">
        <v>694</v>
      </c>
      <c r="H474" s="237">
        <v>2.1E8</v>
      </c>
      <c r="I474" s="185" t="s">
        <v>2072</v>
      </c>
      <c r="J474" s="185" t="s">
        <v>2073</v>
      </c>
      <c r="K474" s="185" t="s">
        <v>2097</v>
      </c>
      <c r="L474" s="185" t="s">
        <v>85</v>
      </c>
      <c r="M474" s="196" t="s">
        <v>687</v>
      </c>
      <c r="N474" s="185"/>
      <c r="O474" s="238"/>
      <c r="P474" s="239" t="s">
        <v>1904</v>
      </c>
      <c r="Q474" s="239" t="s">
        <v>732</v>
      </c>
      <c r="R474" s="240" t="s">
        <v>721</v>
      </c>
      <c r="S474" s="196" t="s">
        <v>721</v>
      </c>
      <c r="T474" s="196" t="s">
        <v>1765</v>
      </c>
    </row>
    <row r="475">
      <c r="A475" s="182" t="s">
        <v>2102</v>
      </c>
      <c r="B475" s="203" t="s">
        <v>66</v>
      </c>
      <c r="C475" s="173" t="s">
        <v>66</v>
      </c>
      <c r="D475" s="173" t="s">
        <v>2103</v>
      </c>
      <c r="E475" s="196" t="s">
        <v>2103</v>
      </c>
      <c r="F475" s="185" t="s">
        <v>185</v>
      </c>
      <c r="G475" s="185" t="s">
        <v>777</v>
      </c>
      <c r="H475" s="237">
        <v>525.1317</v>
      </c>
      <c r="I475" s="185" t="s">
        <v>2072</v>
      </c>
      <c r="J475" s="185" t="s">
        <v>2073</v>
      </c>
      <c r="K475" s="185" t="s">
        <v>2097</v>
      </c>
      <c r="L475" s="185" t="s">
        <v>85</v>
      </c>
      <c r="M475" s="196" t="s">
        <v>687</v>
      </c>
      <c r="N475" s="185"/>
      <c r="O475" s="238"/>
      <c r="P475" s="239" t="s">
        <v>1904</v>
      </c>
      <c r="Q475" s="239" t="s">
        <v>732</v>
      </c>
      <c r="R475" s="240" t="s">
        <v>721</v>
      </c>
      <c r="S475" s="196" t="s">
        <v>721</v>
      </c>
      <c r="T475" s="196" t="s">
        <v>1765</v>
      </c>
    </row>
    <row r="476">
      <c r="A476" s="182" t="s">
        <v>2104</v>
      </c>
      <c r="B476" s="203" t="s">
        <v>66</v>
      </c>
      <c r="C476" s="173" t="s">
        <v>66</v>
      </c>
      <c r="D476" s="173" t="s">
        <v>2105</v>
      </c>
      <c r="E476" s="196" t="s">
        <v>2105</v>
      </c>
      <c r="F476" s="185" t="s">
        <v>185</v>
      </c>
      <c r="G476" s="185" t="s">
        <v>777</v>
      </c>
      <c r="H476" s="237">
        <v>525.1317</v>
      </c>
      <c r="I476" s="185" t="s">
        <v>2072</v>
      </c>
      <c r="J476" s="185" t="s">
        <v>2073</v>
      </c>
      <c r="K476" s="185" t="s">
        <v>2097</v>
      </c>
      <c r="L476" s="185" t="s">
        <v>85</v>
      </c>
      <c r="M476" s="196" t="s">
        <v>687</v>
      </c>
      <c r="N476" s="185"/>
      <c r="O476" s="238"/>
      <c r="P476" s="239" t="s">
        <v>1904</v>
      </c>
      <c r="Q476" s="239" t="s">
        <v>732</v>
      </c>
      <c r="R476" s="240" t="s">
        <v>721</v>
      </c>
      <c r="S476" s="196" t="s">
        <v>721</v>
      </c>
      <c r="T476" s="196" t="s">
        <v>1765</v>
      </c>
    </row>
    <row r="477">
      <c r="A477" s="182" t="s">
        <v>2106</v>
      </c>
      <c r="B477" s="203" t="s">
        <v>66</v>
      </c>
      <c r="C477" s="173" t="s">
        <v>66</v>
      </c>
      <c r="D477" s="173" t="s">
        <v>2107</v>
      </c>
      <c r="E477" s="196" t="s">
        <v>2107</v>
      </c>
      <c r="F477" s="185" t="s">
        <v>185</v>
      </c>
      <c r="G477" s="185" t="s">
        <v>777</v>
      </c>
      <c r="H477" s="237">
        <v>525.1317</v>
      </c>
      <c r="I477" s="185" t="s">
        <v>2072</v>
      </c>
      <c r="J477" s="185" t="s">
        <v>2073</v>
      </c>
      <c r="K477" s="185" t="s">
        <v>2097</v>
      </c>
      <c r="L477" s="185" t="s">
        <v>85</v>
      </c>
      <c r="M477" s="196" t="s">
        <v>687</v>
      </c>
      <c r="N477" s="185"/>
      <c r="O477" s="238"/>
      <c r="P477" s="239" t="s">
        <v>1904</v>
      </c>
      <c r="Q477" s="239" t="s">
        <v>732</v>
      </c>
      <c r="R477" s="240" t="s">
        <v>721</v>
      </c>
      <c r="S477" s="196" t="s">
        <v>721</v>
      </c>
      <c r="T477" s="196" t="s">
        <v>1765</v>
      </c>
    </row>
    <row r="478">
      <c r="A478" s="182" t="s">
        <v>2108</v>
      </c>
      <c r="B478" s="203" t="s">
        <v>66</v>
      </c>
      <c r="C478" s="173" t="s">
        <v>66</v>
      </c>
      <c r="D478" s="173" t="s">
        <v>2109</v>
      </c>
      <c r="E478" s="196" t="s">
        <v>2109</v>
      </c>
      <c r="F478" s="185" t="s">
        <v>185</v>
      </c>
      <c r="G478" s="185" t="s">
        <v>768</v>
      </c>
      <c r="H478" s="237">
        <v>45.0</v>
      </c>
      <c r="I478" s="185" t="s">
        <v>2072</v>
      </c>
      <c r="J478" s="185" t="s">
        <v>2073</v>
      </c>
      <c r="K478" s="185" t="s">
        <v>2074</v>
      </c>
      <c r="L478" s="185" t="s">
        <v>85</v>
      </c>
      <c r="M478" s="196" t="s">
        <v>687</v>
      </c>
      <c r="N478" s="185"/>
      <c r="O478" s="238"/>
      <c r="P478" s="239" t="s">
        <v>1777</v>
      </c>
      <c r="Q478" s="239" t="s">
        <v>1764</v>
      </c>
      <c r="R478" s="240" t="s">
        <v>1518</v>
      </c>
      <c r="S478" s="196" t="s">
        <v>1518</v>
      </c>
      <c r="T478" s="196" t="s">
        <v>1765</v>
      </c>
    </row>
    <row r="479">
      <c r="A479" s="182" t="s">
        <v>2110</v>
      </c>
      <c r="B479" s="203" t="s">
        <v>66</v>
      </c>
      <c r="C479" s="173" t="s">
        <v>66</v>
      </c>
      <c r="D479" s="173" t="s">
        <v>2111</v>
      </c>
      <c r="E479" s="196" t="s">
        <v>2112</v>
      </c>
      <c r="F479" s="185" t="s">
        <v>185</v>
      </c>
      <c r="G479" s="185" t="s">
        <v>1500</v>
      </c>
      <c r="H479" s="237" t="b">
        <v>1</v>
      </c>
      <c r="I479" s="185" t="s">
        <v>2072</v>
      </c>
      <c r="J479" s="185" t="s">
        <v>2073</v>
      </c>
      <c r="K479" s="185" t="s">
        <v>2074</v>
      </c>
      <c r="L479" s="185" t="s">
        <v>85</v>
      </c>
      <c r="M479" s="196" t="s">
        <v>687</v>
      </c>
      <c r="N479" s="185"/>
      <c r="O479" s="238"/>
      <c r="P479" s="239" t="s">
        <v>701</v>
      </c>
      <c r="Q479" s="239" t="s">
        <v>732</v>
      </c>
      <c r="R479" s="240" t="s">
        <v>691</v>
      </c>
      <c r="S479" s="196" t="s">
        <v>691</v>
      </c>
      <c r="T479" s="196" t="s">
        <v>1765</v>
      </c>
    </row>
    <row r="480">
      <c r="A480" s="182" t="s">
        <v>2113</v>
      </c>
      <c r="B480" s="203" t="s">
        <v>66</v>
      </c>
      <c r="C480" s="173" t="s">
        <v>66</v>
      </c>
      <c r="D480" s="173" t="s">
        <v>2114</v>
      </c>
      <c r="E480" s="196" t="s">
        <v>2114</v>
      </c>
      <c r="F480" s="185" t="s">
        <v>185</v>
      </c>
      <c r="G480" s="185" t="s">
        <v>777</v>
      </c>
      <c r="H480" s="237">
        <v>525.1317</v>
      </c>
      <c r="I480" s="185" t="s">
        <v>2072</v>
      </c>
      <c r="J480" s="185" t="s">
        <v>2073</v>
      </c>
      <c r="K480" s="185" t="s">
        <v>2115</v>
      </c>
      <c r="L480" s="185" t="s">
        <v>85</v>
      </c>
      <c r="M480" s="196" t="s">
        <v>687</v>
      </c>
      <c r="N480" s="185"/>
      <c r="O480" s="238"/>
      <c r="P480" s="239" t="s">
        <v>1777</v>
      </c>
      <c r="Q480" s="239" t="s">
        <v>1764</v>
      </c>
      <c r="R480" s="240" t="s">
        <v>724</v>
      </c>
      <c r="S480" s="196" t="s">
        <v>724</v>
      </c>
      <c r="T480" s="196" t="s">
        <v>1765</v>
      </c>
    </row>
    <row r="481">
      <c r="A481" s="182" t="s">
        <v>2116</v>
      </c>
      <c r="B481" s="203" t="s">
        <v>66</v>
      </c>
      <c r="C481" s="173" t="s">
        <v>66</v>
      </c>
      <c r="D481" s="173" t="s">
        <v>2117</v>
      </c>
      <c r="E481" s="196" t="s">
        <v>2117</v>
      </c>
      <c r="F481" s="185" t="s">
        <v>185</v>
      </c>
      <c r="G481" s="185" t="s">
        <v>713</v>
      </c>
      <c r="H481" s="237">
        <v>26.0</v>
      </c>
      <c r="I481" s="185" t="s">
        <v>2118</v>
      </c>
      <c r="J481" s="185" t="s">
        <v>2118</v>
      </c>
      <c r="K481" s="185" t="s">
        <v>2118</v>
      </c>
      <c r="L481" s="185" t="s">
        <v>85</v>
      </c>
      <c r="M481" s="196" t="s">
        <v>687</v>
      </c>
      <c r="N481" s="185"/>
      <c r="O481" s="238"/>
      <c r="P481" s="239" t="s">
        <v>1777</v>
      </c>
      <c r="Q481" s="239" t="s">
        <v>1764</v>
      </c>
      <c r="R481" s="240" t="s">
        <v>1518</v>
      </c>
      <c r="S481" s="196" t="s">
        <v>1518</v>
      </c>
      <c r="T481" s="196" t="s">
        <v>1765</v>
      </c>
    </row>
    <row r="482">
      <c r="A482" s="182" t="s">
        <v>2119</v>
      </c>
      <c r="B482" s="203" t="s">
        <v>66</v>
      </c>
      <c r="C482" s="173" t="s">
        <v>66</v>
      </c>
      <c r="D482" s="173" t="s">
        <v>2120</v>
      </c>
      <c r="E482" s="196" t="s">
        <v>2120</v>
      </c>
      <c r="F482" s="185" t="s">
        <v>185</v>
      </c>
      <c r="G482" s="185" t="s">
        <v>713</v>
      </c>
      <c r="H482" s="237">
        <v>26.0</v>
      </c>
      <c r="I482" s="185" t="s">
        <v>2118</v>
      </c>
      <c r="J482" s="185" t="s">
        <v>2118</v>
      </c>
      <c r="K482" s="185" t="s">
        <v>2118</v>
      </c>
      <c r="L482" s="185" t="s">
        <v>85</v>
      </c>
      <c r="M482" s="196" t="s">
        <v>687</v>
      </c>
      <c r="N482" s="185"/>
      <c r="O482" s="238"/>
      <c r="P482" s="239" t="s">
        <v>1777</v>
      </c>
      <c r="Q482" s="239" t="s">
        <v>1764</v>
      </c>
      <c r="R482" s="240" t="s">
        <v>1518</v>
      </c>
      <c r="S482" s="196" t="s">
        <v>1518</v>
      </c>
      <c r="T482" s="196" t="s">
        <v>1765</v>
      </c>
    </row>
    <row r="483">
      <c r="A483" s="182" t="s">
        <v>2121</v>
      </c>
      <c r="B483" s="203" t="s">
        <v>66</v>
      </c>
      <c r="C483" s="173" t="s">
        <v>66</v>
      </c>
      <c r="D483" s="173" t="s">
        <v>2122</v>
      </c>
      <c r="E483" s="196" t="s">
        <v>2122</v>
      </c>
      <c r="F483" s="185" t="s">
        <v>185</v>
      </c>
      <c r="G483" s="185" t="s">
        <v>713</v>
      </c>
      <c r="H483" s="237">
        <v>10.0</v>
      </c>
      <c r="I483" s="185" t="s">
        <v>2118</v>
      </c>
      <c r="J483" s="185" t="s">
        <v>2118</v>
      </c>
      <c r="K483" s="185" t="s">
        <v>2118</v>
      </c>
      <c r="L483" s="185" t="s">
        <v>85</v>
      </c>
      <c r="M483" s="196" t="s">
        <v>687</v>
      </c>
      <c r="N483" s="185"/>
      <c r="O483" s="238"/>
      <c r="P483" s="239" t="s">
        <v>1777</v>
      </c>
      <c r="Q483" s="239" t="s">
        <v>1764</v>
      </c>
      <c r="R483" s="240" t="s">
        <v>724</v>
      </c>
      <c r="S483" s="196" t="s">
        <v>724</v>
      </c>
      <c r="T483" s="196" t="s">
        <v>1765</v>
      </c>
    </row>
    <row r="484">
      <c r="A484" s="182" t="s">
        <v>2123</v>
      </c>
      <c r="B484" s="203" t="s">
        <v>66</v>
      </c>
      <c r="C484" s="173" t="s">
        <v>66</v>
      </c>
      <c r="D484" s="173" t="s">
        <v>2124</v>
      </c>
      <c r="E484" s="196" t="s">
        <v>2124</v>
      </c>
      <c r="F484" s="185" t="s">
        <v>185</v>
      </c>
      <c r="G484" s="185" t="s">
        <v>713</v>
      </c>
      <c r="H484" s="237">
        <v>10.0</v>
      </c>
      <c r="I484" s="185" t="s">
        <v>2118</v>
      </c>
      <c r="J484" s="185" t="s">
        <v>2118</v>
      </c>
      <c r="K484" s="185" t="s">
        <v>2118</v>
      </c>
      <c r="L484" s="185" t="s">
        <v>85</v>
      </c>
      <c r="M484" s="196" t="s">
        <v>687</v>
      </c>
      <c r="N484" s="185"/>
      <c r="O484" s="238"/>
      <c r="P484" s="239" t="s">
        <v>1777</v>
      </c>
      <c r="Q484" s="239" t="s">
        <v>1764</v>
      </c>
      <c r="R484" s="240" t="s">
        <v>724</v>
      </c>
      <c r="S484" s="196" t="s">
        <v>724</v>
      </c>
      <c r="T484" s="196" t="s">
        <v>1765</v>
      </c>
    </row>
    <row r="485">
      <c r="A485" s="182" t="s">
        <v>2125</v>
      </c>
      <c r="B485" s="203" t="s">
        <v>66</v>
      </c>
      <c r="C485" s="173" t="s">
        <v>66</v>
      </c>
      <c r="D485" s="173" t="s">
        <v>2126</v>
      </c>
      <c r="E485" s="196" t="s">
        <v>2127</v>
      </c>
      <c r="F485" s="185" t="s">
        <v>185</v>
      </c>
      <c r="G485" s="185" t="s">
        <v>713</v>
      </c>
      <c r="H485" s="237">
        <v>112.0</v>
      </c>
      <c r="I485" s="185" t="s">
        <v>2118</v>
      </c>
      <c r="J485" s="185" t="s">
        <v>2118</v>
      </c>
      <c r="K485" s="185" t="s">
        <v>2118</v>
      </c>
      <c r="L485" s="185" t="s">
        <v>85</v>
      </c>
      <c r="M485" s="196" t="s">
        <v>749</v>
      </c>
      <c r="N485" s="185"/>
      <c r="O485" s="238"/>
      <c r="P485" s="239" t="s">
        <v>1786</v>
      </c>
      <c r="Q485" s="239" t="s">
        <v>1905</v>
      </c>
      <c r="R485" s="240" t="s">
        <v>771</v>
      </c>
      <c r="S485" s="196" t="s">
        <v>771</v>
      </c>
      <c r="T485" s="196" t="s">
        <v>1765</v>
      </c>
    </row>
    <row r="486">
      <c r="A486" s="182" t="s">
        <v>2128</v>
      </c>
      <c r="B486" s="203" t="s">
        <v>66</v>
      </c>
      <c r="C486" s="173" t="s">
        <v>66</v>
      </c>
      <c r="D486" s="173" t="s">
        <v>2129</v>
      </c>
      <c r="E486" s="196" t="s">
        <v>2129</v>
      </c>
      <c r="F486" s="185" t="s">
        <v>185</v>
      </c>
      <c r="G486" s="185" t="s">
        <v>713</v>
      </c>
      <c r="H486" s="237">
        <v>10.0</v>
      </c>
      <c r="I486" s="185" t="s">
        <v>2118</v>
      </c>
      <c r="J486" s="185" t="s">
        <v>2118</v>
      </c>
      <c r="K486" s="185" t="s">
        <v>2118</v>
      </c>
      <c r="L486" s="185" t="s">
        <v>85</v>
      </c>
      <c r="M486" s="196" t="s">
        <v>687</v>
      </c>
      <c r="N486" s="185"/>
      <c r="O486" s="238"/>
      <c r="P486" s="239" t="s">
        <v>1786</v>
      </c>
      <c r="Q486" s="239" t="s">
        <v>1787</v>
      </c>
      <c r="R486" s="240" t="s">
        <v>788</v>
      </c>
      <c r="S486" s="196" t="s">
        <v>788</v>
      </c>
      <c r="T486" s="196" t="s">
        <v>1765</v>
      </c>
    </row>
    <row r="487">
      <c r="A487" s="182" t="s">
        <v>2130</v>
      </c>
      <c r="B487" s="203" t="s">
        <v>66</v>
      </c>
      <c r="C487" s="173" t="s">
        <v>66</v>
      </c>
      <c r="D487" s="173" t="s">
        <v>2131</v>
      </c>
      <c r="E487" s="196" t="s">
        <v>2132</v>
      </c>
      <c r="F487" s="185" t="s">
        <v>185</v>
      </c>
      <c r="G487" s="185" t="s">
        <v>768</v>
      </c>
      <c r="H487" s="237">
        <v>14.64</v>
      </c>
      <c r="I487" s="185" t="s">
        <v>2118</v>
      </c>
      <c r="J487" s="185" t="s">
        <v>2118</v>
      </c>
      <c r="K487" s="185" t="s">
        <v>2118</v>
      </c>
      <c r="L487" s="185" t="s">
        <v>85</v>
      </c>
      <c r="M487" s="196" t="s">
        <v>687</v>
      </c>
      <c r="N487" s="185"/>
      <c r="O487" s="238"/>
      <c r="P487" s="239" t="s">
        <v>1777</v>
      </c>
      <c r="Q487" s="239" t="s">
        <v>1764</v>
      </c>
      <c r="R487" s="240" t="s">
        <v>724</v>
      </c>
      <c r="S487" s="196" t="s">
        <v>724</v>
      </c>
      <c r="T487" s="196" t="s">
        <v>1765</v>
      </c>
    </row>
    <row r="488">
      <c r="A488" s="182" t="s">
        <v>2133</v>
      </c>
      <c r="B488" s="203" t="s">
        <v>66</v>
      </c>
      <c r="C488" s="173" t="s">
        <v>66</v>
      </c>
      <c r="D488" s="173" t="s">
        <v>2134</v>
      </c>
      <c r="E488" s="196" t="s">
        <v>2134</v>
      </c>
      <c r="F488" s="185" t="s">
        <v>185</v>
      </c>
      <c r="G488" s="185" t="s">
        <v>768</v>
      </c>
      <c r="H488" s="237">
        <v>280.0</v>
      </c>
      <c r="I488" s="185" t="s">
        <v>1997</v>
      </c>
      <c r="J488" s="185" t="s">
        <v>1997</v>
      </c>
      <c r="K488" s="185" t="s">
        <v>1997</v>
      </c>
      <c r="L488" s="185" t="s">
        <v>85</v>
      </c>
      <c r="M488" s="196" t="s">
        <v>687</v>
      </c>
      <c r="N488" s="185"/>
      <c r="O488" s="238"/>
      <c r="P488" s="239" t="s">
        <v>1781</v>
      </c>
      <c r="Q488" s="239" t="s">
        <v>1764</v>
      </c>
      <c r="R488" s="240" t="s">
        <v>724</v>
      </c>
      <c r="S488" s="196" t="s">
        <v>724</v>
      </c>
      <c r="T488" s="196" t="s">
        <v>1765</v>
      </c>
    </row>
    <row r="489">
      <c r="A489" s="182" t="s">
        <v>2135</v>
      </c>
      <c r="B489" s="203" t="s">
        <v>66</v>
      </c>
      <c r="C489" s="173" t="s">
        <v>66</v>
      </c>
      <c r="D489" s="173" t="s">
        <v>2136</v>
      </c>
      <c r="E489" s="196" t="s">
        <v>2136</v>
      </c>
      <c r="F489" s="185" t="s">
        <v>185</v>
      </c>
      <c r="G489" s="185" t="s">
        <v>768</v>
      </c>
      <c r="H489" s="237">
        <v>180.0</v>
      </c>
      <c r="I489" s="185" t="s">
        <v>1997</v>
      </c>
      <c r="J489" s="185" t="s">
        <v>1997</v>
      </c>
      <c r="K489" s="185" t="s">
        <v>1997</v>
      </c>
      <c r="L489" s="185" t="s">
        <v>85</v>
      </c>
      <c r="M489" s="196" t="s">
        <v>687</v>
      </c>
      <c r="N489" s="185"/>
      <c r="O489" s="238"/>
      <c r="P489" s="239" t="s">
        <v>1781</v>
      </c>
      <c r="Q489" s="239" t="s">
        <v>1764</v>
      </c>
      <c r="R489" s="240" t="s">
        <v>724</v>
      </c>
      <c r="S489" s="196" t="s">
        <v>724</v>
      </c>
      <c r="T489" s="196" t="s">
        <v>1765</v>
      </c>
    </row>
    <row r="490">
      <c r="A490" s="182" t="s">
        <v>2137</v>
      </c>
      <c r="B490" s="203" t="s">
        <v>66</v>
      </c>
      <c r="C490" s="173" t="s">
        <v>66</v>
      </c>
      <c r="D490" s="173" t="s">
        <v>2138</v>
      </c>
      <c r="E490" s="196" t="s">
        <v>2138</v>
      </c>
      <c r="F490" s="185" t="s">
        <v>185</v>
      </c>
      <c r="G490" s="185" t="s">
        <v>768</v>
      </c>
      <c r="H490" s="237">
        <v>0.03</v>
      </c>
      <c r="I490" s="185" t="s">
        <v>1997</v>
      </c>
      <c r="J490" s="185" t="s">
        <v>1997</v>
      </c>
      <c r="K490" s="185" t="s">
        <v>1997</v>
      </c>
      <c r="L490" s="185" t="s">
        <v>85</v>
      </c>
      <c r="M490" s="196" t="s">
        <v>687</v>
      </c>
      <c r="N490" s="185"/>
      <c r="O490" s="238"/>
      <c r="P490" s="239" t="s">
        <v>701</v>
      </c>
      <c r="Q490" s="239" t="s">
        <v>1787</v>
      </c>
      <c r="R490" s="240" t="s">
        <v>724</v>
      </c>
      <c r="S490" s="196" t="s">
        <v>724</v>
      </c>
      <c r="T490" s="196" t="s">
        <v>1765</v>
      </c>
    </row>
    <row r="491">
      <c r="A491" s="182" t="s">
        <v>2139</v>
      </c>
      <c r="B491" s="203" t="s">
        <v>66</v>
      </c>
      <c r="C491" s="173" t="s">
        <v>66</v>
      </c>
      <c r="D491" s="173" t="s">
        <v>2140</v>
      </c>
      <c r="E491" s="196" t="s">
        <v>2140</v>
      </c>
      <c r="F491" s="185" t="s">
        <v>185</v>
      </c>
      <c r="G491" s="185" t="s">
        <v>713</v>
      </c>
      <c r="H491" s="237">
        <v>8.0</v>
      </c>
      <c r="I491" s="185" t="s">
        <v>1997</v>
      </c>
      <c r="J491" s="185" t="s">
        <v>1997</v>
      </c>
      <c r="K491" s="185" t="s">
        <v>1997</v>
      </c>
      <c r="L491" s="185" t="s">
        <v>85</v>
      </c>
      <c r="M491" s="196" t="s">
        <v>687</v>
      </c>
      <c r="N491" s="185"/>
      <c r="O491" s="238"/>
      <c r="P491" s="239" t="s">
        <v>1775</v>
      </c>
      <c r="Q491" s="239" t="s">
        <v>1764</v>
      </c>
      <c r="R491" s="240" t="s">
        <v>724</v>
      </c>
      <c r="S491" s="196" t="s">
        <v>724</v>
      </c>
      <c r="T491" s="196" t="s">
        <v>1765</v>
      </c>
    </row>
    <row r="492">
      <c r="A492" s="182" t="s">
        <v>2141</v>
      </c>
      <c r="B492" s="203" t="s">
        <v>66</v>
      </c>
      <c r="C492" s="173" t="s">
        <v>66</v>
      </c>
      <c r="D492" s="173" t="s">
        <v>2142</v>
      </c>
      <c r="E492" s="196" t="s">
        <v>2142</v>
      </c>
      <c r="F492" s="185" t="s">
        <v>185</v>
      </c>
      <c r="G492" s="185" t="s">
        <v>713</v>
      </c>
      <c r="H492" s="237">
        <v>26.0</v>
      </c>
      <c r="I492" s="185" t="s">
        <v>1997</v>
      </c>
      <c r="J492" s="185" t="s">
        <v>1997</v>
      </c>
      <c r="K492" s="185" t="s">
        <v>1997</v>
      </c>
      <c r="L492" s="185" t="s">
        <v>85</v>
      </c>
      <c r="M492" s="196" t="s">
        <v>687</v>
      </c>
      <c r="N492" s="185"/>
      <c r="O492" s="238"/>
      <c r="P492" s="239" t="s">
        <v>1775</v>
      </c>
      <c r="Q492" s="239" t="s">
        <v>1764</v>
      </c>
      <c r="R492" s="240" t="s">
        <v>724</v>
      </c>
      <c r="S492" s="196" t="s">
        <v>724</v>
      </c>
      <c r="T492" s="196" t="s">
        <v>1765</v>
      </c>
    </row>
    <row r="493">
      <c r="A493" s="182" t="s">
        <v>2143</v>
      </c>
      <c r="B493" s="203" t="s">
        <v>66</v>
      </c>
      <c r="C493" s="173" t="s">
        <v>66</v>
      </c>
      <c r="D493" s="173" t="s">
        <v>2144</v>
      </c>
      <c r="E493" s="196" t="s">
        <v>2144</v>
      </c>
      <c r="F493" s="185" t="s">
        <v>185</v>
      </c>
      <c r="G493" s="185" t="s">
        <v>713</v>
      </c>
      <c r="H493" s="237">
        <v>12.0</v>
      </c>
      <c r="I493" s="185" t="s">
        <v>1997</v>
      </c>
      <c r="J493" s="185" t="s">
        <v>1997</v>
      </c>
      <c r="K493" s="185" t="s">
        <v>1997</v>
      </c>
      <c r="L493" s="185" t="s">
        <v>85</v>
      </c>
      <c r="M493" s="196" t="s">
        <v>687</v>
      </c>
      <c r="N493" s="185"/>
      <c r="O493" s="238"/>
      <c r="P493" s="239" t="s">
        <v>1779</v>
      </c>
      <c r="Q493" s="239" t="s">
        <v>1764</v>
      </c>
      <c r="R493" s="240" t="s">
        <v>724</v>
      </c>
      <c r="S493" s="196" t="s">
        <v>724</v>
      </c>
      <c r="T493" s="196" t="s">
        <v>1765</v>
      </c>
    </row>
    <row r="494">
      <c r="A494" s="182" t="s">
        <v>2145</v>
      </c>
      <c r="B494" s="203" t="s">
        <v>66</v>
      </c>
      <c r="C494" s="173" t="s">
        <v>66</v>
      </c>
      <c r="D494" s="173" t="s">
        <v>2146</v>
      </c>
      <c r="E494" s="196" t="s">
        <v>2146</v>
      </c>
      <c r="F494" s="185" t="s">
        <v>185</v>
      </c>
      <c r="G494" s="185" t="s">
        <v>713</v>
      </c>
      <c r="H494" s="237">
        <v>14.0</v>
      </c>
      <c r="I494" s="185" t="s">
        <v>1997</v>
      </c>
      <c r="J494" s="185" t="s">
        <v>1997</v>
      </c>
      <c r="K494" s="185" t="s">
        <v>1997</v>
      </c>
      <c r="L494" s="185" t="s">
        <v>85</v>
      </c>
      <c r="M494" s="196" t="s">
        <v>687</v>
      </c>
      <c r="N494" s="185"/>
      <c r="O494" s="238"/>
      <c r="P494" s="239" t="s">
        <v>1779</v>
      </c>
      <c r="Q494" s="239" t="s">
        <v>1764</v>
      </c>
      <c r="R494" s="240" t="s">
        <v>724</v>
      </c>
      <c r="S494" s="196" t="s">
        <v>724</v>
      </c>
      <c r="T494" s="196" t="s">
        <v>1765</v>
      </c>
    </row>
    <row r="495">
      <c r="A495" s="182" t="s">
        <v>2147</v>
      </c>
      <c r="B495" s="203" t="s">
        <v>66</v>
      </c>
      <c r="C495" s="173" t="s">
        <v>66</v>
      </c>
      <c r="D495" s="173" t="s">
        <v>2148</v>
      </c>
      <c r="E495" s="196" t="s">
        <v>2148</v>
      </c>
      <c r="F495" s="185" t="s">
        <v>185</v>
      </c>
      <c r="G495" s="185" t="s">
        <v>713</v>
      </c>
      <c r="H495" s="237">
        <v>11.0</v>
      </c>
      <c r="I495" s="185" t="s">
        <v>1997</v>
      </c>
      <c r="J495" s="185" t="s">
        <v>1997</v>
      </c>
      <c r="K495" s="185" t="s">
        <v>1997</v>
      </c>
      <c r="L495" s="185" t="s">
        <v>85</v>
      </c>
      <c r="M495" s="196" t="s">
        <v>687</v>
      </c>
      <c r="N495" s="185"/>
      <c r="O495" s="238"/>
      <c r="P495" s="239" t="s">
        <v>1777</v>
      </c>
      <c r="Q495" s="239" t="s">
        <v>1764</v>
      </c>
      <c r="R495" s="240" t="s">
        <v>724</v>
      </c>
      <c r="S495" s="196" t="s">
        <v>724</v>
      </c>
      <c r="T495" s="196" t="s">
        <v>1765</v>
      </c>
    </row>
    <row r="496">
      <c r="A496" s="182" t="s">
        <v>2149</v>
      </c>
      <c r="B496" s="203" t="s">
        <v>66</v>
      </c>
      <c r="C496" s="173" t="s">
        <v>66</v>
      </c>
      <c r="D496" s="173" t="s">
        <v>2150</v>
      </c>
      <c r="E496" s="196" t="s">
        <v>2150</v>
      </c>
      <c r="F496" s="185" t="s">
        <v>185</v>
      </c>
      <c r="G496" s="185" t="s">
        <v>713</v>
      </c>
      <c r="H496" s="237">
        <v>8.0</v>
      </c>
      <c r="I496" s="185" t="s">
        <v>1997</v>
      </c>
      <c r="J496" s="185" t="s">
        <v>1997</v>
      </c>
      <c r="K496" s="185" t="s">
        <v>1997</v>
      </c>
      <c r="L496" s="185" t="s">
        <v>85</v>
      </c>
      <c r="M496" s="196" t="s">
        <v>687</v>
      </c>
      <c r="N496" s="185"/>
      <c r="O496" s="238"/>
      <c r="P496" s="239" t="s">
        <v>1775</v>
      </c>
      <c r="Q496" s="239" t="s">
        <v>1764</v>
      </c>
      <c r="R496" s="240" t="s">
        <v>724</v>
      </c>
      <c r="S496" s="196" t="s">
        <v>724</v>
      </c>
      <c r="T496" s="196" t="s">
        <v>1765</v>
      </c>
    </row>
    <row r="497">
      <c r="A497" s="182" t="s">
        <v>2151</v>
      </c>
      <c r="B497" s="203" t="s">
        <v>66</v>
      </c>
      <c r="C497" s="173" t="s">
        <v>66</v>
      </c>
      <c r="D497" s="173" t="s">
        <v>2152</v>
      </c>
      <c r="E497" s="196" t="s">
        <v>2153</v>
      </c>
      <c r="F497" s="185" t="s">
        <v>83</v>
      </c>
      <c r="G497" s="185" t="s">
        <v>1761</v>
      </c>
      <c r="H497" s="237">
        <v>6.0</v>
      </c>
      <c r="I497" s="185" t="s">
        <v>1997</v>
      </c>
      <c r="J497" s="185" t="s">
        <v>1997</v>
      </c>
      <c r="K497" s="185" t="s">
        <v>1997</v>
      </c>
      <c r="L497" s="185" t="s">
        <v>85</v>
      </c>
      <c r="M497" s="196" t="s">
        <v>687</v>
      </c>
      <c r="N497" s="185"/>
      <c r="O497" s="238"/>
      <c r="P497" s="239" t="s">
        <v>1791</v>
      </c>
      <c r="Q497" s="239" t="s">
        <v>1783</v>
      </c>
      <c r="R497" s="240" t="s">
        <v>788</v>
      </c>
      <c r="S497" s="196" t="s">
        <v>788</v>
      </c>
      <c r="T497" s="196" t="s">
        <v>1765</v>
      </c>
    </row>
    <row r="498">
      <c r="A498" s="182" t="s">
        <v>2154</v>
      </c>
      <c r="B498" s="203" t="s">
        <v>66</v>
      </c>
      <c r="C498" s="173" t="s">
        <v>66</v>
      </c>
      <c r="D498" s="173" t="s">
        <v>2155</v>
      </c>
      <c r="E498" s="196" t="s">
        <v>2156</v>
      </c>
      <c r="F498" s="185" t="s">
        <v>185</v>
      </c>
      <c r="G498" s="185" t="s">
        <v>1761</v>
      </c>
      <c r="H498" s="237" t="s">
        <v>2157</v>
      </c>
      <c r="I498" s="185" t="s">
        <v>1762</v>
      </c>
      <c r="J498" s="185" t="s">
        <v>1762</v>
      </c>
      <c r="K498" s="185" t="s">
        <v>1762</v>
      </c>
      <c r="L498" s="185" t="s">
        <v>85</v>
      </c>
      <c r="M498" s="196" t="s">
        <v>749</v>
      </c>
      <c r="N498" s="185"/>
      <c r="O498" s="238"/>
      <c r="P498" s="239" t="s">
        <v>1763</v>
      </c>
      <c r="Q498" s="239" t="s">
        <v>1764</v>
      </c>
      <c r="R498" s="240" t="s">
        <v>782</v>
      </c>
      <c r="S498" s="196" t="s">
        <v>782</v>
      </c>
      <c r="T498" s="196" t="s">
        <v>1765</v>
      </c>
    </row>
    <row r="499">
      <c r="A499" s="182" t="s">
        <v>2158</v>
      </c>
      <c r="B499" s="203" t="s">
        <v>66</v>
      </c>
      <c r="C499" s="173" t="s">
        <v>66</v>
      </c>
      <c r="D499" s="173" t="s">
        <v>2159</v>
      </c>
      <c r="E499" s="196" t="s">
        <v>2160</v>
      </c>
      <c r="F499" s="185" t="s">
        <v>185</v>
      </c>
      <c r="G499" s="185" t="s">
        <v>1761</v>
      </c>
      <c r="H499" s="237" t="s">
        <v>2161</v>
      </c>
      <c r="I499" s="185" t="s">
        <v>1762</v>
      </c>
      <c r="J499" s="185" t="s">
        <v>1762</v>
      </c>
      <c r="K499" s="185" t="s">
        <v>1762</v>
      </c>
      <c r="L499" s="185" t="s">
        <v>85</v>
      </c>
      <c r="M499" s="196" t="s">
        <v>749</v>
      </c>
      <c r="N499" s="185"/>
      <c r="O499" s="238"/>
      <c r="P499" s="239" t="s">
        <v>1763</v>
      </c>
      <c r="Q499" s="239" t="s">
        <v>1764</v>
      </c>
      <c r="R499" s="240" t="s">
        <v>782</v>
      </c>
      <c r="S499" s="196" t="s">
        <v>782</v>
      </c>
      <c r="T499" s="196" t="s">
        <v>1765</v>
      </c>
    </row>
    <row r="500">
      <c r="A500" s="182" t="s">
        <v>2162</v>
      </c>
      <c r="B500" s="203" t="s">
        <v>66</v>
      </c>
      <c r="C500" s="173" t="s">
        <v>66</v>
      </c>
      <c r="D500" s="173" t="s">
        <v>2163</v>
      </c>
      <c r="E500" s="196" t="s">
        <v>2164</v>
      </c>
      <c r="F500" s="185" t="s">
        <v>185</v>
      </c>
      <c r="G500" s="185" t="s">
        <v>1761</v>
      </c>
      <c r="H500" s="237" t="s">
        <v>2165</v>
      </c>
      <c r="I500" s="185" t="s">
        <v>1762</v>
      </c>
      <c r="J500" s="185" t="s">
        <v>1762</v>
      </c>
      <c r="K500" s="185" t="s">
        <v>1762</v>
      </c>
      <c r="L500" s="185" t="s">
        <v>85</v>
      </c>
      <c r="M500" s="196" t="s">
        <v>749</v>
      </c>
      <c r="N500" s="185"/>
      <c r="O500" s="238"/>
      <c r="P500" s="239" t="s">
        <v>1763</v>
      </c>
      <c r="Q500" s="239" t="s">
        <v>1764</v>
      </c>
      <c r="R500" s="240" t="s">
        <v>782</v>
      </c>
      <c r="S500" s="196" t="s">
        <v>782</v>
      </c>
      <c r="T500" s="196" t="s">
        <v>1765</v>
      </c>
    </row>
    <row r="501">
      <c r="A501" s="182" t="s">
        <v>2166</v>
      </c>
      <c r="B501" s="203" t="s">
        <v>66</v>
      </c>
      <c r="C501" s="173" t="s">
        <v>66</v>
      </c>
      <c r="D501" s="173" t="s">
        <v>2167</v>
      </c>
      <c r="E501" s="196" t="s">
        <v>2168</v>
      </c>
      <c r="F501" s="185" t="s">
        <v>185</v>
      </c>
      <c r="G501" s="185" t="s">
        <v>1761</v>
      </c>
      <c r="H501" s="237" t="s">
        <v>2169</v>
      </c>
      <c r="I501" s="185" t="s">
        <v>1762</v>
      </c>
      <c r="J501" s="185" t="s">
        <v>1762</v>
      </c>
      <c r="K501" s="185" t="s">
        <v>1762</v>
      </c>
      <c r="L501" s="185" t="s">
        <v>85</v>
      </c>
      <c r="M501" s="196" t="s">
        <v>749</v>
      </c>
      <c r="N501" s="185"/>
      <c r="O501" s="238"/>
      <c r="P501" s="239" t="s">
        <v>1763</v>
      </c>
      <c r="Q501" s="239" t="s">
        <v>1764</v>
      </c>
      <c r="R501" s="240" t="s">
        <v>782</v>
      </c>
      <c r="S501" s="196" t="s">
        <v>782</v>
      </c>
      <c r="T501" s="196" t="s">
        <v>1765</v>
      </c>
    </row>
    <row r="502">
      <c r="A502" s="182" t="s">
        <v>2170</v>
      </c>
      <c r="B502" s="203" t="s">
        <v>66</v>
      </c>
      <c r="C502" s="173" t="s">
        <v>66</v>
      </c>
      <c r="D502" s="173" t="s">
        <v>2171</v>
      </c>
      <c r="E502" s="196" t="s">
        <v>2172</v>
      </c>
      <c r="F502" s="185" t="s">
        <v>185</v>
      </c>
      <c r="G502" s="185" t="s">
        <v>1761</v>
      </c>
      <c r="H502" s="237" t="s">
        <v>2173</v>
      </c>
      <c r="I502" s="185" t="s">
        <v>1762</v>
      </c>
      <c r="J502" s="185" t="s">
        <v>1762</v>
      </c>
      <c r="K502" s="185" t="s">
        <v>1762</v>
      </c>
      <c r="L502" s="185" t="s">
        <v>85</v>
      </c>
      <c r="M502" s="196" t="s">
        <v>749</v>
      </c>
      <c r="N502" s="185"/>
      <c r="O502" s="238"/>
      <c r="P502" s="239" t="s">
        <v>1763</v>
      </c>
      <c r="Q502" s="239" t="s">
        <v>1764</v>
      </c>
      <c r="R502" s="240" t="s">
        <v>782</v>
      </c>
      <c r="S502" s="196" t="s">
        <v>782</v>
      </c>
      <c r="T502" s="196" t="s">
        <v>1765</v>
      </c>
    </row>
    <row r="503">
      <c r="A503" s="182" t="s">
        <v>2174</v>
      </c>
      <c r="B503" s="203" t="s">
        <v>66</v>
      </c>
      <c r="C503" s="173" t="s">
        <v>66</v>
      </c>
      <c r="D503" s="173" t="s">
        <v>2175</v>
      </c>
      <c r="E503" s="196" t="s">
        <v>2176</v>
      </c>
      <c r="F503" s="185" t="s">
        <v>185</v>
      </c>
      <c r="G503" s="185" t="s">
        <v>1761</v>
      </c>
      <c r="H503" s="237" t="s">
        <v>2177</v>
      </c>
      <c r="I503" s="185" t="s">
        <v>1762</v>
      </c>
      <c r="J503" s="185" t="s">
        <v>1762</v>
      </c>
      <c r="K503" s="185" t="s">
        <v>1762</v>
      </c>
      <c r="L503" s="185" t="s">
        <v>85</v>
      </c>
      <c r="M503" s="196" t="s">
        <v>749</v>
      </c>
      <c r="N503" s="185"/>
      <c r="O503" s="238"/>
      <c r="P503" s="239" t="s">
        <v>1763</v>
      </c>
      <c r="Q503" s="239" t="s">
        <v>1764</v>
      </c>
      <c r="R503" s="240" t="s">
        <v>782</v>
      </c>
      <c r="S503" s="196" t="s">
        <v>782</v>
      </c>
      <c r="T503" s="196" t="s">
        <v>1765</v>
      </c>
    </row>
    <row r="504">
      <c r="A504" s="182" t="s">
        <v>2178</v>
      </c>
      <c r="B504" s="203" t="s">
        <v>66</v>
      </c>
      <c r="C504" s="173" t="s">
        <v>66</v>
      </c>
      <c r="D504" s="173" t="s">
        <v>2179</v>
      </c>
      <c r="E504" s="196" t="s">
        <v>2180</v>
      </c>
      <c r="F504" s="185" t="s">
        <v>185</v>
      </c>
      <c r="G504" s="185" t="s">
        <v>1761</v>
      </c>
      <c r="H504" s="237" t="s">
        <v>2181</v>
      </c>
      <c r="I504" s="185" t="s">
        <v>1762</v>
      </c>
      <c r="J504" s="185" t="s">
        <v>1762</v>
      </c>
      <c r="K504" s="185" t="s">
        <v>1762</v>
      </c>
      <c r="L504" s="185" t="s">
        <v>85</v>
      </c>
      <c r="M504" s="196" t="s">
        <v>749</v>
      </c>
      <c r="N504" s="185"/>
      <c r="O504" s="238"/>
      <c r="P504" s="239" t="s">
        <v>1763</v>
      </c>
      <c r="Q504" s="239" t="s">
        <v>1764</v>
      </c>
      <c r="R504" s="240" t="s">
        <v>782</v>
      </c>
      <c r="S504" s="196" t="s">
        <v>782</v>
      </c>
      <c r="T504" s="196" t="s">
        <v>1765</v>
      </c>
    </row>
    <row r="505">
      <c r="A505" s="182" t="s">
        <v>2182</v>
      </c>
      <c r="B505" s="203" t="s">
        <v>66</v>
      </c>
      <c r="C505" s="173" t="s">
        <v>66</v>
      </c>
      <c r="D505" s="173" t="s">
        <v>2183</v>
      </c>
      <c r="E505" s="196" t="s">
        <v>2184</v>
      </c>
      <c r="F505" s="185" t="s">
        <v>185</v>
      </c>
      <c r="G505" s="185" t="s">
        <v>1761</v>
      </c>
      <c r="H505" s="237" t="s">
        <v>2185</v>
      </c>
      <c r="I505" s="185" t="s">
        <v>1762</v>
      </c>
      <c r="J505" s="185" t="s">
        <v>1762</v>
      </c>
      <c r="K505" s="185" t="s">
        <v>1762</v>
      </c>
      <c r="L505" s="185" t="s">
        <v>85</v>
      </c>
      <c r="M505" s="196" t="s">
        <v>749</v>
      </c>
      <c r="N505" s="185"/>
      <c r="O505" s="238"/>
      <c r="P505" s="239" t="s">
        <v>1763</v>
      </c>
      <c r="Q505" s="239" t="s">
        <v>1764</v>
      </c>
      <c r="R505" s="240" t="s">
        <v>782</v>
      </c>
      <c r="S505" s="196" t="s">
        <v>782</v>
      </c>
      <c r="T505" s="196" t="s">
        <v>1765</v>
      </c>
    </row>
    <row r="506">
      <c r="A506" s="182" t="s">
        <v>2186</v>
      </c>
      <c r="B506" s="203" t="s">
        <v>66</v>
      </c>
      <c r="C506" s="173" t="s">
        <v>66</v>
      </c>
      <c r="D506" s="173" t="s">
        <v>2187</v>
      </c>
      <c r="E506" s="196" t="s">
        <v>2188</v>
      </c>
      <c r="F506" s="185" t="s">
        <v>185</v>
      </c>
      <c r="G506" s="185" t="s">
        <v>1761</v>
      </c>
      <c r="H506" s="237" t="s">
        <v>2189</v>
      </c>
      <c r="I506" s="185" t="s">
        <v>1762</v>
      </c>
      <c r="J506" s="185" t="s">
        <v>1762</v>
      </c>
      <c r="K506" s="185" t="s">
        <v>1762</v>
      </c>
      <c r="L506" s="185" t="s">
        <v>85</v>
      </c>
      <c r="M506" s="196" t="s">
        <v>749</v>
      </c>
      <c r="N506" s="185"/>
      <c r="O506" s="238"/>
      <c r="P506" s="239" t="s">
        <v>1763</v>
      </c>
      <c r="Q506" s="239" t="s">
        <v>1764</v>
      </c>
      <c r="R506" s="240" t="s">
        <v>782</v>
      </c>
      <c r="S506" s="196" t="s">
        <v>782</v>
      </c>
      <c r="T506" s="196" t="s">
        <v>1765</v>
      </c>
    </row>
    <row r="507">
      <c r="A507" s="182" t="s">
        <v>2190</v>
      </c>
      <c r="B507" s="203" t="s">
        <v>66</v>
      </c>
      <c r="C507" s="173" t="s">
        <v>66</v>
      </c>
      <c r="D507" s="173" t="s">
        <v>2191</v>
      </c>
      <c r="E507" s="196" t="s">
        <v>2192</v>
      </c>
      <c r="F507" s="185" t="s">
        <v>185</v>
      </c>
      <c r="G507" s="185" t="s">
        <v>1761</v>
      </c>
      <c r="H507" s="237" t="s">
        <v>2193</v>
      </c>
      <c r="I507" s="185" t="s">
        <v>1762</v>
      </c>
      <c r="J507" s="185" t="s">
        <v>1762</v>
      </c>
      <c r="K507" s="185" t="s">
        <v>1762</v>
      </c>
      <c r="L507" s="185" t="s">
        <v>85</v>
      </c>
      <c r="M507" s="196" t="s">
        <v>749</v>
      </c>
      <c r="N507" s="185"/>
      <c r="O507" s="238"/>
      <c r="P507" s="239" t="s">
        <v>1763</v>
      </c>
      <c r="Q507" s="239" t="s">
        <v>1764</v>
      </c>
      <c r="R507" s="240" t="s">
        <v>782</v>
      </c>
      <c r="S507" s="196" t="s">
        <v>782</v>
      </c>
      <c r="T507" s="196" t="s">
        <v>1765</v>
      </c>
    </row>
    <row r="508">
      <c r="A508" s="182" t="s">
        <v>2194</v>
      </c>
      <c r="B508" s="203" t="s">
        <v>66</v>
      </c>
      <c r="C508" s="173" t="s">
        <v>66</v>
      </c>
      <c r="D508" s="173" t="s">
        <v>2195</v>
      </c>
      <c r="E508" s="196" t="s">
        <v>2196</v>
      </c>
      <c r="F508" s="185" t="s">
        <v>185</v>
      </c>
      <c r="G508" s="185" t="s">
        <v>1761</v>
      </c>
      <c r="H508" s="237" t="s">
        <v>2197</v>
      </c>
      <c r="I508" s="185" t="s">
        <v>1762</v>
      </c>
      <c r="J508" s="185" t="s">
        <v>1762</v>
      </c>
      <c r="K508" s="185" t="s">
        <v>1762</v>
      </c>
      <c r="L508" s="185" t="s">
        <v>85</v>
      </c>
      <c r="M508" s="196" t="s">
        <v>749</v>
      </c>
      <c r="N508" s="185"/>
      <c r="O508" s="238"/>
      <c r="P508" s="239" t="s">
        <v>1763</v>
      </c>
      <c r="Q508" s="239" t="s">
        <v>1764</v>
      </c>
      <c r="R508" s="240" t="s">
        <v>782</v>
      </c>
      <c r="S508" s="196" t="s">
        <v>782</v>
      </c>
      <c r="T508" s="196" t="s">
        <v>1765</v>
      </c>
    </row>
    <row r="509">
      <c r="A509" s="182" t="s">
        <v>2198</v>
      </c>
      <c r="B509" s="203" t="s">
        <v>66</v>
      </c>
      <c r="C509" s="173" t="s">
        <v>66</v>
      </c>
      <c r="D509" s="173" t="s">
        <v>2199</v>
      </c>
      <c r="E509" s="196" t="s">
        <v>2200</v>
      </c>
      <c r="F509" s="185" t="s">
        <v>185</v>
      </c>
      <c r="G509" s="185" t="s">
        <v>1761</v>
      </c>
      <c r="H509" s="237" t="s">
        <v>2201</v>
      </c>
      <c r="I509" s="185" t="s">
        <v>1762</v>
      </c>
      <c r="J509" s="185" t="s">
        <v>1762</v>
      </c>
      <c r="K509" s="185" t="s">
        <v>1762</v>
      </c>
      <c r="L509" s="185" t="s">
        <v>85</v>
      </c>
      <c r="M509" s="196" t="s">
        <v>749</v>
      </c>
      <c r="N509" s="185"/>
      <c r="O509" s="238"/>
      <c r="P509" s="239" t="s">
        <v>1763</v>
      </c>
      <c r="Q509" s="239" t="s">
        <v>1764</v>
      </c>
      <c r="R509" s="240" t="s">
        <v>782</v>
      </c>
      <c r="S509" s="196" t="s">
        <v>782</v>
      </c>
      <c r="T509" s="196" t="s">
        <v>1765</v>
      </c>
    </row>
    <row r="510">
      <c r="A510" s="182" t="s">
        <v>2202</v>
      </c>
      <c r="B510" s="203" t="s">
        <v>66</v>
      </c>
      <c r="C510" s="173" t="s">
        <v>66</v>
      </c>
      <c r="D510" s="173" t="s">
        <v>2203</v>
      </c>
      <c r="E510" s="196" t="s">
        <v>2204</v>
      </c>
      <c r="F510" s="185" t="s">
        <v>185</v>
      </c>
      <c r="G510" s="185" t="s">
        <v>1761</v>
      </c>
      <c r="H510" s="237" t="s">
        <v>2205</v>
      </c>
      <c r="I510" s="185" t="s">
        <v>1762</v>
      </c>
      <c r="J510" s="185" t="s">
        <v>1762</v>
      </c>
      <c r="K510" s="185" t="s">
        <v>1762</v>
      </c>
      <c r="L510" s="185" t="s">
        <v>85</v>
      </c>
      <c r="M510" s="196" t="s">
        <v>749</v>
      </c>
      <c r="N510" s="185"/>
      <c r="O510" s="238"/>
      <c r="P510" s="239" t="s">
        <v>1763</v>
      </c>
      <c r="Q510" s="239" t="s">
        <v>1764</v>
      </c>
      <c r="R510" s="240" t="s">
        <v>782</v>
      </c>
      <c r="S510" s="196" t="s">
        <v>782</v>
      </c>
      <c r="T510" s="196" t="s">
        <v>1765</v>
      </c>
    </row>
    <row r="511">
      <c r="A511" s="182" t="s">
        <v>2206</v>
      </c>
      <c r="B511" s="203" t="s">
        <v>66</v>
      </c>
      <c r="C511" s="173" t="s">
        <v>66</v>
      </c>
      <c r="D511" s="173" t="s">
        <v>2207</v>
      </c>
      <c r="E511" s="196" t="s">
        <v>2208</v>
      </c>
      <c r="F511" s="185" t="s">
        <v>185</v>
      </c>
      <c r="G511" s="185" t="s">
        <v>1761</v>
      </c>
      <c r="H511" s="237" t="s">
        <v>2209</v>
      </c>
      <c r="I511" s="185" t="s">
        <v>1762</v>
      </c>
      <c r="J511" s="185" t="s">
        <v>1762</v>
      </c>
      <c r="K511" s="185" t="s">
        <v>1762</v>
      </c>
      <c r="L511" s="185" t="s">
        <v>85</v>
      </c>
      <c r="M511" s="196" t="s">
        <v>749</v>
      </c>
      <c r="N511" s="185"/>
      <c r="O511" s="238"/>
      <c r="P511" s="239" t="s">
        <v>1763</v>
      </c>
      <c r="Q511" s="239" t="s">
        <v>1764</v>
      </c>
      <c r="R511" s="240" t="s">
        <v>782</v>
      </c>
      <c r="S511" s="196" t="s">
        <v>782</v>
      </c>
      <c r="T511" s="196" t="s">
        <v>1765</v>
      </c>
    </row>
    <row r="512">
      <c r="A512" s="182" t="s">
        <v>2210</v>
      </c>
      <c r="B512" s="203" t="s">
        <v>66</v>
      </c>
      <c r="C512" s="173" t="s">
        <v>66</v>
      </c>
      <c r="D512" s="173" t="s">
        <v>2211</v>
      </c>
      <c r="E512" s="196" t="s">
        <v>2212</v>
      </c>
      <c r="F512" s="185" t="s">
        <v>185</v>
      </c>
      <c r="G512" s="185" t="s">
        <v>1761</v>
      </c>
      <c r="H512" s="237" t="s">
        <v>2213</v>
      </c>
      <c r="I512" s="185" t="s">
        <v>1762</v>
      </c>
      <c r="J512" s="185" t="s">
        <v>1762</v>
      </c>
      <c r="K512" s="185" t="s">
        <v>1762</v>
      </c>
      <c r="L512" s="185" t="s">
        <v>85</v>
      </c>
      <c r="M512" s="196" t="s">
        <v>749</v>
      </c>
      <c r="N512" s="185"/>
      <c r="O512" s="238"/>
      <c r="P512" s="239" t="s">
        <v>1779</v>
      </c>
      <c r="Q512" s="239" t="s">
        <v>1764</v>
      </c>
      <c r="R512" s="240" t="s">
        <v>782</v>
      </c>
      <c r="S512" s="196" t="s">
        <v>782</v>
      </c>
      <c r="T512" s="196" t="s">
        <v>1765</v>
      </c>
    </row>
    <row r="513">
      <c r="A513" s="182" t="s">
        <v>2214</v>
      </c>
      <c r="B513" s="203" t="s">
        <v>66</v>
      </c>
      <c r="C513" s="173" t="s">
        <v>66</v>
      </c>
      <c r="D513" s="173" t="s">
        <v>2215</v>
      </c>
      <c r="E513" s="196" t="s">
        <v>2216</v>
      </c>
      <c r="F513" s="185" t="s">
        <v>185</v>
      </c>
      <c r="G513" s="185" t="s">
        <v>1761</v>
      </c>
      <c r="H513" s="237" t="s">
        <v>2217</v>
      </c>
      <c r="I513" s="185" t="s">
        <v>1762</v>
      </c>
      <c r="J513" s="185" t="s">
        <v>1762</v>
      </c>
      <c r="K513" s="185" t="s">
        <v>1762</v>
      </c>
      <c r="L513" s="185" t="s">
        <v>85</v>
      </c>
      <c r="M513" s="196" t="s">
        <v>749</v>
      </c>
      <c r="N513" s="185"/>
      <c r="O513" s="238"/>
      <c r="P513" s="239" t="s">
        <v>1763</v>
      </c>
      <c r="Q513" s="239" t="s">
        <v>1764</v>
      </c>
      <c r="R513" s="240" t="s">
        <v>782</v>
      </c>
      <c r="S513" s="196" t="s">
        <v>782</v>
      </c>
      <c r="T513" s="196" t="s">
        <v>1765</v>
      </c>
    </row>
    <row r="514">
      <c r="A514" s="182" t="s">
        <v>2218</v>
      </c>
      <c r="B514" s="203" t="s">
        <v>66</v>
      </c>
      <c r="C514" s="173" t="s">
        <v>66</v>
      </c>
      <c r="D514" s="173" t="s">
        <v>2219</v>
      </c>
      <c r="E514" s="196" t="s">
        <v>2220</v>
      </c>
      <c r="F514" s="185" t="s">
        <v>185</v>
      </c>
      <c r="G514" s="185" t="s">
        <v>1761</v>
      </c>
      <c r="H514" s="237" t="s">
        <v>2221</v>
      </c>
      <c r="I514" s="185" t="s">
        <v>1762</v>
      </c>
      <c r="J514" s="185" t="s">
        <v>1762</v>
      </c>
      <c r="K514" s="185" t="s">
        <v>1762</v>
      </c>
      <c r="L514" s="185" t="s">
        <v>85</v>
      </c>
      <c r="M514" s="196" t="s">
        <v>749</v>
      </c>
      <c r="N514" s="185"/>
      <c r="O514" s="238"/>
      <c r="P514" s="239" t="s">
        <v>1763</v>
      </c>
      <c r="Q514" s="239" t="s">
        <v>1764</v>
      </c>
      <c r="R514" s="240" t="s">
        <v>782</v>
      </c>
      <c r="S514" s="196" t="s">
        <v>782</v>
      </c>
      <c r="T514" s="196" t="s">
        <v>1765</v>
      </c>
    </row>
    <row r="515">
      <c r="A515" s="182" t="s">
        <v>2222</v>
      </c>
      <c r="B515" s="203" t="s">
        <v>66</v>
      </c>
      <c r="C515" s="173" t="s">
        <v>66</v>
      </c>
      <c r="D515" s="173" t="s">
        <v>2223</v>
      </c>
      <c r="E515" s="196" t="s">
        <v>2224</v>
      </c>
      <c r="F515" s="185" t="s">
        <v>185</v>
      </c>
      <c r="G515" s="185" t="s">
        <v>1761</v>
      </c>
      <c r="H515" s="237" t="s">
        <v>2225</v>
      </c>
      <c r="I515" s="185" t="s">
        <v>1762</v>
      </c>
      <c r="J515" s="185" t="s">
        <v>1762</v>
      </c>
      <c r="K515" s="185" t="s">
        <v>1762</v>
      </c>
      <c r="L515" s="185" t="s">
        <v>85</v>
      </c>
      <c r="M515" s="196" t="s">
        <v>749</v>
      </c>
      <c r="N515" s="185"/>
      <c r="O515" s="238"/>
      <c r="P515" s="239" t="s">
        <v>1763</v>
      </c>
      <c r="Q515" s="239" t="s">
        <v>1764</v>
      </c>
      <c r="R515" s="240" t="s">
        <v>782</v>
      </c>
      <c r="S515" s="196" t="s">
        <v>782</v>
      </c>
      <c r="T515" s="196" t="s">
        <v>1765</v>
      </c>
    </row>
    <row r="516">
      <c r="A516" s="182" t="s">
        <v>2226</v>
      </c>
      <c r="B516" s="203" t="s">
        <v>66</v>
      </c>
      <c r="C516" s="173" t="s">
        <v>66</v>
      </c>
      <c r="D516" s="173" t="s">
        <v>2227</v>
      </c>
      <c r="E516" s="196" t="s">
        <v>2228</v>
      </c>
      <c r="F516" s="185" t="s">
        <v>185</v>
      </c>
      <c r="G516" s="185" t="s">
        <v>1761</v>
      </c>
      <c r="H516" s="237" t="s">
        <v>2229</v>
      </c>
      <c r="I516" s="185" t="s">
        <v>1762</v>
      </c>
      <c r="J516" s="185" t="s">
        <v>1762</v>
      </c>
      <c r="K516" s="185" t="s">
        <v>1762</v>
      </c>
      <c r="L516" s="185" t="s">
        <v>85</v>
      </c>
      <c r="M516" s="196" t="s">
        <v>749</v>
      </c>
      <c r="N516" s="185"/>
      <c r="O516" s="238"/>
      <c r="P516" s="239" t="s">
        <v>1763</v>
      </c>
      <c r="Q516" s="239" t="s">
        <v>1764</v>
      </c>
      <c r="R516" s="240" t="s">
        <v>782</v>
      </c>
      <c r="S516" s="196" t="s">
        <v>782</v>
      </c>
      <c r="T516" s="196" t="s">
        <v>1765</v>
      </c>
    </row>
    <row r="517">
      <c r="A517" s="182" t="s">
        <v>2230</v>
      </c>
      <c r="B517" s="203" t="s">
        <v>66</v>
      </c>
      <c r="C517" s="173" t="s">
        <v>66</v>
      </c>
      <c r="D517" s="173" t="s">
        <v>2231</v>
      </c>
      <c r="E517" s="196" t="s">
        <v>2232</v>
      </c>
      <c r="F517" s="185" t="s">
        <v>185</v>
      </c>
      <c r="G517" s="185" t="s">
        <v>1761</v>
      </c>
      <c r="H517" s="237" t="s">
        <v>2233</v>
      </c>
      <c r="I517" s="185" t="s">
        <v>1762</v>
      </c>
      <c r="J517" s="185" t="s">
        <v>1762</v>
      </c>
      <c r="K517" s="185" t="s">
        <v>1762</v>
      </c>
      <c r="L517" s="185" t="s">
        <v>85</v>
      </c>
      <c r="M517" s="196" t="s">
        <v>749</v>
      </c>
      <c r="N517" s="185"/>
      <c r="O517" s="238"/>
      <c r="P517" s="239" t="s">
        <v>1763</v>
      </c>
      <c r="Q517" s="239" t="s">
        <v>1764</v>
      </c>
      <c r="R517" s="240" t="s">
        <v>782</v>
      </c>
      <c r="S517" s="196" t="s">
        <v>782</v>
      </c>
      <c r="T517" s="196" t="s">
        <v>1765</v>
      </c>
    </row>
    <row r="518">
      <c r="A518" s="182" t="s">
        <v>2234</v>
      </c>
      <c r="B518" s="203" t="s">
        <v>66</v>
      </c>
      <c r="C518" s="173" t="s">
        <v>66</v>
      </c>
      <c r="D518" s="173" t="s">
        <v>2235</v>
      </c>
      <c r="E518" s="196" t="s">
        <v>2236</v>
      </c>
      <c r="F518" s="185" t="s">
        <v>185</v>
      </c>
      <c r="G518" s="185" t="s">
        <v>1761</v>
      </c>
      <c r="H518" s="237" t="s">
        <v>2193</v>
      </c>
      <c r="I518" s="185" t="s">
        <v>1762</v>
      </c>
      <c r="J518" s="185" t="s">
        <v>1762</v>
      </c>
      <c r="K518" s="185" t="s">
        <v>1762</v>
      </c>
      <c r="L518" s="185" t="s">
        <v>85</v>
      </c>
      <c r="M518" s="196" t="s">
        <v>749</v>
      </c>
      <c r="N518" s="185"/>
      <c r="O518" s="238"/>
      <c r="P518" s="239" t="s">
        <v>1763</v>
      </c>
      <c r="Q518" s="239" t="s">
        <v>1764</v>
      </c>
      <c r="R518" s="240" t="s">
        <v>782</v>
      </c>
      <c r="S518" s="196" t="s">
        <v>782</v>
      </c>
      <c r="T518" s="196" t="s">
        <v>1765</v>
      </c>
    </row>
    <row r="519">
      <c r="A519" s="182" t="s">
        <v>2237</v>
      </c>
      <c r="B519" s="203" t="s">
        <v>66</v>
      </c>
      <c r="C519" s="173" t="s">
        <v>66</v>
      </c>
      <c r="D519" s="173" t="s">
        <v>2238</v>
      </c>
      <c r="E519" s="196" t="s">
        <v>2238</v>
      </c>
      <c r="F519" s="185" t="s">
        <v>185</v>
      </c>
      <c r="G519" s="185" t="s">
        <v>768</v>
      </c>
      <c r="H519" s="237">
        <v>10.0</v>
      </c>
      <c r="I519" s="185" t="s">
        <v>1997</v>
      </c>
      <c r="J519" s="185" t="s">
        <v>1997</v>
      </c>
      <c r="K519" s="185" t="s">
        <v>1997</v>
      </c>
      <c r="L519" s="185" t="s">
        <v>85</v>
      </c>
      <c r="M519" s="196" t="s">
        <v>687</v>
      </c>
      <c r="N519" s="185"/>
      <c r="O519" s="238"/>
      <c r="P519" s="239" t="s">
        <v>1775</v>
      </c>
      <c r="Q519" s="239" t="s">
        <v>1764</v>
      </c>
      <c r="R519" s="240" t="s">
        <v>1518</v>
      </c>
      <c r="S519" s="196" t="s">
        <v>1518</v>
      </c>
      <c r="T519" s="196" t="s">
        <v>1765</v>
      </c>
    </row>
    <row r="520">
      <c r="A520" s="182" t="s">
        <v>2239</v>
      </c>
      <c r="B520" s="203" t="s">
        <v>66</v>
      </c>
      <c r="C520" s="173" t="s">
        <v>66</v>
      </c>
      <c r="D520" s="173" t="s">
        <v>2240</v>
      </c>
      <c r="E520" s="196" t="s">
        <v>2240</v>
      </c>
      <c r="F520" s="185" t="s">
        <v>185</v>
      </c>
      <c r="G520" s="185" t="s">
        <v>713</v>
      </c>
      <c r="H520" s="237">
        <v>15.0</v>
      </c>
      <c r="I520" s="185" t="s">
        <v>1997</v>
      </c>
      <c r="J520" s="185" t="s">
        <v>1997</v>
      </c>
      <c r="K520" s="185" t="s">
        <v>1997</v>
      </c>
      <c r="L520" s="185" t="s">
        <v>85</v>
      </c>
      <c r="M520" s="196" t="s">
        <v>687</v>
      </c>
      <c r="N520" s="185"/>
      <c r="O520" s="238"/>
      <c r="P520" s="239" t="s">
        <v>701</v>
      </c>
      <c r="Q520" s="239" t="s">
        <v>1787</v>
      </c>
      <c r="R520" s="240" t="s">
        <v>1518</v>
      </c>
      <c r="S520" s="196" t="s">
        <v>1518</v>
      </c>
      <c r="T520" s="196" t="s">
        <v>1765</v>
      </c>
    </row>
    <row r="521">
      <c r="A521" s="182" t="s">
        <v>2241</v>
      </c>
      <c r="B521" s="203" t="s">
        <v>66</v>
      </c>
      <c r="C521" s="173" t="s">
        <v>66</v>
      </c>
      <c r="D521" s="173" t="s">
        <v>2242</v>
      </c>
      <c r="E521" s="196" t="s">
        <v>2242</v>
      </c>
      <c r="F521" s="185" t="s">
        <v>185</v>
      </c>
      <c r="G521" s="185" t="s">
        <v>713</v>
      </c>
      <c r="H521" s="237">
        <v>15.0</v>
      </c>
      <c r="I521" s="185" t="s">
        <v>1997</v>
      </c>
      <c r="J521" s="185" t="s">
        <v>1997</v>
      </c>
      <c r="K521" s="185" t="s">
        <v>1997</v>
      </c>
      <c r="L521" s="185" t="s">
        <v>85</v>
      </c>
      <c r="M521" s="196" t="s">
        <v>687</v>
      </c>
      <c r="N521" s="185"/>
      <c r="O521" s="238"/>
      <c r="P521" s="239" t="s">
        <v>1830</v>
      </c>
      <c r="Q521" s="239" t="s">
        <v>1764</v>
      </c>
      <c r="R521" s="240" t="s">
        <v>1518</v>
      </c>
      <c r="S521" s="196" t="s">
        <v>1518</v>
      </c>
      <c r="T521" s="196" t="s">
        <v>1765</v>
      </c>
    </row>
    <row r="522">
      <c r="A522" s="182" t="s">
        <v>2243</v>
      </c>
      <c r="B522" s="203" t="s">
        <v>66</v>
      </c>
      <c r="C522" s="173" t="s">
        <v>66</v>
      </c>
      <c r="D522" s="173" t="s">
        <v>2244</v>
      </c>
      <c r="E522" s="196" t="s">
        <v>2244</v>
      </c>
      <c r="F522" s="185" t="s">
        <v>185</v>
      </c>
      <c r="G522" s="185" t="s">
        <v>713</v>
      </c>
      <c r="H522" s="237">
        <v>15.0</v>
      </c>
      <c r="I522" s="185" t="s">
        <v>1997</v>
      </c>
      <c r="J522" s="185" t="s">
        <v>1997</v>
      </c>
      <c r="K522" s="185" t="s">
        <v>1997</v>
      </c>
      <c r="L522" s="185" t="s">
        <v>85</v>
      </c>
      <c r="M522" s="196" t="s">
        <v>687</v>
      </c>
      <c r="N522" s="185"/>
      <c r="O522" s="238"/>
      <c r="P522" s="239" t="s">
        <v>1830</v>
      </c>
      <c r="Q522" s="239" t="s">
        <v>1764</v>
      </c>
      <c r="R522" s="240" t="s">
        <v>1518</v>
      </c>
      <c r="S522" s="196" t="s">
        <v>1518</v>
      </c>
      <c r="T522" s="196" t="s">
        <v>1765</v>
      </c>
    </row>
    <row r="523">
      <c r="A523" s="182" t="s">
        <v>2245</v>
      </c>
      <c r="B523" s="203" t="s">
        <v>66</v>
      </c>
      <c r="C523" s="173" t="s">
        <v>66</v>
      </c>
      <c r="D523" s="173" t="s">
        <v>2246</v>
      </c>
      <c r="E523" s="196" t="s">
        <v>2246</v>
      </c>
      <c r="F523" s="185" t="s">
        <v>185</v>
      </c>
      <c r="G523" s="185" t="s">
        <v>713</v>
      </c>
      <c r="H523" s="237">
        <v>10.0</v>
      </c>
      <c r="I523" s="185" t="s">
        <v>1997</v>
      </c>
      <c r="J523" s="185" t="s">
        <v>1997</v>
      </c>
      <c r="K523" s="185" t="s">
        <v>1997</v>
      </c>
      <c r="L523" s="185" t="s">
        <v>85</v>
      </c>
      <c r="M523" s="196" t="s">
        <v>687</v>
      </c>
      <c r="N523" s="185"/>
      <c r="O523" s="238"/>
      <c r="P523" s="239" t="s">
        <v>1775</v>
      </c>
      <c r="Q523" s="239" t="s">
        <v>1764</v>
      </c>
      <c r="R523" s="240" t="s">
        <v>1518</v>
      </c>
      <c r="S523" s="196" t="s">
        <v>1518</v>
      </c>
      <c r="T523" s="196" t="s">
        <v>1765</v>
      </c>
    </row>
    <row r="524">
      <c r="A524" s="182" t="s">
        <v>2247</v>
      </c>
      <c r="B524" s="203" t="s">
        <v>66</v>
      </c>
      <c r="C524" s="173" t="s">
        <v>66</v>
      </c>
      <c r="D524" s="173" t="s">
        <v>2248</v>
      </c>
      <c r="E524" s="196" t="s">
        <v>2248</v>
      </c>
      <c r="F524" s="185" t="s">
        <v>185</v>
      </c>
      <c r="G524" s="185" t="s">
        <v>713</v>
      </c>
      <c r="H524" s="237">
        <v>20.0</v>
      </c>
      <c r="I524" s="185" t="s">
        <v>1997</v>
      </c>
      <c r="J524" s="185" t="s">
        <v>1997</v>
      </c>
      <c r="K524" s="185" t="s">
        <v>1997</v>
      </c>
      <c r="L524" s="185" t="s">
        <v>85</v>
      </c>
      <c r="M524" s="196" t="s">
        <v>687</v>
      </c>
      <c r="N524" s="185"/>
      <c r="O524" s="238"/>
      <c r="P524" s="239" t="s">
        <v>1781</v>
      </c>
      <c r="Q524" s="239" t="s">
        <v>1764</v>
      </c>
      <c r="R524" s="240" t="s">
        <v>1518</v>
      </c>
      <c r="S524" s="196" t="s">
        <v>1518</v>
      </c>
      <c r="T524" s="196" t="s">
        <v>1765</v>
      </c>
    </row>
    <row r="525">
      <c r="A525" s="182" t="s">
        <v>2249</v>
      </c>
      <c r="B525" s="203" t="s">
        <v>66</v>
      </c>
      <c r="C525" s="173" t="s">
        <v>66</v>
      </c>
      <c r="D525" s="173" t="s">
        <v>2250</v>
      </c>
      <c r="E525" s="196" t="s">
        <v>2250</v>
      </c>
      <c r="F525" s="185" t="s">
        <v>185</v>
      </c>
      <c r="G525" s="185" t="s">
        <v>713</v>
      </c>
      <c r="H525" s="237">
        <v>7.0</v>
      </c>
      <c r="I525" s="185" t="s">
        <v>1997</v>
      </c>
      <c r="J525" s="185" t="s">
        <v>1997</v>
      </c>
      <c r="K525" s="185" t="s">
        <v>1997</v>
      </c>
      <c r="L525" s="185" t="s">
        <v>85</v>
      </c>
      <c r="M525" s="196" t="s">
        <v>687</v>
      </c>
      <c r="N525" s="185"/>
      <c r="O525" s="238"/>
      <c r="P525" s="239" t="s">
        <v>701</v>
      </c>
      <c r="Q525" s="239" t="s">
        <v>1787</v>
      </c>
      <c r="R525" s="240" t="s">
        <v>1518</v>
      </c>
      <c r="S525" s="196" t="s">
        <v>1518</v>
      </c>
      <c r="T525" s="196" t="s">
        <v>1765</v>
      </c>
    </row>
    <row r="526">
      <c r="A526" s="182" t="s">
        <v>2251</v>
      </c>
      <c r="B526" s="203" t="s">
        <v>66</v>
      </c>
      <c r="C526" s="173" t="s">
        <v>66</v>
      </c>
      <c r="D526" s="173" t="s">
        <v>2252</v>
      </c>
      <c r="E526" s="196" t="s">
        <v>2252</v>
      </c>
      <c r="F526" s="185" t="s">
        <v>185</v>
      </c>
      <c r="G526" s="185" t="s">
        <v>713</v>
      </c>
      <c r="H526" s="237">
        <v>88.0</v>
      </c>
      <c r="I526" s="185" t="s">
        <v>1997</v>
      </c>
      <c r="J526" s="185" t="s">
        <v>1997</v>
      </c>
      <c r="K526" s="185" t="s">
        <v>1997</v>
      </c>
      <c r="L526" s="185" t="s">
        <v>85</v>
      </c>
      <c r="M526" s="196" t="s">
        <v>687</v>
      </c>
      <c r="N526" s="185"/>
      <c r="O526" s="238"/>
      <c r="P526" s="239" t="s">
        <v>701</v>
      </c>
      <c r="Q526" s="239" t="s">
        <v>1787</v>
      </c>
      <c r="R526" s="240" t="s">
        <v>1518</v>
      </c>
      <c r="S526" s="196" t="s">
        <v>1518</v>
      </c>
      <c r="T526" s="196" t="s">
        <v>1765</v>
      </c>
    </row>
    <row r="527">
      <c r="A527" s="182" t="s">
        <v>2253</v>
      </c>
      <c r="B527" s="203" t="s">
        <v>66</v>
      </c>
      <c r="C527" s="173" t="s">
        <v>66</v>
      </c>
      <c r="D527" s="173" t="s">
        <v>2254</v>
      </c>
      <c r="E527" s="196" t="s">
        <v>2254</v>
      </c>
      <c r="F527" s="185" t="s">
        <v>185</v>
      </c>
      <c r="G527" s="185" t="s">
        <v>713</v>
      </c>
      <c r="H527" s="237">
        <v>260.0</v>
      </c>
      <c r="I527" s="185" t="s">
        <v>1997</v>
      </c>
      <c r="J527" s="185" t="s">
        <v>1997</v>
      </c>
      <c r="K527" s="185" t="s">
        <v>1997</v>
      </c>
      <c r="L527" s="185" t="s">
        <v>85</v>
      </c>
      <c r="M527" s="196" t="s">
        <v>687</v>
      </c>
      <c r="N527" s="185"/>
      <c r="O527" s="238"/>
      <c r="P527" s="239" t="s">
        <v>701</v>
      </c>
      <c r="Q527" s="239" t="s">
        <v>1787</v>
      </c>
      <c r="R527" s="240" t="s">
        <v>1518</v>
      </c>
      <c r="S527" s="196" t="s">
        <v>1518</v>
      </c>
      <c r="T527" s="196" t="s">
        <v>1765</v>
      </c>
    </row>
    <row r="528">
      <c r="A528" s="182" t="s">
        <v>2255</v>
      </c>
      <c r="B528" s="203" t="s">
        <v>66</v>
      </c>
      <c r="C528" s="173" t="s">
        <v>66</v>
      </c>
      <c r="D528" s="173" t="s">
        <v>2256</v>
      </c>
      <c r="E528" s="196" t="s">
        <v>392</v>
      </c>
      <c r="F528" s="185" t="s">
        <v>83</v>
      </c>
      <c r="G528" s="185" t="s">
        <v>1761</v>
      </c>
      <c r="H528" s="237" t="s">
        <v>393</v>
      </c>
      <c r="I528" s="185" t="s">
        <v>2257</v>
      </c>
      <c r="J528" s="185" t="s">
        <v>2258</v>
      </c>
      <c r="K528" s="185" t="s">
        <v>394</v>
      </c>
      <c r="L528" s="185" t="s">
        <v>2259</v>
      </c>
      <c r="M528" s="196" t="s">
        <v>687</v>
      </c>
      <c r="N528" s="185"/>
      <c r="O528" s="238"/>
      <c r="P528" s="239" t="s">
        <v>1771</v>
      </c>
      <c r="Q528" s="239" t="s">
        <v>732</v>
      </c>
      <c r="R528" s="240" t="s">
        <v>691</v>
      </c>
      <c r="S528" s="196" t="s">
        <v>691</v>
      </c>
      <c r="T528" s="196" t="s">
        <v>1765</v>
      </c>
    </row>
    <row r="529">
      <c r="A529" s="182" t="s">
        <v>308</v>
      </c>
      <c r="B529" s="203" t="s">
        <v>66</v>
      </c>
      <c r="C529" s="173" t="s">
        <v>66</v>
      </c>
      <c r="D529" s="173" t="s">
        <v>2260</v>
      </c>
      <c r="E529" s="196" t="s">
        <v>2261</v>
      </c>
      <c r="F529" s="185" t="s">
        <v>185</v>
      </c>
      <c r="G529" s="185" t="s">
        <v>1761</v>
      </c>
      <c r="H529" s="237" t="s">
        <v>310</v>
      </c>
      <c r="I529" s="185" t="s">
        <v>2257</v>
      </c>
      <c r="J529" s="185" t="s">
        <v>90</v>
      </c>
      <c r="K529" s="185" t="s">
        <v>2257</v>
      </c>
      <c r="L529" s="185" t="s">
        <v>2259</v>
      </c>
      <c r="M529" s="196" t="s">
        <v>687</v>
      </c>
      <c r="N529" s="185"/>
      <c r="O529" s="238"/>
      <c r="P529" s="239" t="s">
        <v>1771</v>
      </c>
      <c r="Q529" s="239" t="s">
        <v>732</v>
      </c>
      <c r="R529" s="240" t="s">
        <v>691</v>
      </c>
      <c r="S529" s="196" t="s">
        <v>691</v>
      </c>
      <c r="T529" s="196" t="s">
        <v>1765</v>
      </c>
    </row>
    <row r="530">
      <c r="A530" s="182" t="s">
        <v>2262</v>
      </c>
      <c r="B530" s="203" t="s">
        <v>66</v>
      </c>
      <c r="C530" s="173" t="s">
        <v>66</v>
      </c>
      <c r="D530" s="173" t="s">
        <v>2263</v>
      </c>
      <c r="E530" s="196" t="s">
        <v>2264</v>
      </c>
      <c r="F530" s="185" t="s">
        <v>83</v>
      </c>
      <c r="G530" s="185" t="s">
        <v>1761</v>
      </c>
      <c r="H530" s="237" t="s">
        <v>2265</v>
      </c>
      <c r="I530" s="185" t="s">
        <v>835</v>
      </c>
      <c r="J530" s="185" t="s">
        <v>2118</v>
      </c>
      <c r="K530" s="185" t="s">
        <v>2118</v>
      </c>
      <c r="L530" s="185" t="s">
        <v>2259</v>
      </c>
      <c r="M530" s="196" t="s">
        <v>749</v>
      </c>
      <c r="N530" s="185"/>
      <c r="O530" s="238"/>
      <c r="P530" s="239" t="s">
        <v>1830</v>
      </c>
      <c r="Q530" s="239" t="s">
        <v>1826</v>
      </c>
      <c r="R530" s="240" t="s">
        <v>724</v>
      </c>
      <c r="S530" s="196" t="s">
        <v>724</v>
      </c>
      <c r="T530" s="196" t="s">
        <v>1765</v>
      </c>
    </row>
    <row r="531">
      <c r="A531" s="182" t="s">
        <v>2266</v>
      </c>
      <c r="B531" s="203" t="s">
        <v>66</v>
      </c>
      <c r="C531" s="173" t="s">
        <v>66</v>
      </c>
      <c r="D531" s="173" t="s">
        <v>2267</v>
      </c>
      <c r="E531" s="196" t="s">
        <v>2267</v>
      </c>
      <c r="F531" s="185" t="s">
        <v>185</v>
      </c>
      <c r="G531" s="185" t="s">
        <v>768</v>
      </c>
      <c r="H531" s="237">
        <v>80.0</v>
      </c>
      <c r="I531" s="185" t="s">
        <v>1997</v>
      </c>
      <c r="J531" s="185" t="s">
        <v>1997</v>
      </c>
      <c r="K531" s="185" t="s">
        <v>1997</v>
      </c>
      <c r="L531" s="185" t="s">
        <v>2259</v>
      </c>
      <c r="M531" s="196" t="s">
        <v>687</v>
      </c>
      <c r="N531" s="185"/>
      <c r="O531" s="238"/>
      <c r="P531" s="239" t="s">
        <v>1779</v>
      </c>
      <c r="Q531" s="239" t="s">
        <v>1764</v>
      </c>
      <c r="R531" s="240" t="s">
        <v>724</v>
      </c>
      <c r="S531" s="196" t="s">
        <v>724</v>
      </c>
      <c r="T531" s="196" t="s">
        <v>1765</v>
      </c>
    </row>
    <row r="532">
      <c r="A532" s="182" t="s">
        <v>2268</v>
      </c>
      <c r="B532" s="203" t="s">
        <v>66</v>
      </c>
      <c r="C532" s="173" t="s">
        <v>66</v>
      </c>
      <c r="D532" s="173" t="s">
        <v>2269</v>
      </c>
      <c r="E532" s="196" t="s">
        <v>2269</v>
      </c>
      <c r="F532" s="185" t="s">
        <v>185</v>
      </c>
      <c r="G532" s="185" t="s">
        <v>768</v>
      </c>
      <c r="H532" s="237">
        <v>44.5</v>
      </c>
      <c r="I532" s="185" t="s">
        <v>1997</v>
      </c>
      <c r="J532" s="185" t="s">
        <v>1997</v>
      </c>
      <c r="K532" s="185" t="s">
        <v>1997</v>
      </c>
      <c r="L532" s="185" t="s">
        <v>2259</v>
      </c>
      <c r="M532" s="196" t="s">
        <v>687</v>
      </c>
      <c r="N532" s="185"/>
      <c r="O532" s="238"/>
      <c r="P532" s="239" t="s">
        <v>1779</v>
      </c>
      <c r="Q532" s="239" t="s">
        <v>1764</v>
      </c>
      <c r="R532" s="240" t="s">
        <v>724</v>
      </c>
      <c r="S532" s="196" t="s">
        <v>724</v>
      </c>
      <c r="T532" s="196" t="s">
        <v>1765</v>
      </c>
    </row>
    <row r="533">
      <c r="A533" s="182" t="s">
        <v>2270</v>
      </c>
      <c r="B533" s="203" t="s">
        <v>66</v>
      </c>
      <c r="C533" s="173" t="s">
        <v>66</v>
      </c>
      <c r="D533" s="173" t="s">
        <v>2271</v>
      </c>
      <c r="E533" s="196" t="s">
        <v>2271</v>
      </c>
      <c r="F533" s="185" t="s">
        <v>185</v>
      </c>
      <c r="G533" s="185" t="s">
        <v>768</v>
      </c>
      <c r="H533" s="237">
        <v>0.45</v>
      </c>
      <c r="I533" s="185" t="s">
        <v>1997</v>
      </c>
      <c r="J533" s="185" t="s">
        <v>1997</v>
      </c>
      <c r="K533" s="185" t="s">
        <v>1997</v>
      </c>
      <c r="L533" s="185" t="s">
        <v>2259</v>
      </c>
      <c r="M533" s="196" t="s">
        <v>687</v>
      </c>
      <c r="N533" s="185"/>
      <c r="O533" s="238"/>
      <c r="P533" s="239" t="s">
        <v>1779</v>
      </c>
      <c r="Q533" s="239" t="s">
        <v>1764</v>
      </c>
      <c r="R533" s="240" t="s">
        <v>724</v>
      </c>
      <c r="S533" s="196" t="s">
        <v>724</v>
      </c>
      <c r="T533" s="196" t="s">
        <v>1765</v>
      </c>
    </row>
    <row r="534">
      <c r="A534" s="182" t="s">
        <v>2272</v>
      </c>
      <c r="B534" s="203" t="s">
        <v>66</v>
      </c>
      <c r="C534" s="173" t="s">
        <v>66</v>
      </c>
      <c r="D534" s="173" t="s">
        <v>2273</v>
      </c>
      <c r="E534" s="196" t="s">
        <v>2273</v>
      </c>
      <c r="F534" s="185" t="s">
        <v>185</v>
      </c>
      <c r="G534" s="185" t="s">
        <v>768</v>
      </c>
      <c r="H534" s="237">
        <v>40.61</v>
      </c>
      <c r="I534" s="185" t="s">
        <v>1997</v>
      </c>
      <c r="J534" s="185" t="s">
        <v>1997</v>
      </c>
      <c r="K534" s="185" t="s">
        <v>1997</v>
      </c>
      <c r="L534" s="185" t="s">
        <v>2259</v>
      </c>
      <c r="M534" s="196" t="s">
        <v>687</v>
      </c>
      <c r="N534" s="185"/>
      <c r="O534" s="238"/>
      <c r="P534" s="239" t="s">
        <v>1775</v>
      </c>
      <c r="Q534" s="239" t="s">
        <v>1764</v>
      </c>
      <c r="R534" s="240" t="s">
        <v>724</v>
      </c>
      <c r="S534" s="196" t="s">
        <v>724</v>
      </c>
      <c r="T534" s="196" t="s">
        <v>1765</v>
      </c>
    </row>
    <row r="535">
      <c r="A535" s="182" t="s">
        <v>2274</v>
      </c>
      <c r="B535" s="203" t="s">
        <v>66</v>
      </c>
      <c r="C535" s="173" t="s">
        <v>66</v>
      </c>
      <c r="D535" s="173" t="s">
        <v>2275</v>
      </c>
      <c r="E535" s="196" t="s">
        <v>2275</v>
      </c>
      <c r="F535" s="185" t="s">
        <v>185</v>
      </c>
      <c r="G535" s="185" t="s">
        <v>768</v>
      </c>
      <c r="H535" s="237">
        <v>1620.65</v>
      </c>
      <c r="I535" s="185" t="s">
        <v>1997</v>
      </c>
      <c r="J535" s="185" t="s">
        <v>1997</v>
      </c>
      <c r="K535" s="185" t="s">
        <v>1997</v>
      </c>
      <c r="L535" s="185" t="s">
        <v>2259</v>
      </c>
      <c r="M535" s="196" t="s">
        <v>687</v>
      </c>
      <c r="N535" s="185"/>
      <c r="O535" s="238"/>
      <c r="P535" s="239" t="s">
        <v>1775</v>
      </c>
      <c r="Q535" s="239" t="s">
        <v>1764</v>
      </c>
      <c r="R535" s="240" t="s">
        <v>724</v>
      </c>
      <c r="S535" s="196" t="s">
        <v>724</v>
      </c>
      <c r="T535" s="196" t="s">
        <v>1765</v>
      </c>
    </row>
    <row r="536">
      <c r="A536" s="182" t="s">
        <v>2276</v>
      </c>
      <c r="B536" s="203" t="s">
        <v>66</v>
      </c>
      <c r="C536" s="173" t="s">
        <v>66</v>
      </c>
      <c r="D536" s="173" t="s">
        <v>2277</v>
      </c>
      <c r="E536" s="196" t="s">
        <v>2277</v>
      </c>
      <c r="F536" s="185" t="s">
        <v>185</v>
      </c>
      <c r="G536" s="185" t="s">
        <v>713</v>
      </c>
      <c r="H536" s="237">
        <v>6.0</v>
      </c>
      <c r="I536" s="185" t="s">
        <v>1997</v>
      </c>
      <c r="J536" s="185" t="s">
        <v>1997</v>
      </c>
      <c r="K536" s="185" t="s">
        <v>1997</v>
      </c>
      <c r="L536" s="185" t="s">
        <v>2259</v>
      </c>
      <c r="M536" s="196" t="s">
        <v>687</v>
      </c>
      <c r="N536" s="185"/>
      <c r="O536" s="238"/>
      <c r="P536" s="239" t="s">
        <v>1786</v>
      </c>
      <c r="Q536" s="239" t="s">
        <v>1787</v>
      </c>
      <c r="R536" s="240" t="s">
        <v>744</v>
      </c>
      <c r="S536" s="196" t="s">
        <v>744</v>
      </c>
      <c r="T536" s="196" t="s">
        <v>1765</v>
      </c>
    </row>
    <row r="537">
      <c r="A537" s="182" t="s">
        <v>2278</v>
      </c>
      <c r="B537" s="203" t="s">
        <v>66</v>
      </c>
      <c r="C537" s="173" t="s">
        <v>66</v>
      </c>
      <c r="D537" s="173" t="s">
        <v>2279</v>
      </c>
      <c r="E537" s="196" t="s">
        <v>2279</v>
      </c>
      <c r="F537" s="185" t="s">
        <v>135</v>
      </c>
      <c r="G537" s="185" t="s">
        <v>1761</v>
      </c>
      <c r="H537" s="237">
        <v>6.3034029E7</v>
      </c>
      <c r="I537" s="185" t="s">
        <v>136</v>
      </c>
      <c r="J537" s="185" t="s">
        <v>90</v>
      </c>
      <c r="K537" s="185" t="s">
        <v>136</v>
      </c>
      <c r="L537" s="185" t="s">
        <v>2259</v>
      </c>
      <c r="M537" s="196" t="s">
        <v>749</v>
      </c>
      <c r="N537" s="185"/>
      <c r="O537" s="238"/>
      <c r="P537" s="239" t="s">
        <v>1770</v>
      </c>
      <c r="Q537" s="239" t="s">
        <v>1764</v>
      </c>
      <c r="R537" s="240" t="s">
        <v>782</v>
      </c>
      <c r="S537" s="196" t="s">
        <v>782</v>
      </c>
      <c r="T537" s="196" t="s">
        <v>1765</v>
      </c>
    </row>
    <row r="538">
      <c r="A538" s="182" t="s">
        <v>2280</v>
      </c>
      <c r="B538" s="203" t="s">
        <v>66</v>
      </c>
      <c r="C538" s="173" t="s">
        <v>66</v>
      </c>
      <c r="D538" s="173" t="s">
        <v>2281</v>
      </c>
      <c r="E538" s="196" t="s">
        <v>2281</v>
      </c>
      <c r="F538" s="185" t="s">
        <v>135</v>
      </c>
      <c r="G538" s="185" t="s">
        <v>1761</v>
      </c>
      <c r="H538" s="237">
        <v>8.7806E7</v>
      </c>
      <c r="I538" s="185" t="s">
        <v>136</v>
      </c>
      <c r="J538" s="185" t="s">
        <v>90</v>
      </c>
      <c r="K538" s="185" t="s">
        <v>136</v>
      </c>
      <c r="L538" s="185" t="s">
        <v>2259</v>
      </c>
      <c r="M538" s="196" t="s">
        <v>749</v>
      </c>
      <c r="N538" s="185"/>
      <c r="O538" s="238"/>
      <c r="P538" s="239" t="s">
        <v>1770</v>
      </c>
      <c r="Q538" s="239" t="s">
        <v>1764</v>
      </c>
      <c r="R538" s="240" t="s">
        <v>782</v>
      </c>
      <c r="S538" s="196" t="s">
        <v>782</v>
      </c>
      <c r="T538" s="196" t="s">
        <v>1765</v>
      </c>
    </row>
    <row r="539">
      <c r="A539" s="182" t="s">
        <v>2282</v>
      </c>
      <c r="B539" s="203" t="s">
        <v>66</v>
      </c>
      <c r="C539" s="173" t="s">
        <v>66</v>
      </c>
      <c r="D539" s="173" t="s">
        <v>2283</v>
      </c>
      <c r="E539" s="196" t="s">
        <v>2283</v>
      </c>
      <c r="F539" s="185" t="s">
        <v>135</v>
      </c>
      <c r="G539" s="185" t="s">
        <v>1761</v>
      </c>
      <c r="H539" s="237">
        <v>4.1019048E7</v>
      </c>
      <c r="I539" s="185" t="s">
        <v>136</v>
      </c>
      <c r="J539" s="185" t="s">
        <v>90</v>
      </c>
      <c r="K539" s="185" t="s">
        <v>136</v>
      </c>
      <c r="L539" s="185" t="s">
        <v>2259</v>
      </c>
      <c r="M539" s="196" t="s">
        <v>749</v>
      </c>
      <c r="N539" s="185"/>
      <c r="O539" s="238"/>
      <c r="P539" s="239" t="s">
        <v>1770</v>
      </c>
      <c r="Q539" s="239" t="s">
        <v>1764</v>
      </c>
      <c r="R539" s="240" t="s">
        <v>782</v>
      </c>
      <c r="S539" s="196" t="s">
        <v>782</v>
      </c>
      <c r="T539" s="196" t="s">
        <v>1765</v>
      </c>
    </row>
    <row r="540">
      <c r="A540" s="182" t="s">
        <v>2284</v>
      </c>
      <c r="B540" s="203" t="s">
        <v>66</v>
      </c>
      <c r="C540" s="173" t="s">
        <v>66</v>
      </c>
      <c r="D540" s="173" t="s">
        <v>2285</v>
      </c>
      <c r="E540" s="196" t="s">
        <v>2285</v>
      </c>
      <c r="F540" s="185" t="s">
        <v>135</v>
      </c>
      <c r="G540" s="185" t="s">
        <v>1761</v>
      </c>
      <c r="H540" s="237">
        <v>3.1419E7</v>
      </c>
      <c r="I540" s="185" t="s">
        <v>136</v>
      </c>
      <c r="J540" s="185" t="s">
        <v>90</v>
      </c>
      <c r="K540" s="185" t="s">
        <v>136</v>
      </c>
      <c r="L540" s="185" t="s">
        <v>2259</v>
      </c>
      <c r="M540" s="196" t="s">
        <v>749</v>
      </c>
      <c r="N540" s="185"/>
      <c r="O540" s="238"/>
      <c r="P540" s="239" t="s">
        <v>1770</v>
      </c>
      <c r="Q540" s="239" t="s">
        <v>1764</v>
      </c>
      <c r="R540" s="240" t="s">
        <v>782</v>
      </c>
      <c r="S540" s="196" t="s">
        <v>782</v>
      </c>
      <c r="T540" s="196" t="s">
        <v>1765</v>
      </c>
    </row>
    <row r="541">
      <c r="A541" s="182" t="s">
        <v>2286</v>
      </c>
      <c r="B541" s="203" t="s">
        <v>65</v>
      </c>
      <c r="C541" s="173" t="s">
        <v>1768</v>
      </c>
      <c r="D541" s="173" t="s">
        <v>2287</v>
      </c>
      <c r="E541" s="196" t="s">
        <v>2287</v>
      </c>
      <c r="F541" s="185" t="s">
        <v>185</v>
      </c>
      <c r="G541" s="185" t="s">
        <v>1761</v>
      </c>
      <c r="H541" s="237">
        <v>3.53E14</v>
      </c>
      <c r="I541" s="185" t="s">
        <v>2288</v>
      </c>
      <c r="J541" s="185" t="s">
        <v>90</v>
      </c>
      <c r="K541" s="185" t="s">
        <v>2288</v>
      </c>
      <c r="L541" s="185" t="s">
        <v>2259</v>
      </c>
      <c r="M541" s="196" t="s">
        <v>687</v>
      </c>
      <c r="N541" s="185"/>
      <c r="O541" s="238"/>
      <c r="P541" s="239" t="s">
        <v>1777</v>
      </c>
      <c r="Q541" s="239" t="s">
        <v>1764</v>
      </c>
      <c r="R541" s="240" t="s">
        <v>724</v>
      </c>
      <c r="S541" s="196" t="s">
        <v>724</v>
      </c>
      <c r="T541" s="196" t="s">
        <v>1765</v>
      </c>
    </row>
    <row r="542">
      <c r="A542" s="182" t="s">
        <v>2289</v>
      </c>
      <c r="B542" s="203" t="s">
        <v>66</v>
      </c>
      <c r="C542" s="173" t="s">
        <v>66</v>
      </c>
      <c r="D542" s="173" t="s">
        <v>2290</v>
      </c>
      <c r="E542" s="196" t="s">
        <v>2291</v>
      </c>
      <c r="F542" s="185" t="s">
        <v>185</v>
      </c>
      <c r="G542" s="185" t="s">
        <v>1761</v>
      </c>
      <c r="H542" s="237" t="s">
        <v>2292</v>
      </c>
      <c r="I542" s="185" t="s">
        <v>1762</v>
      </c>
      <c r="J542" s="185" t="s">
        <v>1762</v>
      </c>
      <c r="K542" s="185" t="s">
        <v>1762</v>
      </c>
      <c r="L542" s="185" t="s">
        <v>2259</v>
      </c>
      <c r="M542" s="196" t="s">
        <v>687</v>
      </c>
      <c r="N542" s="185"/>
      <c r="O542" s="238"/>
      <c r="P542" s="239" t="s">
        <v>1763</v>
      </c>
      <c r="Q542" s="239" t="s">
        <v>1764</v>
      </c>
      <c r="R542" s="240" t="s">
        <v>782</v>
      </c>
      <c r="S542" s="196" t="s">
        <v>782</v>
      </c>
      <c r="T542" s="196" t="s">
        <v>1765</v>
      </c>
    </row>
    <row r="543">
      <c r="A543" s="182" t="s">
        <v>2293</v>
      </c>
      <c r="B543" s="203" t="s">
        <v>66</v>
      </c>
      <c r="C543" s="173" t="s">
        <v>66</v>
      </c>
      <c r="D543" s="173" t="s">
        <v>2294</v>
      </c>
      <c r="E543" s="196" t="s">
        <v>2295</v>
      </c>
      <c r="F543" s="185" t="s">
        <v>185</v>
      </c>
      <c r="G543" s="185" t="s">
        <v>1761</v>
      </c>
      <c r="H543" s="237" t="s">
        <v>2296</v>
      </c>
      <c r="I543" s="185" t="s">
        <v>1762</v>
      </c>
      <c r="J543" s="185" t="s">
        <v>1762</v>
      </c>
      <c r="K543" s="185" t="s">
        <v>1762</v>
      </c>
      <c r="L543" s="185" t="s">
        <v>2259</v>
      </c>
      <c r="M543" s="196" t="s">
        <v>687</v>
      </c>
      <c r="N543" s="185"/>
      <c r="O543" s="238"/>
      <c r="P543" s="239" t="s">
        <v>1763</v>
      </c>
      <c r="Q543" s="239" t="s">
        <v>1764</v>
      </c>
      <c r="R543" s="240" t="s">
        <v>782</v>
      </c>
      <c r="S543" s="196" t="s">
        <v>782</v>
      </c>
      <c r="T543" s="196" t="s">
        <v>1765</v>
      </c>
    </row>
    <row r="544">
      <c r="A544" s="182" t="s">
        <v>2297</v>
      </c>
      <c r="B544" s="203" t="s">
        <v>66</v>
      </c>
      <c r="C544" s="173" t="s">
        <v>66</v>
      </c>
      <c r="D544" s="173" t="s">
        <v>2298</v>
      </c>
      <c r="E544" s="196" t="s">
        <v>2299</v>
      </c>
      <c r="F544" s="185" t="s">
        <v>185</v>
      </c>
      <c r="G544" s="185" t="s">
        <v>1761</v>
      </c>
      <c r="H544" s="237" t="s">
        <v>2300</v>
      </c>
      <c r="I544" s="185" t="s">
        <v>1762</v>
      </c>
      <c r="J544" s="185" t="s">
        <v>1762</v>
      </c>
      <c r="K544" s="185" t="s">
        <v>1762</v>
      </c>
      <c r="L544" s="185" t="s">
        <v>2259</v>
      </c>
      <c r="M544" s="196" t="s">
        <v>687</v>
      </c>
      <c r="N544" s="185"/>
      <c r="O544" s="238"/>
      <c r="P544" s="239" t="s">
        <v>1763</v>
      </c>
      <c r="Q544" s="239" t="s">
        <v>1764</v>
      </c>
      <c r="R544" s="240" t="s">
        <v>782</v>
      </c>
      <c r="S544" s="196" t="s">
        <v>782</v>
      </c>
      <c r="T544" s="196" t="s">
        <v>1765</v>
      </c>
    </row>
    <row r="545">
      <c r="A545" s="182" t="s">
        <v>2301</v>
      </c>
      <c r="B545" s="203" t="s">
        <v>66</v>
      </c>
      <c r="C545" s="173" t="s">
        <v>66</v>
      </c>
      <c r="D545" s="173" t="s">
        <v>2302</v>
      </c>
      <c r="E545" s="196" t="s">
        <v>2303</v>
      </c>
      <c r="F545" s="185" t="s">
        <v>185</v>
      </c>
      <c r="G545" s="185" t="s">
        <v>1761</v>
      </c>
      <c r="H545" s="237" t="s">
        <v>2304</v>
      </c>
      <c r="I545" s="185" t="s">
        <v>1762</v>
      </c>
      <c r="J545" s="185" t="s">
        <v>1762</v>
      </c>
      <c r="K545" s="185" t="s">
        <v>1762</v>
      </c>
      <c r="L545" s="185" t="s">
        <v>2259</v>
      </c>
      <c r="M545" s="196" t="s">
        <v>687</v>
      </c>
      <c r="N545" s="185"/>
      <c r="O545" s="238"/>
      <c r="P545" s="239" t="s">
        <v>1763</v>
      </c>
      <c r="Q545" s="239" t="s">
        <v>1764</v>
      </c>
      <c r="R545" s="240" t="s">
        <v>782</v>
      </c>
      <c r="S545" s="196" t="s">
        <v>782</v>
      </c>
      <c r="T545" s="196" t="s">
        <v>1765</v>
      </c>
    </row>
    <row r="546">
      <c r="A546" s="182" t="s">
        <v>2305</v>
      </c>
      <c r="B546" s="203" t="s">
        <v>66</v>
      </c>
      <c r="C546" s="173" t="s">
        <v>66</v>
      </c>
      <c r="D546" s="173" t="s">
        <v>2306</v>
      </c>
      <c r="E546" s="196" t="s">
        <v>2307</v>
      </c>
      <c r="F546" s="185" t="s">
        <v>185</v>
      </c>
      <c r="G546" s="185" t="s">
        <v>1761</v>
      </c>
      <c r="H546" s="237" t="s">
        <v>2308</v>
      </c>
      <c r="I546" s="185" t="s">
        <v>1762</v>
      </c>
      <c r="J546" s="185" t="s">
        <v>1762</v>
      </c>
      <c r="K546" s="185" t="s">
        <v>1762</v>
      </c>
      <c r="L546" s="185" t="s">
        <v>2259</v>
      </c>
      <c r="M546" s="196" t="s">
        <v>687</v>
      </c>
      <c r="N546" s="185"/>
      <c r="O546" s="238"/>
      <c r="P546" s="239" t="s">
        <v>1763</v>
      </c>
      <c r="Q546" s="239" t="s">
        <v>1764</v>
      </c>
      <c r="R546" s="240" t="s">
        <v>782</v>
      </c>
      <c r="S546" s="196" t="s">
        <v>782</v>
      </c>
      <c r="T546" s="196" t="s">
        <v>1765</v>
      </c>
    </row>
    <row r="547">
      <c r="A547" s="182" t="s">
        <v>2309</v>
      </c>
      <c r="B547" s="203" t="s">
        <v>66</v>
      </c>
      <c r="C547" s="173" t="s">
        <v>66</v>
      </c>
      <c r="D547" s="173" t="s">
        <v>2310</v>
      </c>
      <c r="E547" s="196" t="s">
        <v>2311</v>
      </c>
      <c r="F547" s="185" t="s">
        <v>185</v>
      </c>
      <c r="G547" s="185" t="s">
        <v>1761</v>
      </c>
      <c r="H547" s="237" t="s">
        <v>2312</v>
      </c>
      <c r="I547" s="185" t="s">
        <v>1762</v>
      </c>
      <c r="J547" s="185" t="s">
        <v>1762</v>
      </c>
      <c r="K547" s="185" t="s">
        <v>1762</v>
      </c>
      <c r="L547" s="185" t="s">
        <v>2259</v>
      </c>
      <c r="M547" s="196" t="s">
        <v>687</v>
      </c>
      <c r="N547" s="185"/>
      <c r="O547" s="238"/>
      <c r="P547" s="239" t="s">
        <v>1763</v>
      </c>
      <c r="Q547" s="239" t="s">
        <v>1764</v>
      </c>
      <c r="R547" s="240" t="s">
        <v>782</v>
      </c>
      <c r="S547" s="196" t="s">
        <v>782</v>
      </c>
      <c r="T547" s="196" t="s">
        <v>1765</v>
      </c>
    </row>
    <row r="548">
      <c r="A548" s="182" t="s">
        <v>1498</v>
      </c>
      <c r="B548" s="203" t="s">
        <v>66</v>
      </c>
      <c r="C548" s="173" t="s">
        <v>66</v>
      </c>
      <c r="D548" s="173" t="s">
        <v>2313</v>
      </c>
      <c r="E548" s="196" t="s">
        <v>2313</v>
      </c>
      <c r="F548" s="185" t="s">
        <v>83</v>
      </c>
      <c r="G548" s="185" t="s">
        <v>1500</v>
      </c>
      <c r="H548" s="237" t="b">
        <v>1</v>
      </c>
      <c r="I548" s="185" t="s">
        <v>2118</v>
      </c>
      <c r="J548" s="185" t="s">
        <v>2118</v>
      </c>
      <c r="K548" s="185" t="s">
        <v>2118</v>
      </c>
      <c r="L548" s="185" t="s">
        <v>2259</v>
      </c>
      <c r="M548" s="196" t="s">
        <v>687</v>
      </c>
      <c r="N548" s="185"/>
      <c r="O548" s="238"/>
      <c r="P548" s="239" t="s">
        <v>2314</v>
      </c>
      <c r="Q548" s="239" t="s">
        <v>1764</v>
      </c>
      <c r="R548" s="240" t="s">
        <v>691</v>
      </c>
      <c r="S548" s="196" t="s">
        <v>691</v>
      </c>
      <c r="T548" s="196" t="s">
        <v>1765</v>
      </c>
    </row>
    <row r="549" hidden="1">
      <c r="A549" s="182" t="s">
        <v>2315</v>
      </c>
      <c r="B549" s="241" t="s">
        <v>46</v>
      </c>
      <c r="C549" s="173"/>
      <c r="D549" s="173" t="s">
        <v>2316</v>
      </c>
      <c r="E549" s="196" t="s">
        <v>2316</v>
      </c>
      <c r="F549" s="185" t="s">
        <v>185</v>
      </c>
      <c r="G549" s="185" t="s">
        <v>1500</v>
      </c>
      <c r="H549" s="237" t="b">
        <v>0</v>
      </c>
      <c r="I549" s="185" t="s">
        <v>2118</v>
      </c>
      <c r="J549" s="185" t="s">
        <v>2118</v>
      </c>
      <c r="K549" s="185" t="s">
        <v>2118</v>
      </c>
      <c r="L549" s="185" t="s">
        <v>2259</v>
      </c>
      <c r="M549" s="196" t="s">
        <v>687</v>
      </c>
      <c r="N549" s="185"/>
      <c r="O549" s="238"/>
      <c r="P549" s="239" t="s">
        <v>1777</v>
      </c>
      <c r="Q549" s="239" t="s">
        <v>1783</v>
      </c>
      <c r="R549" s="240" t="s">
        <v>691</v>
      </c>
      <c r="S549" s="196" t="s">
        <v>691</v>
      </c>
      <c r="T549" s="196" t="s">
        <v>1903</v>
      </c>
    </row>
    <row r="550">
      <c r="A550" s="182" t="s">
        <v>2317</v>
      </c>
      <c r="B550" s="203" t="s">
        <v>66</v>
      </c>
      <c r="C550" s="173" t="s">
        <v>66</v>
      </c>
      <c r="D550" s="173" t="s">
        <v>2318</v>
      </c>
      <c r="E550" s="196" t="s">
        <v>2319</v>
      </c>
      <c r="F550" s="185" t="s">
        <v>185</v>
      </c>
      <c r="G550" s="185" t="s">
        <v>1500</v>
      </c>
      <c r="H550" s="237" t="b">
        <v>1</v>
      </c>
      <c r="I550" s="185" t="s">
        <v>1762</v>
      </c>
      <c r="J550" s="185" t="s">
        <v>1762</v>
      </c>
      <c r="K550" s="185" t="s">
        <v>1762</v>
      </c>
      <c r="L550" s="185" t="s">
        <v>2259</v>
      </c>
      <c r="M550" s="196" t="s">
        <v>749</v>
      </c>
      <c r="N550" s="185"/>
      <c r="O550" s="238"/>
      <c r="P550" s="239" t="s">
        <v>1763</v>
      </c>
      <c r="Q550" s="239" t="s">
        <v>1764</v>
      </c>
      <c r="R550" s="240" t="s">
        <v>782</v>
      </c>
      <c r="S550" s="196" t="s">
        <v>782</v>
      </c>
      <c r="T550" s="196" t="s">
        <v>1765</v>
      </c>
    </row>
    <row r="551">
      <c r="A551" s="182" t="s">
        <v>2320</v>
      </c>
      <c r="B551" s="203" t="s">
        <v>66</v>
      </c>
      <c r="C551" s="173" t="s">
        <v>66</v>
      </c>
      <c r="D551" s="173" t="s">
        <v>2321</v>
      </c>
      <c r="E551" s="196" t="s">
        <v>2322</v>
      </c>
      <c r="F551" s="185" t="s">
        <v>83</v>
      </c>
      <c r="G551" s="185" t="s">
        <v>1761</v>
      </c>
      <c r="H551" s="237" t="s">
        <v>982</v>
      </c>
      <c r="I551" s="185" t="s">
        <v>1762</v>
      </c>
      <c r="J551" s="185" t="s">
        <v>1762</v>
      </c>
      <c r="K551" s="185" t="s">
        <v>1762</v>
      </c>
      <c r="L551" s="185" t="s">
        <v>2259</v>
      </c>
      <c r="M551" s="196" t="s">
        <v>749</v>
      </c>
      <c r="N551" s="185"/>
      <c r="O551" s="238"/>
      <c r="P551" s="239" t="s">
        <v>1763</v>
      </c>
      <c r="Q551" s="239" t="s">
        <v>1764</v>
      </c>
      <c r="R551" s="240" t="s">
        <v>782</v>
      </c>
      <c r="S551" s="196" t="s">
        <v>782</v>
      </c>
      <c r="T551" s="196" t="s">
        <v>1765</v>
      </c>
    </row>
    <row r="552">
      <c r="A552" s="182" t="s">
        <v>2323</v>
      </c>
      <c r="B552" s="203" t="s">
        <v>66</v>
      </c>
      <c r="C552" s="173" t="s">
        <v>66</v>
      </c>
      <c r="D552" s="173" t="s">
        <v>2324</v>
      </c>
      <c r="E552" s="196" t="s">
        <v>2325</v>
      </c>
      <c r="F552" s="185" t="s">
        <v>185</v>
      </c>
      <c r="G552" s="185" t="s">
        <v>1761</v>
      </c>
      <c r="H552" s="237" t="s">
        <v>2326</v>
      </c>
      <c r="I552" s="185" t="s">
        <v>1762</v>
      </c>
      <c r="J552" s="185" t="s">
        <v>1762</v>
      </c>
      <c r="K552" s="185" t="s">
        <v>1762</v>
      </c>
      <c r="L552" s="185" t="s">
        <v>2259</v>
      </c>
      <c r="M552" s="196" t="s">
        <v>749</v>
      </c>
      <c r="N552" s="185"/>
      <c r="O552" s="238"/>
      <c r="P552" s="239" t="s">
        <v>1763</v>
      </c>
      <c r="Q552" s="239" t="s">
        <v>1764</v>
      </c>
      <c r="R552" s="240" t="s">
        <v>782</v>
      </c>
      <c r="S552" s="196" t="s">
        <v>782</v>
      </c>
      <c r="T552" s="196" t="s">
        <v>1765</v>
      </c>
    </row>
    <row r="553">
      <c r="A553" s="182" t="s">
        <v>2327</v>
      </c>
      <c r="B553" s="203" t="s">
        <v>66</v>
      </c>
      <c r="C553" s="173" t="s">
        <v>66</v>
      </c>
      <c r="D553" s="173" t="s">
        <v>2328</v>
      </c>
      <c r="E553" s="196" t="s">
        <v>2329</v>
      </c>
      <c r="F553" s="185" t="s">
        <v>185</v>
      </c>
      <c r="G553" s="185" t="s">
        <v>1761</v>
      </c>
      <c r="H553" s="237" t="s">
        <v>2330</v>
      </c>
      <c r="I553" s="185" t="s">
        <v>1762</v>
      </c>
      <c r="J553" s="185" t="s">
        <v>1762</v>
      </c>
      <c r="K553" s="185" t="s">
        <v>1762</v>
      </c>
      <c r="L553" s="185" t="s">
        <v>2259</v>
      </c>
      <c r="M553" s="196" t="s">
        <v>749</v>
      </c>
      <c r="N553" s="185"/>
      <c r="O553" s="238"/>
      <c r="P553" s="239" t="s">
        <v>1763</v>
      </c>
      <c r="Q553" s="239" t="s">
        <v>1764</v>
      </c>
      <c r="R553" s="240" t="s">
        <v>782</v>
      </c>
      <c r="S553" s="196" t="s">
        <v>782</v>
      </c>
      <c r="T553" s="196" t="s">
        <v>1765</v>
      </c>
    </row>
    <row r="554">
      <c r="A554" s="182" t="s">
        <v>2331</v>
      </c>
      <c r="B554" s="203" t="s">
        <v>66</v>
      </c>
      <c r="C554" s="173" t="s">
        <v>66</v>
      </c>
      <c r="D554" s="173" t="s">
        <v>2332</v>
      </c>
      <c r="E554" s="196" t="s">
        <v>2333</v>
      </c>
      <c r="F554" s="185" t="s">
        <v>185</v>
      </c>
      <c r="G554" s="185" t="s">
        <v>1761</v>
      </c>
      <c r="H554" s="237" t="s">
        <v>2334</v>
      </c>
      <c r="I554" s="185" t="s">
        <v>1762</v>
      </c>
      <c r="J554" s="185" t="s">
        <v>1762</v>
      </c>
      <c r="K554" s="185" t="s">
        <v>1762</v>
      </c>
      <c r="L554" s="185" t="s">
        <v>2259</v>
      </c>
      <c r="M554" s="196" t="s">
        <v>749</v>
      </c>
      <c r="N554" s="185"/>
      <c r="O554" s="238"/>
      <c r="P554" s="239" t="s">
        <v>1777</v>
      </c>
      <c r="Q554" s="239" t="s">
        <v>1764</v>
      </c>
      <c r="R554" s="240" t="s">
        <v>782</v>
      </c>
      <c r="S554" s="196" t="s">
        <v>782</v>
      </c>
      <c r="T554" s="196" t="s">
        <v>1765</v>
      </c>
    </row>
    <row r="555">
      <c r="A555" s="182" t="s">
        <v>2335</v>
      </c>
      <c r="B555" s="203" t="s">
        <v>66</v>
      </c>
      <c r="C555" s="173" t="s">
        <v>66</v>
      </c>
      <c r="D555" s="173" t="s">
        <v>2336</v>
      </c>
      <c r="E555" s="196" t="s">
        <v>2337</v>
      </c>
      <c r="F555" s="185" t="s">
        <v>185</v>
      </c>
      <c r="G555" s="185" t="s">
        <v>1761</v>
      </c>
      <c r="H555" s="237" t="s">
        <v>2338</v>
      </c>
      <c r="I555" s="185" t="s">
        <v>1762</v>
      </c>
      <c r="J555" s="185" t="s">
        <v>1762</v>
      </c>
      <c r="K555" s="185" t="s">
        <v>1762</v>
      </c>
      <c r="L555" s="185" t="s">
        <v>2259</v>
      </c>
      <c r="M555" s="196" t="s">
        <v>749</v>
      </c>
      <c r="N555" s="185"/>
      <c r="O555" s="238"/>
      <c r="P555" s="239" t="s">
        <v>1763</v>
      </c>
      <c r="Q555" s="239" t="s">
        <v>1764</v>
      </c>
      <c r="R555" s="240" t="s">
        <v>782</v>
      </c>
      <c r="S555" s="196" t="s">
        <v>782</v>
      </c>
      <c r="T555" s="196" t="s">
        <v>1765</v>
      </c>
    </row>
    <row r="556">
      <c r="A556" s="182" t="s">
        <v>2339</v>
      </c>
      <c r="B556" s="203" t="s">
        <v>66</v>
      </c>
      <c r="C556" s="173" t="s">
        <v>66</v>
      </c>
      <c r="D556" s="173" t="s">
        <v>2340</v>
      </c>
      <c r="E556" s="196" t="s">
        <v>2341</v>
      </c>
      <c r="F556" s="185" t="s">
        <v>185</v>
      </c>
      <c r="G556" s="185" t="s">
        <v>1761</v>
      </c>
      <c r="H556" s="237" t="s">
        <v>2342</v>
      </c>
      <c r="I556" s="185" t="s">
        <v>1762</v>
      </c>
      <c r="J556" s="185" t="s">
        <v>1762</v>
      </c>
      <c r="K556" s="185" t="s">
        <v>1762</v>
      </c>
      <c r="L556" s="185" t="s">
        <v>2259</v>
      </c>
      <c r="M556" s="196" t="s">
        <v>749</v>
      </c>
      <c r="N556" s="185"/>
      <c r="O556" s="238"/>
      <c r="P556" s="239" t="s">
        <v>1763</v>
      </c>
      <c r="Q556" s="239" t="s">
        <v>1764</v>
      </c>
      <c r="R556" s="240" t="s">
        <v>782</v>
      </c>
      <c r="S556" s="196" t="s">
        <v>782</v>
      </c>
      <c r="T556" s="196" t="s">
        <v>1765</v>
      </c>
    </row>
    <row r="557">
      <c r="A557" s="182" t="s">
        <v>2343</v>
      </c>
      <c r="B557" s="203" t="s">
        <v>66</v>
      </c>
      <c r="C557" s="173" t="s">
        <v>66</v>
      </c>
      <c r="D557" s="173" t="s">
        <v>2344</v>
      </c>
      <c r="E557" s="196" t="s">
        <v>2345</v>
      </c>
      <c r="F557" s="185" t="s">
        <v>185</v>
      </c>
      <c r="G557" s="185" t="s">
        <v>1500</v>
      </c>
      <c r="H557" s="237" t="b">
        <v>1</v>
      </c>
      <c r="I557" s="185" t="s">
        <v>1762</v>
      </c>
      <c r="J557" s="185" t="s">
        <v>1762</v>
      </c>
      <c r="K557" s="185" t="s">
        <v>1762</v>
      </c>
      <c r="L557" s="185" t="s">
        <v>2259</v>
      </c>
      <c r="M557" s="196" t="s">
        <v>749</v>
      </c>
      <c r="N557" s="185"/>
      <c r="O557" s="238"/>
      <c r="P557" s="239" t="s">
        <v>1763</v>
      </c>
      <c r="Q557" s="239" t="s">
        <v>1764</v>
      </c>
      <c r="R557" s="240" t="s">
        <v>782</v>
      </c>
      <c r="S557" s="196" t="s">
        <v>782</v>
      </c>
      <c r="T557" s="196" t="s">
        <v>1765</v>
      </c>
    </row>
    <row r="558">
      <c r="A558" s="182" t="s">
        <v>2346</v>
      </c>
      <c r="B558" s="203" t="s">
        <v>66</v>
      </c>
      <c r="C558" s="173" t="s">
        <v>66</v>
      </c>
      <c r="D558" s="173" t="s">
        <v>2347</v>
      </c>
      <c r="E558" s="196" t="s">
        <v>2348</v>
      </c>
      <c r="F558" s="185" t="s">
        <v>83</v>
      </c>
      <c r="G558" s="185" t="s">
        <v>1761</v>
      </c>
      <c r="H558" s="237" t="s">
        <v>982</v>
      </c>
      <c r="I558" s="185" t="s">
        <v>1762</v>
      </c>
      <c r="J558" s="185" t="s">
        <v>1762</v>
      </c>
      <c r="K558" s="185" t="s">
        <v>1762</v>
      </c>
      <c r="L558" s="185" t="s">
        <v>2259</v>
      </c>
      <c r="M558" s="196" t="s">
        <v>749</v>
      </c>
      <c r="N558" s="185"/>
      <c r="O558" s="238"/>
      <c r="P558" s="239" t="s">
        <v>1763</v>
      </c>
      <c r="Q558" s="239" t="s">
        <v>1764</v>
      </c>
      <c r="R558" s="240" t="s">
        <v>782</v>
      </c>
      <c r="S558" s="196" t="s">
        <v>782</v>
      </c>
      <c r="T558" s="196" t="s">
        <v>1765</v>
      </c>
    </row>
    <row r="559">
      <c r="A559" s="182" t="s">
        <v>2349</v>
      </c>
      <c r="B559" s="203" t="s">
        <v>66</v>
      </c>
      <c r="C559" s="173" t="s">
        <v>66</v>
      </c>
      <c r="D559" s="173" t="s">
        <v>2350</v>
      </c>
      <c r="E559" s="196" t="s">
        <v>2351</v>
      </c>
      <c r="F559" s="185" t="s">
        <v>185</v>
      </c>
      <c r="G559" s="185" t="s">
        <v>1761</v>
      </c>
      <c r="H559" s="237" t="s">
        <v>1440</v>
      </c>
      <c r="I559" s="185" t="s">
        <v>1762</v>
      </c>
      <c r="J559" s="185" t="s">
        <v>1762</v>
      </c>
      <c r="K559" s="185" t="s">
        <v>1762</v>
      </c>
      <c r="L559" s="185" t="s">
        <v>2259</v>
      </c>
      <c r="M559" s="196" t="s">
        <v>749</v>
      </c>
      <c r="N559" s="185"/>
      <c r="O559" s="238"/>
      <c r="P559" s="239" t="s">
        <v>1763</v>
      </c>
      <c r="Q559" s="239" t="s">
        <v>1764</v>
      </c>
      <c r="R559" s="240" t="s">
        <v>782</v>
      </c>
      <c r="S559" s="196" t="s">
        <v>782</v>
      </c>
      <c r="T559" s="196" t="s">
        <v>1765</v>
      </c>
    </row>
    <row r="560">
      <c r="A560" s="182" t="s">
        <v>2352</v>
      </c>
      <c r="B560" s="203" t="s">
        <v>66</v>
      </c>
      <c r="C560" s="173" t="s">
        <v>66</v>
      </c>
      <c r="D560" s="173" t="s">
        <v>2353</v>
      </c>
      <c r="E560" s="196" t="s">
        <v>2354</v>
      </c>
      <c r="F560" s="185" t="s">
        <v>185</v>
      </c>
      <c r="G560" s="185" t="s">
        <v>1761</v>
      </c>
      <c r="H560" s="237" t="s">
        <v>2355</v>
      </c>
      <c r="I560" s="185" t="s">
        <v>1762</v>
      </c>
      <c r="J560" s="185" t="s">
        <v>1762</v>
      </c>
      <c r="K560" s="185" t="s">
        <v>1762</v>
      </c>
      <c r="L560" s="185" t="s">
        <v>2259</v>
      </c>
      <c r="M560" s="196" t="s">
        <v>749</v>
      </c>
      <c r="N560" s="185"/>
      <c r="O560" s="238"/>
      <c r="P560" s="239" t="s">
        <v>1763</v>
      </c>
      <c r="Q560" s="239" t="s">
        <v>1764</v>
      </c>
      <c r="R560" s="240" t="s">
        <v>782</v>
      </c>
      <c r="S560" s="196" t="s">
        <v>782</v>
      </c>
      <c r="T560" s="196" t="s">
        <v>1765</v>
      </c>
    </row>
    <row r="561">
      <c r="A561" s="182" t="s">
        <v>2356</v>
      </c>
      <c r="B561" s="203" t="s">
        <v>66</v>
      </c>
      <c r="C561" s="173" t="s">
        <v>66</v>
      </c>
      <c r="D561" s="173" t="s">
        <v>2357</v>
      </c>
      <c r="E561" s="196" t="s">
        <v>2358</v>
      </c>
      <c r="F561" s="185" t="s">
        <v>185</v>
      </c>
      <c r="G561" s="185" t="s">
        <v>1500</v>
      </c>
      <c r="H561" s="237" t="b">
        <v>1</v>
      </c>
      <c r="I561" s="185" t="s">
        <v>136</v>
      </c>
      <c r="J561" s="185" t="s">
        <v>1762</v>
      </c>
      <c r="K561" s="185" t="s">
        <v>1762</v>
      </c>
      <c r="L561" s="185" t="s">
        <v>2259</v>
      </c>
      <c r="M561" s="196" t="s">
        <v>749</v>
      </c>
      <c r="N561" s="185"/>
      <c r="O561" s="238"/>
      <c r="P561" s="239" t="s">
        <v>1782</v>
      </c>
      <c r="Q561" s="239" t="s">
        <v>1902</v>
      </c>
      <c r="R561" s="240" t="s">
        <v>691</v>
      </c>
      <c r="S561" s="196" t="s">
        <v>691</v>
      </c>
      <c r="T561" s="196" t="s">
        <v>1765</v>
      </c>
    </row>
    <row r="562">
      <c r="A562" s="182" t="s">
        <v>2359</v>
      </c>
      <c r="B562" s="203" t="s">
        <v>66</v>
      </c>
      <c r="C562" s="173" t="s">
        <v>66</v>
      </c>
      <c r="D562" s="173" t="s">
        <v>2360</v>
      </c>
      <c r="E562" s="196" t="s">
        <v>2361</v>
      </c>
      <c r="F562" s="185" t="s">
        <v>185</v>
      </c>
      <c r="G562" s="185" t="s">
        <v>1500</v>
      </c>
      <c r="H562" s="237" t="b">
        <v>1</v>
      </c>
      <c r="I562" s="185" t="s">
        <v>136</v>
      </c>
      <c r="J562" s="185" t="s">
        <v>136</v>
      </c>
      <c r="K562" s="185" t="s">
        <v>2362</v>
      </c>
      <c r="L562" s="185" t="s">
        <v>2259</v>
      </c>
      <c r="M562" s="196" t="s">
        <v>749</v>
      </c>
      <c r="N562" s="185"/>
      <c r="O562" s="238"/>
      <c r="P562" s="239" t="s">
        <v>2363</v>
      </c>
      <c r="Q562" s="239" t="s">
        <v>1905</v>
      </c>
      <c r="R562" s="240" t="s">
        <v>782</v>
      </c>
      <c r="S562" s="196" t="s">
        <v>782</v>
      </c>
      <c r="T562" s="196" t="s">
        <v>1765</v>
      </c>
    </row>
    <row r="563" hidden="1">
      <c r="A563" s="182" t="s">
        <v>2364</v>
      </c>
      <c r="B563" s="241" t="s">
        <v>58</v>
      </c>
      <c r="C563" s="173"/>
      <c r="D563" s="173" t="s">
        <v>2365</v>
      </c>
      <c r="E563" s="196" t="s">
        <v>2366</v>
      </c>
      <c r="F563" s="185" t="s">
        <v>135</v>
      </c>
      <c r="G563" s="185" t="s">
        <v>777</v>
      </c>
      <c r="H563" s="237">
        <v>0.1299</v>
      </c>
      <c r="I563" s="185" t="s">
        <v>136</v>
      </c>
      <c r="J563" s="185" t="s">
        <v>136</v>
      </c>
      <c r="K563" s="185" t="s">
        <v>2362</v>
      </c>
      <c r="L563" s="185" t="s">
        <v>2259</v>
      </c>
      <c r="M563" s="196" t="s">
        <v>749</v>
      </c>
      <c r="N563" s="185"/>
      <c r="O563" s="238"/>
      <c r="P563" s="239" t="s">
        <v>2363</v>
      </c>
      <c r="Q563" s="239" t="s">
        <v>1905</v>
      </c>
      <c r="R563" s="240" t="s">
        <v>782</v>
      </c>
      <c r="S563" s="196" t="s">
        <v>782</v>
      </c>
      <c r="T563" s="196" t="s">
        <v>1903</v>
      </c>
    </row>
    <row r="564" hidden="1">
      <c r="A564" s="182" t="s">
        <v>2367</v>
      </c>
      <c r="B564" s="203" t="s">
        <v>66</v>
      </c>
      <c r="C564" s="173" t="s">
        <v>66</v>
      </c>
      <c r="D564" s="173" t="s">
        <v>2368</v>
      </c>
      <c r="E564" s="196" t="s">
        <v>2369</v>
      </c>
      <c r="F564" s="185" t="s">
        <v>185</v>
      </c>
      <c r="G564" s="185" t="s">
        <v>1500</v>
      </c>
      <c r="H564" s="237" t="b">
        <v>1</v>
      </c>
      <c r="I564" s="185" t="s">
        <v>136</v>
      </c>
      <c r="J564" s="185" t="s">
        <v>1762</v>
      </c>
      <c r="K564" s="185" t="s">
        <v>1762</v>
      </c>
      <c r="L564" s="185" t="s">
        <v>2259</v>
      </c>
      <c r="M564" s="196" t="s">
        <v>749</v>
      </c>
      <c r="N564" s="185"/>
      <c r="O564" s="238"/>
      <c r="P564" s="239" t="s">
        <v>1830</v>
      </c>
      <c r="Q564" s="239" t="s">
        <v>1783</v>
      </c>
      <c r="R564" s="240" t="s">
        <v>782</v>
      </c>
      <c r="S564" s="196" t="s">
        <v>782</v>
      </c>
      <c r="T564" s="196" t="s">
        <v>1927</v>
      </c>
    </row>
    <row r="565" hidden="1">
      <c r="A565" s="182" t="s">
        <v>2370</v>
      </c>
      <c r="B565" s="203" t="s">
        <v>66</v>
      </c>
      <c r="C565" s="173" t="s">
        <v>66</v>
      </c>
      <c r="D565" s="173" t="s">
        <v>2371</v>
      </c>
      <c r="E565" s="196" t="s">
        <v>2372</v>
      </c>
      <c r="F565" s="185" t="s">
        <v>185</v>
      </c>
      <c r="G565" s="185" t="s">
        <v>1761</v>
      </c>
      <c r="H565" s="237" t="s">
        <v>178</v>
      </c>
      <c r="I565" s="185" t="s">
        <v>136</v>
      </c>
      <c r="J565" s="185" t="s">
        <v>1762</v>
      </c>
      <c r="K565" s="185" t="s">
        <v>1762</v>
      </c>
      <c r="L565" s="185" t="s">
        <v>2259</v>
      </c>
      <c r="M565" s="196" t="s">
        <v>749</v>
      </c>
      <c r="N565" s="185"/>
      <c r="O565" s="238"/>
      <c r="P565" s="239" t="s">
        <v>1830</v>
      </c>
      <c r="Q565" s="239" t="s">
        <v>1783</v>
      </c>
      <c r="R565" s="240" t="s">
        <v>782</v>
      </c>
      <c r="S565" s="196" t="s">
        <v>782</v>
      </c>
      <c r="T565" s="196" t="s">
        <v>1927</v>
      </c>
    </row>
    <row r="566">
      <c r="A566" s="182" t="s">
        <v>2373</v>
      </c>
      <c r="B566" s="203" t="s">
        <v>66</v>
      </c>
      <c r="C566" s="173" t="s">
        <v>66</v>
      </c>
      <c r="D566" s="173" t="s">
        <v>2374</v>
      </c>
      <c r="E566" s="196" t="s">
        <v>2375</v>
      </c>
      <c r="F566" s="185" t="s">
        <v>185</v>
      </c>
      <c r="G566" s="185" t="s">
        <v>1500</v>
      </c>
      <c r="H566" s="237" t="b">
        <v>1</v>
      </c>
      <c r="I566" s="185" t="s">
        <v>1762</v>
      </c>
      <c r="J566" s="185" t="s">
        <v>1762</v>
      </c>
      <c r="K566" s="185" t="s">
        <v>1762</v>
      </c>
      <c r="L566" s="185" t="s">
        <v>2259</v>
      </c>
      <c r="M566" s="196" t="s">
        <v>749</v>
      </c>
      <c r="N566" s="185"/>
      <c r="O566" s="238"/>
      <c r="P566" s="239" t="s">
        <v>1781</v>
      </c>
      <c r="Q566" s="239" t="s">
        <v>1764</v>
      </c>
      <c r="R566" s="240" t="s">
        <v>782</v>
      </c>
      <c r="S566" s="196" t="s">
        <v>782</v>
      </c>
      <c r="T566" s="196" t="s">
        <v>1765</v>
      </c>
    </row>
    <row r="567">
      <c r="A567" s="182" t="s">
        <v>2376</v>
      </c>
      <c r="B567" s="203" t="s">
        <v>66</v>
      </c>
      <c r="C567" s="173" t="s">
        <v>66</v>
      </c>
      <c r="D567" s="173" t="s">
        <v>2377</v>
      </c>
      <c r="E567" s="196" t="s">
        <v>2378</v>
      </c>
      <c r="F567" s="185" t="s">
        <v>185</v>
      </c>
      <c r="G567" s="185" t="s">
        <v>1761</v>
      </c>
      <c r="H567" s="237" t="s">
        <v>2379</v>
      </c>
      <c r="I567" s="185" t="s">
        <v>1762</v>
      </c>
      <c r="J567" s="185" t="s">
        <v>1762</v>
      </c>
      <c r="K567" s="185" t="s">
        <v>1762</v>
      </c>
      <c r="L567" s="185" t="s">
        <v>2259</v>
      </c>
      <c r="M567" s="196" t="s">
        <v>749</v>
      </c>
      <c r="N567" s="185"/>
      <c r="O567" s="238"/>
      <c r="P567" s="239" t="s">
        <v>1781</v>
      </c>
      <c r="Q567" s="239" t="s">
        <v>1764</v>
      </c>
      <c r="R567" s="240" t="s">
        <v>782</v>
      </c>
      <c r="S567" s="196" t="s">
        <v>782</v>
      </c>
      <c r="T567" s="196" t="s">
        <v>1765</v>
      </c>
    </row>
    <row r="568">
      <c r="A568" s="182" t="s">
        <v>2380</v>
      </c>
      <c r="B568" s="203" t="s">
        <v>66</v>
      </c>
      <c r="C568" s="173" t="s">
        <v>66</v>
      </c>
      <c r="D568" s="173" t="s">
        <v>2381</v>
      </c>
      <c r="E568" s="196" t="s">
        <v>2382</v>
      </c>
      <c r="F568" s="185" t="s">
        <v>185</v>
      </c>
      <c r="G568" s="185" t="s">
        <v>1761</v>
      </c>
      <c r="H568" s="237" t="s">
        <v>2383</v>
      </c>
      <c r="I568" s="185" t="s">
        <v>1762</v>
      </c>
      <c r="J568" s="185" t="s">
        <v>1762</v>
      </c>
      <c r="K568" s="185" t="s">
        <v>1762</v>
      </c>
      <c r="L568" s="185" t="s">
        <v>2259</v>
      </c>
      <c r="M568" s="196" t="s">
        <v>749</v>
      </c>
      <c r="N568" s="185"/>
      <c r="O568" s="238"/>
      <c r="P568" s="239" t="s">
        <v>1781</v>
      </c>
      <c r="Q568" s="239" t="s">
        <v>1764</v>
      </c>
      <c r="R568" s="240" t="s">
        <v>782</v>
      </c>
      <c r="S568" s="196" t="s">
        <v>782</v>
      </c>
      <c r="T568" s="196" t="s">
        <v>1765</v>
      </c>
    </row>
    <row r="569">
      <c r="A569" s="182" t="s">
        <v>2384</v>
      </c>
      <c r="B569" s="203" t="s">
        <v>66</v>
      </c>
      <c r="C569" s="173" t="s">
        <v>66</v>
      </c>
      <c r="D569" s="173" t="s">
        <v>2385</v>
      </c>
      <c r="E569" s="196" t="s">
        <v>2386</v>
      </c>
      <c r="F569" s="185" t="s">
        <v>83</v>
      </c>
      <c r="G569" s="185" t="s">
        <v>1761</v>
      </c>
      <c r="H569" s="237" t="s">
        <v>977</v>
      </c>
      <c r="I569" s="185" t="s">
        <v>1762</v>
      </c>
      <c r="J569" s="185" t="s">
        <v>1762</v>
      </c>
      <c r="K569" s="185" t="s">
        <v>1762</v>
      </c>
      <c r="L569" s="185" t="s">
        <v>2259</v>
      </c>
      <c r="M569" s="196" t="s">
        <v>749</v>
      </c>
      <c r="N569" s="185"/>
      <c r="O569" s="238"/>
      <c r="P569" s="239" t="s">
        <v>1781</v>
      </c>
      <c r="Q569" s="239" t="s">
        <v>1764</v>
      </c>
      <c r="R569" s="240" t="s">
        <v>782</v>
      </c>
      <c r="S569" s="196" t="s">
        <v>782</v>
      </c>
      <c r="T569" s="196" t="s">
        <v>1765</v>
      </c>
    </row>
    <row r="570">
      <c r="A570" s="182" t="s">
        <v>2387</v>
      </c>
      <c r="B570" s="203" t="s">
        <v>66</v>
      </c>
      <c r="C570" s="173" t="s">
        <v>66</v>
      </c>
      <c r="D570" s="173" t="s">
        <v>2388</v>
      </c>
      <c r="E570" s="196" t="s">
        <v>2388</v>
      </c>
      <c r="F570" s="185" t="s">
        <v>83</v>
      </c>
      <c r="G570" s="185" t="s">
        <v>1761</v>
      </c>
      <c r="H570" s="237" t="s">
        <v>2389</v>
      </c>
      <c r="I570" s="185" t="s">
        <v>1997</v>
      </c>
      <c r="J570" s="185" t="s">
        <v>1997</v>
      </c>
      <c r="K570" s="185" t="s">
        <v>1997</v>
      </c>
      <c r="L570" s="185" t="s">
        <v>2259</v>
      </c>
      <c r="M570" s="196" t="s">
        <v>687</v>
      </c>
      <c r="N570" s="185"/>
      <c r="O570" s="238"/>
      <c r="P570" s="239" t="s">
        <v>1775</v>
      </c>
      <c r="Q570" s="239" t="s">
        <v>1764</v>
      </c>
      <c r="R570" s="240" t="s">
        <v>691</v>
      </c>
      <c r="S570" s="196" t="s">
        <v>691</v>
      </c>
      <c r="T570" s="196" t="s">
        <v>1765</v>
      </c>
    </row>
    <row r="571">
      <c r="A571" s="182" t="s">
        <v>2390</v>
      </c>
      <c r="B571" s="203" t="s">
        <v>65</v>
      </c>
      <c r="C571" s="173" t="s">
        <v>1804</v>
      </c>
      <c r="D571" s="173" t="s">
        <v>2391</v>
      </c>
      <c r="E571" s="196" t="s">
        <v>2391</v>
      </c>
      <c r="F571" s="185" t="s">
        <v>185</v>
      </c>
      <c r="G571" s="185" t="s">
        <v>1761</v>
      </c>
      <c r="H571" s="237" t="s">
        <v>2392</v>
      </c>
      <c r="I571" s="185" t="s">
        <v>1997</v>
      </c>
      <c r="J571" s="185" t="s">
        <v>1997</v>
      </c>
      <c r="K571" s="185" t="s">
        <v>1997</v>
      </c>
      <c r="L571" s="185" t="s">
        <v>2259</v>
      </c>
      <c r="M571" s="196" t="s">
        <v>687</v>
      </c>
      <c r="N571" s="185"/>
      <c r="O571" s="238"/>
      <c r="P571" s="239" t="s">
        <v>1775</v>
      </c>
      <c r="Q571" s="239" t="s">
        <v>1787</v>
      </c>
      <c r="R571" s="240" t="s">
        <v>691</v>
      </c>
      <c r="S571" s="196" t="s">
        <v>691</v>
      </c>
      <c r="T571" s="196" t="s">
        <v>1765</v>
      </c>
    </row>
    <row r="572">
      <c r="A572" s="182" t="s">
        <v>2393</v>
      </c>
      <c r="B572" s="203" t="s">
        <v>65</v>
      </c>
      <c r="C572" s="173" t="s">
        <v>1804</v>
      </c>
      <c r="D572" s="173" t="s">
        <v>2394</v>
      </c>
      <c r="E572" s="196" t="s">
        <v>2394</v>
      </c>
      <c r="F572" s="185" t="s">
        <v>185</v>
      </c>
      <c r="G572" s="185" t="s">
        <v>1761</v>
      </c>
      <c r="H572" s="237" t="s">
        <v>2395</v>
      </c>
      <c r="I572" s="185" t="s">
        <v>1997</v>
      </c>
      <c r="J572" s="185" t="s">
        <v>1997</v>
      </c>
      <c r="K572" s="185" t="s">
        <v>1997</v>
      </c>
      <c r="L572" s="185" t="s">
        <v>2259</v>
      </c>
      <c r="M572" s="196" t="s">
        <v>687</v>
      </c>
      <c r="N572" s="185"/>
      <c r="O572" s="238"/>
      <c r="P572" s="239" t="s">
        <v>1775</v>
      </c>
      <c r="Q572" s="239" t="s">
        <v>1905</v>
      </c>
      <c r="R572" s="240" t="s">
        <v>691</v>
      </c>
      <c r="S572" s="196" t="s">
        <v>691</v>
      </c>
      <c r="T572" s="196" t="s">
        <v>1765</v>
      </c>
    </row>
    <row r="573" hidden="1">
      <c r="A573" s="182" t="s">
        <v>2396</v>
      </c>
      <c r="B573" s="241" t="s">
        <v>46</v>
      </c>
      <c r="C573" s="173"/>
      <c r="D573" s="173" t="s">
        <v>2397</v>
      </c>
      <c r="E573" s="196" t="s">
        <v>2397</v>
      </c>
      <c r="F573" s="185" t="s">
        <v>185</v>
      </c>
      <c r="G573" s="185" t="s">
        <v>1500</v>
      </c>
      <c r="H573" s="237" t="b">
        <v>1</v>
      </c>
      <c r="I573" s="185" t="s">
        <v>2398</v>
      </c>
      <c r="J573" s="185" t="s">
        <v>2398</v>
      </c>
      <c r="K573" s="185" t="s">
        <v>2398</v>
      </c>
      <c r="L573" s="185" t="s">
        <v>2259</v>
      </c>
      <c r="M573" s="196" t="s">
        <v>687</v>
      </c>
      <c r="N573" s="185"/>
      <c r="O573" s="238"/>
      <c r="P573" s="239" t="s">
        <v>1904</v>
      </c>
      <c r="Q573" s="239" t="s">
        <v>1905</v>
      </c>
      <c r="R573" s="240" t="s">
        <v>691</v>
      </c>
      <c r="S573" s="196" t="s">
        <v>691</v>
      </c>
      <c r="T573" s="196" t="s">
        <v>1903</v>
      </c>
    </row>
    <row r="574" hidden="1">
      <c r="A574" s="182" t="s">
        <v>2399</v>
      </c>
      <c r="B574" s="241" t="s">
        <v>46</v>
      </c>
      <c r="C574" s="173"/>
      <c r="D574" s="173" t="s">
        <v>2400</v>
      </c>
      <c r="E574" s="196" t="s">
        <v>2400</v>
      </c>
      <c r="F574" s="185" t="s">
        <v>185</v>
      </c>
      <c r="G574" s="185" t="s">
        <v>1500</v>
      </c>
      <c r="H574" s="237" t="b">
        <v>0</v>
      </c>
      <c r="I574" s="185" t="s">
        <v>2398</v>
      </c>
      <c r="J574" s="185" t="s">
        <v>2398</v>
      </c>
      <c r="K574" s="185" t="s">
        <v>2398</v>
      </c>
      <c r="L574" s="185" t="s">
        <v>2259</v>
      </c>
      <c r="M574" s="196" t="s">
        <v>687</v>
      </c>
      <c r="N574" s="185"/>
      <c r="O574" s="238"/>
      <c r="P574" s="239" t="s">
        <v>1904</v>
      </c>
      <c r="Q574" s="239" t="s">
        <v>1905</v>
      </c>
      <c r="R574" s="240" t="s">
        <v>691</v>
      </c>
      <c r="S574" s="196" t="s">
        <v>691</v>
      </c>
      <c r="T574" s="196" t="s">
        <v>1903</v>
      </c>
    </row>
    <row r="575">
      <c r="A575" s="182" t="s">
        <v>2401</v>
      </c>
      <c r="B575" s="203" t="s">
        <v>66</v>
      </c>
      <c r="C575" s="173" t="s">
        <v>66</v>
      </c>
      <c r="D575" s="173" t="s">
        <v>2402</v>
      </c>
      <c r="E575" s="196" t="s">
        <v>2403</v>
      </c>
      <c r="F575" s="185" t="s">
        <v>83</v>
      </c>
      <c r="G575" s="185" t="s">
        <v>1761</v>
      </c>
      <c r="H575" s="237" t="s">
        <v>2404</v>
      </c>
      <c r="I575" s="185" t="s">
        <v>2405</v>
      </c>
      <c r="J575" s="185" t="s">
        <v>2405</v>
      </c>
      <c r="K575" s="185" t="s">
        <v>2406</v>
      </c>
      <c r="L575" s="185" t="s">
        <v>2259</v>
      </c>
      <c r="M575" s="196" t="s">
        <v>687</v>
      </c>
      <c r="N575" s="185"/>
      <c r="O575" s="238"/>
      <c r="P575" s="239" t="s">
        <v>1777</v>
      </c>
      <c r="Q575" s="239" t="s">
        <v>1764</v>
      </c>
      <c r="R575" s="240" t="s">
        <v>691</v>
      </c>
      <c r="S575" s="196" t="s">
        <v>691</v>
      </c>
      <c r="T575" s="196" t="s">
        <v>1765</v>
      </c>
    </row>
    <row r="576">
      <c r="A576" s="182" t="s">
        <v>2407</v>
      </c>
      <c r="B576" s="203" t="s">
        <v>66</v>
      </c>
      <c r="C576" s="173" t="s">
        <v>66</v>
      </c>
      <c r="D576" s="173" t="s">
        <v>2408</v>
      </c>
      <c r="E576" s="196" t="s">
        <v>2408</v>
      </c>
      <c r="F576" s="185" t="s">
        <v>185</v>
      </c>
      <c r="G576" s="185" t="s">
        <v>1500</v>
      </c>
      <c r="H576" s="237" t="b">
        <v>1</v>
      </c>
      <c r="I576" s="185" t="s">
        <v>2405</v>
      </c>
      <c r="J576" s="185" t="s">
        <v>2405</v>
      </c>
      <c r="K576" s="185" t="s">
        <v>2406</v>
      </c>
      <c r="L576" s="185" t="s">
        <v>2259</v>
      </c>
      <c r="M576" s="196" t="s">
        <v>687</v>
      </c>
      <c r="N576" s="185"/>
      <c r="O576" s="238"/>
      <c r="P576" s="239" t="s">
        <v>1830</v>
      </c>
      <c r="Q576" s="239" t="s">
        <v>1783</v>
      </c>
      <c r="R576" s="240" t="s">
        <v>691</v>
      </c>
      <c r="S576" s="196" t="s">
        <v>691</v>
      </c>
      <c r="T576" s="196" t="s">
        <v>1765</v>
      </c>
    </row>
    <row r="577">
      <c r="A577" s="182" t="s">
        <v>2409</v>
      </c>
      <c r="B577" s="203" t="s">
        <v>66</v>
      </c>
      <c r="C577" s="173" t="s">
        <v>66</v>
      </c>
      <c r="D577" s="173" t="s">
        <v>2410</v>
      </c>
      <c r="E577" s="196" t="s">
        <v>2410</v>
      </c>
      <c r="F577" s="185" t="s">
        <v>185</v>
      </c>
      <c r="G577" s="185" t="s">
        <v>768</v>
      </c>
      <c r="H577" s="237">
        <v>80.36</v>
      </c>
      <c r="I577" s="185" t="s">
        <v>136</v>
      </c>
      <c r="J577" s="185" t="s">
        <v>1762</v>
      </c>
      <c r="K577" s="185" t="s">
        <v>1762</v>
      </c>
      <c r="L577" s="185" t="s">
        <v>2259</v>
      </c>
      <c r="M577" s="196" t="s">
        <v>749</v>
      </c>
      <c r="N577" s="185"/>
      <c r="O577" s="238"/>
      <c r="P577" s="239" t="s">
        <v>1782</v>
      </c>
      <c r="Q577" s="239" t="s">
        <v>1902</v>
      </c>
      <c r="R577" s="240" t="s">
        <v>691</v>
      </c>
      <c r="S577" s="196" t="s">
        <v>691</v>
      </c>
      <c r="T577" s="196" t="s">
        <v>1765</v>
      </c>
    </row>
    <row r="578">
      <c r="A578" s="182" t="s">
        <v>2411</v>
      </c>
      <c r="B578" s="203" t="s">
        <v>66</v>
      </c>
      <c r="C578" s="173" t="s">
        <v>66</v>
      </c>
      <c r="D578" s="173" t="s">
        <v>2412</v>
      </c>
      <c r="E578" s="196" t="s">
        <v>2412</v>
      </c>
      <c r="F578" s="185" t="s">
        <v>185</v>
      </c>
      <c r="G578" s="185" t="s">
        <v>768</v>
      </c>
      <c r="H578" s="237">
        <v>51.89</v>
      </c>
      <c r="I578" s="185" t="s">
        <v>136</v>
      </c>
      <c r="J578" s="185" t="s">
        <v>1762</v>
      </c>
      <c r="K578" s="185" t="s">
        <v>1762</v>
      </c>
      <c r="L578" s="185" t="s">
        <v>2259</v>
      </c>
      <c r="M578" s="196" t="s">
        <v>749</v>
      </c>
      <c r="N578" s="185"/>
      <c r="O578" s="238"/>
      <c r="P578" s="239" t="s">
        <v>1782</v>
      </c>
      <c r="Q578" s="239" t="s">
        <v>1902</v>
      </c>
      <c r="R578" s="240" t="s">
        <v>691</v>
      </c>
      <c r="S578" s="196" t="s">
        <v>691</v>
      </c>
      <c r="T578" s="196" t="s">
        <v>1765</v>
      </c>
    </row>
    <row r="579">
      <c r="A579" s="182" t="s">
        <v>2413</v>
      </c>
      <c r="B579" s="203" t="s">
        <v>66</v>
      </c>
      <c r="C579" s="173" t="s">
        <v>66</v>
      </c>
      <c r="D579" s="173" t="s">
        <v>2414</v>
      </c>
      <c r="E579" s="196" t="s">
        <v>2414</v>
      </c>
      <c r="F579" s="185" t="s">
        <v>185</v>
      </c>
      <c r="G579" s="185" t="s">
        <v>1761</v>
      </c>
      <c r="H579" s="237" t="s">
        <v>2415</v>
      </c>
      <c r="I579" s="185" t="s">
        <v>136</v>
      </c>
      <c r="J579" s="185" t="s">
        <v>1762</v>
      </c>
      <c r="K579" s="185" t="s">
        <v>1762</v>
      </c>
      <c r="L579" s="185" t="s">
        <v>2259</v>
      </c>
      <c r="M579" s="196" t="s">
        <v>749</v>
      </c>
      <c r="N579" s="185"/>
      <c r="O579" s="238"/>
      <c r="P579" s="239" t="s">
        <v>1830</v>
      </c>
      <c r="Q579" s="239" t="s">
        <v>732</v>
      </c>
      <c r="R579" s="240" t="s">
        <v>691</v>
      </c>
      <c r="S579" s="196" t="s">
        <v>691</v>
      </c>
      <c r="T579" s="196" t="s">
        <v>1765</v>
      </c>
    </row>
    <row r="580">
      <c r="A580" s="182" t="s">
        <v>2416</v>
      </c>
      <c r="B580" s="203" t="s">
        <v>66</v>
      </c>
      <c r="C580" s="173" t="s">
        <v>66</v>
      </c>
      <c r="D580" s="173" t="s">
        <v>2417</v>
      </c>
      <c r="E580" s="196" t="s">
        <v>2417</v>
      </c>
      <c r="F580" s="185" t="s">
        <v>185</v>
      </c>
      <c r="G580" s="185" t="s">
        <v>774</v>
      </c>
      <c r="H580" s="237">
        <v>70.91</v>
      </c>
      <c r="I580" s="185" t="s">
        <v>136</v>
      </c>
      <c r="J580" s="185" t="s">
        <v>1762</v>
      </c>
      <c r="K580" s="185" t="s">
        <v>1762</v>
      </c>
      <c r="L580" s="185" t="s">
        <v>2259</v>
      </c>
      <c r="M580" s="196" t="s">
        <v>749</v>
      </c>
      <c r="N580" s="185"/>
      <c r="O580" s="238"/>
      <c r="P580" s="239" t="s">
        <v>1782</v>
      </c>
      <c r="Q580" s="239" t="s">
        <v>1902</v>
      </c>
      <c r="R580" s="240" t="s">
        <v>691</v>
      </c>
      <c r="S580" s="196" t="s">
        <v>691</v>
      </c>
      <c r="T580" s="196" t="s">
        <v>1765</v>
      </c>
    </row>
    <row r="581">
      <c r="A581" s="182" t="s">
        <v>2418</v>
      </c>
      <c r="B581" s="203" t="s">
        <v>66</v>
      </c>
      <c r="C581" s="173" t="s">
        <v>66</v>
      </c>
      <c r="D581" s="173" t="s">
        <v>2419</v>
      </c>
      <c r="E581" s="196" t="s">
        <v>2419</v>
      </c>
      <c r="F581" s="185" t="s">
        <v>185</v>
      </c>
      <c r="G581" s="185" t="s">
        <v>774</v>
      </c>
      <c r="H581" s="237">
        <v>88.63</v>
      </c>
      <c r="I581" s="185" t="s">
        <v>136</v>
      </c>
      <c r="J581" s="185" t="s">
        <v>1762</v>
      </c>
      <c r="K581" s="185" t="s">
        <v>1762</v>
      </c>
      <c r="L581" s="185" t="s">
        <v>2259</v>
      </c>
      <c r="M581" s="196" t="s">
        <v>749</v>
      </c>
      <c r="N581" s="185"/>
      <c r="O581" s="238"/>
      <c r="P581" s="239" t="s">
        <v>1782</v>
      </c>
      <c r="Q581" s="239" t="s">
        <v>1902</v>
      </c>
      <c r="R581" s="240" t="s">
        <v>691</v>
      </c>
      <c r="S581" s="196" t="s">
        <v>691</v>
      </c>
      <c r="T581" s="196" t="s">
        <v>1765</v>
      </c>
    </row>
    <row r="582">
      <c r="A582" s="182" t="s">
        <v>2420</v>
      </c>
      <c r="B582" s="203" t="s">
        <v>65</v>
      </c>
      <c r="C582" s="173" t="s">
        <v>1799</v>
      </c>
      <c r="D582" s="173" t="s">
        <v>2421</v>
      </c>
      <c r="E582" s="196" t="s">
        <v>2421</v>
      </c>
      <c r="F582" s="185" t="s">
        <v>83</v>
      </c>
      <c r="G582" s="185" t="s">
        <v>1761</v>
      </c>
      <c r="H582" s="237" t="s">
        <v>2422</v>
      </c>
      <c r="I582" s="185" t="s">
        <v>1762</v>
      </c>
      <c r="J582" s="185" t="s">
        <v>1762</v>
      </c>
      <c r="K582" s="185" t="s">
        <v>1762</v>
      </c>
      <c r="L582" s="185" t="s">
        <v>2259</v>
      </c>
      <c r="M582" s="196" t="s">
        <v>687</v>
      </c>
      <c r="N582" s="185"/>
      <c r="O582" s="238"/>
      <c r="P582" s="239" t="s">
        <v>1824</v>
      </c>
      <c r="Q582" s="239" t="s">
        <v>1787</v>
      </c>
      <c r="R582" s="240" t="s">
        <v>691</v>
      </c>
      <c r="S582" s="196" t="s">
        <v>691</v>
      </c>
      <c r="T582" s="196" t="s">
        <v>1765</v>
      </c>
    </row>
    <row r="583">
      <c r="A583" s="182" t="s">
        <v>2423</v>
      </c>
      <c r="B583" s="203" t="s">
        <v>65</v>
      </c>
      <c r="C583" s="173" t="s">
        <v>1799</v>
      </c>
      <c r="D583" s="173" t="s">
        <v>2424</v>
      </c>
      <c r="E583" s="196" t="s">
        <v>2424</v>
      </c>
      <c r="F583" s="185" t="s">
        <v>83</v>
      </c>
      <c r="G583" s="185" t="s">
        <v>1761</v>
      </c>
      <c r="H583" s="237" t="s">
        <v>2425</v>
      </c>
      <c r="I583" s="185" t="s">
        <v>1762</v>
      </c>
      <c r="J583" s="185" t="s">
        <v>1762</v>
      </c>
      <c r="K583" s="185" t="s">
        <v>1762</v>
      </c>
      <c r="L583" s="185" t="s">
        <v>2259</v>
      </c>
      <c r="M583" s="196" t="s">
        <v>687</v>
      </c>
      <c r="N583" s="185"/>
      <c r="O583" s="238"/>
      <c r="P583" s="239" t="s">
        <v>1771</v>
      </c>
      <c r="Q583" s="239" t="s">
        <v>1764</v>
      </c>
      <c r="R583" s="240" t="s">
        <v>691</v>
      </c>
      <c r="S583" s="196" t="s">
        <v>691</v>
      </c>
      <c r="T583" s="196" t="s">
        <v>1765</v>
      </c>
    </row>
    <row r="584">
      <c r="A584" s="182" t="s">
        <v>2426</v>
      </c>
      <c r="B584" s="203" t="s">
        <v>66</v>
      </c>
      <c r="C584" s="173" t="s">
        <v>66</v>
      </c>
      <c r="D584" s="173" t="s">
        <v>2427</v>
      </c>
      <c r="E584" s="196" t="s">
        <v>2427</v>
      </c>
      <c r="F584" s="185" t="s">
        <v>83</v>
      </c>
      <c r="G584" s="185" t="s">
        <v>1761</v>
      </c>
      <c r="H584" s="237" t="s">
        <v>2428</v>
      </c>
      <c r="I584" s="185" t="s">
        <v>1762</v>
      </c>
      <c r="J584" s="185" t="s">
        <v>1762</v>
      </c>
      <c r="K584" s="185" t="s">
        <v>1762</v>
      </c>
      <c r="L584" s="185" t="s">
        <v>2259</v>
      </c>
      <c r="M584" s="196" t="s">
        <v>687</v>
      </c>
      <c r="N584" s="185"/>
      <c r="O584" s="238"/>
      <c r="P584" s="239" t="s">
        <v>2429</v>
      </c>
      <c r="Q584" s="239" t="s">
        <v>1787</v>
      </c>
      <c r="R584" s="240" t="s">
        <v>691</v>
      </c>
      <c r="S584" s="196" t="s">
        <v>691</v>
      </c>
      <c r="T584" s="196" t="s">
        <v>1765</v>
      </c>
    </row>
    <row r="585">
      <c r="A585" s="182" t="s">
        <v>2430</v>
      </c>
      <c r="B585" s="203" t="s">
        <v>66</v>
      </c>
      <c r="C585" s="173" t="s">
        <v>66</v>
      </c>
      <c r="D585" s="173" t="s">
        <v>2431</v>
      </c>
      <c r="E585" s="196" t="s">
        <v>2431</v>
      </c>
      <c r="F585" s="185" t="s">
        <v>83</v>
      </c>
      <c r="G585" s="185" t="s">
        <v>1761</v>
      </c>
      <c r="H585" s="237" t="s">
        <v>2432</v>
      </c>
      <c r="I585" s="185" t="s">
        <v>1762</v>
      </c>
      <c r="J585" s="185" t="s">
        <v>1762</v>
      </c>
      <c r="K585" s="185" t="s">
        <v>1762</v>
      </c>
      <c r="L585" s="185" t="s">
        <v>2259</v>
      </c>
      <c r="M585" s="196" t="s">
        <v>687</v>
      </c>
      <c r="N585" s="185"/>
      <c r="O585" s="238"/>
      <c r="P585" s="239" t="s">
        <v>1771</v>
      </c>
      <c r="Q585" s="239" t="s">
        <v>1764</v>
      </c>
      <c r="R585" s="240" t="s">
        <v>691</v>
      </c>
      <c r="S585" s="196" t="s">
        <v>691</v>
      </c>
      <c r="T585" s="196" t="s">
        <v>1765</v>
      </c>
    </row>
    <row r="586">
      <c r="A586" s="182" t="s">
        <v>2433</v>
      </c>
      <c r="B586" s="203" t="s">
        <v>66</v>
      </c>
      <c r="C586" s="173" t="s">
        <v>66</v>
      </c>
      <c r="D586" s="173" t="s">
        <v>2434</v>
      </c>
      <c r="E586" s="196" t="s">
        <v>2434</v>
      </c>
      <c r="F586" s="185" t="s">
        <v>83</v>
      </c>
      <c r="G586" s="185" t="s">
        <v>1761</v>
      </c>
      <c r="H586" s="237" t="s">
        <v>2435</v>
      </c>
      <c r="I586" s="185" t="s">
        <v>1762</v>
      </c>
      <c r="J586" s="185" t="s">
        <v>1762</v>
      </c>
      <c r="K586" s="185" t="s">
        <v>1762</v>
      </c>
      <c r="L586" s="185" t="s">
        <v>2259</v>
      </c>
      <c r="M586" s="196" t="s">
        <v>687</v>
      </c>
      <c r="N586" s="185"/>
      <c r="O586" s="238"/>
      <c r="P586" s="239" t="s">
        <v>1771</v>
      </c>
      <c r="Q586" s="239" t="s">
        <v>1764</v>
      </c>
      <c r="R586" s="240" t="s">
        <v>691</v>
      </c>
      <c r="S586" s="196" t="s">
        <v>691</v>
      </c>
      <c r="T586" s="196" t="s">
        <v>1765</v>
      </c>
    </row>
    <row r="587">
      <c r="A587" s="182" t="s">
        <v>2436</v>
      </c>
      <c r="B587" s="203" t="s">
        <v>66</v>
      </c>
      <c r="C587" s="173" t="s">
        <v>66</v>
      </c>
      <c r="D587" s="173" t="s">
        <v>2437</v>
      </c>
      <c r="E587" s="196" t="s">
        <v>2437</v>
      </c>
      <c r="F587" s="185" t="s">
        <v>83</v>
      </c>
      <c r="G587" s="185" t="s">
        <v>1761</v>
      </c>
      <c r="H587" s="237" t="s">
        <v>2438</v>
      </c>
      <c r="I587" s="185" t="s">
        <v>1762</v>
      </c>
      <c r="J587" s="185" t="s">
        <v>1762</v>
      </c>
      <c r="K587" s="185" t="s">
        <v>1762</v>
      </c>
      <c r="L587" s="185" t="s">
        <v>2259</v>
      </c>
      <c r="M587" s="196" t="s">
        <v>687</v>
      </c>
      <c r="N587" s="185"/>
      <c r="O587" s="238"/>
      <c r="P587" s="239" t="s">
        <v>1775</v>
      </c>
      <c r="Q587" s="239" t="s">
        <v>1764</v>
      </c>
      <c r="R587" s="240" t="s">
        <v>691</v>
      </c>
      <c r="S587" s="196" t="s">
        <v>691</v>
      </c>
      <c r="T587" s="196" t="s">
        <v>1765</v>
      </c>
    </row>
    <row r="588">
      <c r="A588" s="182" t="s">
        <v>2439</v>
      </c>
      <c r="B588" s="203" t="s">
        <v>66</v>
      </c>
      <c r="C588" s="173" t="s">
        <v>66</v>
      </c>
      <c r="D588" s="173" t="s">
        <v>2440</v>
      </c>
      <c r="E588" s="196" t="s">
        <v>2440</v>
      </c>
      <c r="F588" s="185" t="s">
        <v>83</v>
      </c>
      <c r="G588" s="185" t="s">
        <v>1761</v>
      </c>
      <c r="H588" s="237">
        <v>6000.0</v>
      </c>
      <c r="I588" s="185" t="s">
        <v>1762</v>
      </c>
      <c r="J588" s="185" t="s">
        <v>1762</v>
      </c>
      <c r="K588" s="185" t="s">
        <v>1762</v>
      </c>
      <c r="L588" s="185" t="s">
        <v>2259</v>
      </c>
      <c r="M588" s="196" t="s">
        <v>687</v>
      </c>
      <c r="N588" s="185"/>
      <c r="O588" s="238"/>
      <c r="P588" s="239" t="s">
        <v>1771</v>
      </c>
      <c r="Q588" s="239" t="s">
        <v>1764</v>
      </c>
      <c r="R588" s="240" t="s">
        <v>691</v>
      </c>
      <c r="S588" s="196" t="s">
        <v>691</v>
      </c>
      <c r="T588" s="196" t="s">
        <v>1765</v>
      </c>
    </row>
    <row r="589">
      <c r="A589" s="182" t="s">
        <v>2441</v>
      </c>
      <c r="B589" s="203" t="s">
        <v>66</v>
      </c>
      <c r="C589" s="173" t="s">
        <v>66</v>
      </c>
      <c r="D589" s="173" t="s">
        <v>2442</v>
      </c>
      <c r="E589" s="196" t="s">
        <v>2442</v>
      </c>
      <c r="F589" s="185" t="s">
        <v>135</v>
      </c>
      <c r="G589" s="185" t="s">
        <v>713</v>
      </c>
      <c r="H589" s="237">
        <v>17.0</v>
      </c>
      <c r="I589" s="185" t="s">
        <v>136</v>
      </c>
      <c r="J589" s="185" t="s">
        <v>1762</v>
      </c>
      <c r="K589" s="185" t="s">
        <v>136</v>
      </c>
      <c r="L589" s="185" t="s">
        <v>2259</v>
      </c>
      <c r="M589" s="196" t="s">
        <v>749</v>
      </c>
      <c r="N589" s="185"/>
      <c r="O589" s="238"/>
      <c r="P589" s="239" t="s">
        <v>1781</v>
      </c>
      <c r="Q589" s="239" t="s">
        <v>732</v>
      </c>
      <c r="R589" s="240" t="s">
        <v>750</v>
      </c>
      <c r="S589" s="196" t="s">
        <v>750</v>
      </c>
      <c r="T589" s="196" t="s">
        <v>1765</v>
      </c>
    </row>
    <row r="590">
      <c r="A590" s="182" t="s">
        <v>2443</v>
      </c>
      <c r="B590" s="203" t="s">
        <v>66</v>
      </c>
      <c r="C590" s="173" t="s">
        <v>66</v>
      </c>
      <c r="D590" s="173" t="s">
        <v>2444</v>
      </c>
      <c r="E590" s="196" t="s">
        <v>2444</v>
      </c>
      <c r="F590" s="185" t="s">
        <v>135</v>
      </c>
      <c r="G590" s="185" t="s">
        <v>768</v>
      </c>
      <c r="H590" s="237">
        <v>0.99</v>
      </c>
      <c r="I590" s="185" t="s">
        <v>136</v>
      </c>
      <c r="J590" s="185" t="s">
        <v>1762</v>
      </c>
      <c r="K590" s="185" t="s">
        <v>136</v>
      </c>
      <c r="L590" s="185" t="s">
        <v>2259</v>
      </c>
      <c r="M590" s="196" t="s">
        <v>749</v>
      </c>
      <c r="N590" s="185"/>
      <c r="O590" s="238"/>
      <c r="P590" s="239" t="s">
        <v>1781</v>
      </c>
      <c r="Q590" s="239" t="s">
        <v>732</v>
      </c>
      <c r="R590" s="240" t="s">
        <v>750</v>
      </c>
      <c r="S590" s="196" t="s">
        <v>750</v>
      </c>
      <c r="T590" s="196" t="s">
        <v>1765</v>
      </c>
    </row>
    <row r="591">
      <c r="A591" s="182" t="s">
        <v>2445</v>
      </c>
      <c r="B591" s="203" t="s">
        <v>66</v>
      </c>
      <c r="C591" s="173" t="s">
        <v>66</v>
      </c>
      <c r="D591" s="173" t="s">
        <v>2446</v>
      </c>
      <c r="E591" s="196" t="s">
        <v>2446</v>
      </c>
      <c r="F591" s="185" t="s">
        <v>135</v>
      </c>
      <c r="G591" s="185" t="s">
        <v>768</v>
      </c>
      <c r="H591" s="237">
        <v>0.94</v>
      </c>
      <c r="I591" s="185" t="s">
        <v>136</v>
      </c>
      <c r="J591" s="185" t="s">
        <v>1762</v>
      </c>
      <c r="K591" s="185" t="s">
        <v>136</v>
      </c>
      <c r="L591" s="185" t="s">
        <v>2259</v>
      </c>
      <c r="M591" s="196" t="s">
        <v>749</v>
      </c>
      <c r="N591" s="185"/>
      <c r="O591" s="238"/>
      <c r="P591" s="239" t="s">
        <v>1781</v>
      </c>
      <c r="Q591" s="239" t="s">
        <v>732</v>
      </c>
      <c r="R591" s="240" t="s">
        <v>750</v>
      </c>
      <c r="S591" s="196" t="s">
        <v>750</v>
      </c>
      <c r="T591" s="196" t="s">
        <v>1765</v>
      </c>
    </row>
    <row r="592">
      <c r="A592" s="182" t="s">
        <v>2447</v>
      </c>
      <c r="B592" s="203" t="s">
        <v>66</v>
      </c>
      <c r="C592" s="173" t="s">
        <v>66</v>
      </c>
      <c r="D592" s="173" t="s">
        <v>2448</v>
      </c>
      <c r="E592" s="196" t="s">
        <v>2448</v>
      </c>
      <c r="F592" s="185" t="s">
        <v>135</v>
      </c>
      <c r="G592" s="185" t="s">
        <v>768</v>
      </c>
      <c r="H592" s="237">
        <v>0.89</v>
      </c>
      <c r="I592" s="185" t="s">
        <v>136</v>
      </c>
      <c r="J592" s="185" t="s">
        <v>1762</v>
      </c>
      <c r="K592" s="185" t="s">
        <v>136</v>
      </c>
      <c r="L592" s="185" t="s">
        <v>2259</v>
      </c>
      <c r="M592" s="196" t="s">
        <v>749</v>
      </c>
      <c r="N592" s="185"/>
      <c r="O592" s="238"/>
      <c r="P592" s="239" t="s">
        <v>1781</v>
      </c>
      <c r="Q592" s="239" t="s">
        <v>732</v>
      </c>
      <c r="R592" s="240" t="s">
        <v>750</v>
      </c>
      <c r="S592" s="196" t="s">
        <v>750</v>
      </c>
      <c r="T592" s="196" t="s">
        <v>1765</v>
      </c>
    </row>
    <row r="593">
      <c r="A593" s="182" t="s">
        <v>2449</v>
      </c>
      <c r="B593" s="203" t="s">
        <v>66</v>
      </c>
      <c r="C593" s="173" t="s">
        <v>66</v>
      </c>
      <c r="D593" s="173" t="s">
        <v>2450</v>
      </c>
      <c r="E593" s="196" t="s">
        <v>2450</v>
      </c>
      <c r="F593" s="185" t="s">
        <v>135</v>
      </c>
      <c r="G593" s="185" t="s">
        <v>768</v>
      </c>
      <c r="H593" s="237">
        <v>0.85</v>
      </c>
      <c r="I593" s="185" t="s">
        <v>136</v>
      </c>
      <c r="J593" s="185" t="s">
        <v>1762</v>
      </c>
      <c r="K593" s="185" t="s">
        <v>136</v>
      </c>
      <c r="L593" s="185" t="s">
        <v>2259</v>
      </c>
      <c r="M593" s="196" t="s">
        <v>749</v>
      </c>
      <c r="N593" s="185"/>
      <c r="O593" s="238"/>
      <c r="P593" s="239" t="s">
        <v>1781</v>
      </c>
      <c r="Q593" s="239" t="s">
        <v>732</v>
      </c>
      <c r="R593" s="240" t="s">
        <v>750</v>
      </c>
      <c r="S593" s="196" t="s">
        <v>750</v>
      </c>
      <c r="T593" s="196" t="s">
        <v>1765</v>
      </c>
    </row>
    <row r="594">
      <c r="A594" s="182" t="s">
        <v>2451</v>
      </c>
      <c r="B594" s="203" t="s">
        <v>66</v>
      </c>
      <c r="C594" s="173" t="s">
        <v>66</v>
      </c>
      <c r="D594" s="173" t="s">
        <v>2452</v>
      </c>
      <c r="E594" s="196" t="s">
        <v>2452</v>
      </c>
      <c r="F594" s="185" t="s">
        <v>135</v>
      </c>
      <c r="G594" s="185" t="s">
        <v>768</v>
      </c>
      <c r="H594" s="237">
        <v>0.81</v>
      </c>
      <c r="I594" s="185" t="s">
        <v>136</v>
      </c>
      <c r="J594" s="185" t="s">
        <v>1762</v>
      </c>
      <c r="K594" s="185" t="s">
        <v>136</v>
      </c>
      <c r="L594" s="185" t="s">
        <v>2259</v>
      </c>
      <c r="M594" s="196" t="s">
        <v>749</v>
      </c>
      <c r="N594" s="185"/>
      <c r="O594" s="238"/>
      <c r="P594" s="239" t="s">
        <v>1781</v>
      </c>
      <c r="Q594" s="239" t="s">
        <v>732</v>
      </c>
      <c r="R594" s="240" t="s">
        <v>750</v>
      </c>
      <c r="S594" s="196" t="s">
        <v>750</v>
      </c>
      <c r="T594" s="196" t="s">
        <v>1765</v>
      </c>
    </row>
    <row r="595">
      <c r="A595" s="182" t="s">
        <v>2453</v>
      </c>
      <c r="B595" s="203" t="s">
        <v>66</v>
      </c>
      <c r="C595" s="173" t="s">
        <v>66</v>
      </c>
      <c r="D595" s="173" t="s">
        <v>2454</v>
      </c>
      <c r="E595" s="196" t="s">
        <v>2454</v>
      </c>
      <c r="F595" s="185" t="s">
        <v>135</v>
      </c>
      <c r="G595" s="185" t="s">
        <v>768</v>
      </c>
      <c r="H595" s="237">
        <v>0.78</v>
      </c>
      <c r="I595" s="185" t="s">
        <v>136</v>
      </c>
      <c r="J595" s="185" t="s">
        <v>1762</v>
      </c>
      <c r="K595" s="185" t="s">
        <v>136</v>
      </c>
      <c r="L595" s="185" t="s">
        <v>2259</v>
      </c>
      <c r="M595" s="196" t="s">
        <v>749</v>
      </c>
      <c r="N595" s="185"/>
      <c r="O595" s="238"/>
      <c r="P595" s="239" t="s">
        <v>1781</v>
      </c>
      <c r="Q595" s="239" t="s">
        <v>732</v>
      </c>
      <c r="R595" s="240" t="s">
        <v>750</v>
      </c>
      <c r="S595" s="196" t="s">
        <v>750</v>
      </c>
      <c r="T595" s="196" t="s">
        <v>1765</v>
      </c>
    </row>
    <row r="596">
      <c r="A596" s="182" t="s">
        <v>2455</v>
      </c>
      <c r="B596" s="203" t="s">
        <v>66</v>
      </c>
      <c r="C596" s="173" t="s">
        <v>66</v>
      </c>
      <c r="D596" s="173" t="s">
        <v>2456</v>
      </c>
      <c r="E596" s="196" t="s">
        <v>2456</v>
      </c>
      <c r="F596" s="185" t="s">
        <v>135</v>
      </c>
      <c r="G596" s="185" t="s">
        <v>768</v>
      </c>
      <c r="H596" s="237">
        <v>0.76</v>
      </c>
      <c r="I596" s="185" t="s">
        <v>136</v>
      </c>
      <c r="J596" s="185" t="s">
        <v>1762</v>
      </c>
      <c r="K596" s="185" t="s">
        <v>136</v>
      </c>
      <c r="L596" s="185" t="s">
        <v>2259</v>
      </c>
      <c r="M596" s="196" t="s">
        <v>749</v>
      </c>
      <c r="N596" s="185"/>
      <c r="O596" s="238"/>
      <c r="P596" s="239" t="s">
        <v>1781</v>
      </c>
      <c r="Q596" s="239" t="s">
        <v>732</v>
      </c>
      <c r="R596" s="240" t="s">
        <v>750</v>
      </c>
      <c r="S596" s="196" t="s">
        <v>750</v>
      </c>
      <c r="T596" s="196" t="s">
        <v>1765</v>
      </c>
    </row>
    <row r="597">
      <c r="A597" s="182" t="s">
        <v>2457</v>
      </c>
      <c r="B597" s="203" t="s">
        <v>66</v>
      </c>
      <c r="C597" s="173" t="s">
        <v>66</v>
      </c>
      <c r="D597" s="173" t="s">
        <v>2458</v>
      </c>
      <c r="E597" s="196" t="s">
        <v>2458</v>
      </c>
      <c r="F597" s="185" t="s">
        <v>135</v>
      </c>
      <c r="G597" s="185" t="s">
        <v>768</v>
      </c>
      <c r="H597" s="237">
        <v>0.73</v>
      </c>
      <c r="I597" s="185" t="s">
        <v>136</v>
      </c>
      <c r="J597" s="185" t="s">
        <v>1762</v>
      </c>
      <c r="K597" s="185" t="s">
        <v>136</v>
      </c>
      <c r="L597" s="185" t="s">
        <v>2259</v>
      </c>
      <c r="M597" s="196" t="s">
        <v>749</v>
      </c>
      <c r="N597" s="185"/>
      <c r="O597" s="238"/>
      <c r="P597" s="239" t="s">
        <v>1781</v>
      </c>
      <c r="Q597" s="239" t="s">
        <v>732</v>
      </c>
      <c r="R597" s="240" t="s">
        <v>750</v>
      </c>
      <c r="S597" s="196" t="s">
        <v>750</v>
      </c>
      <c r="T597" s="196" t="s">
        <v>1765</v>
      </c>
    </row>
    <row r="598">
      <c r="A598" s="182" t="s">
        <v>2459</v>
      </c>
      <c r="B598" s="203" t="s">
        <v>66</v>
      </c>
      <c r="C598" s="173" t="s">
        <v>66</v>
      </c>
      <c r="D598" s="173" t="s">
        <v>2460</v>
      </c>
      <c r="E598" s="196" t="s">
        <v>2460</v>
      </c>
      <c r="F598" s="185" t="s">
        <v>135</v>
      </c>
      <c r="G598" s="185" t="s">
        <v>768</v>
      </c>
      <c r="H598" s="237">
        <v>0.71</v>
      </c>
      <c r="I598" s="185" t="s">
        <v>136</v>
      </c>
      <c r="J598" s="185" t="s">
        <v>1762</v>
      </c>
      <c r="K598" s="185" t="s">
        <v>136</v>
      </c>
      <c r="L598" s="185" t="s">
        <v>2259</v>
      </c>
      <c r="M598" s="196" t="s">
        <v>749</v>
      </c>
      <c r="N598" s="185"/>
      <c r="O598" s="238"/>
      <c r="P598" s="239" t="s">
        <v>1781</v>
      </c>
      <c r="Q598" s="239" t="s">
        <v>732</v>
      </c>
      <c r="R598" s="240" t="s">
        <v>750</v>
      </c>
      <c r="S598" s="196" t="s">
        <v>750</v>
      </c>
      <c r="T598" s="196" t="s">
        <v>1765</v>
      </c>
    </row>
    <row r="599">
      <c r="A599" s="182" t="s">
        <v>2461</v>
      </c>
      <c r="B599" s="203" t="s">
        <v>66</v>
      </c>
      <c r="C599" s="173" t="s">
        <v>66</v>
      </c>
      <c r="D599" s="173" t="s">
        <v>2462</v>
      </c>
      <c r="E599" s="196" t="s">
        <v>2462</v>
      </c>
      <c r="F599" s="185" t="s">
        <v>135</v>
      </c>
      <c r="G599" s="185" t="s">
        <v>768</v>
      </c>
      <c r="H599" s="237">
        <v>0.7</v>
      </c>
      <c r="I599" s="185" t="s">
        <v>136</v>
      </c>
      <c r="J599" s="185" t="s">
        <v>1762</v>
      </c>
      <c r="K599" s="185" t="s">
        <v>136</v>
      </c>
      <c r="L599" s="185" t="s">
        <v>2259</v>
      </c>
      <c r="M599" s="196" t="s">
        <v>749</v>
      </c>
      <c r="N599" s="185"/>
      <c r="O599" s="238"/>
      <c r="P599" s="239" t="s">
        <v>1781</v>
      </c>
      <c r="Q599" s="239" t="s">
        <v>732</v>
      </c>
      <c r="R599" s="240" t="s">
        <v>750</v>
      </c>
      <c r="S599" s="196" t="s">
        <v>750</v>
      </c>
      <c r="T599" s="196" t="s">
        <v>1765</v>
      </c>
    </row>
    <row r="600">
      <c r="A600" s="182" t="s">
        <v>2463</v>
      </c>
      <c r="B600" s="203" t="s">
        <v>66</v>
      </c>
      <c r="C600" s="173" t="s">
        <v>66</v>
      </c>
      <c r="D600" s="173" t="s">
        <v>2464</v>
      </c>
      <c r="E600" s="196" t="s">
        <v>2464</v>
      </c>
      <c r="F600" s="185" t="s">
        <v>135</v>
      </c>
      <c r="G600" s="185" t="s">
        <v>768</v>
      </c>
      <c r="H600" s="237">
        <v>0.68</v>
      </c>
      <c r="I600" s="185" t="s">
        <v>136</v>
      </c>
      <c r="J600" s="185" t="s">
        <v>1762</v>
      </c>
      <c r="K600" s="185" t="s">
        <v>136</v>
      </c>
      <c r="L600" s="185" t="s">
        <v>2259</v>
      </c>
      <c r="M600" s="196" t="s">
        <v>749</v>
      </c>
      <c r="N600" s="185"/>
      <c r="O600" s="238"/>
      <c r="P600" s="239" t="s">
        <v>1781</v>
      </c>
      <c r="Q600" s="239" t="s">
        <v>732</v>
      </c>
      <c r="R600" s="240" t="s">
        <v>750</v>
      </c>
      <c r="S600" s="196" t="s">
        <v>750</v>
      </c>
      <c r="T600" s="196" t="s">
        <v>1765</v>
      </c>
    </row>
    <row r="601">
      <c r="A601" s="182" t="s">
        <v>2465</v>
      </c>
      <c r="B601" s="203" t="s">
        <v>66</v>
      </c>
      <c r="C601" s="173" t="s">
        <v>66</v>
      </c>
      <c r="D601" s="173" t="s">
        <v>2466</v>
      </c>
      <c r="E601" s="196" t="s">
        <v>2466</v>
      </c>
      <c r="F601" s="185" t="s">
        <v>135</v>
      </c>
      <c r="G601" s="185" t="s">
        <v>768</v>
      </c>
      <c r="H601" s="237">
        <v>0.66</v>
      </c>
      <c r="I601" s="185" t="s">
        <v>136</v>
      </c>
      <c r="J601" s="185" t="s">
        <v>1762</v>
      </c>
      <c r="K601" s="185" t="s">
        <v>136</v>
      </c>
      <c r="L601" s="185" t="s">
        <v>2259</v>
      </c>
      <c r="M601" s="196" t="s">
        <v>749</v>
      </c>
      <c r="N601" s="185"/>
      <c r="O601" s="238"/>
      <c r="P601" s="239" t="s">
        <v>1781</v>
      </c>
      <c r="Q601" s="239" t="s">
        <v>732</v>
      </c>
      <c r="R601" s="240" t="s">
        <v>750</v>
      </c>
      <c r="S601" s="196" t="s">
        <v>750</v>
      </c>
      <c r="T601" s="196" t="s">
        <v>1765</v>
      </c>
    </row>
    <row r="602">
      <c r="A602" s="182" t="s">
        <v>2467</v>
      </c>
      <c r="B602" s="203" t="s">
        <v>66</v>
      </c>
      <c r="C602" s="173" t="s">
        <v>66</v>
      </c>
      <c r="D602" s="173" t="s">
        <v>2468</v>
      </c>
      <c r="E602" s="196" t="s">
        <v>2469</v>
      </c>
      <c r="F602" s="185" t="s">
        <v>185</v>
      </c>
      <c r="G602" s="185" t="s">
        <v>1500</v>
      </c>
      <c r="H602" s="237" t="b">
        <v>1</v>
      </c>
      <c r="I602" s="185" t="s">
        <v>1762</v>
      </c>
      <c r="J602" s="185" t="s">
        <v>90</v>
      </c>
      <c r="K602" s="185" t="s">
        <v>1762</v>
      </c>
      <c r="L602" s="185" t="s">
        <v>2259</v>
      </c>
      <c r="M602" s="196" t="s">
        <v>749</v>
      </c>
      <c r="N602" s="185"/>
      <c r="O602" s="238"/>
      <c r="P602" s="239" t="s">
        <v>1763</v>
      </c>
      <c r="Q602" s="239" t="s">
        <v>1764</v>
      </c>
      <c r="R602" s="240" t="s">
        <v>782</v>
      </c>
      <c r="S602" s="196" t="s">
        <v>782</v>
      </c>
      <c r="T602" s="196" t="s">
        <v>1765</v>
      </c>
    </row>
    <row r="603">
      <c r="A603" s="182" t="s">
        <v>2470</v>
      </c>
      <c r="B603" s="203" t="s">
        <v>66</v>
      </c>
      <c r="C603" s="173" t="s">
        <v>66</v>
      </c>
      <c r="D603" s="173" t="s">
        <v>2471</v>
      </c>
      <c r="E603" s="196" t="s">
        <v>2472</v>
      </c>
      <c r="F603" s="185" t="s">
        <v>83</v>
      </c>
      <c r="G603" s="185" t="s">
        <v>1761</v>
      </c>
      <c r="H603" s="237" t="s">
        <v>977</v>
      </c>
      <c r="I603" s="185" t="s">
        <v>1762</v>
      </c>
      <c r="J603" s="185" t="s">
        <v>90</v>
      </c>
      <c r="K603" s="185" t="s">
        <v>1762</v>
      </c>
      <c r="L603" s="185" t="s">
        <v>2259</v>
      </c>
      <c r="M603" s="196" t="s">
        <v>749</v>
      </c>
      <c r="N603" s="185"/>
      <c r="O603" s="238"/>
      <c r="P603" s="239" t="s">
        <v>1763</v>
      </c>
      <c r="Q603" s="239" t="s">
        <v>1764</v>
      </c>
      <c r="R603" s="240" t="s">
        <v>782</v>
      </c>
      <c r="S603" s="196" t="s">
        <v>782</v>
      </c>
      <c r="T603" s="196" t="s">
        <v>1765</v>
      </c>
    </row>
    <row r="604">
      <c r="A604" s="182" t="s">
        <v>2473</v>
      </c>
      <c r="B604" s="203" t="s">
        <v>66</v>
      </c>
      <c r="C604" s="173" t="s">
        <v>66</v>
      </c>
      <c r="D604" s="173" t="s">
        <v>2474</v>
      </c>
      <c r="E604" s="196" t="s">
        <v>2475</v>
      </c>
      <c r="F604" s="185" t="s">
        <v>185</v>
      </c>
      <c r="G604" s="185" t="s">
        <v>1761</v>
      </c>
      <c r="H604" s="237" t="s">
        <v>2476</v>
      </c>
      <c r="I604" s="185" t="s">
        <v>1762</v>
      </c>
      <c r="J604" s="185" t="s">
        <v>90</v>
      </c>
      <c r="K604" s="185" t="s">
        <v>1762</v>
      </c>
      <c r="L604" s="185" t="s">
        <v>2259</v>
      </c>
      <c r="M604" s="196" t="s">
        <v>749</v>
      </c>
      <c r="N604" s="185"/>
      <c r="O604" s="238"/>
      <c r="P604" s="239" t="s">
        <v>1763</v>
      </c>
      <c r="Q604" s="239" t="s">
        <v>1764</v>
      </c>
      <c r="R604" s="240" t="s">
        <v>782</v>
      </c>
      <c r="S604" s="196" t="s">
        <v>782</v>
      </c>
      <c r="T604" s="196" t="s">
        <v>1765</v>
      </c>
    </row>
    <row r="605">
      <c r="A605" s="182" t="s">
        <v>2477</v>
      </c>
      <c r="B605" s="203" t="s">
        <v>66</v>
      </c>
      <c r="C605" s="173" t="s">
        <v>66</v>
      </c>
      <c r="D605" s="173" t="s">
        <v>2478</v>
      </c>
      <c r="E605" s="196" t="s">
        <v>2479</v>
      </c>
      <c r="F605" s="185" t="s">
        <v>185</v>
      </c>
      <c r="G605" s="185" t="s">
        <v>1761</v>
      </c>
      <c r="H605" s="237" t="s">
        <v>2165</v>
      </c>
      <c r="I605" s="185" t="s">
        <v>1762</v>
      </c>
      <c r="J605" s="185" t="s">
        <v>90</v>
      </c>
      <c r="K605" s="185" t="s">
        <v>1762</v>
      </c>
      <c r="L605" s="185" t="s">
        <v>2259</v>
      </c>
      <c r="M605" s="196" t="s">
        <v>749</v>
      </c>
      <c r="N605" s="185"/>
      <c r="O605" s="238"/>
      <c r="P605" s="239" t="s">
        <v>1763</v>
      </c>
      <c r="Q605" s="239" t="s">
        <v>1764</v>
      </c>
      <c r="R605" s="240" t="s">
        <v>782</v>
      </c>
      <c r="S605" s="196" t="s">
        <v>782</v>
      </c>
      <c r="T605" s="196" t="s">
        <v>1765</v>
      </c>
    </row>
    <row r="606">
      <c r="A606" s="182" t="s">
        <v>2480</v>
      </c>
      <c r="B606" s="203" t="s">
        <v>66</v>
      </c>
      <c r="C606" s="173" t="s">
        <v>66</v>
      </c>
      <c r="D606" s="173" t="s">
        <v>2481</v>
      </c>
      <c r="E606" s="196" t="s">
        <v>2482</v>
      </c>
      <c r="F606" s="185" t="s">
        <v>185</v>
      </c>
      <c r="G606" s="185" t="s">
        <v>1500</v>
      </c>
      <c r="H606" s="237" t="b">
        <v>1</v>
      </c>
      <c r="I606" s="185" t="s">
        <v>1762</v>
      </c>
      <c r="J606" s="185" t="s">
        <v>90</v>
      </c>
      <c r="K606" s="185" t="s">
        <v>1762</v>
      </c>
      <c r="L606" s="185" t="s">
        <v>2259</v>
      </c>
      <c r="M606" s="196" t="s">
        <v>749</v>
      </c>
      <c r="N606" s="185"/>
      <c r="O606" s="238"/>
      <c r="P606" s="239" t="s">
        <v>1763</v>
      </c>
      <c r="Q606" s="239" t="s">
        <v>1764</v>
      </c>
      <c r="R606" s="240" t="s">
        <v>782</v>
      </c>
      <c r="S606" s="196" t="s">
        <v>782</v>
      </c>
      <c r="T606" s="196" t="s">
        <v>1765</v>
      </c>
    </row>
    <row r="607">
      <c r="A607" s="182" t="s">
        <v>2483</v>
      </c>
      <c r="B607" s="203" t="s">
        <v>66</v>
      </c>
      <c r="C607" s="173" t="s">
        <v>66</v>
      </c>
      <c r="D607" s="173" t="s">
        <v>2484</v>
      </c>
      <c r="E607" s="196" t="s">
        <v>2485</v>
      </c>
      <c r="F607" s="185" t="s">
        <v>83</v>
      </c>
      <c r="G607" s="185" t="s">
        <v>1761</v>
      </c>
      <c r="H607" s="237" t="s">
        <v>977</v>
      </c>
      <c r="I607" s="185" t="s">
        <v>1762</v>
      </c>
      <c r="J607" s="185" t="s">
        <v>90</v>
      </c>
      <c r="K607" s="185" t="s">
        <v>1762</v>
      </c>
      <c r="L607" s="185" t="s">
        <v>2259</v>
      </c>
      <c r="M607" s="196" t="s">
        <v>749</v>
      </c>
      <c r="N607" s="185"/>
      <c r="O607" s="238"/>
      <c r="P607" s="239" t="s">
        <v>1763</v>
      </c>
      <c r="Q607" s="239" t="s">
        <v>1764</v>
      </c>
      <c r="R607" s="240" t="s">
        <v>782</v>
      </c>
      <c r="S607" s="196" t="s">
        <v>782</v>
      </c>
      <c r="T607" s="196" t="s">
        <v>1765</v>
      </c>
    </row>
    <row r="608">
      <c r="A608" s="182" t="s">
        <v>2486</v>
      </c>
      <c r="B608" s="203" t="s">
        <v>66</v>
      </c>
      <c r="C608" s="173" t="s">
        <v>66</v>
      </c>
      <c r="D608" s="173" t="s">
        <v>2487</v>
      </c>
      <c r="E608" s="196" t="s">
        <v>2488</v>
      </c>
      <c r="F608" s="185" t="s">
        <v>185</v>
      </c>
      <c r="G608" s="185" t="s">
        <v>1761</v>
      </c>
      <c r="H608" s="237" t="s">
        <v>2476</v>
      </c>
      <c r="I608" s="185" t="s">
        <v>1762</v>
      </c>
      <c r="J608" s="185" t="s">
        <v>90</v>
      </c>
      <c r="K608" s="185" t="s">
        <v>1762</v>
      </c>
      <c r="L608" s="185" t="s">
        <v>2259</v>
      </c>
      <c r="M608" s="196" t="s">
        <v>749</v>
      </c>
      <c r="N608" s="185"/>
      <c r="O608" s="238"/>
      <c r="P608" s="239" t="s">
        <v>1763</v>
      </c>
      <c r="Q608" s="239" t="s">
        <v>1764</v>
      </c>
      <c r="R608" s="240" t="s">
        <v>782</v>
      </c>
      <c r="S608" s="196" t="s">
        <v>782</v>
      </c>
      <c r="T608" s="196" t="s">
        <v>1765</v>
      </c>
    </row>
    <row r="609">
      <c r="A609" s="182" t="s">
        <v>2489</v>
      </c>
      <c r="B609" s="203" t="s">
        <v>66</v>
      </c>
      <c r="C609" s="173" t="s">
        <v>66</v>
      </c>
      <c r="D609" s="173" t="s">
        <v>2490</v>
      </c>
      <c r="E609" s="196" t="s">
        <v>2491</v>
      </c>
      <c r="F609" s="185" t="s">
        <v>185</v>
      </c>
      <c r="G609" s="185" t="s">
        <v>1761</v>
      </c>
      <c r="H609" s="237" t="s">
        <v>2492</v>
      </c>
      <c r="I609" s="185" t="s">
        <v>1762</v>
      </c>
      <c r="J609" s="185" t="s">
        <v>90</v>
      </c>
      <c r="K609" s="185" t="s">
        <v>1762</v>
      </c>
      <c r="L609" s="185" t="s">
        <v>2259</v>
      </c>
      <c r="M609" s="196" t="s">
        <v>749</v>
      </c>
      <c r="N609" s="185"/>
      <c r="O609" s="238"/>
      <c r="P609" s="239" t="s">
        <v>1763</v>
      </c>
      <c r="Q609" s="239" t="s">
        <v>1764</v>
      </c>
      <c r="R609" s="240" t="s">
        <v>782</v>
      </c>
      <c r="S609" s="196" t="s">
        <v>782</v>
      </c>
      <c r="T609" s="196" t="s">
        <v>1765</v>
      </c>
    </row>
    <row r="610">
      <c r="A610" s="182" t="s">
        <v>2493</v>
      </c>
      <c r="B610" s="203" t="s">
        <v>66</v>
      </c>
      <c r="C610" s="173" t="s">
        <v>66</v>
      </c>
      <c r="D610" s="173" t="s">
        <v>2494</v>
      </c>
      <c r="E610" s="196" t="s">
        <v>2495</v>
      </c>
      <c r="F610" s="185" t="s">
        <v>185</v>
      </c>
      <c r="G610" s="185" t="s">
        <v>1500</v>
      </c>
      <c r="H610" s="237" t="b">
        <v>1</v>
      </c>
      <c r="I610" s="185" t="s">
        <v>1762</v>
      </c>
      <c r="J610" s="185" t="s">
        <v>90</v>
      </c>
      <c r="K610" s="185" t="s">
        <v>1762</v>
      </c>
      <c r="L610" s="185" t="s">
        <v>2259</v>
      </c>
      <c r="M610" s="196" t="s">
        <v>749</v>
      </c>
      <c r="N610" s="185"/>
      <c r="O610" s="238"/>
      <c r="P610" s="239" t="s">
        <v>1763</v>
      </c>
      <c r="Q610" s="239" t="s">
        <v>1764</v>
      </c>
      <c r="R610" s="240" t="s">
        <v>782</v>
      </c>
      <c r="S610" s="196" t="s">
        <v>782</v>
      </c>
      <c r="T610" s="196" t="s">
        <v>1765</v>
      </c>
    </row>
    <row r="611">
      <c r="A611" s="182" t="s">
        <v>2496</v>
      </c>
      <c r="B611" s="203" t="s">
        <v>66</v>
      </c>
      <c r="C611" s="173" t="s">
        <v>66</v>
      </c>
      <c r="D611" s="173" t="s">
        <v>2497</v>
      </c>
      <c r="E611" s="196" t="s">
        <v>2498</v>
      </c>
      <c r="F611" s="185" t="s">
        <v>83</v>
      </c>
      <c r="G611" s="185" t="s">
        <v>1761</v>
      </c>
      <c r="H611" s="237" t="s">
        <v>977</v>
      </c>
      <c r="I611" s="185" t="s">
        <v>1762</v>
      </c>
      <c r="J611" s="185" t="s">
        <v>90</v>
      </c>
      <c r="K611" s="185" t="s">
        <v>1762</v>
      </c>
      <c r="L611" s="185" t="s">
        <v>2259</v>
      </c>
      <c r="M611" s="196" t="s">
        <v>749</v>
      </c>
      <c r="N611" s="185"/>
      <c r="O611" s="238"/>
      <c r="P611" s="239" t="s">
        <v>1763</v>
      </c>
      <c r="Q611" s="239" t="s">
        <v>1764</v>
      </c>
      <c r="R611" s="240" t="s">
        <v>782</v>
      </c>
      <c r="S611" s="196" t="s">
        <v>782</v>
      </c>
      <c r="T611" s="196" t="s">
        <v>1765</v>
      </c>
    </row>
    <row r="612">
      <c r="A612" s="182" t="s">
        <v>2499</v>
      </c>
      <c r="B612" s="203" t="s">
        <v>66</v>
      </c>
      <c r="C612" s="173" t="s">
        <v>66</v>
      </c>
      <c r="D612" s="173" t="s">
        <v>2500</v>
      </c>
      <c r="E612" s="196" t="s">
        <v>2501</v>
      </c>
      <c r="F612" s="185" t="s">
        <v>185</v>
      </c>
      <c r="G612" s="185" t="s">
        <v>1761</v>
      </c>
      <c r="H612" s="237" t="s">
        <v>2476</v>
      </c>
      <c r="I612" s="185" t="s">
        <v>1762</v>
      </c>
      <c r="J612" s="185" t="s">
        <v>90</v>
      </c>
      <c r="K612" s="185" t="s">
        <v>1762</v>
      </c>
      <c r="L612" s="185" t="s">
        <v>2259</v>
      </c>
      <c r="M612" s="196" t="s">
        <v>749</v>
      </c>
      <c r="N612" s="185"/>
      <c r="O612" s="238"/>
      <c r="P612" s="239" t="s">
        <v>1763</v>
      </c>
      <c r="Q612" s="239" t="s">
        <v>1764</v>
      </c>
      <c r="R612" s="240" t="s">
        <v>782</v>
      </c>
      <c r="S612" s="196" t="s">
        <v>782</v>
      </c>
      <c r="T612" s="196" t="s">
        <v>1765</v>
      </c>
    </row>
    <row r="613">
      <c r="A613" s="182" t="s">
        <v>2502</v>
      </c>
      <c r="B613" s="203" t="s">
        <v>66</v>
      </c>
      <c r="C613" s="173" t="s">
        <v>66</v>
      </c>
      <c r="D613" s="173" t="s">
        <v>2503</v>
      </c>
      <c r="E613" s="196" t="s">
        <v>2504</v>
      </c>
      <c r="F613" s="185" t="s">
        <v>185</v>
      </c>
      <c r="G613" s="185" t="s">
        <v>1761</v>
      </c>
      <c r="H613" s="237" t="s">
        <v>2505</v>
      </c>
      <c r="I613" s="185" t="s">
        <v>1762</v>
      </c>
      <c r="J613" s="185" t="s">
        <v>90</v>
      </c>
      <c r="K613" s="185" t="s">
        <v>1762</v>
      </c>
      <c r="L613" s="185" t="s">
        <v>2259</v>
      </c>
      <c r="M613" s="196" t="s">
        <v>749</v>
      </c>
      <c r="N613" s="185"/>
      <c r="O613" s="238"/>
      <c r="P613" s="239" t="s">
        <v>1763</v>
      </c>
      <c r="Q613" s="239" t="s">
        <v>1764</v>
      </c>
      <c r="R613" s="240" t="s">
        <v>782</v>
      </c>
      <c r="S613" s="196" t="s">
        <v>782</v>
      </c>
      <c r="T613" s="196" t="s">
        <v>1765</v>
      </c>
    </row>
    <row r="614">
      <c r="A614" s="182" t="s">
        <v>2506</v>
      </c>
      <c r="B614" s="203" t="s">
        <v>66</v>
      </c>
      <c r="C614" s="173" t="s">
        <v>66</v>
      </c>
      <c r="D614" s="173" t="s">
        <v>2507</v>
      </c>
      <c r="E614" s="196" t="s">
        <v>2508</v>
      </c>
      <c r="F614" s="185" t="s">
        <v>185</v>
      </c>
      <c r="G614" s="185" t="s">
        <v>1500</v>
      </c>
      <c r="H614" s="237" t="b">
        <v>1</v>
      </c>
      <c r="I614" s="185" t="s">
        <v>1762</v>
      </c>
      <c r="J614" s="185" t="s">
        <v>90</v>
      </c>
      <c r="K614" s="185" t="s">
        <v>1762</v>
      </c>
      <c r="L614" s="185" t="s">
        <v>2259</v>
      </c>
      <c r="M614" s="196" t="s">
        <v>749</v>
      </c>
      <c r="N614" s="185"/>
      <c r="O614" s="238"/>
      <c r="P614" s="239" t="s">
        <v>1763</v>
      </c>
      <c r="Q614" s="239" t="s">
        <v>1764</v>
      </c>
      <c r="R614" s="240" t="s">
        <v>782</v>
      </c>
      <c r="S614" s="196" t="s">
        <v>782</v>
      </c>
      <c r="T614" s="196" t="s">
        <v>1765</v>
      </c>
    </row>
    <row r="615">
      <c r="A615" s="182" t="s">
        <v>2509</v>
      </c>
      <c r="B615" s="203" t="s">
        <v>66</v>
      </c>
      <c r="C615" s="173" t="s">
        <v>66</v>
      </c>
      <c r="D615" s="173" t="s">
        <v>2510</v>
      </c>
      <c r="E615" s="196" t="s">
        <v>2511</v>
      </c>
      <c r="F615" s="185" t="s">
        <v>83</v>
      </c>
      <c r="G615" s="185" t="s">
        <v>1761</v>
      </c>
      <c r="H615" s="237" t="s">
        <v>977</v>
      </c>
      <c r="I615" s="185" t="s">
        <v>1762</v>
      </c>
      <c r="J615" s="185" t="s">
        <v>90</v>
      </c>
      <c r="K615" s="185" t="s">
        <v>1762</v>
      </c>
      <c r="L615" s="185" t="s">
        <v>2259</v>
      </c>
      <c r="M615" s="196" t="s">
        <v>749</v>
      </c>
      <c r="N615" s="185"/>
      <c r="O615" s="238"/>
      <c r="P615" s="239" t="s">
        <v>1763</v>
      </c>
      <c r="Q615" s="239" t="s">
        <v>1764</v>
      </c>
      <c r="R615" s="240" t="s">
        <v>782</v>
      </c>
      <c r="S615" s="196" t="s">
        <v>782</v>
      </c>
      <c r="T615" s="196" t="s">
        <v>1765</v>
      </c>
    </row>
    <row r="616">
      <c r="A616" s="182" t="s">
        <v>2512</v>
      </c>
      <c r="B616" s="203" t="s">
        <v>66</v>
      </c>
      <c r="C616" s="173" t="s">
        <v>66</v>
      </c>
      <c r="D616" s="173" t="s">
        <v>2513</v>
      </c>
      <c r="E616" s="196" t="s">
        <v>2514</v>
      </c>
      <c r="F616" s="185" t="s">
        <v>185</v>
      </c>
      <c r="G616" s="185" t="s">
        <v>1761</v>
      </c>
      <c r="H616" s="237" t="s">
        <v>2476</v>
      </c>
      <c r="I616" s="185" t="s">
        <v>1762</v>
      </c>
      <c r="J616" s="185" t="s">
        <v>90</v>
      </c>
      <c r="K616" s="185" t="s">
        <v>1762</v>
      </c>
      <c r="L616" s="185" t="s">
        <v>2259</v>
      </c>
      <c r="M616" s="196" t="s">
        <v>749</v>
      </c>
      <c r="N616" s="185"/>
      <c r="O616" s="238"/>
      <c r="P616" s="239" t="s">
        <v>1763</v>
      </c>
      <c r="Q616" s="239" t="s">
        <v>1764</v>
      </c>
      <c r="R616" s="240" t="s">
        <v>782</v>
      </c>
      <c r="S616" s="196" t="s">
        <v>782</v>
      </c>
      <c r="T616" s="196" t="s">
        <v>1765</v>
      </c>
    </row>
    <row r="617">
      <c r="A617" s="182" t="s">
        <v>2515</v>
      </c>
      <c r="B617" s="203" t="s">
        <v>66</v>
      </c>
      <c r="C617" s="173" t="s">
        <v>66</v>
      </c>
      <c r="D617" s="173" t="s">
        <v>2516</v>
      </c>
      <c r="E617" s="196" t="s">
        <v>2517</v>
      </c>
      <c r="F617" s="185" t="s">
        <v>185</v>
      </c>
      <c r="G617" s="185" t="s">
        <v>1761</v>
      </c>
      <c r="H617" s="237" t="s">
        <v>2518</v>
      </c>
      <c r="I617" s="185" t="s">
        <v>1762</v>
      </c>
      <c r="J617" s="185" t="s">
        <v>90</v>
      </c>
      <c r="K617" s="185" t="s">
        <v>1762</v>
      </c>
      <c r="L617" s="185" t="s">
        <v>2259</v>
      </c>
      <c r="M617" s="196" t="s">
        <v>749</v>
      </c>
      <c r="N617" s="185"/>
      <c r="O617" s="238"/>
      <c r="P617" s="239" t="s">
        <v>1763</v>
      </c>
      <c r="Q617" s="239" t="s">
        <v>1764</v>
      </c>
      <c r="R617" s="240" t="s">
        <v>782</v>
      </c>
      <c r="S617" s="196" t="s">
        <v>782</v>
      </c>
      <c r="T617" s="196" t="s">
        <v>1765</v>
      </c>
    </row>
    <row r="618">
      <c r="A618" s="182" t="s">
        <v>2519</v>
      </c>
      <c r="B618" s="203" t="s">
        <v>66</v>
      </c>
      <c r="C618" s="173" t="s">
        <v>66</v>
      </c>
      <c r="D618" s="173" t="s">
        <v>2520</v>
      </c>
      <c r="E618" s="196" t="s">
        <v>2521</v>
      </c>
      <c r="F618" s="185" t="s">
        <v>185</v>
      </c>
      <c r="G618" s="185" t="s">
        <v>1500</v>
      </c>
      <c r="H618" s="237" t="b">
        <v>1</v>
      </c>
      <c r="I618" s="185" t="s">
        <v>1762</v>
      </c>
      <c r="J618" s="185" t="s">
        <v>90</v>
      </c>
      <c r="K618" s="185" t="s">
        <v>1762</v>
      </c>
      <c r="L618" s="185" t="s">
        <v>2259</v>
      </c>
      <c r="M618" s="196" t="s">
        <v>749</v>
      </c>
      <c r="N618" s="185"/>
      <c r="O618" s="238"/>
      <c r="P618" s="239" t="s">
        <v>1777</v>
      </c>
      <c r="Q618" s="239" t="s">
        <v>1764</v>
      </c>
      <c r="R618" s="240" t="s">
        <v>782</v>
      </c>
      <c r="S618" s="196" t="s">
        <v>782</v>
      </c>
      <c r="T618" s="196" t="s">
        <v>1765</v>
      </c>
    </row>
    <row r="619">
      <c r="A619" s="182" t="s">
        <v>2522</v>
      </c>
      <c r="B619" s="203" t="s">
        <v>66</v>
      </c>
      <c r="C619" s="173" t="s">
        <v>66</v>
      </c>
      <c r="D619" s="173" t="s">
        <v>2523</v>
      </c>
      <c r="E619" s="196" t="s">
        <v>2524</v>
      </c>
      <c r="F619" s="185" t="s">
        <v>83</v>
      </c>
      <c r="G619" s="185" t="s">
        <v>1761</v>
      </c>
      <c r="H619" s="237" t="s">
        <v>977</v>
      </c>
      <c r="I619" s="185" t="s">
        <v>1762</v>
      </c>
      <c r="J619" s="185" t="s">
        <v>90</v>
      </c>
      <c r="K619" s="185" t="s">
        <v>1762</v>
      </c>
      <c r="L619" s="185" t="s">
        <v>2259</v>
      </c>
      <c r="M619" s="196" t="s">
        <v>749</v>
      </c>
      <c r="N619" s="185"/>
      <c r="O619" s="238"/>
      <c r="P619" s="239" t="s">
        <v>1777</v>
      </c>
      <c r="Q619" s="239" t="s">
        <v>1764</v>
      </c>
      <c r="R619" s="240" t="s">
        <v>782</v>
      </c>
      <c r="S619" s="196" t="s">
        <v>782</v>
      </c>
      <c r="T619" s="196" t="s">
        <v>1765</v>
      </c>
    </row>
    <row r="620">
      <c r="A620" s="182" t="s">
        <v>2525</v>
      </c>
      <c r="B620" s="203" t="s">
        <v>66</v>
      </c>
      <c r="C620" s="173" t="s">
        <v>66</v>
      </c>
      <c r="D620" s="173" t="s">
        <v>2526</v>
      </c>
      <c r="E620" s="196" t="s">
        <v>2527</v>
      </c>
      <c r="F620" s="185" t="s">
        <v>185</v>
      </c>
      <c r="G620" s="185" t="s">
        <v>1761</v>
      </c>
      <c r="H620" s="237" t="s">
        <v>2476</v>
      </c>
      <c r="I620" s="185" t="s">
        <v>1762</v>
      </c>
      <c r="J620" s="185" t="s">
        <v>90</v>
      </c>
      <c r="K620" s="185" t="s">
        <v>1762</v>
      </c>
      <c r="L620" s="185" t="s">
        <v>2259</v>
      </c>
      <c r="M620" s="196" t="s">
        <v>749</v>
      </c>
      <c r="N620" s="185"/>
      <c r="O620" s="238"/>
      <c r="P620" s="239" t="s">
        <v>1777</v>
      </c>
      <c r="Q620" s="239" t="s">
        <v>1764</v>
      </c>
      <c r="R620" s="240" t="s">
        <v>782</v>
      </c>
      <c r="S620" s="196" t="s">
        <v>782</v>
      </c>
      <c r="T620" s="196" t="s">
        <v>1765</v>
      </c>
    </row>
    <row r="621">
      <c r="A621" s="182" t="s">
        <v>2528</v>
      </c>
      <c r="B621" s="203" t="s">
        <v>66</v>
      </c>
      <c r="C621" s="173" t="s">
        <v>66</v>
      </c>
      <c r="D621" s="173" t="s">
        <v>2529</v>
      </c>
      <c r="E621" s="196" t="s">
        <v>2530</v>
      </c>
      <c r="F621" s="185" t="s">
        <v>185</v>
      </c>
      <c r="G621" s="185" t="s">
        <v>1500</v>
      </c>
      <c r="H621" s="237" t="b">
        <v>1</v>
      </c>
      <c r="I621" s="185" t="s">
        <v>1762</v>
      </c>
      <c r="J621" s="185" t="s">
        <v>90</v>
      </c>
      <c r="K621" s="185" t="s">
        <v>1762</v>
      </c>
      <c r="L621" s="185" t="s">
        <v>2259</v>
      </c>
      <c r="M621" s="196" t="s">
        <v>749</v>
      </c>
      <c r="N621" s="185"/>
      <c r="O621" s="238"/>
      <c r="P621" s="239" t="s">
        <v>1763</v>
      </c>
      <c r="Q621" s="239" t="s">
        <v>1764</v>
      </c>
      <c r="R621" s="240" t="s">
        <v>782</v>
      </c>
      <c r="S621" s="196" t="s">
        <v>782</v>
      </c>
      <c r="T621" s="196" t="s">
        <v>1765</v>
      </c>
    </row>
    <row r="622">
      <c r="A622" s="182" t="s">
        <v>2531</v>
      </c>
      <c r="B622" s="203" t="s">
        <v>66</v>
      </c>
      <c r="C622" s="173" t="s">
        <v>66</v>
      </c>
      <c r="D622" s="173" t="s">
        <v>2532</v>
      </c>
      <c r="E622" s="196" t="s">
        <v>2533</v>
      </c>
      <c r="F622" s="185" t="s">
        <v>83</v>
      </c>
      <c r="G622" s="185" t="s">
        <v>1761</v>
      </c>
      <c r="H622" s="237" t="s">
        <v>977</v>
      </c>
      <c r="I622" s="185" t="s">
        <v>1762</v>
      </c>
      <c r="J622" s="185" t="s">
        <v>90</v>
      </c>
      <c r="K622" s="185" t="s">
        <v>1762</v>
      </c>
      <c r="L622" s="185" t="s">
        <v>2259</v>
      </c>
      <c r="M622" s="196" t="s">
        <v>749</v>
      </c>
      <c r="N622" s="185"/>
      <c r="O622" s="238"/>
      <c r="P622" s="239" t="s">
        <v>1763</v>
      </c>
      <c r="Q622" s="239" t="s">
        <v>1764</v>
      </c>
      <c r="R622" s="240" t="s">
        <v>782</v>
      </c>
      <c r="S622" s="196" t="s">
        <v>782</v>
      </c>
      <c r="T622" s="196" t="s">
        <v>1765</v>
      </c>
    </row>
    <row r="623">
      <c r="A623" s="182" t="s">
        <v>2534</v>
      </c>
      <c r="B623" s="203" t="s">
        <v>66</v>
      </c>
      <c r="C623" s="173" t="s">
        <v>66</v>
      </c>
      <c r="D623" s="173" t="s">
        <v>2535</v>
      </c>
      <c r="E623" s="196" t="s">
        <v>2536</v>
      </c>
      <c r="F623" s="185" t="s">
        <v>185</v>
      </c>
      <c r="G623" s="185" t="s">
        <v>1761</v>
      </c>
      <c r="H623" s="237" t="s">
        <v>1440</v>
      </c>
      <c r="I623" s="185" t="s">
        <v>1762</v>
      </c>
      <c r="J623" s="185" t="s">
        <v>90</v>
      </c>
      <c r="K623" s="185" t="s">
        <v>1762</v>
      </c>
      <c r="L623" s="185" t="s">
        <v>2259</v>
      </c>
      <c r="M623" s="196" t="s">
        <v>749</v>
      </c>
      <c r="N623" s="185"/>
      <c r="O623" s="238"/>
      <c r="P623" s="239" t="s">
        <v>1763</v>
      </c>
      <c r="Q623" s="239" t="s">
        <v>1764</v>
      </c>
      <c r="R623" s="240" t="s">
        <v>782</v>
      </c>
      <c r="S623" s="196" t="s">
        <v>782</v>
      </c>
      <c r="T623" s="196" t="s">
        <v>1765</v>
      </c>
    </row>
    <row r="624">
      <c r="A624" s="182" t="s">
        <v>2537</v>
      </c>
      <c r="B624" s="203" t="s">
        <v>66</v>
      </c>
      <c r="C624" s="173" t="s">
        <v>66</v>
      </c>
      <c r="D624" s="173" t="s">
        <v>2538</v>
      </c>
      <c r="E624" s="196" t="s">
        <v>2539</v>
      </c>
      <c r="F624" s="185" t="s">
        <v>185</v>
      </c>
      <c r="G624" s="185" t="s">
        <v>1500</v>
      </c>
      <c r="H624" s="237" t="b">
        <v>1</v>
      </c>
      <c r="I624" s="185" t="s">
        <v>1762</v>
      </c>
      <c r="J624" s="185" t="s">
        <v>90</v>
      </c>
      <c r="K624" s="185" t="s">
        <v>1762</v>
      </c>
      <c r="L624" s="185" t="s">
        <v>2259</v>
      </c>
      <c r="M624" s="196" t="s">
        <v>749</v>
      </c>
      <c r="N624" s="185"/>
      <c r="O624" s="238"/>
      <c r="P624" s="239" t="s">
        <v>1763</v>
      </c>
      <c r="Q624" s="239" t="s">
        <v>1764</v>
      </c>
      <c r="R624" s="240" t="s">
        <v>782</v>
      </c>
      <c r="S624" s="196" t="s">
        <v>782</v>
      </c>
      <c r="T624" s="196" t="s">
        <v>1765</v>
      </c>
    </row>
    <row r="625">
      <c r="A625" s="182" t="s">
        <v>2540</v>
      </c>
      <c r="B625" s="203" t="s">
        <v>66</v>
      </c>
      <c r="C625" s="173" t="s">
        <v>66</v>
      </c>
      <c r="D625" s="173" t="s">
        <v>2541</v>
      </c>
      <c r="E625" s="196" t="s">
        <v>2542</v>
      </c>
      <c r="F625" s="185" t="s">
        <v>83</v>
      </c>
      <c r="G625" s="185" t="s">
        <v>1761</v>
      </c>
      <c r="H625" s="237" t="s">
        <v>977</v>
      </c>
      <c r="I625" s="185" t="s">
        <v>1762</v>
      </c>
      <c r="J625" s="185" t="s">
        <v>90</v>
      </c>
      <c r="K625" s="185" t="s">
        <v>1762</v>
      </c>
      <c r="L625" s="185" t="s">
        <v>2259</v>
      </c>
      <c r="M625" s="196" t="s">
        <v>749</v>
      </c>
      <c r="N625" s="185"/>
      <c r="O625" s="238"/>
      <c r="P625" s="239" t="s">
        <v>1763</v>
      </c>
      <c r="Q625" s="239" t="s">
        <v>1764</v>
      </c>
      <c r="R625" s="240" t="s">
        <v>782</v>
      </c>
      <c r="S625" s="196" t="s">
        <v>782</v>
      </c>
      <c r="T625" s="196" t="s">
        <v>1765</v>
      </c>
    </row>
    <row r="626">
      <c r="A626" s="182" t="s">
        <v>2543</v>
      </c>
      <c r="B626" s="203" t="s">
        <v>66</v>
      </c>
      <c r="C626" s="173" t="s">
        <v>66</v>
      </c>
      <c r="D626" s="173" t="s">
        <v>2544</v>
      </c>
      <c r="E626" s="196" t="s">
        <v>2545</v>
      </c>
      <c r="F626" s="185" t="s">
        <v>185</v>
      </c>
      <c r="G626" s="185" t="s">
        <v>1761</v>
      </c>
      <c r="H626" s="237" t="s">
        <v>1440</v>
      </c>
      <c r="I626" s="185" t="s">
        <v>1762</v>
      </c>
      <c r="J626" s="185" t="s">
        <v>90</v>
      </c>
      <c r="K626" s="185" t="s">
        <v>1762</v>
      </c>
      <c r="L626" s="185" t="s">
        <v>2259</v>
      </c>
      <c r="M626" s="196" t="s">
        <v>749</v>
      </c>
      <c r="N626" s="185"/>
      <c r="O626" s="238"/>
      <c r="P626" s="239" t="s">
        <v>1763</v>
      </c>
      <c r="Q626" s="239" t="s">
        <v>1764</v>
      </c>
      <c r="R626" s="240" t="s">
        <v>782</v>
      </c>
      <c r="S626" s="196" t="s">
        <v>782</v>
      </c>
      <c r="T626" s="196" t="s">
        <v>1765</v>
      </c>
    </row>
    <row r="627">
      <c r="A627" s="182" t="s">
        <v>2546</v>
      </c>
      <c r="B627" s="203" t="s">
        <v>66</v>
      </c>
      <c r="C627" s="173" t="s">
        <v>66</v>
      </c>
      <c r="D627" s="173" t="s">
        <v>2547</v>
      </c>
      <c r="E627" s="196" t="s">
        <v>2547</v>
      </c>
      <c r="F627" s="185" t="s">
        <v>185</v>
      </c>
      <c r="G627" s="185" t="s">
        <v>713</v>
      </c>
      <c r="H627" s="237">
        <v>5.0</v>
      </c>
      <c r="I627" s="185" t="s">
        <v>1762</v>
      </c>
      <c r="J627" s="185" t="s">
        <v>90</v>
      </c>
      <c r="K627" s="185" t="s">
        <v>1762</v>
      </c>
      <c r="L627" s="185" t="s">
        <v>2259</v>
      </c>
      <c r="M627" s="196" t="s">
        <v>687</v>
      </c>
      <c r="N627" s="185"/>
      <c r="O627" s="238"/>
      <c r="P627" s="239" t="s">
        <v>1771</v>
      </c>
      <c r="Q627" s="239" t="s">
        <v>1764</v>
      </c>
      <c r="R627" s="240" t="s">
        <v>1510</v>
      </c>
      <c r="S627" s="196" t="s">
        <v>1510</v>
      </c>
      <c r="T627" s="196" t="s">
        <v>1765</v>
      </c>
    </row>
    <row r="628">
      <c r="A628" s="182" t="s">
        <v>2548</v>
      </c>
      <c r="B628" s="203" t="s">
        <v>66</v>
      </c>
      <c r="C628" s="173" t="s">
        <v>66</v>
      </c>
      <c r="D628" s="173" t="s">
        <v>2549</v>
      </c>
      <c r="E628" s="196" t="s">
        <v>2549</v>
      </c>
      <c r="F628" s="185" t="s">
        <v>185</v>
      </c>
      <c r="G628" s="185" t="s">
        <v>1761</v>
      </c>
      <c r="H628" s="237" t="s">
        <v>2550</v>
      </c>
      <c r="I628" s="185" t="s">
        <v>1762</v>
      </c>
      <c r="J628" s="185" t="s">
        <v>90</v>
      </c>
      <c r="K628" s="185" t="s">
        <v>1762</v>
      </c>
      <c r="L628" s="185" t="s">
        <v>2259</v>
      </c>
      <c r="M628" s="196" t="s">
        <v>687</v>
      </c>
      <c r="N628" s="185"/>
      <c r="O628" s="238"/>
      <c r="P628" s="239" t="s">
        <v>1771</v>
      </c>
      <c r="Q628" s="239" t="s">
        <v>1764</v>
      </c>
      <c r="R628" s="240" t="s">
        <v>1510</v>
      </c>
      <c r="S628" s="196" t="s">
        <v>1510</v>
      </c>
      <c r="T628" s="196" t="s">
        <v>1765</v>
      </c>
    </row>
    <row r="629">
      <c r="A629" s="182" t="s">
        <v>2551</v>
      </c>
      <c r="B629" s="203" t="s">
        <v>66</v>
      </c>
      <c r="C629" s="173" t="s">
        <v>66</v>
      </c>
      <c r="D629" s="173" t="s">
        <v>2552</v>
      </c>
      <c r="E629" s="196" t="s">
        <v>2552</v>
      </c>
      <c r="F629" s="185" t="s">
        <v>185</v>
      </c>
      <c r="G629" s="185" t="s">
        <v>713</v>
      </c>
      <c r="H629" s="237">
        <v>5.0</v>
      </c>
      <c r="I629" s="185" t="s">
        <v>1762</v>
      </c>
      <c r="J629" s="185" t="s">
        <v>90</v>
      </c>
      <c r="K629" s="185" t="s">
        <v>1762</v>
      </c>
      <c r="L629" s="185" t="s">
        <v>2259</v>
      </c>
      <c r="M629" s="196" t="s">
        <v>687</v>
      </c>
      <c r="N629" s="185"/>
      <c r="O629" s="238"/>
      <c r="P629" s="239" t="s">
        <v>1771</v>
      </c>
      <c r="Q629" s="239" t="s">
        <v>1764</v>
      </c>
      <c r="R629" s="240" t="s">
        <v>1510</v>
      </c>
      <c r="S629" s="196" t="s">
        <v>1510</v>
      </c>
      <c r="T629" s="196" t="s">
        <v>1765</v>
      </c>
    </row>
    <row r="630">
      <c r="A630" s="182" t="s">
        <v>2553</v>
      </c>
      <c r="B630" s="203" t="s">
        <v>66</v>
      </c>
      <c r="C630" s="173" t="s">
        <v>66</v>
      </c>
      <c r="D630" s="173" t="s">
        <v>2554</v>
      </c>
      <c r="E630" s="196" t="s">
        <v>2555</v>
      </c>
      <c r="F630" s="185" t="s">
        <v>185</v>
      </c>
      <c r="G630" s="185" t="s">
        <v>1500</v>
      </c>
      <c r="H630" s="237" t="b">
        <v>1</v>
      </c>
      <c r="I630" s="185" t="s">
        <v>1762</v>
      </c>
      <c r="J630" s="185" t="s">
        <v>90</v>
      </c>
      <c r="K630" s="185" t="s">
        <v>1762</v>
      </c>
      <c r="L630" s="185" t="s">
        <v>2259</v>
      </c>
      <c r="M630" s="196" t="s">
        <v>687</v>
      </c>
      <c r="N630" s="185"/>
      <c r="O630" s="238"/>
      <c r="P630" s="239" t="s">
        <v>1763</v>
      </c>
      <c r="Q630" s="239" t="s">
        <v>1764</v>
      </c>
      <c r="R630" s="240" t="s">
        <v>782</v>
      </c>
      <c r="S630" s="196" t="s">
        <v>782</v>
      </c>
      <c r="T630" s="196" t="s">
        <v>1765</v>
      </c>
    </row>
    <row r="631">
      <c r="A631" s="182" t="s">
        <v>2556</v>
      </c>
      <c r="B631" s="203" t="s">
        <v>66</v>
      </c>
      <c r="C631" s="173" t="s">
        <v>66</v>
      </c>
      <c r="D631" s="173" t="s">
        <v>2557</v>
      </c>
      <c r="E631" s="196" t="s">
        <v>2558</v>
      </c>
      <c r="F631" s="185" t="s">
        <v>83</v>
      </c>
      <c r="G631" s="185" t="s">
        <v>1761</v>
      </c>
      <c r="H631" s="237" t="s">
        <v>936</v>
      </c>
      <c r="I631" s="185" t="s">
        <v>1762</v>
      </c>
      <c r="J631" s="185" t="s">
        <v>90</v>
      </c>
      <c r="K631" s="185" t="s">
        <v>1762</v>
      </c>
      <c r="L631" s="185" t="s">
        <v>2259</v>
      </c>
      <c r="M631" s="196" t="s">
        <v>687</v>
      </c>
      <c r="N631" s="185"/>
      <c r="O631" s="238"/>
      <c r="P631" s="239" t="s">
        <v>1763</v>
      </c>
      <c r="Q631" s="239" t="s">
        <v>1764</v>
      </c>
      <c r="R631" s="240" t="s">
        <v>782</v>
      </c>
      <c r="S631" s="196" t="s">
        <v>782</v>
      </c>
      <c r="T631" s="196" t="s">
        <v>1765</v>
      </c>
    </row>
    <row r="632">
      <c r="A632" s="182" t="s">
        <v>2559</v>
      </c>
      <c r="B632" s="203" t="s">
        <v>66</v>
      </c>
      <c r="C632" s="173" t="s">
        <v>66</v>
      </c>
      <c r="D632" s="173" t="s">
        <v>2560</v>
      </c>
      <c r="E632" s="196" t="s">
        <v>2561</v>
      </c>
      <c r="F632" s="185" t="s">
        <v>185</v>
      </c>
      <c r="G632" s="185" t="s">
        <v>1761</v>
      </c>
      <c r="H632" s="237" t="s">
        <v>2562</v>
      </c>
      <c r="I632" s="185" t="s">
        <v>1762</v>
      </c>
      <c r="J632" s="185" t="s">
        <v>90</v>
      </c>
      <c r="K632" s="185" t="s">
        <v>1762</v>
      </c>
      <c r="L632" s="185" t="s">
        <v>2259</v>
      </c>
      <c r="M632" s="196" t="s">
        <v>687</v>
      </c>
      <c r="N632" s="185"/>
      <c r="O632" s="238"/>
      <c r="P632" s="239" t="s">
        <v>1763</v>
      </c>
      <c r="Q632" s="239" t="s">
        <v>1764</v>
      </c>
      <c r="R632" s="240" t="s">
        <v>782</v>
      </c>
      <c r="S632" s="196" t="s">
        <v>782</v>
      </c>
      <c r="T632" s="196" t="s">
        <v>1765</v>
      </c>
    </row>
    <row r="633">
      <c r="A633" s="182" t="s">
        <v>2563</v>
      </c>
      <c r="B633" s="203" t="s">
        <v>66</v>
      </c>
      <c r="C633" s="173" t="s">
        <v>66</v>
      </c>
      <c r="D633" s="173" t="s">
        <v>2564</v>
      </c>
      <c r="E633" s="196" t="s">
        <v>2564</v>
      </c>
      <c r="F633" s="185" t="s">
        <v>185</v>
      </c>
      <c r="G633" s="185" t="s">
        <v>1500</v>
      </c>
      <c r="H633" s="237" t="b">
        <v>1</v>
      </c>
      <c r="I633" s="185" t="s">
        <v>136</v>
      </c>
      <c r="J633" s="185" t="s">
        <v>90</v>
      </c>
      <c r="K633" s="185" t="s">
        <v>136</v>
      </c>
      <c r="L633" s="185" t="s">
        <v>2259</v>
      </c>
      <c r="M633" s="196" t="s">
        <v>687</v>
      </c>
      <c r="N633" s="185"/>
      <c r="O633" s="238"/>
      <c r="P633" s="239" t="s">
        <v>1781</v>
      </c>
      <c r="Q633" s="239" t="s">
        <v>732</v>
      </c>
      <c r="R633" s="240" t="s">
        <v>782</v>
      </c>
      <c r="S633" s="196" t="s">
        <v>782</v>
      </c>
      <c r="T633" s="196" t="s">
        <v>1765</v>
      </c>
    </row>
    <row r="634">
      <c r="A634" s="182" t="s">
        <v>2565</v>
      </c>
      <c r="B634" s="203" t="s">
        <v>66</v>
      </c>
      <c r="C634" s="173" t="s">
        <v>66</v>
      </c>
      <c r="D634" s="173" t="s">
        <v>2566</v>
      </c>
      <c r="E634" s="196" t="s">
        <v>2567</v>
      </c>
      <c r="F634" s="185" t="s">
        <v>135</v>
      </c>
      <c r="G634" s="185" t="s">
        <v>1761</v>
      </c>
      <c r="H634" s="237" t="s">
        <v>2568</v>
      </c>
      <c r="I634" s="185" t="s">
        <v>1762</v>
      </c>
      <c r="J634" s="185" t="s">
        <v>1762</v>
      </c>
      <c r="K634" s="185" t="s">
        <v>1762</v>
      </c>
      <c r="L634" s="185" t="s">
        <v>2259</v>
      </c>
      <c r="M634" s="196" t="s">
        <v>749</v>
      </c>
      <c r="N634" s="185"/>
      <c r="O634" s="238"/>
      <c r="P634" s="239" t="s">
        <v>1763</v>
      </c>
      <c r="Q634" s="239" t="s">
        <v>1764</v>
      </c>
      <c r="R634" s="240" t="s">
        <v>782</v>
      </c>
      <c r="S634" s="196" t="s">
        <v>782</v>
      </c>
      <c r="T634" s="196" t="s">
        <v>1765</v>
      </c>
    </row>
    <row r="635">
      <c r="A635" s="182" t="s">
        <v>2569</v>
      </c>
      <c r="B635" s="203" t="s">
        <v>66</v>
      </c>
      <c r="C635" s="173" t="s">
        <v>66</v>
      </c>
      <c r="D635" s="173" t="s">
        <v>2570</v>
      </c>
      <c r="E635" s="196" t="s">
        <v>2570</v>
      </c>
      <c r="F635" s="185" t="s">
        <v>135</v>
      </c>
      <c r="G635" s="185" t="s">
        <v>768</v>
      </c>
      <c r="H635" s="237">
        <v>0.55</v>
      </c>
      <c r="I635" s="185" t="s">
        <v>136</v>
      </c>
      <c r="J635" s="185" t="s">
        <v>1762</v>
      </c>
      <c r="K635" s="185" t="s">
        <v>136</v>
      </c>
      <c r="L635" s="185" t="s">
        <v>2259</v>
      </c>
      <c r="M635" s="196" t="s">
        <v>749</v>
      </c>
      <c r="N635" s="185"/>
      <c r="O635" s="238"/>
      <c r="P635" s="239" t="s">
        <v>1781</v>
      </c>
      <c r="Q635" s="239" t="s">
        <v>732</v>
      </c>
      <c r="R635" s="240" t="s">
        <v>750</v>
      </c>
      <c r="S635" s="196" t="s">
        <v>750</v>
      </c>
      <c r="T635" s="196" t="s">
        <v>1765</v>
      </c>
    </row>
    <row r="636">
      <c r="A636" s="182" t="s">
        <v>2571</v>
      </c>
      <c r="B636" s="203" t="s">
        <v>66</v>
      </c>
      <c r="C636" s="173" t="s">
        <v>66</v>
      </c>
      <c r="D636" s="173" t="s">
        <v>2572</v>
      </c>
      <c r="E636" s="196" t="s">
        <v>2572</v>
      </c>
      <c r="F636" s="185" t="s">
        <v>135</v>
      </c>
      <c r="G636" s="185" t="s">
        <v>768</v>
      </c>
      <c r="H636" s="237">
        <v>0.56</v>
      </c>
      <c r="I636" s="185" t="s">
        <v>136</v>
      </c>
      <c r="J636" s="185" t="s">
        <v>1762</v>
      </c>
      <c r="K636" s="185" t="s">
        <v>136</v>
      </c>
      <c r="L636" s="185" t="s">
        <v>2259</v>
      </c>
      <c r="M636" s="196" t="s">
        <v>749</v>
      </c>
      <c r="N636" s="185"/>
      <c r="O636" s="238"/>
      <c r="P636" s="239" t="s">
        <v>1781</v>
      </c>
      <c r="Q636" s="239" t="s">
        <v>732</v>
      </c>
      <c r="R636" s="240" t="s">
        <v>750</v>
      </c>
      <c r="S636" s="196" t="s">
        <v>750</v>
      </c>
      <c r="T636" s="196" t="s">
        <v>1765</v>
      </c>
    </row>
    <row r="637">
      <c r="A637" s="182" t="s">
        <v>2573</v>
      </c>
      <c r="B637" s="203" t="s">
        <v>66</v>
      </c>
      <c r="C637" s="173" t="s">
        <v>66</v>
      </c>
      <c r="D637" s="173" t="s">
        <v>2574</v>
      </c>
      <c r="E637" s="196" t="s">
        <v>2574</v>
      </c>
      <c r="F637" s="185" t="s">
        <v>135</v>
      </c>
      <c r="G637" s="185" t="s">
        <v>768</v>
      </c>
      <c r="H637" s="237">
        <v>0.57</v>
      </c>
      <c r="I637" s="185" t="s">
        <v>136</v>
      </c>
      <c r="J637" s="185" t="s">
        <v>1762</v>
      </c>
      <c r="K637" s="185" t="s">
        <v>136</v>
      </c>
      <c r="L637" s="185" t="s">
        <v>2259</v>
      </c>
      <c r="M637" s="196" t="s">
        <v>749</v>
      </c>
      <c r="N637" s="185"/>
      <c r="O637" s="238"/>
      <c r="P637" s="239" t="s">
        <v>1781</v>
      </c>
      <c r="Q637" s="239" t="s">
        <v>732</v>
      </c>
      <c r="R637" s="240" t="s">
        <v>750</v>
      </c>
      <c r="S637" s="196" t="s">
        <v>750</v>
      </c>
      <c r="T637" s="196" t="s">
        <v>1765</v>
      </c>
    </row>
    <row r="638">
      <c r="A638" s="182" t="s">
        <v>2575</v>
      </c>
      <c r="B638" s="203" t="s">
        <v>66</v>
      </c>
      <c r="C638" s="173" t="s">
        <v>66</v>
      </c>
      <c r="D638" s="173" t="s">
        <v>2576</v>
      </c>
      <c r="E638" s="196" t="s">
        <v>2576</v>
      </c>
      <c r="F638" s="185" t="s">
        <v>135</v>
      </c>
      <c r="G638" s="185" t="s">
        <v>768</v>
      </c>
      <c r="H638" s="237">
        <v>0.59</v>
      </c>
      <c r="I638" s="185" t="s">
        <v>136</v>
      </c>
      <c r="J638" s="185" t="s">
        <v>1762</v>
      </c>
      <c r="K638" s="185" t="s">
        <v>136</v>
      </c>
      <c r="L638" s="185" t="s">
        <v>2259</v>
      </c>
      <c r="M638" s="196" t="s">
        <v>749</v>
      </c>
      <c r="N638" s="185"/>
      <c r="O638" s="238"/>
      <c r="P638" s="239" t="s">
        <v>1781</v>
      </c>
      <c r="Q638" s="239" t="s">
        <v>732</v>
      </c>
      <c r="R638" s="240" t="s">
        <v>750</v>
      </c>
      <c r="S638" s="196" t="s">
        <v>750</v>
      </c>
      <c r="T638" s="196" t="s">
        <v>1765</v>
      </c>
    </row>
    <row r="639">
      <c r="A639" s="182" t="s">
        <v>2577</v>
      </c>
      <c r="B639" s="203" t="s">
        <v>66</v>
      </c>
      <c r="C639" s="173" t="s">
        <v>66</v>
      </c>
      <c r="D639" s="173" t="s">
        <v>2578</v>
      </c>
      <c r="E639" s="196" t="s">
        <v>2578</v>
      </c>
      <c r="F639" s="185" t="s">
        <v>135</v>
      </c>
      <c r="G639" s="185" t="s">
        <v>768</v>
      </c>
      <c r="H639" s="237">
        <v>0.6</v>
      </c>
      <c r="I639" s="185" t="s">
        <v>136</v>
      </c>
      <c r="J639" s="185" t="s">
        <v>1762</v>
      </c>
      <c r="K639" s="185" t="s">
        <v>136</v>
      </c>
      <c r="L639" s="185" t="s">
        <v>2259</v>
      </c>
      <c r="M639" s="196" t="s">
        <v>749</v>
      </c>
      <c r="N639" s="185"/>
      <c r="O639" s="238"/>
      <c r="P639" s="239" t="s">
        <v>1781</v>
      </c>
      <c r="Q639" s="239" t="s">
        <v>732</v>
      </c>
      <c r="R639" s="240" t="s">
        <v>750</v>
      </c>
      <c r="S639" s="196" t="s">
        <v>750</v>
      </c>
      <c r="T639" s="196" t="s">
        <v>1765</v>
      </c>
    </row>
    <row r="640">
      <c r="A640" s="182" t="s">
        <v>2579</v>
      </c>
      <c r="B640" s="203" t="s">
        <v>66</v>
      </c>
      <c r="C640" s="173" t="s">
        <v>66</v>
      </c>
      <c r="D640" s="173" t="s">
        <v>2580</v>
      </c>
      <c r="E640" s="196" t="s">
        <v>2580</v>
      </c>
      <c r="F640" s="185" t="s">
        <v>135</v>
      </c>
      <c r="G640" s="185" t="s">
        <v>768</v>
      </c>
      <c r="H640" s="237">
        <v>0.6</v>
      </c>
      <c r="I640" s="185" t="s">
        <v>136</v>
      </c>
      <c r="J640" s="185" t="s">
        <v>1762</v>
      </c>
      <c r="K640" s="185" t="s">
        <v>136</v>
      </c>
      <c r="L640" s="185" t="s">
        <v>2259</v>
      </c>
      <c r="M640" s="196" t="s">
        <v>749</v>
      </c>
      <c r="N640" s="185"/>
      <c r="O640" s="238"/>
      <c r="P640" s="239" t="s">
        <v>1781</v>
      </c>
      <c r="Q640" s="239" t="s">
        <v>732</v>
      </c>
      <c r="R640" s="240" t="s">
        <v>750</v>
      </c>
      <c r="S640" s="196" t="s">
        <v>750</v>
      </c>
      <c r="T640" s="196" t="s">
        <v>1765</v>
      </c>
    </row>
    <row r="641">
      <c r="A641" s="182" t="s">
        <v>2581</v>
      </c>
      <c r="B641" s="203" t="s">
        <v>66</v>
      </c>
      <c r="C641" s="173" t="s">
        <v>66</v>
      </c>
      <c r="D641" s="173" t="s">
        <v>2582</v>
      </c>
      <c r="E641" s="196" t="s">
        <v>2582</v>
      </c>
      <c r="F641" s="185" t="s">
        <v>135</v>
      </c>
      <c r="G641" s="185" t="s">
        <v>768</v>
      </c>
      <c r="H641" s="237">
        <v>0.61</v>
      </c>
      <c r="I641" s="185" t="s">
        <v>136</v>
      </c>
      <c r="J641" s="185" t="s">
        <v>1762</v>
      </c>
      <c r="K641" s="185" t="s">
        <v>136</v>
      </c>
      <c r="L641" s="185" t="s">
        <v>2259</v>
      </c>
      <c r="M641" s="196" t="s">
        <v>749</v>
      </c>
      <c r="N641" s="185"/>
      <c r="O641" s="238"/>
      <c r="P641" s="239" t="s">
        <v>1781</v>
      </c>
      <c r="Q641" s="239" t="s">
        <v>732</v>
      </c>
      <c r="R641" s="240" t="s">
        <v>750</v>
      </c>
      <c r="S641" s="196" t="s">
        <v>750</v>
      </c>
      <c r="T641" s="196" t="s">
        <v>1765</v>
      </c>
    </row>
    <row r="642">
      <c r="A642" s="182" t="s">
        <v>2583</v>
      </c>
      <c r="B642" s="203" t="s">
        <v>66</v>
      </c>
      <c r="C642" s="173" t="s">
        <v>66</v>
      </c>
      <c r="D642" s="173" t="s">
        <v>2584</v>
      </c>
      <c r="E642" s="196" t="s">
        <v>2584</v>
      </c>
      <c r="F642" s="185" t="s">
        <v>135</v>
      </c>
      <c r="G642" s="185" t="s">
        <v>768</v>
      </c>
      <c r="H642" s="237">
        <v>0.62</v>
      </c>
      <c r="I642" s="185" t="s">
        <v>136</v>
      </c>
      <c r="J642" s="185" t="s">
        <v>1762</v>
      </c>
      <c r="K642" s="185" t="s">
        <v>136</v>
      </c>
      <c r="L642" s="185" t="s">
        <v>2259</v>
      </c>
      <c r="M642" s="196" t="s">
        <v>749</v>
      </c>
      <c r="N642" s="185"/>
      <c r="O642" s="238"/>
      <c r="P642" s="239" t="s">
        <v>1781</v>
      </c>
      <c r="Q642" s="239" t="s">
        <v>732</v>
      </c>
      <c r="R642" s="240" t="s">
        <v>750</v>
      </c>
      <c r="S642" s="196" t="s">
        <v>750</v>
      </c>
      <c r="T642" s="196" t="s">
        <v>1765</v>
      </c>
    </row>
    <row r="643">
      <c r="A643" s="182" t="s">
        <v>2585</v>
      </c>
      <c r="B643" s="203" t="s">
        <v>66</v>
      </c>
      <c r="C643" s="173" t="s">
        <v>66</v>
      </c>
      <c r="D643" s="173" t="s">
        <v>2586</v>
      </c>
      <c r="E643" s="196" t="s">
        <v>2586</v>
      </c>
      <c r="F643" s="185" t="s">
        <v>135</v>
      </c>
      <c r="G643" s="185" t="s">
        <v>768</v>
      </c>
      <c r="H643" s="237">
        <v>0.63</v>
      </c>
      <c r="I643" s="185" t="s">
        <v>136</v>
      </c>
      <c r="J643" s="185" t="s">
        <v>1762</v>
      </c>
      <c r="K643" s="185" t="s">
        <v>136</v>
      </c>
      <c r="L643" s="185" t="s">
        <v>2259</v>
      </c>
      <c r="M643" s="196" t="s">
        <v>749</v>
      </c>
      <c r="N643" s="185"/>
      <c r="O643" s="238"/>
      <c r="P643" s="239" t="s">
        <v>1781</v>
      </c>
      <c r="Q643" s="239" t="s">
        <v>732</v>
      </c>
      <c r="R643" s="240" t="s">
        <v>750</v>
      </c>
      <c r="S643" s="196" t="s">
        <v>750</v>
      </c>
      <c r="T643" s="196" t="s">
        <v>1765</v>
      </c>
    </row>
    <row r="644">
      <c r="A644" s="182" t="s">
        <v>2587</v>
      </c>
      <c r="B644" s="203" t="s">
        <v>66</v>
      </c>
      <c r="C644" s="173" t="s">
        <v>66</v>
      </c>
      <c r="D644" s="173" t="s">
        <v>2588</v>
      </c>
      <c r="E644" s="196" t="s">
        <v>2588</v>
      </c>
      <c r="F644" s="185" t="s">
        <v>135</v>
      </c>
      <c r="G644" s="185" t="s">
        <v>768</v>
      </c>
      <c r="H644" s="237">
        <v>0.65</v>
      </c>
      <c r="I644" s="185" t="s">
        <v>136</v>
      </c>
      <c r="J644" s="185" t="s">
        <v>1762</v>
      </c>
      <c r="K644" s="185" t="s">
        <v>136</v>
      </c>
      <c r="L644" s="185" t="s">
        <v>2259</v>
      </c>
      <c r="M644" s="196" t="s">
        <v>749</v>
      </c>
      <c r="N644" s="185"/>
      <c r="O644" s="238"/>
      <c r="P644" s="239" t="s">
        <v>1781</v>
      </c>
      <c r="Q644" s="239" t="s">
        <v>732</v>
      </c>
      <c r="R644" s="240" t="s">
        <v>750</v>
      </c>
      <c r="S644" s="196" t="s">
        <v>750</v>
      </c>
      <c r="T644" s="196" t="s">
        <v>1765</v>
      </c>
    </row>
    <row r="645">
      <c r="A645" s="182" t="s">
        <v>2589</v>
      </c>
      <c r="B645" s="203" t="s">
        <v>66</v>
      </c>
      <c r="C645" s="173" t="s">
        <v>66</v>
      </c>
      <c r="D645" s="173" t="s">
        <v>2590</v>
      </c>
      <c r="E645" s="196" t="s">
        <v>2590</v>
      </c>
      <c r="F645" s="185" t="s">
        <v>135</v>
      </c>
      <c r="G645" s="185" t="s">
        <v>768</v>
      </c>
      <c r="H645" s="237">
        <v>0.61</v>
      </c>
      <c r="I645" s="185" t="s">
        <v>136</v>
      </c>
      <c r="J645" s="185" t="s">
        <v>1762</v>
      </c>
      <c r="K645" s="185" t="s">
        <v>136</v>
      </c>
      <c r="L645" s="185" t="s">
        <v>2259</v>
      </c>
      <c r="M645" s="196" t="s">
        <v>749</v>
      </c>
      <c r="N645" s="185"/>
      <c r="O645" s="238"/>
      <c r="P645" s="239" t="s">
        <v>1781</v>
      </c>
      <c r="Q645" s="239" t="s">
        <v>732</v>
      </c>
      <c r="R645" s="240" t="s">
        <v>750</v>
      </c>
      <c r="S645" s="196" t="s">
        <v>750</v>
      </c>
      <c r="T645" s="196" t="s">
        <v>1765</v>
      </c>
    </row>
    <row r="646">
      <c r="A646" s="182" t="s">
        <v>2591</v>
      </c>
      <c r="B646" s="203" t="s">
        <v>66</v>
      </c>
      <c r="C646" s="173" t="s">
        <v>66</v>
      </c>
      <c r="D646" s="173" t="s">
        <v>2592</v>
      </c>
      <c r="E646" s="196" t="s">
        <v>2592</v>
      </c>
      <c r="F646" s="185" t="s">
        <v>135</v>
      </c>
      <c r="G646" s="185" t="s">
        <v>768</v>
      </c>
      <c r="H646" s="237">
        <v>0.65</v>
      </c>
      <c r="I646" s="185" t="s">
        <v>136</v>
      </c>
      <c r="J646" s="185" t="s">
        <v>1762</v>
      </c>
      <c r="K646" s="185" t="s">
        <v>136</v>
      </c>
      <c r="L646" s="185" t="s">
        <v>2259</v>
      </c>
      <c r="M646" s="196" t="s">
        <v>749</v>
      </c>
      <c r="N646" s="185"/>
      <c r="O646" s="238"/>
      <c r="P646" s="239" t="s">
        <v>1781</v>
      </c>
      <c r="Q646" s="239" t="s">
        <v>732</v>
      </c>
      <c r="R646" s="240" t="s">
        <v>750</v>
      </c>
      <c r="S646" s="196" t="s">
        <v>750</v>
      </c>
      <c r="T646" s="196" t="s">
        <v>1765</v>
      </c>
    </row>
    <row r="647">
      <c r="A647" s="182" t="s">
        <v>2593</v>
      </c>
      <c r="B647" s="203" t="s">
        <v>66</v>
      </c>
      <c r="C647" s="173" t="s">
        <v>66</v>
      </c>
      <c r="D647" s="173" t="s">
        <v>2594</v>
      </c>
      <c r="E647" s="196" t="s">
        <v>2595</v>
      </c>
      <c r="F647" s="185" t="s">
        <v>83</v>
      </c>
      <c r="G647" s="185" t="s">
        <v>1761</v>
      </c>
      <c r="H647" s="237" t="s">
        <v>936</v>
      </c>
      <c r="I647" s="185" t="s">
        <v>1762</v>
      </c>
      <c r="J647" s="185" t="s">
        <v>1762</v>
      </c>
      <c r="K647" s="185" t="s">
        <v>1762</v>
      </c>
      <c r="L647" s="185" t="s">
        <v>2259</v>
      </c>
      <c r="M647" s="196" t="s">
        <v>749</v>
      </c>
      <c r="N647" s="185"/>
      <c r="O647" s="238"/>
      <c r="P647" s="239" t="s">
        <v>1763</v>
      </c>
      <c r="Q647" s="239" t="s">
        <v>1764</v>
      </c>
      <c r="R647" s="240" t="s">
        <v>782</v>
      </c>
      <c r="S647" s="196" t="s">
        <v>782</v>
      </c>
      <c r="T647" s="196" t="s">
        <v>1765</v>
      </c>
    </row>
    <row r="648">
      <c r="A648" s="182" t="s">
        <v>2596</v>
      </c>
      <c r="B648" s="203" t="s">
        <v>66</v>
      </c>
      <c r="C648" s="173" t="s">
        <v>66</v>
      </c>
      <c r="D648" s="173" t="s">
        <v>2597</v>
      </c>
      <c r="E648" s="196" t="s">
        <v>2598</v>
      </c>
      <c r="F648" s="185" t="s">
        <v>185</v>
      </c>
      <c r="G648" s="185" t="s">
        <v>1761</v>
      </c>
      <c r="H648" s="237" t="s">
        <v>2599</v>
      </c>
      <c r="I648" s="185" t="s">
        <v>1762</v>
      </c>
      <c r="J648" s="185" t="s">
        <v>1762</v>
      </c>
      <c r="K648" s="185" t="s">
        <v>1762</v>
      </c>
      <c r="L648" s="185" t="s">
        <v>2259</v>
      </c>
      <c r="M648" s="196" t="s">
        <v>749</v>
      </c>
      <c r="N648" s="185"/>
      <c r="O648" s="238"/>
      <c r="P648" s="239" t="s">
        <v>1763</v>
      </c>
      <c r="Q648" s="239" t="s">
        <v>1764</v>
      </c>
      <c r="R648" s="240" t="s">
        <v>782</v>
      </c>
      <c r="S648" s="196" t="s">
        <v>782</v>
      </c>
      <c r="T648" s="196" t="s">
        <v>1765</v>
      </c>
    </row>
    <row r="649">
      <c r="A649" s="182" t="s">
        <v>2600</v>
      </c>
      <c r="B649" s="203" t="s">
        <v>66</v>
      </c>
      <c r="C649" s="173" t="s">
        <v>66</v>
      </c>
      <c r="D649" s="173" t="s">
        <v>2601</v>
      </c>
      <c r="E649" s="196" t="s">
        <v>2602</v>
      </c>
      <c r="F649" s="185" t="s">
        <v>185</v>
      </c>
      <c r="G649" s="185" t="s">
        <v>1500</v>
      </c>
      <c r="H649" s="237" t="b">
        <v>1</v>
      </c>
      <c r="I649" s="185" t="s">
        <v>1762</v>
      </c>
      <c r="J649" s="185" t="s">
        <v>1762</v>
      </c>
      <c r="K649" s="185" t="s">
        <v>1762</v>
      </c>
      <c r="L649" s="185" t="s">
        <v>2259</v>
      </c>
      <c r="M649" s="196" t="s">
        <v>749</v>
      </c>
      <c r="N649" s="185"/>
      <c r="O649" s="238"/>
      <c r="P649" s="239" t="s">
        <v>1763</v>
      </c>
      <c r="Q649" s="239" t="s">
        <v>1764</v>
      </c>
      <c r="R649" s="240" t="s">
        <v>782</v>
      </c>
      <c r="S649" s="196" t="s">
        <v>782</v>
      </c>
      <c r="T649" s="196" t="s">
        <v>1765</v>
      </c>
    </row>
    <row r="650">
      <c r="A650" s="182" t="s">
        <v>2603</v>
      </c>
      <c r="B650" s="203" t="s">
        <v>66</v>
      </c>
      <c r="C650" s="173" t="s">
        <v>66</v>
      </c>
      <c r="D650" s="173" t="s">
        <v>2604</v>
      </c>
      <c r="E650" s="196" t="s">
        <v>2605</v>
      </c>
      <c r="F650" s="185" t="s">
        <v>185</v>
      </c>
      <c r="G650" s="185" t="s">
        <v>1761</v>
      </c>
      <c r="H650" s="237" t="s">
        <v>2606</v>
      </c>
      <c r="I650" s="185" t="s">
        <v>1762</v>
      </c>
      <c r="J650" s="185" t="s">
        <v>1762</v>
      </c>
      <c r="K650" s="185" t="s">
        <v>1762</v>
      </c>
      <c r="L650" s="185" t="s">
        <v>2259</v>
      </c>
      <c r="M650" s="196" t="s">
        <v>749</v>
      </c>
      <c r="N650" s="185"/>
      <c r="O650" s="238"/>
      <c r="P650" s="239" t="s">
        <v>1763</v>
      </c>
      <c r="Q650" s="239" t="s">
        <v>1764</v>
      </c>
      <c r="R650" s="240" t="s">
        <v>782</v>
      </c>
      <c r="S650" s="196" t="s">
        <v>782</v>
      </c>
      <c r="T650" s="196" t="s">
        <v>1765</v>
      </c>
    </row>
    <row r="651">
      <c r="A651" s="182" t="s">
        <v>2607</v>
      </c>
      <c r="B651" s="203" t="s">
        <v>66</v>
      </c>
      <c r="C651" s="173" t="s">
        <v>66</v>
      </c>
      <c r="D651" s="173" t="s">
        <v>2608</v>
      </c>
      <c r="E651" s="196" t="s">
        <v>2609</v>
      </c>
      <c r="F651" s="185" t="s">
        <v>83</v>
      </c>
      <c r="G651" s="185" t="s">
        <v>1761</v>
      </c>
      <c r="H651" s="237" t="s">
        <v>936</v>
      </c>
      <c r="I651" s="185" t="s">
        <v>1762</v>
      </c>
      <c r="J651" s="185" t="s">
        <v>1762</v>
      </c>
      <c r="K651" s="185" t="s">
        <v>1762</v>
      </c>
      <c r="L651" s="185" t="s">
        <v>2259</v>
      </c>
      <c r="M651" s="196" t="s">
        <v>749</v>
      </c>
      <c r="N651" s="185"/>
      <c r="O651" s="238"/>
      <c r="P651" s="239" t="s">
        <v>1781</v>
      </c>
      <c r="Q651" s="239" t="s">
        <v>1764</v>
      </c>
      <c r="R651" s="240" t="s">
        <v>782</v>
      </c>
      <c r="S651" s="196" t="s">
        <v>782</v>
      </c>
      <c r="T651" s="196" t="s">
        <v>1765</v>
      </c>
    </row>
    <row r="652">
      <c r="A652" s="182" t="s">
        <v>2610</v>
      </c>
      <c r="B652" s="203" t="s">
        <v>66</v>
      </c>
      <c r="C652" s="173" t="s">
        <v>66</v>
      </c>
      <c r="D652" s="173" t="s">
        <v>2611</v>
      </c>
      <c r="E652" s="196" t="s">
        <v>2612</v>
      </c>
      <c r="F652" s="185" t="s">
        <v>185</v>
      </c>
      <c r="G652" s="185" t="s">
        <v>1761</v>
      </c>
      <c r="H652" s="237" t="s">
        <v>2599</v>
      </c>
      <c r="I652" s="185" t="s">
        <v>1762</v>
      </c>
      <c r="J652" s="185" t="s">
        <v>1762</v>
      </c>
      <c r="K652" s="185" t="s">
        <v>1762</v>
      </c>
      <c r="L652" s="185" t="s">
        <v>2259</v>
      </c>
      <c r="M652" s="196" t="s">
        <v>749</v>
      </c>
      <c r="N652" s="185"/>
      <c r="O652" s="238"/>
      <c r="P652" s="239" t="s">
        <v>1781</v>
      </c>
      <c r="Q652" s="239" t="s">
        <v>1764</v>
      </c>
      <c r="R652" s="240" t="s">
        <v>782</v>
      </c>
      <c r="S652" s="196" t="s">
        <v>782</v>
      </c>
      <c r="T652" s="196" t="s">
        <v>1765</v>
      </c>
    </row>
    <row r="653">
      <c r="A653" s="182" t="s">
        <v>2613</v>
      </c>
      <c r="B653" s="203" t="s">
        <v>66</v>
      </c>
      <c r="C653" s="173" t="s">
        <v>66</v>
      </c>
      <c r="D653" s="173" t="s">
        <v>2614</v>
      </c>
      <c r="E653" s="196" t="s">
        <v>2615</v>
      </c>
      <c r="F653" s="185" t="s">
        <v>185</v>
      </c>
      <c r="G653" s="185" t="s">
        <v>1500</v>
      </c>
      <c r="H653" s="237" t="b">
        <v>1</v>
      </c>
      <c r="I653" s="185" t="s">
        <v>1762</v>
      </c>
      <c r="J653" s="185" t="s">
        <v>1762</v>
      </c>
      <c r="K653" s="185" t="s">
        <v>1762</v>
      </c>
      <c r="L653" s="185" t="s">
        <v>2259</v>
      </c>
      <c r="M653" s="196" t="s">
        <v>749</v>
      </c>
      <c r="N653" s="185"/>
      <c r="O653" s="238"/>
      <c r="P653" s="239" t="s">
        <v>1781</v>
      </c>
      <c r="Q653" s="239" t="s">
        <v>1764</v>
      </c>
      <c r="R653" s="240" t="s">
        <v>782</v>
      </c>
      <c r="S653" s="196" t="s">
        <v>782</v>
      </c>
      <c r="T653" s="196" t="s">
        <v>1765</v>
      </c>
    </row>
    <row r="654">
      <c r="A654" s="182" t="s">
        <v>2616</v>
      </c>
      <c r="B654" s="203" t="s">
        <v>66</v>
      </c>
      <c r="C654" s="173" t="s">
        <v>66</v>
      </c>
      <c r="D654" s="173" t="s">
        <v>2617</v>
      </c>
      <c r="E654" s="196" t="s">
        <v>2618</v>
      </c>
      <c r="F654" s="185" t="s">
        <v>83</v>
      </c>
      <c r="G654" s="185" t="s">
        <v>1761</v>
      </c>
      <c r="H654" s="237" t="s">
        <v>936</v>
      </c>
      <c r="I654" s="185" t="s">
        <v>1762</v>
      </c>
      <c r="J654" s="185" t="s">
        <v>1762</v>
      </c>
      <c r="K654" s="185" t="s">
        <v>1762</v>
      </c>
      <c r="L654" s="185" t="s">
        <v>2259</v>
      </c>
      <c r="M654" s="196" t="s">
        <v>749</v>
      </c>
      <c r="N654" s="185"/>
      <c r="O654" s="238"/>
      <c r="P654" s="239" t="s">
        <v>1763</v>
      </c>
      <c r="Q654" s="239" t="s">
        <v>1764</v>
      </c>
      <c r="R654" s="240" t="s">
        <v>782</v>
      </c>
      <c r="S654" s="196" t="s">
        <v>782</v>
      </c>
      <c r="T654" s="196" t="s">
        <v>1765</v>
      </c>
    </row>
    <row r="655">
      <c r="A655" s="182" t="s">
        <v>2619</v>
      </c>
      <c r="B655" s="203" t="s">
        <v>66</v>
      </c>
      <c r="C655" s="173" t="s">
        <v>66</v>
      </c>
      <c r="D655" s="173" t="s">
        <v>2620</v>
      </c>
      <c r="E655" s="196" t="s">
        <v>2621</v>
      </c>
      <c r="F655" s="185" t="s">
        <v>185</v>
      </c>
      <c r="G655" s="185" t="s">
        <v>1761</v>
      </c>
      <c r="H655" s="237" t="s">
        <v>2599</v>
      </c>
      <c r="I655" s="185" t="s">
        <v>1762</v>
      </c>
      <c r="J655" s="185" t="s">
        <v>1762</v>
      </c>
      <c r="K655" s="185" t="s">
        <v>1762</v>
      </c>
      <c r="L655" s="185" t="s">
        <v>2259</v>
      </c>
      <c r="M655" s="196" t="s">
        <v>749</v>
      </c>
      <c r="N655" s="185"/>
      <c r="O655" s="238"/>
      <c r="P655" s="239" t="s">
        <v>1763</v>
      </c>
      <c r="Q655" s="239" t="s">
        <v>1764</v>
      </c>
      <c r="R655" s="240" t="s">
        <v>782</v>
      </c>
      <c r="S655" s="196" t="s">
        <v>782</v>
      </c>
      <c r="T655" s="196" t="s">
        <v>1765</v>
      </c>
    </row>
    <row r="656">
      <c r="A656" s="182" t="s">
        <v>2622</v>
      </c>
      <c r="B656" s="203" t="s">
        <v>66</v>
      </c>
      <c r="C656" s="173" t="s">
        <v>66</v>
      </c>
      <c r="D656" s="173" t="s">
        <v>2623</v>
      </c>
      <c r="E656" s="196" t="s">
        <v>2624</v>
      </c>
      <c r="F656" s="185" t="s">
        <v>185</v>
      </c>
      <c r="G656" s="185" t="s">
        <v>1500</v>
      </c>
      <c r="H656" s="237" t="b">
        <v>1</v>
      </c>
      <c r="I656" s="185" t="s">
        <v>1762</v>
      </c>
      <c r="J656" s="185" t="s">
        <v>1762</v>
      </c>
      <c r="K656" s="185" t="s">
        <v>1762</v>
      </c>
      <c r="L656" s="185" t="s">
        <v>2259</v>
      </c>
      <c r="M656" s="196" t="s">
        <v>749</v>
      </c>
      <c r="N656" s="185"/>
      <c r="O656" s="238"/>
      <c r="P656" s="239" t="s">
        <v>1763</v>
      </c>
      <c r="Q656" s="239" t="s">
        <v>1764</v>
      </c>
      <c r="R656" s="240" t="s">
        <v>782</v>
      </c>
      <c r="S656" s="196" t="s">
        <v>782</v>
      </c>
      <c r="T656" s="196" t="s">
        <v>1765</v>
      </c>
    </row>
    <row r="657">
      <c r="A657" s="182" t="s">
        <v>2625</v>
      </c>
      <c r="B657" s="203" t="s">
        <v>66</v>
      </c>
      <c r="C657" s="173" t="s">
        <v>66</v>
      </c>
      <c r="D657" s="173" t="s">
        <v>2626</v>
      </c>
      <c r="E657" s="196" t="s">
        <v>2627</v>
      </c>
      <c r="F657" s="185" t="s">
        <v>185</v>
      </c>
      <c r="G657" s="185" t="s">
        <v>1761</v>
      </c>
      <c r="H657" s="237" t="s">
        <v>2628</v>
      </c>
      <c r="I657" s="185" t="s">
        <v>1762</v>
      </c>
      <c r="J657" s="185" t="s">
        <v>1762</v>
      </c>
      <c r="K657" s="185" t="s">
        <v>1762</v>
      </c>
      <c r="L657" s="185" t="s">
        <v>2259</v>
      </c>
      <c r="M657" s="196" t="s">
        <v>749</v>
      </c>
      <c r="N657" s="185"/>
      <c r="O657" s="238"/>
      <c r="P657" s="239" t="s">
        <v>1763</v>
      </c>
      <c r="Q657" s="239" t="s">
        <v>1764</v>
      </c>
      <c r="R657" s="240" t="s">
        <v>782</v>
      </c>
      <c r="S657" s="196" t="s">
        <v>782</v>
      </c>
      <c r="T657" s="196" t="s">
        <v>1765</v>
      </c>
    </row>
    <row r="658">
      <c r="A658" s="182" t="s">
        <v>2629</v>
      </c>
      <c r="B658" s="203" t="s">
        <v>66</v>
      </c>
      <c r="C658" s="173" t="s">
        <v>66</v>
      </c>
      <c r="D658" s="173" t="s">
        <v>2630</v>
      </c>
      <c r="E658" s="196" t="s">
        <v>2631</v>
      </c>
      <c r="F658" s="185" t="s">
        <v>83</v>
      </c>
      <c r="G658" s="185" t="s">
        <v>1761</v>
      </c>
      <c r="H658" s="237" t="s">
        <v>936</v>
      </c>
      <c r="I658" s="185" t="s">
        <v>1762</v>
      </c>
      <c r="J658" s="185" t="s">
        <v>1762</v>
      </c>
      <c r="K658" s="185" t="s">
        <v>1762</v>
      </c>
      <c r="L658" s="185" t="s">
        <v>2259</v>
      </c>
      <c r="M658" s="196" t="s">
        <v>749</v>
      </c>
      <c r="N658" s="185"/>
      <c r="O658" s="238"/>
      <c r="P658" s="239" t="s">
        <v>1763</v>
      </c>
      <c r="Q658" s="239" t="s">
        <v>1764</v>
      </c>
      <c r="R658" s="240" t="s">
        <v>782</v>
      </c>
      <c r="S658" s="196" t="s">
        <v>782</v>
      </c>
      <c r="T658" s="196" t="s">
        <v>1765</v>
      </c>
    </row>
    <row r="659">
      <c r="A659" s="182" t="s">
        <v>2632</v>
      </c>
      <c r="B659" s="203" t="s">
        <v>66</v>
      </c>
      <c r="C659" s="173" t="s">
        <v>66</v>
      </c>
      <c r="D659" s="173" t="s">
        <v>2633</v>
      </c>
      <c r="E659" s="196" t="s">
        <v>2634</v>
      </c>
      <c r="F659" s="185" t="s">
        <v>185</v>
      </c>
      <c r="G659" s="185" t="s">
        <v>1761</v>
      </c>
      <c r="H659" s="237" t="s">
        <v>2599</v>
      </c>
      <c r="I659" s="185" t="s">
        <v>1762</v>
      </c>
      <c r="J659" s="185" t="s">
        <v>1762</v>
      </c>
      <c r="K659" s="185" t="s">
        <v>1762</v>
      </c>
      <c r="L659" s="185" t="s">
        <v>2259</v>
      </c>
      <c r="M659" s="196" t="s">
        <v>749</v>
      </c>
      <c r="N659" s="185"/>
      <c r="O659" s="238"/>
      <c r="P659" s="239" t="s">
        <v>1763</v>
      </c>
      <c r="Q659" s="239" t="s">
        <v>1764</v>
      </c>
      <c r="R659" s="240" t="s">
        <v>782</v>
      </c>
      <c r="S659" s="196" t="s">
        <v>782</v>
      </c>
      <c r="T659" s="196" t="s">
        <v>1765</v>
      </c>
    </row>
    <row r="660">
      <c r="A660" s="182" t="s">
        <v>2635</v>
      </c>
      <c r="B660" s="203" t="s">
        <v>66</v>
      </c>
      <c r="C660" s="173" t="s">
        <v>66</v>
      </c>
      <c r="D660" s="173" t="s">
        <v>2636</v>
      </c>
      <c r="E660" s="196" t="s">
        <v>2637</v>
      </c>
      <c r="F660" s="185" t="s">
        <v>185</v>
      </c>
      <c r="G660" s="185" t="s">
        <v>1500</v>
      </c>
      <c r="H660" s="237" t="b">
        <v>1</v>
      </c>
      <c r="I660" s="185" t="s">
        <v>1762</v>
      </c>
      <c r="J660" s="185" t="s">
        <v>1762</v>
      </c>
      <c r="K660" s="185" t="s">
        <v>1762</v>
      </c>
      <c r="L660" s="185" t="s">
        <v>2259</v>
      </c>
      <c r="M660" s="196" t="s">
        <v>749</v>
      </c>
      <c r="N660" s="185"/>
      <c r="O660" s="238"/>
      <c r="P660" s="239" t="s">
        <v>1763</v>
      </c>
      <c r="Q660" s="239" t="s">
        <v>1764</v>
      </c>
      <c r="R660" s="240" t="s">
        <v>782</v>
      </c>
      <c r="S660" s="196" t="s">
        <v>782</v>
      </c>
      <c r="T660" s="196" t="s">
        <v>1765</v>
      </c>
    </row>
    <row r="661">
      <c r="A661" s="182" t="s">
        <v>2638</v>
      </c>
      <c r="B661" s="203" t="s">
        <v>66</v>
      </c>
      <c r="C661" s="173" t="s">
        <v>66</v>
      </c>
      <c r="D661" s="173" t="s">
        <v>2639</v>
      </c>
      <c r="E661" s="196" t="s">
        <v>2640</v>
      </c>
      <c r="F661" s="185" t="s">
        <v>185</v>
      </c>
      <c r="G661" s="185" t="s">
        <v>1761</v>
      </c>
      <c r="H661" s="237" t="s">
        <v>2641</v>
      </c>
      <c r="I661" s="185" t="s">
        <v>1762</v>
      </c>
      <c r="J661" s="185" t="s">
        <v>1762</v>
      </c>
      <c r="K661" s="185" t="s">
        <v>1762</v>
      </c>
      <c r="L661" s="185" t="s">
        <v>2259</v>
      </c>
      <c r="M661" s="196" t="s">
        <v>749</v>
      </c>
      <c r="N661" s="185"/>
      <c r="O661" s="238"/>
      <c r="P661" s="239" t="s">
        <v>1763</v>
      </c>
      <c r="Q661" s="239" t="s">
        <v>1764</v>
      </c>
      <c r="R661" s="240" t="s">
        <v>782</v>
      </c>
      <c r="S661" s="196" t="s">
        <v>782</v>
      </c>
      <c r="T661" s="196" t="s">
        <v>1765</v>
      </c>
    </row>
    <row r="662">
      <c r="A662" s="182" t="s">
        <v>2642</v>
      </c>
      <c r="B662" s="203" t="s">
        <v>66</v>
      </c>
      <c r="C662" s="173" t="s">
        <v>66</v>
      </c>
      <c r="D662" s="173" t="s">
        <v>2643</v>
      </c>
      <c r="E662" s="196" t="s">
        <v>2644</v>
      </c>
      <c r="F662" s="185" t="s">
        <v>83</v>
      </c>
      <c r="G662" s="185" t="s">
        <v>1761</v>
      </c>
      <c r="H662" s="237" t="s">
        <v>936</v>
      </c>
      <c r="I662" s="185" t="s">
        <v>1762</v>
      </c>
      <c r="J662" s="185" t="s">
        <v>1762</v>
      </c>
      <c r="K662" s="185" t="s">
        <v>1762</v>
      </c>
      <c r="L662" s="185" t="s">
        <v>2259</v>
      </c>
      <c r="M662" s="196" t="s">
        <v>749</v>
      </c>
      <c r="N662" s="185"/>
      <c r="O662" s="238"/>
      <c r="P662" s="239" t="s">
        <v>1781</v>
      </c>
      <c r="Q662" s="239" t="s">
        <v>1764</v>
      </c>
      <c r="R662" s="240" t="s">
        <v>782</v>
      </c>
      <c r="S662" s="196" t="s">
        <v>782</v>
      </c>
      <c r="T662" s="196" t="s">
        <v>1765</v>
      </c>
    </row>
    <row r="663">
      <c r="A663" s="182" t="s">
        <v>2645</v>
      </c>
      <c r="B663" s="203" t="s">
        <v>66</v>
      </c>
      <c r="C663" s="173" t="s">
        <v>66</v>
      </c>
      <c r="D663" s="173" t="s">
        <v>2646</v>
      </c>
      <c r="E663" s="196" t="s">
        <v>2647</v>
      </c>
      <c r="F663" s="185" t="s">
        <v>185</v>
      </c>
      <c r="G663" s="185" t="s">
        <v>1761</v>
      </c>
      <c r="H663" s="237" t="s">
        <v>2599</v>
      </c>
      <c r="I663" s="185" t="s">
        <v>1762</v>
      </c>
      <c r="J663" s="185" t="s">
        <v>1762</v>
      </c>
      <c r="K663" s="185" t="s">
        <v>1762</v>
      </c>
      <c r="L663" s="185" t="s">
        <v>2259</v>
      </c>
      <c r="M663" s="196" t="s">
        <v>749</v>
      </c>
      <c r="N663" s="185"/>
      <c r="O663" s="238"/>
      <c r="P663" s="239" t="s">
        <v>1781</v>
      </c>
      <c r="Q663" s="239" t="s">
        <v>1764</v>
      </c>
      <c r="R663" s="240" t="s">
        <v>782</v>
      </c>
      <c r="S663" s="196" t="s">
        <v>782</v>
      </c>
      <c r="T663" s="196" t="s">
        <v>1765</v>
      </c>
    </row>
    <row r="664">
      <c r="A664" s="182" t="s">
        <v>275</v>
      </c>
      <c r="B664" s="203" t="s">
        <v>66</v>
      </c>
      <c r="C664" s="173" t="s">
        <v>66</v>
      </c>
      <c r="D664" s="173" t="s">
        <v>2648</v>
      </c>
      <c r="E664" s="196" t="s">
        <v>2649</v>
      </c>
      <c r="F664" s="185" t="s">
        <v>185</v>
      </c>
      <c r="G664" s="185" t="s">
        <v>1500</v>
      </c>
      <c r="H664" s="237" t="b">
        <v>1</v>
      </c>
      <c r="I664" s="185" t="s">
        <v>1762</v>
      </c>
      <c r="J664" s="185" t="s">
        <v>1762</v>
      </c>
      <c r="K664" s="185" t="s">
        <v>1762</v>
      </c>
      <c r="L664" s="185" t="s">
        <v>2259</v>
      </c>
      <c r="M664" s="196" t="s">
        <v>749</v>
      </c>
      <c r="N664" s="185"/>
      <c r="O664" s="238"/>
      <c r="P664" s="239" t="s">
        <v>1781</v>
      </c>
      <c r="Q664" s="239" t="s">
        <v>1764</v>
      </c>
      <c r="R664" s="240" t="s">
        <v>782</v>
      </c>
      <c r="S664" s="196" t="s">
        <v>782</v>
      </c>
      <c r="T664" s="196" t="s">
        <v>1765</v>
      </c>
    </row>
    <row r="665">
      <c r="A665" s="182" t="s">
        <v>2650</v>
      </c>
      <c r="B665" s="203" t="s">
        <v>66</v>
      </c>
      <c r="C665" s="173" t="s">
        <v>66</v>
      </c>
      <c r="D665" s="173" t="s">
        <v>2651</v>
      </c>
      <c r="E665" s="196" t="s">
        <v>2652</v>
      </c>
      <c r="F665" s="185" t="s">
        <v>185</v>
      </c>
      <c r="G665" s="185" t="s">
        <v>1761</v>
      </c>
      <c r="H665" s="237" t="s">
        <v>2653</v>
      </c>
      <c r="I665" s="185" t="s">
        <v>1762</v>
      </c>
      <c r="J665" s="185" t="s">
        <v>1762</v>
      </c>
      <c r="K665" s="185" t="s">
        <v>1762</v>
      </c>
      <c r="L665" s="185" t="s">
        <v>2259</v>
      </c>
      <c r="M665" s="196" t="s">
        <v>749</v>
      </c>
      <c r="N665" s="185"/>
      <c r="O665" s="238"/>
      <c r="P665" s="239" t="s">
        <v>1781</v>
      </c>
      <c r="Q665" s="239" t="s">
        <v>1764</v>
      </c>
      <c r="R665" s="240" t="s">
        <v>782</v>
      </c>
      <c r="S665" s="196" t="s">
        <v>782</v>
      </c>
      <c r="T665" s="196" t="s">
        <v>1765</v>
      </c>
    </row>
    <row r="666">
      <c r="A666" s="182" t="s">
        <v>2654</v>
      </c>
      <c r="B666" s="203" t="s">
        <v>66</v>
      </c>
      <c r="C666" s="173" t="s">
        <v>66</v>
      </c>
      <c r="D666" s="173" t="s">
        <v>2655</v>
      </c>
      <c r="E666" s="196" t="s">
        <v>2656</v>
      </c>
      <c r="F666" s="185" t="s">
        <v>83</v>
      </c>
      <c r="G666" s="185" t="s">
        <v>1761</v>
      </c>
      <c r="H666" s="237" t="s">
        <v>936</v>
      </c>
      <c r="I666" s="185" t="s">
        <v>1762</v>
      </c>
      <c r="J666" s="185" t="s">
        <v>1762</v>
      </c>
      <c r="K666" s="185" t="s">
        <v>1762</v>
      </c>
      <c r="L666" s="185" t="s">
        <v>2259</v>
      </c>
      <c r="M666" s="196" t="s">
        <v>749</v>
      </c>
      <c r="N666" s="185"/>
      <c r="O666" s="238"/>
      <c r="P666" s="239" t="s">
        <v>1763</v>
      </c>
      <c r="Q666" s="239" t="s">
        <v>1764</v>
      </c>
      <c r="R666" s="240" t="s">
        <v>782</v>
      </c>
      <c r="S666" s="196" t="s">
        <v>782</v>
      </c>
      <c r="T666" s="196" t="s">
        <v>1765</v>
      </c>
    </row>
    <row r="667">
      <c r="A667" s="182" t="s">
        <v>2657</v>
      </c>
      <c r="B667" s="203" t="s">
        <v>66</v>
      </c>
      <c r="C667" s="173" t="s">
        <v>66</v>
      </c>
      <c r="D667" s="173" t="s">
        <v>2658</v>
      </c>
      <c r="E667" s="196" t="s">
        <v>2659</v>
      </c>
      <c r="F667" s="185" t="s">
        <v>185</v>
      </c>
      <c r="G667" s="185" t="s">
        <v>1761</v>
      </c>
      <c r="H667" s="237" t="s">
        <v>2599</v>
      </c>
      <c r="I667" s="185" t="s">
        <v>1762</v>
      </c>
      <c r="J667" s="185" t="s">
        <v>1762</v>
      </c>
      <c r="K667" s="185" t="s">
        <v>1762</v>
      </c>
      <c r="L667" s="185" t="s">
        <v>2259</v>
      </c>
      <c r="M667" s="196" t="s">
        <v>749</v>
      </c>
      <c r="N667" s="185"/>
      <c r="O667" s="238"/>
      <c r="P667" s="239" t="s">
        <v>1763</v>
      </c>
      <c r="Q667" s="239" t="s">
        <v>1764</v>
      </c>
      <c r="R667" s="240" t="s">
        <v>782</v>
      </c>
      <c r="S667" s="196" t="s">
        <v>782</v>
      </c>
      <c r="T667" s="196" t="s">
        <v>1765</v>
      </c>
    </row>
    <row r="668">
      <c r="A668" s="182" t="s">
        <v>2660</v>
      </c>
      <c r="B668" s="203" t="s">
        <v>66</v>
      </c>
      <c r="C668" s="173" t="s">
        <v>66</v>
      </c>
      <c r="D668" s="173" t="s">
        <v>2661</v>
      </c>
      <c r="E668" s="196" t="s">
        <v>2662</v>
      </c>
      <c r="F668" s="185" t="s">
        <v>185</v>
      </c>
      <c r="G668" s="185" t="s">
        <v>1500</v>
      </c>
      <c r="H668" s="237" t="b">
        <v>1</v>
      </c>
      <c r="I668" s="185" t="s">
        <v>1762</v>
      </c>
      <c r="J668" s="185" t="s">
        <v>1762</v>
      </c>
      <c r="K668" s="185" t="s">
        <v>1762</v>
      </c>
      <c r="L668" s="185" t="s">
        <v>2259</v>
      </c>
      <c r="M668" s="196" t="s">
        <v>749</v>
      </c>
      <c r="N668" s="185"/>
      <c r="O668" s="238"/>
      <c r="P668" s="239" t="s">
        <v>1763</v>
      </c>
      <c r="Q668" s="239" t="s">
        <v>1764</v>
      </c>
      <c r="R668" s="240" t="s">
        <v>782</v>
      </c>
      <c r="S668" s="196" t="s">
        <v>782</v>
      </c>
      <c r="T668" s="196" t="s">
        <v>1765</v>
      </c>
    </row>
    <row r="669">
      <c r="A669" s="182" t="s">
        <v>2663</v>
      </c>
      <c r="B669" s="203" t="s">
        <v>66</v>
      </c>
      <c r="C669" s="173" t="s">
        <v>66</v>
      </c>
      <c r="D669" s="173" t="s">
        <v>2664</v>
      </c>
      <c r="E669" s="196" t="s">
        <v>2665</v>
      </c>
      <c r="F669" s="185" t="s">
        <v>185</v>
      </c>
      <c r="G669" s="185" t="s">
        <v>1761</v>
      </c>
      <c r="H669" s="237" t="s">
        <v>2666</v>
      </c>
      <c r="I669" s="185" t="s">
        <v>1762</v>
      </c>
      <c r="J669" s="185" t="s">
        <v>1762</v>
      </c>
      <c r="K669" s="185" t="s">
        <v>1762</v>
      </c>
      <c r="L669" s="185" t="s">
        <v>2259</v>
      </c>
      <c r="M669" s="196" t="s">
        <v>749</v>
      </c>
      <c r="N669" s="185"/>
      <c r="O669" s="238"/>
      <c r="P669" s="239" t="s">
        <v>1763</v>
      </c>
      <c r="Q669" s="239" t="s">
        <v>1764</v>
      </c>
      <c r="R669" s="240" t="s">
        <v>782</v>
      </c>
      <c r="S669" s="196" t="s">
        <v>782</v>
      </c>
      <c r="T669" s="196" t="s">
        <v>1765</v>
      </c>
    </row>
    <row r="670">
      <c r="A670" s="182" t="s">
        <v>2667</v>
      </c>
      <c r="B670" s="203" t="s">
        <v>66</v>
      </c>
      <c r="C670" s="173" t="s">
        <v>66</v>
      </c>
      <c r="D670" s="173" t="s">
        <v>2668</v>
      </c>
      <c r="E670" s="196" t="s">
        <v>2669</v>
      </c>
      <c r="F670" s="185" t="s">
        <v>83</v>
      </c>
      <c r="G670" s="185" t="s">
        <v>1761</v>
      </c>
      <c r="H670" s="237" t="s">
        <v>936</v>
      </c>
      <c r="I670" s="185" t="s">
        <v>1762</v>
      </c>
      <c r="J670" s="185" t="s">
        <v>1762</v>
      </c>
      <c r="K670" s="185" t="s">
        <v>1762</v>
      </c>
      <c r="L670" s="185" t="s">
        <v>2259</v>
      </c>
      <c r="M670" s="196" t="s">
        <v>749</v>
      </c>
      <c r="N670" s="185"/>
      <c r="O670" s="238"/>
      <c r="P670" s="239" t="s">
        <v>1763</v>
      </c>
      <c r="Q670" s="239" t="s">
        <v>1764</v>
      </c>
      <c r="R670" s="240" t="s">
        <v>782</v>
      </c>
      <c r="S670" s="196" t="s">
        <v>782</v>
      </c>
      <c r="T670" s="196" t="s">
        <v>1765</v>
      </c>
    </row>
    <row r="671">
      <c r="A671" s="182" t="s">
        <v>2670</v>
      </c>
      <c r="B671" s="203" t="s">
        <v>66</v>
      </c>
      <c r="C671" s="173" t="s">
        <v>66</v>
      </c>
      <c r="D671" s="173" t="s">
        <v>2671</v>
      </c>
      <c r="E671" s="196" t="s">
        <v>2672</v>
      </c>
      <c r="F671" s="185" t="s">
        <v>185</v>
      </c>
      <c r="G671" s="185" t="s">
        <v>1761</v>
      </c>
      <c r="H671" s="237" t="s">
        <v>2599</v>
      </c>
      <c r="I671" s="185" t="s">
        <v>1762</v>
      </c>
      <c r="J671" s="185" t="s">
        <v>1762</v>
      </c>
      <c r="K671" s="185" t="s">
        <v>1762</v>
      </c>
      <c r="L671" s="185" t="s">
        <v>2259</v>
      </c>
      <c r="M671" s="196" t="s">
        <v>749</v>
      </c>
      <c r="N671" s="185"/>
      <c r="O671" s="238"/>
      <c r="P671" s="239" t="s">
        <v>1763</v>
      </c>
      <c r="Q671" s="239" t="s">
        <v>1764</v>
      </c>
      <c r="R671" s="240" t="s">
        <v>782</v>
      </c>
      <c r="S671" s="196" t="s">
        <v>782</v>
      </c>
      <c r="T671" s="196" t="s">
        <v>1765</v>
      </c>
    </row>
    <row r="672">
      <c r="A672" s="182" t="s">
        <v>2673</v>
      </c>
      <c r="B672" s="203" t="s">
        <v>66</v>
      </c>
      <c r="C672" s="173" t="s">
        <v>66</v>
      </c>
      <c r="D672" s="173" t="s">
        <v>2674</v>
      </c>
      <c r="E672" s="196" t="s">
        <v>2675</v>
      </c>
      <c r="F672" s="185" t="s">
        <v>185</v>
      </c>
      <c r="G672" s="185" t="s">
        <v>1500</v>
      </c>
      <c r="H672" s="237" t="b">
        <v>1</v>
      </c>
      <c r="I672" s="185" t="s">
        <v>1762</v>
      </c>
      <c r="J672" s="185" t="s">
        <v>1762</v>
      </c>
      <c r="K672" s="185" t="s">
        <v>1762</v>
      </c>
      <c r="L672" s="185" t="s">
        <v>2259</v>
      </c>
      <c r="M672" s="196" t="s">
        <v>749</v>
      </c>
      <c r="N672" s="185"/>
      <c r="O672" s="238"/>
      <c r="P672" s="239" t="s">
        <v>1763</v>
      </c>
      <c r="Q672" s="239" t="s">
        <v>1764</v>
      </c>
      <c r="R672" s="240" t="s">
        <v>782</v>
      </c>
      <c r="S672" s="196" t="s">
        <v>782</v>
      </c>
      <c r="T672" s="196" t="s">
        <v>1765</v>
      </c>
    </row>
    <row r="673">
      <c r="A673" s="182" t="s">
        <v>2676</v>
      </c>
      <c r="B673" s="203" t="s">
        <v>66</v>
      </c>
      <c r="C673" s="173" t="s">
        <v>66</v>
      </c>
      <c r="D673" s="173" t="s">
        <v>2677</v>
      </c>
      <c r="E673" s="196" t="s">
        <v>2678</v>
      </c>
      <c r="F673" s="185" t="s">
        <v>185</v>
      </c>
      <c r="G673" s="185" t="s">
        <v>1761</v>
      </c>
      <c r="H673" s="237" t="s">
        <v>2679</v>
      </c>
      <c r="I673" s="185" t="s">
        <v>1762</v>
      </c>
      <c r="J673" s="185" t="s">
        <v>1762</v>
      </c>
      <c r="K673" s="185" t="s">
        <v>1762</v>
      </c>
      <c r="L673" s="185" t="s">
        <v>2259</v>
      </c>
      <c r="M673" s="196" t="s">
        <v>749</v>
      </c>
      <c r="N673" s="185"/>
      <c r="O673" s="238"/>
      <c r="P673" s="239" t="s">
        <v>1763</v>
      </c>
      <c r="Q673" s="239" t="s">
        <v>1764</v>
      </c>
      <c r="R673" s="240" t="s">
        <v>782</v>
      </c>
      <c r="S673" s="196" t="s">
        <v>782</v>
      </c>
      <c r="T673" s="196" t="s">
        <v>1765</v>
      </c>
    </row>
    <row r="674">
      <c r="A674" s="182" t="s">
        <v>2680</v>
      </c>
      <c r="B674" s="203" t="s">
        <v>66</v>
      </c>
      <c r="C674" s="173" t="s">
        <v>66</v>
      </c>
      <c r="D674" s="173" t="s">
        <v>2681</v>
      </c>
      <c r="E674" s="196" t="s">
        <v>2682</v>
      </c>
      <c r="F674" s="185" t="s">
        <v>83</v>
      </c>
      <c r="G674" s="185" t="s">
        <v>1761</v>
      </c>
      <c r="H674" s="237" t="s">
        <v>936</v>
      </c>
      <c r="I674" s="185" t="s">
        <v>1762</v>
      </c>
      <c r="J674" s="185" t="s">
        <v>1762</v>
      </c>
      <c r="K674" s="185" t="s">
        <v>1762</v>
      </c>
      <c r="L674" s="185" t="s">
        <v>2259</v>
      </c>
      <c r="M674" s="196" t="s">
        <v>749</v>
      </c>
      <c r="N674" s="185"/>
      <c r="O674" s="238"/>
      <c r="P674" s="239" t="s">
        <v>1779</v>
      </c>
      <c r="Q674" s="239" t="s">
        <v>1764</v>
      </c>
      <c r="R674" s="240" t="s">
        <v>782</v>
      </c>
      <c r="S674" s="196" t="s">
        <v>782</v>
      </c>
      <c r="T674" s="196" t="s">
        <v>1765</v>
      </c>
    </row>
    <row r="675">
      <c r="A675" s="182" t="s">
        <v>2683</v>
      </c>
      <c r="B675" s="203" t="s">
        <v>66</v>
      </c>
      <c r="C675" s="173" t="s">
        <v>66</v>
      </c>
      <c r="D675" s="173" t="s">
        <v>2684</v>
      </c>
      <c r="E675" s="196" t="s">
        <v>2685</v>
      </c>
      <c r="F675" s="185" t="s">
        <v>185</v>
      </c>
      <c r="G675" s="185" t="s">
        <v>1761</v>
      </c>
      <c r="H675" s="237" t="s">
        <v>2599</v>
      </c>
      <c r="I675" s="185" t="s">
        <v>1762</v>
      </c>
      <c r="J675" s="185" t="s">
        <v>1762</v>
      </c>
      <c r="K675" s="185" t="s">
        <v>1762</v>
      </c>
      <c r="L675" s="185" t="s">
        <v>2259</v>
      </c>
      <c r="M675" s="196" t="s">
        <v>749</v>
      </c>
      <c r="N675" s="185"/>
      <c r="O675" s="238"/>
      <c r="P675" s="239" t="s">
        <v>1779</v>
      </c>
      <c r="Q675" s="239" t="s">
        <v>1764</v>
      </c>
      <c r="R675" s="240" t="s">
        <v>782</v>
      </c>
      <c r="S675" s="196" t="s">
        <v>782</v>
      </c>
      <c r="T675" s="196" t="s">
        <v>1765</v>
      </c>
    </row>
    <row r="676">
      <c r="A676" s="182" t="s">
        <v>2686</v>
      </c>
      <c r="B676" s="203" t="s">
        <v>66</v>
      </c>
      <c r="C676" s="173" t="s">
        <v>66</v>
      </c>
      <c r="D676" s="173" t="s">
        <v>2687</v>
      </c>
      <c r="E676" s="196" t="s">
        <v>2688</v>
      </c>
      <c r="F676" s="185" t="s">
        <v>185</v>
      </c>
      <c r="G676" s="185" t="s">
        <v>1500</v>
      </c>
      <c r="H676" s="237" t="b">
        <v>1</v>
      </c>
      <c r="I676" s="185" t="s">
        <v>1762</v>
      </c>
      <c r="J676" s="185" t="s">
        <v>1762</v>
      </c>
      <c r="K676" s="185" t="s">
        <v>1762</v>
      </c>
      <c r="L676" s="185" t="s">
        <v>2259</v>
      </c>
      <c r="M676" s="196" t="s">
        <v>749</v>
      </c>
      <c r="N676" s="185"/>
      <c r="O676" s="238"/>
      <c r="P676" s="239" t="s">
        <v>1779</v>
      </c>
      <c r="Q676" s="239" t="s">
        <v>1764</v>
      </c>
      <c r="R676" s="240" t="s">
        <v>782</v>
      </c>
      <c r="S676" s="196" t="s">
        <v>782</v>
      </c>
      <c r="T676" s="196" t="s">
        <v>1765</v>
      </c>
    </row>
    <row r="677">
      <c r="A677" s="182" t="s">
        <v>2689</v>
      </c>
      <c r="B677" s="203" t="s">
        <v>66</v>
      </c>
      <c r="C677" s="173" t="s">
        <v>66</v>
      </c>
      <c r="D677" s="173" t="s">
        <v>2690</v>
      </c>
      <c r="E677" s="196" t="s">
        <v>2691</v>
      </c>
      <c r="F677" s="185" t="s">
        <v>185</v>
      </c>
      <c r="G677" s="185" t="s">
        <v>1761</v>
      </c>
      <c r="H677" s="237" t="s">
        <v>2213</v>
      </c>
      <c r="I677" s="185" t="s">
        <v>1762</v>
      </c>
      <c r="J677" s="185" t="s">
        <v>1762</v>
      </c>
      <c r="K677" s="185" t="s">
        <v>1762</v>
      </c>
      <c r="L677" s="185" t="s">
        <v>2259</v>
      </c>
      <c r="M677" s="196" t="s">
        <v>749</v>
      </c>
      <c r="N677" s="185"/>
      <c r="O677" s="238"/>
      <c r="P677" s="239" t="s">
        <v>1779</v>
      </c>
      <c r="Q677" s="239" t="s">
        <v>1764</v>
      </c>
      <c r="R677" s="240" t="s">
        <v>782</v>
      </c>
      <c r="S677" s="196" t="s">
        <v>782</v>
      </c>
      <c r="T677" s="196" t="s">
        <v>1765</v>
      </c>
    </row>
    <row r="678">
      <c r="A678" s="182" t="s">
        <v>616</v>
      </c>
      <c r="B678" s="203" t="s">
        <v>66</v>
      </c>
      <c r="C678" s="173" t="s">
        <v>66</v>
      </c>
      <c r="D678" s="173" t="s">
        <v>2692</v>
      </c>
      <c r="E678" s="196" t="s">
        <v>2693</v>
      </c>
      <c r="F678" s="185" t="s">
        <v>185</v>
      </c>
      <c r="G678" s="185" t="s">
        <v>1500</v>
      </c>
      <c r="H678" s="237" t="b">
        <v>1</v>
      </c>
      <c r="I678" s="185" t="s">
        <v>1762</v>
      </c>
      <c r="J678" s="185" t="s">
        <v>1762</v>
      </c>
      <c r="K678" s="185" t="s">
        <v>1762</v>
      </c>
      <c r="L678" s="185" t="s">
        <v>2259</v>
      </c>
      <c r="M678" s="196" t="s">
        <v>749</v>
      </c>
      <c r="N678" s="185"/>
      <c r="O678" s="238"/>
      <c r="P678" s="239" t="s">
        <v>1763</v>
      </c>
      <c r="Q678" s="239" t="s">
        <v>1764</v>
      </c>
      <c r="R678" s="240" t="s">
        <v>782</v>
      </c>
      <c r="S678" s="196" t="s">
        <v>782</v>
      </c>
      <c r="T678" s="196" t="s">
        <v>1765</v>
      </c>
    </row>
    <row r="679">
      <c r="A679" s="182" t="s">
        <v>618</v>
      </c>
      <c r="B679" s="203" t="s">
        <v>66</v>
      </c>
      <c r="C679" s="173" t="s">
        <v>66</v>
      </c>
      <c r="D679" s="173" t="s">
        <v>2694</v>
      </c>
      <c r="E679" s="196" t="s">
        <v>2695</v>
      </c>
      <c r="F679" s="185" t="s">
        <v>83</v>
      </c>
      <c r="G679" s="185" t="s">
        <v>1761</v>
      </c>
      <c r="H679" s="237" t="s">
        <v>982</v>
      </c>
      <c r="I679" s="185" t="s">
        <v>1762</v>
      </c>
      <c r="J679" s="185" t="s">
        <v>1762</v>
      </c>
      <c r="K679" s="185" t="s">
        <v>1762</v>
      </c>
      <c r="L679" s="185" t="s">
        <v>2259</v>
      </c>
      <c r="M679" s="196" t="s">
        <v>749</v>
      </c>
      <c r="N679" s="185"/>
      <c r="O679" s="238"/>
      <c r="P679" s="239" t="s">
        <v>1763</v>
      </c>
      <c r="Q679" s="239" t="s">
        <v>1764</v>
      </c>
      <c r="R679" s="240" t="s">
        <v>782</v>
      </c>
      <c r="S679" s="196" t="s">
        <v>782</v>
      </c>
      <c r="T679" s="196" t="s">
        <v>1765</v>
      </c>
    </row>
    <row r="680">
      <c r="A680" s="182" t="s">
        <v>620</v>
      </c>
      <c r="B680" s="203" t="s">
        <v>66</v>
      </c>
      <c r="C680" s="173" t="s">
        <v>66</v>
      </c>
      <c r="D680" s="173" t="s">
        <v>2696</v>
      </c>
      <c r="E680" s="196" t="s">
        <v>995</v>
      </c>
      <c r="F680" s="185" t="s">
        <v>185</v>
      </c>
      <c r="G680" s="185" t="s">
        <v>1761</v>
      </c>
      <c r="H680" s="237" t="s">
        <v>2697</v>
      </c>
      <c r="I680" s="185" t="s">
        <v>1762</v>
      </c>
      <c r="J680" s="185" t="s">
        <v>1762</v>
      </c>
      <c r="K680" s="185" t="s">
        <v>1762</v>
      </c>
      <c r="L680" s="185" t="s">
        <v>2259</v>
      </c>
      <c r="M680" s="196" t="s">
        <v>749</v>
      </c>
      <c r="N680" s="185"/>
      <c r="O680" s="238"/>
      <c r="P680" s="239" t="s">
        <v>1763</v>
      </c>
      <c r="Q680" s="239" t="s">
        <v>1764</v>
      </c>
      <c r="R680" s="240" t="s">
        <v>782</v>
      </c>
      <c r="S680" s="196" t="s">
        <v>782</v>
      </c>
      <c r="T680" s="196" t="s">
        <v>1765</v>
      </c>
    </row>
    <row r="681">
      <c r="A681" s="182" t="s">
        <v>2698</v>
      </c>
      <c r="B681" s="203" t="s">
        <v>66</v>
      </c>
      <c r="C681" s="173" t="s">
        <v>66</v>
      </c>
      <c r="D681" s="173" t="s">
        <v>2699</v>
      </c>
      <c r="E681" s="196" t="s">
        <v>2700</v>
      </c>
      <c r="F681" s="185" t="s">
        <v>185</v>
      </c>
      <c r="G681" s="185" t="s">
        <v>1761</v>
      </c>
      <c r="H681" s="237" t="s">
        <v>2201</v>
      </c>
      <c r="I681" s="185" t="s">
        <v>1762</v>
      </c>
      <c r="J681" s="185" t="s">
        <v>1762</v>
      </c>
      <c r="K681" s="185" t="s">
        <v>1762</v>
      </c>
      <c r="L681" s="185" t="s">
        <v>2259</v>
      </c>
      <c r="M681" s="196" t="s">
        <v>749</v>
      </c>
      <c r="N681" s="185"/>
      <c r="O681" s="238"/>
      <c r="P681" s="239" t="s">
        <v>1763</v>
      </c>
      <c r="Q681" s="239" t="s">
        <v>1764</v>
      </c>
      <c r="R681" s="240" t="s">
        <v>782</v>
      </c>
      <c r="S681" s="196" t="s">
        <v>782</v>
      </c>
      <c r="T681" s="196" t="s">
        <v>1765</v>
      </c>
    </row>
    <row r="682">
      <c r="A682" s="182" t="s">
        <v>2701</v>
      </c>
      <c r="B682" s="203" t="s">
        <v>66</v>
      </c>
      <c r="C682" s="173" t="s">
        <v>66</v>
      </c>
      <c r="D682" s="173" t="s">
        <v>2702</v>
      </c>
      <c r="E682" s="196" t="s">
        <v>2703</v>
      </c>
      <c r="F682" s="185" t="s">
        <v>185</v>
      </c>
      <c r="G682" s="185" t="s">
        <v>1500</v>
      </c>
      <c r="H682" s="237" t="b">
        <v>1</v>
      </c>
      <c r="I682" s="185" t="s">
        <v>1762</v>
      </c>
      <c r="J682" s="185" t="s">
        <v>1762</v>
      </c>
      <c r="K682" s="185" t="s">
        <v>1762</v>
      </c>
      <c r="L682" s="185" t="s">
        <v>2259</v>
      </c>
      <c r="M682" s="196" t="s">
        <v>749</v>
      </c>
      <c r="N682" s="185"/>
      <c r="O682" s="238"/>
      <c r="P682" s="239" t="s">
        <v>1763</v>
      </c>
      <c r="Q682" s="239" t="s">
        <v>1764</v>
      </c>
      <c r="R682" s="240" t="s">
        <v>782</v>
      </c>
      <c r="S682" s="196" t="s">
        <v>782</v>
      </c>
      <c r="T682" s="196" t="s">
        <v>1765</v>
      </c>
    </row>
    <row r="683">
      <c r="A683" s="182" t="s">
        <v>2704</v>
      </c>
      <c r="B683" s="203" t="s">
        <v>66</v>
      </c>
      <c r="C683" s="173" t="s">
        <v>66</v>
      </c>
      <c r="D683" s="173" t="s">
        <v>2705</v>
      </c>
      <c r="E683" s="196" t="s">
        <v>2706</v>
      </c>
      <c r="F683" s="185" t="s">
        <v>83</v>
      </c>
      <c r="G683" s="185" t="s">
        <v>1761</v>
      </c>
      <c r="H683" s="237" t="s">
        <v>977</v>
      </c>
      <c r="I683" s="185" t="s">
        <v>1762</v>
      </c>
      <c r="J683" s="185" t="s">
        <v>1762</v>
      </c>
      <c r="K683" s="185" t="s">
        <v>1762</v>
      </c>
      <c r="L683" s="185" t="s">
        <v>2259</v>
      </c>
      <c r="M683" s="196" t="s">
        <v>749</v>
      </c>
      <c r="N683" s="185"/>
      <c r="O683" s="238"/>
      <c r="P683" s="239" t="s">
        <v>1763</v>
      </c>
      <c r="Q683" s="239" t="s">
        <v>1764</v>
      </c>
      <c r="R683" s="240" t="s">
        <v>782</v>
      </c>
      <c r="S683" s="196" t="s">
        <v>782</v>
      </c>
      <c r="T683" s="196" t="s">
        <v>1765</v>
      </c>
    </row>
    <row r="684">
      <c r="A684" s="182" t="s">
        <v>2707</v>
      </c>
      <c r="B684" s="203" t="s">
        <v>66</v>
      </c>
      <c r="C684" s="173" t="s">
        <v>66</v>
      </c>
      <c r="D684" s="173" t="s">
        <v>2708</v>
      </c>
      <c r="E684" s="196" t="s">
        <v>2709</v>
      </c>
      <c r="F684" s="185" t="s">
        <v>185</v>
      </c>
      <c r="G684" s="185" t="s">
        <v>1761</v>
      </c>
      <c r="H684" s="237" t="s">
        <v>2710</v>
      </c>
      <c r="I684" s="185" t="s">
        <v>1762</v>
      </c>
      <c r="J684" s="185" t="s">
        <v>1762</v>
      </c>
      <c r="K684" s="185" t="s">
        <v>1762</v>
      </c>
      <c r="L684" s="185" t="s">
        <v>2259</v>
      </c>
      <c r="M684" s="196" t="s">
        <v>749</v>
      </c>
      <c r="N684" s="185"/>
      <c r="O684" s="238"/>
      <c r="P684" s="239" t="s">
        <v>1763</v>
      </c>
      <c r="Q684" s="239" t="s">
        <v>1764</v>
      </c>
      <c r="R684" s="240" t="s">
        <v>782</v>
      </c>
      <c r="S684" s="196" t="s">
        <v>782</v>
      </c>
      <c r="T684" s="196" t="s">
        <v>1765</v>
      </c>
    </row>
    <row r="685">
      <c r="A685" s="182" t="s">
        <v>2711</v>
      </c>
      <c r="B685" s="203" t="s">
        <v>66</v>
      </c>
      <c r="C685" s="173" t="s">
        <v>66</v>
      </c>
      <c r="D685" s="173" t="s">
        <v>2712</v>
      </c>
      <c r="E685" s="196" t="s">
        <v>2713</v>
      </c>
      <c r="F685" s="185" t="s">
        <v>185</v>
      </c>
      <c r="G685" s="185" t="s">
        <v>1761</v>
      </c>
      <c r="H685" s="237" t="s">
        <v>2714</v>
      </c>
      <c r="I685" s="185" t="s">
        <v>1762</v>
      </c>
      <c r="J685" s="185" t="s">
        <v>1762</v>
      </c>
      <c r="K685" s="185" t="s">
        <v>1762</v>
      </c>
      <c r="L685" s="185" t="s">
        <v>2259</v>
      </c>
      <c r="M685" s="196" t="s">
        <v>749</v>
      </c>
      <c r="N685" s="185"/>
      <c r="O685" s="238"/>
      <c r="P685" s="239" t="s">
        <v>1763</v>
      </c>
      <c r="Q685" s="239" t="s">
        <v>1764</v>
      </c>
      <c r="R685" s="240" t="s">
        <v>782</v>
      </c>
      <c r="S685" s="196" t="s">
        <v>782</v>
      </c>
      <c r="T685" s="196" t="s">
        <v>1765</v>
      </c>
    </row>
    <row r="686">
      <c r="A686" s="182" t="s">
        <v>2715</v>
      </c>
      <c r="B686" s="203" t="s">
        <v>66</v>
      </c>
      <c r="C686" s="173" t="s">
        <v>66</v>
      </c>
      <c r="D686" s="173" t="s">
        <v>2716</v>
      </c>
      <c r="E686" s="196" t="s">
        <v>2716</v>
      </c>
      <c r="F686" s="185" t="s">
        <v>83</v>
      </c>
      <c r="G686" s="185" t="s">
        <v>1761</v>
      </c>
      <c r="H686" s="237">
        <v>3.0E7</v>
      </c>
      <c r="I686" s="185" t="s">
        <v>1358</v>
      </c>
      <c r="J686" s="185" t="s">
        <v>1358</v>
      </c>
      <c r="K686" s="185" t="s">
        <v>1358</v>
      </c>
      <c r="L686" s="185" t="s">
        <v>2259</v>
      </c>
      <c r="M686" s="196" t="s">
        <v>687</v>
      </c>
      <c r="N686" s="185"/>
      <c r="O686" s="238"/>
      <c r="P686" s="239" t="s">
        <v>1770</v>
      </c>
      <c r="Q686" s="239" t="s">
        <v>1764</v>
      </c>
      <c r="R686" s="240" t="s">
        <v>782</v>
      </c>
      <c r="S686" s="196" t="s">
        <v>782</v>
      </c>
      <c r="T686" s="196" t="s">
        <v>1765</v>
      </c>
    </row>
    <row r="687">
      <c r="A687" s="182" t="s">
        <v>2717</v>
      </c>
      <c r="B687" s="203" t="s">
        <v>66</v>
      </c>
      <c r="C687" s="173" t="s">
        <v>66</v>
      </c>
      <c r="D687" s="173" t="s">
        <v>2718</v>
      </c>
      <c r="E687" s="196" t="s">
        <v>2718</v>
      </c>
      <c r="F687" s="185" t="s">
        <v>83</v>
      </c>
      <c r="G687" s="185" t="s">
        <v>1761</v>
      </c>
      <c r="H687" s="237">
        <v>3.49E7</v>
      </c>
      <c r="I687" s="185" t="s">
        <v>1358</v>
      </c>
      <c r="J687" s="185" t="s">
        <v>1358</v>
      </c>
      <c r="K687" s="185" t="s">
        <v>1358</v>
      </c>
      <c r="L687" s="185" t="s">
        <v>2259</v>
      </c>
      <c r="M687" s="196" t="s">
        <v>687</v>
      </c>
      <c r="N687" s="185"/>
      <c r="O687" s="238"/>
      <c r="P687" s="239" t="s">
        <v>1770</v>
      </c>
      <c r="Q687" s="239" t="s">
        <v>1764</v>
      </c>
      <c r="R687" s="240" t="s">
        <v>782</v>
      </c>
      <c r="S687" s="196" t="s">
        <v>782</v>
      </c>
      <c r="T687" s="196" t="s">
        <v>1765</v>
      </c>
    </row>
    <row r="688">
      <c r="A688" s="182" t="s">
        <v>2719</v>
      </c>
      <c r="B688" s="203" t="s">
        <v>66</v>
      </c>
      <c r="C688" s="173" t="s">
        <v>66</v>
      </c>
      <c r="D688" s="173" t="s">
        <v>2720</v>
      </c>
      <c r="E688" s="196" t="s">
        <v>2720</v>
      </c>
      <c r="F688" s="185" t="s">
        <v>83</v>
      </c>
      <c r="G688" s="185" t="s">
        <v>1761</v>
      </c>
      <c r="H688" s="237">
        <v>1.38E8</v>
      </c>
      <c r="I688" s="185" t="s">
        <v>1358</v>
      </c>
      <c r="J688" s="185" t="s">
        <v>1358</v>
      </c>
      <c r="K688" s="185" t="s">
        <v>1358</v>
      </c>
      <c r="L688" s="185" t="s">
        <v>2259</v>
      </c>
      <c r="M688" s="196" t="s">
        <v>687</v>
      </c>
      <c r="N688" s="185"/>
      <c r="O688" s="238"/>
      <c r="P688" s="239" t="s">
        <v>1770</v>
      </c>
      <c r="Q688" s="239" t="s">
        <v>1764</v>
      </c>
      <c r="R688" s="240" t="s">
        <v>782</v>
      </c>
      <c r="S688" s="196" t="s">
        <v>782</v>
      </c>
      <c r="T688" s="196" t="s">
        <v>1765</v>
      </c>
    </row>
    <row r="689">
      <c r="A689" s="182" t="s">
        <v>2721</v>
      </c>
      <c r="B689" s="203" t="s">
        <v>66</v>
      </c>
      <c r="C689" s="173" t="s">
        <v>66</v>
      </c>
      <c r="D689" s="173" t="s">
        <v>2722</v>
      </c>
      <c r="E689" s="196" t="s">
        <v>2722</v>
      </c>
      <c r="F689" s="185" t="s">
        <v>83</v>
      </c>
      <c r="G689" s="185" t="s">
        <v>1761</v>
      </c>
      <c r="H689" s="237">
        <v>1.12E8</v>
      </c>
      <c r="I689" s="185" t="s">
        <v>1358</v>
      </c>
      <c r="J689" s="185" t="s">
        <v>1358</v>
      </c>
      <c r="K689" s="185" t="s">
        <v>1358</v>
      </c>
      <c r="L689" s="185" t="s">
        <v>2259</v>
      </c>
      <c r="M689" s="196" t="s">
        <v>687</v>
      </c>
      <c r="N689" s="185"/>
      <c r="O689" s="238"/>
      <c r="P689" s="239" t="s">
        <v>1770</v>
      </c>
      <c r="Q689" s="239" t="s">
        <v>1764</v>
      </c>
      <c r="R689" s="240" t="s">
        <v>782</v>
      </c>
      <c r="S689" s="196" t="s">
        <v>782</v>
      </c>
      <c r="T689" s="196" t="s">
        <v>1765</v>
      </c>
    </row>
    <row r="690">
      <c r="A690" s="182" t="s">
        <v>2723</v>
      </c>
      <c r="B690" s="203" t="s">
        <v>66</v>
      </c>
      <c r="C690" s="173" t="s">
        <v>66</v>
      </c>
      <c r="D690" s="173" t="s">
        <v>2724</v>
      </c>
      <c r="E690" s="196" t="s">
        <v>2724</v>
      </c>
      <c r="F690" s="185" t="s">
        <v>83</v>
      </c>
      <c r="G690" s="185" t="s">
        <v>1761</v>
      </c>
      <c r="H690" s="237">
        <v>1.1E8</v>
      </c>
      <c r="I690" s="185" t="s">
        <v>1358</v>
      </c>
      <c r="J690" s="185" t="s">
        <v>1358</v>
      </c>
      <c r="K690" s="185" t="s">
        <v>1358</v>
      </c>
      <c r="L690" s="185" t="s">
        <v>2259</v>
      </c>
      <c r="M690" s="196" t="s">
        <v>687</v>
      </c>
      <c r="N690" s="185"/>
      <c r="O690" s="238"/>
      <c r="P690" s="239" t="s">
        <v>1770</v>
      </c>
      <c r="Q690" s="239" t="s">
        <v>1764</v>
      </c>
      <c r="R690" s="240" t="s">
        <v>782</v>
      </c>
      <c r="S690" s="196" t="s">
        <v>782</v>
      </c>
      <c r="T690" s="196" t="s">
        <v>1765</v>
      </c>
    </row>
    <row r="691">
      <c r="A691" s="182" t="s">
        <v>2725</v>
      </c>
      <c r="B691" s="203" t="s">
        <v>66</v>
      </c>
      <c r="C691" s="173" t="s">
        <v>66</v>
      </c>
      <c r="D691" s="173" t="s">
        <v>2726</v>
      </c>
      <c r="E691" s="196" t="s">
        <v>2726</v>
      </c>
      <c r="F691" s="185" t="s">
        <v>83</v>
      </c>
      <c r="G691" s="185" t="s">
        <v>1761</v>
      </c>
      <c r="H691" s="237">
        <v>1.12E8</v>
      </c>
      <c r="I691" s="185" t="s">
        <v>1358</v>
      </c>
      <c r="J691" s="185" t="s">
        <v>1358</v>
      </c>
      <c r="K691" s="185" t="s">
        <v>1358</v>
      </c>
      <c r="L691" s="185" t="s">
        <v>2259</v>
      </c>
      <c r="M691" s="196" t="s">
        <v>687</v>
      </c>
      <c r="N691" s="185"/>
      <c r="O691" s="238"/>
      <c r="P691" s="239" t="s">
        <v>1770</v>
      </c>
      <c r="Q691" s="239" t="s">
        <v>1764</v>
      </c>
      <c r="R691" s="240" t="s">
        <v>782</v>
      </c>
      <c r="S691" s="196" t="s">
        <v>782</v>
      </c>
      <c r="T691" s="196" t="s">
        <v>1765</v>
      </c>
    </row>
    <row r="692">
      <c r="A692" s="182" t="s">
        <v>2727</v>
      </c>
      <c r="B692" s="203" t="s">
        <v>66</v>
      </c>
      <c r="C692" s="173" t="s">
        <v>66</v>
      </c>
      <c r="D692" s="173" t="s">
        <v>2728</v>
      </c>
      <c r="E692" s="196" t="s">
        <v>2728</v>
      </c>
      <c r="F692" s="185" t="s">
        <v>83</v>
      </c>
      <c r="G692" s="185" t="s">
        <v>1761</v>
      </c>
      <c r="H692" s="237">
        <v>1.12E8</v>
      </c>
      <c r="I692" s="185" t="s">
        <v>1358</v>
      </c>
      <c r="J692" s="185" t="s">
        <v>1358</v>
      </c>
      <c r="K692" s="185" t="s">
        <v>1358</v>
      </c>
      <c r="L692" s="185" t="s">
        <v>2259</v>
      </c>
      <c r="M692" s="196" t="s">
        <v>687</v>
      </c>
      <c r="N692" s="185"/>
      <c r="O692" s="238"/>
      <c r="P692" s="239" t="s">
        <v>1770</v>
      </c>
      <c r="Q692" s="239" t="s">
        <v>1764</v>
      </c>
      <c r="R692" s="240" t="s">
        <v>782</v>
      </c>
      <c r="S692" s="196" t="s">
        <v>782</v>
      </c>
      <c r="T692" s="196" t="s">
        <v>1765</v>
      </c>
    </row>
    <row r="693">
      <c r="A693" s="182" t="s">
        <v>2729</v>
      </c>
      <c r="B693" s="203" t="s">
        <v>66</v>
      </c>
      <c r="C693" s="173" t="s">
        <v>66</v>
      </c>
      <c r="D693" s="173" t="s">
        <v>2730</v>
      </c>
      <c r="E693" s="196" t="s">
        <v>2730</v>
      </c>
      <c r="F693" s="185" t="s">
        <v>83</v>
      </c>
      <c r="G693" s="185" t="s">
        <v>1761</v>
      </c>
      <c r="H693" s="237">
        <v>1.12E8</v>
      </c>
      <c r="I693" s="185" t="s">
        <v>1358</v>
      </c>
      <c r="J693" s="185" t="s">
        <v>1358</v>
      </c>
      <c r="K693" s="185" t="s">
        <v>1358</v>
      </c>
      <c r="L693" s="185" t="s">
        <v>2259</v>
      </c>
      <c r="M693" s="196" t="s">
        <v>687</v>
      </c>
      <c r="N693" s="185"/>
      <c r="O693" s="238"/>
      <c r="P693" s="239" t="s">
        <v>1770</v>
      </c>
      <c r="Q693" s="239" t="s">
        <v>1764</v>
      </c>
      <c r="R693" s="240" t="s">
        <v>782</v>
      </c>
      <c r="S693" s="196" t="s">
        <v>782</v>
      </c>
      <c r="T693" s="196" t="s">
        <v>1765</v>
      </c>
    </row>
    <row r="694">
      <c r="A694" s="182" t="s">
        <v>2731</v>
      </c>
      <c r="B694" s="203" t="s">
        <v>66</v>
      </c>
      <c r="C694" s="173" t="s">
        <v>66</v>
      </c>
      <c r="D694" s="173" t="s">
        <v>2732</v>
      </c>
      <c r="E694" s="196" t="s">
        <v>2732</v>
      </c>
      <c r="F694" s="185" t="s">
        <v>83</v>
      </c>
      <c r="G694" s="185" t="s">
        <v>1761</v>
      </c>
      <c r="H694" s="237">
        <v>9.0E7</v>
      </c>
      <c r="I694" s="185" t="s">
        <v>1358</v>
      </c>
      <c r="J694" s="185" t="s">
        <v>1358</v>
      </c>
      <c r="K694" s="185" t="s">
        <v>1358</v>
      </c>
      <c r="L694" s="185" t="s">
        <v>2259</v>
      </c>
      <c r="M694" s="196" t="s">
        <v>687</v>
      </c>
      <c r="N694" s="185"/>
      <c r="O694" s="238"/>
      <c r="P694" s="239" t="s">
        <v>1770</v>
      </c>
      <c r="Q694" s="239" t="s">
        <v>1764</v>
      </c>
      <c r="R694" s="240" t="s">
        <v>782</v>
      </c>
      <c r="S694" s="196" t="s">
        <v>782</v>
      </c>
      <c r="T694" s="196" t="s">
        <v>1765</v>
      </c>
    </row>
    <row r="695">
      <c r="A695" s="182" t="s">
        <v>2733</v>
      </c>
      <c r="B695" s="203" t="s">
        <v>66</v>
      </c>
      <c r="C695" s="173" t="s">
        <v>66</v>
      </c>
      <c r="D695" s="173" t="s">
        <v>2734</v>
      </c>
      <c r="E695" s="196" t="s">
        <v>2734</v>
      </c>
      <c r="F695" s="185" t="s">
        <v>83</v>
      </c>
      <c r="G695" s="185" t="s">
        <v>1761</v>
      </c>
      <c r="H695" s="237">
        <v>9.83E7</v>
      </c>
      <c r="I695" s="185" t="s">
        <v>1358</v>
      </c>
      <c r="J695" s="185" t="s">
        <v>1358</v>
      </c>
      <c r="K695" s="185" t="s">
        <v>1358</v>
      </c>
      <c r="L695" s="185" t="s">
        <v>2259</v>
      </c>
      <c r="M695" s="196" t="s">
        <v>687</v>
      </c>
      <c r="N695" s="185"/>
      <c r="O695" s="238"/>
      <c r="P695" s="239" t="s">
        <v>1770</v>
      </c>
      <c r="Q695" s="239" t="s">
        <v>1764</v>
      </c>
      <c r="R695" s="240" t="s">
        <v>782</v>
      </c>
      <c r="S695" s="196" t="s">
        <v>782</v>
      </c>
      <c r="T695" s="196" t="s">
        <v>1765</v>
      </c>
    </row>
    <row r="696">
      <c r="A696" s="182" t="s">
        <v>2735</v>
      </c>
      <c r="B696" s="203" t="s">
        <v>66</v>
      </c>
      <c r="C696" s="173" t="s">
        <v>66</v>
      </c>
      <c r="D696" s="173" t="s">
        <v>2736</v>
      </c>
      <c r="E696" s="196" t="s">
        <v>2736</v>
      </c>
      <c r="F696" s="185" t="s">
        <v>83</v>
      </c>
      <c r="G696" s="185" t="s">
        <v>1761</v>
      </c>
      <c r="H696" s="237">
        <v>9.8304E7</v>
      </c>
      <c r="I696" s="185" t="s">
        <v>1358</v>
      </c>
      <c r="J696" s="185" t="s">
        <v>1358</v>
      </c>
      <c r="K696" s="185" t="s">
        <v>1358</v>
      </c>
      <c r="L696" s="185" t="s">
        <v>2259</v>
      </c>
      <c r="M696" s="196" t="s">
        <v>687</v>
      </c>
      <c r="N696" s="185"/>
      <c r="O696" s="238"/>
      <c r="P696" s="239" t="s">
        <v>1770</v>
      </c>
      <c r="Q696" s="239" t="s">
        <v>1764</v>
      </c>
      <c r="R696" s="240" t="s">
        <v>782</v>
      </c>
      <c r="S696" s="196" t="s">
        <v>782</v>
      </c>
      <c r="T696" s="196" t="s">
        <v>1765</v>
      </c>
    </row>
    <row r="697">
      <c r="A697" s="182" t="s">
        <v>2737</v>
      </c>
      <c r="B697" s="203" t="s">
        <v>66</v>
      </c>
      <c r="C697" s="173" t="s">
        <v>66</v>
      </c>
      <c r="D697" s="173" t="s">
        <v>2738</v>
      </c>
      <c r="E697" s="196" t="s">
        <v>2738</v>
      </c>
      <c r="F697" s="185" t="s">
        <v>83</v>
      </c>
      <c r="G697" s="185" t="s">
        <v>1761</v>
      </c>
      <c r="H697" s="237">
        <v>9.8304012E7</v>
      </c>
      <c r="I697" s="185" t="s">
        <v>1358</v>
      </c>
      <c r="J697" s="185" t="s">
        <v>1358</v>
      </c>
      <c r="K697" s="185" t="s">
        <v>1358</v>
      </c>
      <c r="L697" s="185" t="s">
        <v>2259</v>
      </c>
      <c r="M697" s="196" t="s">
        <v>687</v>
      </c>
      <c r="N697" s="185"/>
      <c r="O697" s="238"/>
      <c r="P697" s="239" t="s">
        <v>1770</v>
      </c>
      <c r="Q697" s="239" t="s">
        <v>1764</v>
      </c>
      <c r="R697" s="240" t="s">
        <v>782</v>
      </c>
      <c r="S697" s="196" t="s">
        <v>782</v>
      </c>
      <c r="T697" s="196" t="s">
        <v>1765</v>
      </c>
    </row>
    <row r="698">
      <c r="A698" s="182" t="s">
        <v>2739</v>
      </c>
      <c r="B698" s="203" t="s">
        <v>66</v>
      </c>
      <c r="C698" s="173" t="s">
        <v>66</v>
      </c>
      <c r="D698" s="173" t="s">
        <v>2740</v>
      </c>
      <c r="E698" s="196" t="s">
        <v>2740</v>
      </c>
      <c r="F698" s="185" t="s">
        <v>83</v>
      </c>
      <c r="G698" s="185" t="s">
        <v>1761</v>
      </c>
      <c r="H698" s="237" t="s">
        <v>921</v>
      </c>
      <c r="I698" s="185" t="s">
        <v>1358</v>
      </c>
      <c r="J698" s="185" t="s">
        <v>1358</v>
      </c>
      <c r="K698" s="185" t="s">
        <v>1358</v>
      </c>
      <c r="L698" s="185" t="s">
        <v>2259</v>
      </c>
      <c r="M698" s="196" t="s">
        <v>687</v>
      </c>
      <c r="N698" s="185"/>
      <c r="O698" s="238"/>
      <c r="P698" s="239" t="s">
        <v>1770</v>
      </c>
      <c r="Q698" s="239" t="s">
        <v>1764</v>
      </c>
      <c r="R698" s="240" t="s">
        <v>782</v>
      </c>
      <c r="S698" s="196" t="s">
        <v>782</v>
      </c>
      <c r="T698" s="196" t="s">
        <v>1765</v>
      </c>
    </row>
    <row r="699">
      <c r="A699" s="182" t="s">
        <v>2741</v>
      </c>
      <c r="B699" s="203" t="s">
        <v>66</v>
      </c>
      <c r="C699" s="173" t="s">
        <v>66</v>
      </c>
      <c r="D699" s="173" t="s">
        <v>2742</v>
      </c>
      <c r="E699" s="196" t="s">
        <v>2742</v>
      </c>
      <c r="F699" s="185" t="s">
        <v>83</v>
      </c>
      <c r="G699" s="185" t="s">
        <v>1761</v>
      </c>
      <c r="H699" s="237">
        <v>1.3E8</v>
      </c>
      <c r="I699" s="185" t="s">
        <v>1358</v>
      </c>
      <c r="J699" s="185" t="s">
        <v>1358</v>
      </c>
      <c r="K699" s="185" t="s">
        <v>1358</v>
      </c>
      <c r="L699" s="185" t="s">
        <v>2259</v>
      </c>
      <c r="M699" s="196" t="s">
        <v>687</v>
      </c>
      <c r="N699" s="185"/>
      <c r="O699" s="238"/>
      <c r="P699" s="239" t="s">
        <v>1770</v>
      </c>
      <c r="Q699" s="239" t="s">
        <v>1764</v>
      </c>
      <c r="R699" s="240" t="s">
        <v>782</v>
      </c>
      <c r="S699" s="196" t="s">
        <v>782</v>
      </c>
      <c r="T699" s="196" t="s">
        <v>1765</v>
      </c>
    </row>
    <row r="700">
      <c r="A700" s="182" t="s">
        <v>2743</v>
      </c>
      <c r="B700" s="203" t="s">
        <v>66</v>
      </c>
      <c r="C700" s="173" t="s">
        <v>66</v>
      </c>
      <c r="D700" s="173" t="s">
        <v>2744</v>
      </c>
      <c r="E700" s="196" t="s">
        <v>2744</v>
      </c>
      <c r="F700" s="185" t="s">
        <v>83</v>
      </c>
      <c r="G700" s="185" t="s">
        <v>1761</v>
      </c>
      <c r="H700" s="237" t="s">
        <v>929</v>
      </c>
      <c r="I700" s="185" t="s">
        <v>1358</v>
      </c>
      <c r="J700" s="185" t="s">
        <v>1358</v>
      </c>
      <c r="K700" s="185" t="s">
        <v>1358</v>
      </c>
      <c r="L700" s="185" t="s">
        <v>2259</v>
      </c>
      <c r="M700" s="196" t="s">
        <v>687</v>
      </c>
      <c r="N700" s="185"/>
      <c r="O700" s="238"/>
      <c r="P700" s="239" t="s">
        <v>1770</v>
      </c>
      <c r="Q700" s="239" t="s">
        <v>1764</v>
      </c>
      <c r="R700" s="240" t="s">
        <v>782</v>
      </c>
      <c r="S700" s="196" t="s">
        <v>782</v>
      </c>
      <c r="T700" s="196" t="s">
        <v>1765</v>
      </c>
    </row>
    <row r="701">
      <c r="A701" s="182" t="s">
        <v>2745</v>
      </c>
      <c r="B701" s="203" t="s">
        <v>66</v>
      </c>
      <c r="C701" s="173" t="s">
        <v>66</v>
      </c>
      <c r="D701" s="173" t="s">
        <v>2746</v>
      </c>
      <c r="E701" s="196" t="s">
        <v>2746</v>
      </c>
      <c r="F701" s="185" t="s">
        <v>83</v>
      </c>
      <c r="G701" s="185" t="s">
        <v>1761</v>
      </c>
      <c r="H701" s="237">
        <v>1.38E8</v>
      </c>
      <c r="I701" s="185" t="s">
        <v>1358</v>
      </c>
      <c r="J701" s="185" t="s">
        <v>1358</v>
      </c>
      <c r="K701" s="185" t="s">
        <v>1358</v>
      </c>
      <c r="L701" s="185" t="s">
        <v>2259</v>
      </c>
      <c r="M701" s="196" t="s">
        <v>687</v>
      </c>
      <c r="N701" s="185"/>
      <c r="O701" s="238"/>
      <c r="P701" s="239" t="s">
        <v>1770</v>
      </c>
      <c r="Q701" s="239" t="s">
        <v>1764</v>
      </c>
      <c r="R701" s="240" t="s">
        <v>782</v>
      </c>
      <c r="S701" s="196" t="s">
        <v>782</v>
      </c>
      <c r="T701" s="196" t="s">
        <v>1765</v>
      </c>
    </row>
    <row r="702">
      <c r="A702" s="182" t="s">
        <v>2747</v>
      </c>
      <c r="B702" s="203" t="s">
        <v>66</v>
      </c>
      <c r="C702" s="173" t="s">
        <v>66</v>
      </c>
      <c r="D702" s="173" t="s">
        <v>2748</v>
      </c>
      <c r="E702" s="196" t="s">
        <v>2748</v>
      </c>
      <c r="F702" s="185" t="s">
        <v>83</v>
      </c>
      <c r="G702" s="185" t="s">
        <v>1761</v>
      </c>
      <c r="H702" s="237" t="s">
        <v>2749</v>
      </c>
      <c r="I702" s="185" t="s">
        <v>1358</v>
      </c>
      <c r="J702" s="185" t="s">
        <v>1358</v>
      </c>
      <c r="K702" s="185" t="s">
        <v>1358</v>
      </c>
      <c r="L702" s="185" t="s">
        <v>2259</v>
      </c>
      <c r="M702" s="196" t="s">
        <v>687</v>
      </c>
      <c r="N702" s="185"/>
      <c r="O702" s="238"/>
      <c r="P702" s="239" t="s">
        <v>1770</v>
      </c>
      <c r="Q702" s="239" t="s">
        <v>1764</v>
      </c>
      <c r="R702" s="240" t="s">
        <v>782</v>
      </c>
      <c r="S702" s="196" t="s">
        <v>782</v>
      </c>
      <c r="T702" s="196" t="s">
        <v>1765</v>
      </c>
    </row>
    <row r="703">
      <c r="A703" s="182" t="s">
        <v>2750</v>
      </c>
      <c r="B703" s="203" t="s">
        <v>66</v>
      </c>
      <c r="C703" s="173" t="s">
        <v>66</v>
      </c>
      <c r="D703" s="173" t="s">
        <v>2751</v>
      </c>
      <c r="E703" s="196" t="s">
        <v>2751</v>
      </c>
      <c r="F703" s="185" t="s">
        <v>83</v>
      </c>
      <c r="G703" s="185" t="s">
        <v>1761</v>
      </c>
      <c r="H703" s="237">
        <v>1.38E8</v>
      </c>
      <c r="I703" s="185" t="s">
        <v>1358</v>
      </c>
      <c r="J703" s="185" t="s">
        <v>1358</v>
      </c>
      <c r="K703" s="185" t="s">
        <v>1358</v>
      </c>
      <c r="L703" s="185" t="s">
        <v>2259</v>
      </c>
      <c r="M703" s="196" t="s">
        <v>687</v>
      </c>
      <c r="N703" s="185"/>
      <c r="O703" s="238"/>
      <c r="P703" s="239" t="s">
        <v>1770</v>
      </c>
      <c r="Q703" s="239" t="s">
        <v>1764</v>
      </c>
      <c r="R703" s="240" t="s">
        <v>782</v>
      </c>
      <c r="S703" s="196" t="s">
        <v>782</v>
      </c>
      <c r="T703" s="196" t="s">
        <v>1765</v>
      </c>
    </row>
    <row r="704">
      <c r="A704" s="182" t="s">
        <v>2752</v>
      </c>
      <c r="B704" s="203" t="s">
        <v>66</v>
      </c>
      <c r="C704" s="173" t="s">
        <v>66</v>
      </c>
      <c r="D704" s="173" t="s">
        <v>2753</v>
      </c>
      <c r="E704" s="196" t="s">
        <v>2753</v>
      </c>
      <c r="F704" s="185" t="s">
        <v>83</v>
      </c>
      <c r="G704" s="185" t="s">
        <v>1761</v>
      </c>
      <c r="H704" s="237" t="s">
        <v>2754</v>
      </c>
      <c r="I704" s="185" t="s">
        <v>1358</v>
      </c>
      <c r="J704" s="185" t="s">
        <v>1358</v>
      </c>
      <c r="K704" s="185" t="s">
        <v>1358</v>
      </c>
      <c r="L704" s="185" t="s">
        <v>2259</v>
      </c>
      <c r="M704" s="196" t="s">
        <v>687</v>
      </c>
      <c r="N704" s="185"/>
      <c r="O704" s="238"/>
      <c r="P704" s="239" t="s">
        <v>1770</v>
      </c>
      <c r="Q704" s="239" t="s">
        <v>1764</v>
      </c>
      <c r="R704" s="240" t="s">
        <v>782</v>
      </c>
      <c r="S704" s="196" t="s">
        <v>782</v>
      </c>
      <c r="T704" s="196" t="s">
        <v>1765</v>
      </c>
    </row>
    <row r="705">
      <c r="A705" s="182" t="s">
        <v>2755</v>
      </c>
      <c r="B705" s="203" t="s">
        <v>66</v>
      </c>
      <c r="C705" s="173" t="s">
        <v>66</v>
      </c>
      <c r="D705" s="173" t="s">
        <v>2756</v>
      </c>
      <c r="E705" s="196" t="s">
        <v>2756</v>
      </c>
      <c r="F705" s="185" t="s">
        <v>83</v>
      </c>
      <c r="G705" s="185" t="s">
        <v>1761</v>
      </c>
      <c r="H705" s="237">
        <v>1.38E8</v>
      </c>
      <c r="I705" s="185" t="s">
        <v>1358</v>
      </c>
      <c r="J705" s="185" t="s">
        <v>1358</v>
      </c>
      <c r="K705" s="185" t="s">
        <v>1358</v>
      </c>
      <c r="L705" s="185" t="s">
        <v>2259</v>
      </c>
      <c r="M705" s="196" t="s">
        <v>687</v>
      </c>
      <c r="N705" s="185"/>
      <c r="O705" s="238"/>
      <c r="P705" s="239" t="s">
        <v>1770</v>
      </c>
      <c r="Q705" s="239" t="s">
        <v>1764</v>
      </c>
      <c r="R705" s="240" t="s">
        <v>782</v>
      </c>
      <c r="S705" s="196" t="s">
        <v>782</v>
      </c>
      <c r="T705" s="196" t="s">
        <v>1765</v>
      </c>
    </row>
    <row r="706">
      <c r="A706" s="182" t="s">
        <v>2757</v>
      </c>
      <c r="B706" s="203" t="s">
        <v>66</v>
      </c>
      <c r="C706" s="173" t="s">
        <v>66</v>
      </c>
      <c r="D706" s="173" t="s">
        <v>2758</v>
      </c>
      <c r="E706" s="196" t="s">
        <v>2758</v>
      </c>
      <c r="F706" s="185" t="s">
        <v>83</v>
      </c>
      <c r="G706" s="185" t="s">
        <v>1761</v>
      </c>
      <c r="H706" s="237" t="s">
        <v>2759</v>
      </c>
      <c r="I706" s="185" t="s">
        <v>2760</v>
      </c>
      <c r="J706" s="185" t="s">
        <v>2760</v>
      </c>
      <c r="K706" s="185" t="s">
        <v>2760</v>
      </c>
      <c r="L706" s="185" t="s">
        <v>2259</v>
      </c>
      <c r="M706" s="196" t="s">
        <v>687</v>
      </c>
      <c r="N706" s="185"/>
      <c r="O706" s="238"/>
      <c r="P706" s="239" t="s">
        <v>1920</v>
      </c>
      <c r="Q706" s="239" t="s">
        <v>1905</v>
      </c>
      <c r="R706" s="240" t="s">
        <v>782</v>
      </c>
      <c r="S706" s="196" t="s">
        <v>782</v>
      </c>
      <c r="T706" s="196" t="s">
        <v>1765</v>
      </c>
    </row>
    <row r="707">
      <c r="A707" s="182" t="s">
        <v>2761</v>
      </c>
      <c r="B707" s="203" t="s">
        <v>66</v>
      </c>
      <c r="C707" s="173" t="s">
        <v>66</v>
      </c>
      <c r="D707" s="173" t="s">
        <v>2762</v>
      </c>
      <c r="E707" s="196" t="s">
        <v>2762</v>
      </c>
      <c r="F707" s="185" t="s">
        <v>185</v>
      </c>
      <c r="G707" s="185" t="s">
        <v>1761</v>
      </c>
      <c r="H707" s="237" t="s">
        <v>2763</v>
      </c>
      <c r="I707" s="185" t="s">
        <v>2760</v>
      </c>
      <c r="J707" s="185" t="s">
        <v>2760</v>
      </c>
      <c r="K707" s="185" t="s">
        <v>2760</v>
      </c>
      <c r="L707" s="185" t="s">
        <v>2259</v>
      </c>
      <c r="M707" s="196" t="s">
        <v>687</v>
      </c>
      <c r="N707" s="185"/>
      <c r="O707" s="238"/>
      <c r="P707" s="239" t="s">
        <v>1920</v>
      </c>
      <c r="Q707" s="239" t="s">
        <v>1905</v>
      </c>
      <c r="R707" s="240" t="s">
        <v>782</v>
      </c>
      <c r="S707" s="196" t="s">
        <v>782</v>
      </c>
      <c r="T707" s="196" t="s">
        <v>1765</v>
      </c>
    </row>
    <row r="708">
      <c r="A708" s="182" t="s">
        <v>2764</v>
      </c>
      <c r="B708" s="203" t="s">
        <v>66</v>
      </c>
      <c r="C708" s="173" t="s">
        <v>66</v>
      </c>
      <c r="D708" s="173" t="s">
        <v>2765</v>
      </c>
      <c r="E708" s="196" t="s">
        <v>2765</v>
      </c>
      <c r="F708" s="185" t="s">
        <v>185</v>
      </c>
      <c r="G708" s="185" t="s">
        <v>1500</v>
      </c>
      <c r="H708" s="237" t="b">
        <v>1</v>
      </c>
      <c r="I708" s="185" t="s">
        <v>2288</v>
      </c>
      <c r="J708" s="185" t="s">
        <v>2288</v>
      </c>
      <c r="K708" s="185" t="s">
        <v>2288</v>
      </c>
      <c r="L708" s="185" t="s">
        <v>2259</v>
      </c>
      <c r="M708" s="196" t="s">
        <v>687</v>
      </c>
      <c r="N708" s="185"/>
      <c r="O708" s="238"/>
      <c r="P708" s="239" t="s">
        <v>1781</v>
      </c>
      <c r="Q708" s="239" t="s">
        <v>1764</v>
      </c>
      <c r="R708" s="240" t="s">
        <v>691</v>
      </c>
      <c r="S708" s="196" t="s">
        <v>691</v>
      </c>
      <c r="T708" s="196" t="s">
        <v>1765</v>
      </c>
    </row>
    <row r="709">
      <c r="A709" s="182" t="s">
        <v>2766</v>
      </c>
      <c r="B709" s="203" t="s">
        <v>66</v>
      </c>
      <c r="C709" s="173" t="s">
        <v>66</v>
      </c>
      <c r="D709" s="173" t="s">
        <v>2767</v>
      </c>
      <c r="E709" s="196" t="s">
        <v>2767</v>
      </c>
      <c r="F709" s="185" t="s">
        <v>185</v>
      </c>
      <c r="G709" s="185" t="s">
        <v>698</v>
      </c>
      <c r="H709" s="237">
        <v>43705.0</v>
      </c>
      <c r="I709" s="185" t="s">
        <v>2288</v>
      </c>
      <c r="J709" s="185" t="s">
        <v>2288</v>
      </c>
      <c r="K709" s="185" t="s">
        <v>2288</v>
      </c>
      <c r="L709" s="185" t="s">
        <v>2259</v>
      </c>
      <c r="M709" s="196" t="s">
        <v>687</v>
      </c>
      <c r="N709" s="185"/>
      <c r="O709" s="238"/>
      <c r="P709" s="239" t="s">
        <v>1781</v>
      </c>
      <c r="Q709" s="239" t="s">
        <v>1764</v>
      </c>
      <c r="R709" s="240" t="s">
        <v>691</v>
      </c>
      <c r="S709" s="196" t="s">
        <v>691</v>
      </c>
      <c r="T709" s="196" t="s">
        <v>1765</v>
      </c>
    </row>
    <row r="710" hidden="1">
      <c r="A710" s="182" t="s">
        <v>2768</v>
      </c>
      <c r="B710" s="203" t="s">
        <v>66</v>
      </c>
      <c r="C710" s="173" t="s">
        <v>66</v>
      </c>
      <c r="D710" s="173" t="s">
        <v>2769</v>
      </c>
      <c r="E710" s="196" t="s">
        <v>2769</v>
      </c>
      <c r="F710" s="185" t="s">
        <v>185</v>
      </c>
      <c r="G710" s="185" t="s">
        <v>1500</v>
      </c>
      <c r="H710" s="237" t="b">
        <v>1</v>
      </c>
      <c r="I710" s="185" t="s">
        <v>136</v>
      </c>
      <c r="J710" s="185" t="s">
        <v>2770</v>
      </c>
      <c r="K710" s="185" t="s">
        <v>2771</v>
      </c>
      <c r="L710" s="185" t="s">
        <v>2259</v>
      </c>
      <c r="M710" s="196" t="s">
        <v>749</v>
      </c>
      <c r="N710" s="185"/>
      <c r="O710" s="238"/>
      <c r="P710" s="239" t="s">
        <v>1779</v>
      </c>
      <c r="Q710" s="239" t="s">
        <v>1902</v>
      </c>
      <c r="R710" s="240" t="s">
        <v>1510</v>
      </c>
      <c r="S710" s="196" t="s">
        <v>1510</v>
      </c>
      <c r="T710" s="196" t="s">
        <v>1927</v>
      </c>
    </row>
    <row r="711" hidden="1">
      <c r="A711" s="182" t="s">
        <v>2772</v>
      </c>
      <c r="B711" s="203" t="s">
        <v>66</v>
      </c>
      <c r="C711" s="173" t="s">
        <v>66</v>
      </c>
      <c r="D711" s="173" t="s">
        <v>2773</v>
      </c>
      <c r="E711" s="196" t="s">
        <v>2773</v>
      </c>
      <c r="F711" s="185" t="s">
        <v>185</v>
      </c>
      <c r="G711" s="185" t="s">
        <v>1500</v>
      </c>
      <c r="H711" s="237" t="b">
        <v>0</v>
      </c>
      <c r="I711" s="185" t="s">
        <v>136</v>
      </c>
      <c r="J711" s="185" t="s">
        <v>2770</v>
      </c>
      <c r="K711" s="185" t="s">
        <v>2771</v>
      </c>
      <c r="L711" s="185" t="s">
        <v>2259</v>
      </c>
      <c r="M711" s="196" t="s">
        <v>749</v>
      </c>
      <c r="N711" s="185"/>
      <c r="O711" s="238"/>
      <c r="P711" s="239" t="s">
        <v>1779</v>
      </c>
      <c r="Q711" s="239" t="s">
        <v>1902</v>
      </c>
      <c r="R711" s="240" t="s">
        <v>1510</v>
      </c>
      <c r="S711" s="196" t="s">
        <v>1510</v>
      </c>
      <c r="T711" s="196" t="s">
        <v>1927</v>
      </c>
    </row>
    <row r="712" hidden="1">
      <c r="A712" s="182" t="s">
        <v>2774</v>
      </c>
      <c r="B712" s="203" t="s">
        <v>66</v>
      </c>
      <c r="C712" s="173" t="s">
        <v>66</v>
      </c>
      <c r="D712" s="173" t="s">
        <v>2775</v>
      </c>
      <c r="E712" s="196" t="s">
        <v>2775</v>
      </c>
      <c r="F712" s="185" t="s">
        <v>185</v>
      </c>
      <c r="G712" s="185" t="s">
        <v>1500</v>
      </c>
      <c r="H712" s="237" t="b">
        <v>1</v>
      </c>
      <c r="I712" s="185" t="s">
        <v>136</v>
      </c>
      <c r="J712" s="185" t="s">
        <v>2770</v>
      </c>
      <c r="K712" s="185" t="s">
        <v>2771</v>
      </c>
      <c r="L712" s="185" t="s">
        <v>2259</v>
      </c>
      <c r="M712" s="196" t="s">
        <v>749</v>
      </c>
      <c r="N712" s="185"/>
      <c r="O712" s="238"/>
      <c r="P712" s="239" t="s">
        <v>1779</v>
      </c>
      <c r="Q712" s="239" t="s">
        <v>1902</v>
      </c>
      <c r="R712" s="240" t="s">
        <v>1510</v>
      </c>
      <c r="S712" s="196" t="s">
        <v>1510</v>
      </c>
      <c r="T712" s="196" t="s">
        <v>1927</v>
      </c>
    </row>
    <row r="713">
      <c r="A713" s="182" t="s">
        <v>2776</v>
      </c>
      <c r="B713" s="203" t="s">
        <v>66</v>
      </c>
      <c r="C713" s="173" t="s">
        <v>66</v>
      </c>
      <c r="D713" s="173" t="s">
        <v>2777</v>
      </c>
      <c r="E713" s="196" t="s">
        <v>2777</v>
      </c>
      <c r="F713" s="185" t="s">
        <v>185</v>
      </c>
      <c r="G713" s="185" t="s">
        <v>713</v>
      </c>
      <c r="H713" s="237">
        <v>5.0</v>
      </c>
      <c r="I713" s="185" t="s">
        <v>723</v>
      </c>
      <c r="J713" s="185" t="s">
        <v>723</v>
      </c>
      <c r="K713" s="185" t="s">
        <v>723</v>
      </c>
      <c r="L713" s="185" t="s">
        <v>2259</v>
      </c>
      <c r="M713" s="196" t="s">
        <v>687</v>
      </c>
      <c r="N713" s="185"/>
      <c r="O713" s="238"/>
      <c r="P713" s="239" t="s">
        <v>1782</v>
      </c>
      <c r="Q713" s="239" t="s">
        <v>1783</v>
      </c>
      <c r="R713" s="240" t="s">
        <v>721</v>
      </c>
      <c r="S713" s="196" t="s">
        <v>721</v>
      </c>
      <c r="T713" s="196" t="s">
        <v>1765</v>
      </c>
    </row>
    <row r="714">
      <c r="A714" s="182" t="s">
        <v>2778</v>
      </c>
      <c r="B714" s="203" t="s">
        <v>66</v>
      </c>
      <c r="C714" s="173" t="s">
        <v>66</v>
      </c>
      <c r="D714" s="173" t="s">
        <v>2779</v>
      </c>
      <c r="E714" s="196" t="s">
        <v>2779</v>
      </c>
      <c r="F714" s="185" t="s">
        <v>185</v>
      </c>
      <c r="G714" s="185" t="s">
        <v>768</v>
      </c>
      <c r="H714" s="237">
        <v>500.0</v>
      </c>
      <c r="I714" s="185" t="s">
        <v>723</v>
      </c>
      <c r="J714" s="185" t="s">
        <v>723</v>
      </c>
      <c r="K714" s="185" t="s">
        <v>723</v>
      </c>
      <c r="L714" s="185" t="s">
        <v>2259</v>
      </c>
      <c r="M714" s="196" t="s">
        <v>687</v>
      </c>
      <c r="N714" s="185"/>
      <c r="O714" s="238"/>
      <c r="P714" s="239" t="s">
        <v>1782</v>
      </c>
      <c r="Q714" s="239" t="s">
        <v>1783</v>
      </c>
      <c r="R714" s="240" t="s">
        <v>721</v>
      </c>
      <c r="S714" s="196" t="s">
        <v>721</v>
      </c>
      <c r="T714" s="196" t="s">
        <v>1765</v>
      </c>
    </row>
    <row r="715">
      <c r="A715" s="182" t="s">
        <v>2780</v>
      </c>
      <c r="B715" s="203" t="s">
        <v>66</v>
      </c>
      <c r="C715" s="173" t="s">
        <v>66</v>
      </c>
      <c r="D715" s="173" t="s">
        <v>2781</v>
      </c>
      <c r="E715" s="196" t="s">
        <v>2782</v>
      </c>
      <c r="F715" s="185" t="s">
        <v>185</v>
      </c>
      <c r="G715" s="185" t="s">
        <v>1500</v>
      </c>
      <c r="H715" s="237" t="b">
        <v>1</v>
      </c>
      <c r="I715" s="185" t="s">
        <v>1762</v>
      </c>
      <c r="J715" s="185" t="s">
        <v>1762</v>
      </c>
      <c r="K715" s="185" t="s">
        <v>1762</v>
      </c>
      <c r="L715" s="185" t="s">
        <v>2259</v>
      </c>
      <c r="M715" s="196" t="s">
        <v>749</v>
      </c>
      <c r="N715" s="185"/>
      <c r="O715" s="238"/>
      <c r="P715" s="239" t="s">
        <v>1763</v>
      </c>
      <c r="Q715" s="239" t="s">
        <v>1764</v>
      </c>
      <c r="R715" s="240" t="s">
        <v>782</v>
      </c>
      <c r="S715" s="196" t="s">
        <v>782</v>
      </c>
      <c r="T715" s="196" t="s">
        <v>1765</v>
      </c>
    </row>
    <row r="716">
      <c r="A716" s="182" t="s">
        <v>2783</v>
      </c>
      <c r="B716" s="203" t="s">
        <v>66</v>
      </c>
      <c r="C716" s="173" t="s">
        <v>66</v>
      </c>
      <c r="D716" s="173" t="s">
        <v>2784</v>
      </c>
      <c r="E716" s="196" t="s">
        <v>2785</v>
      </c>
      <c r="F716" s="185" t="s">
        <v>83</v>
      </c>
      <c r="G716" s="185" t="s">
        <v>1761</v>
      </c>
      <c r="H716" s="237" t="s">
        <v>936</v>
      </c>
      <c r="I716" s="185" t="s">
        <v>1762</v>
      </c>
      <c r="J716" s="185" t="s">
        <v>1762</v>
      </c>
      <c r="K716" s="185" t="s">
        <v>1762</v>
      </c>
      <c r="L716" s="185" t="s">
        <v>2259</v>
      </c>
      <c r="M716" s="196" t="s">
        <v>749</v>
      </c>
      <c r="N716" s="185"/>
      <c r="O716" s="238"/>
      <c r="P716" s="239" t="s">
        <v>1763</v>
      </c>
      <c r="Q716" s="239" t="s">
        <v>1764</v>
      </c>
      <c r="R716" s="240" t="s">
        <v>782</v>
      </c>
      <c r="S716" s="196" t="s">
        <v>782</v>
      </c>
      <c r="T716" s="196" t="s">
        <v>1765</v>
      </c>
    </row>
    <row r="717">
      <c r="A717" s="182" t="s">
        <v>2786</v>
      </c>
      <c r="B717" s="203" t="s">
        <v>66</v>
      </c>
      <c r="C717" s="173" t="s">
        <v>66</v>
      </c>
      <c r="D717" s="173" t="s">
        <v>2787</v>
      </c>
      <c r="E717" s="196" t="s">
        <v>2788</v>
      </c>
      <c r="F717" s="185" t="s">
        <v>185</v>
      </c>
      <c r="G717" s="185" t="s">
        <v>1761</v>
      </c>
      <c r="H717" s="237" t="s">
        <v>2789</v>
      </c>
      <c r="I717" s="185" t="s">
        <v>1762</v>
      </c>
      <c r="J717" s="185" t="s">
        <v>1762</v>
      </c>
      <c r="K717" s="185" t="s">
        <v>1762</v>
      </c>
      <c r="L717" s="185" t="s">
        <v>2259</v>
      </c>
      <c r="M717" s="196" t="s">
        <v>749</v>
      </c>
      <c r="N717" s="185"/>
      <c r="O717" s="238"/>
      <c r="P717" s="239" t="s">
        <v>1763</v>
      </c>
      <c r="Q717" s="239" t="s">
        <v>1764</v>
      </c>
      <c r="R717" s="240" t="s">
        <v>782</v>
      </c>
      <c r="S717" s="196" t="s">
        <v>782</v>
      </c>
      <c r="T717" s="196" t="s">
        <v>1765</v>
      </c>
    </row>
    <row r="718">
      <c r="A718" s="182" t="s">
        <v>2790</v>
      </c>
      <c r="B718" s="203" t="s">
        <v>66</v>
      </c>
      <c r="C718" s="173" t="s">
        <v>66</v>
      </c>
      <c r="D718" s="173" t="s">
        <v>2791</v>
      </c>
      <c r="E718" s="196" t="s">
        <v>2792</v>
      </c>
      <c r="F718" s="185" t="s">
        <v>185</v>
      </c>
      <c r="G718" s="185" t="s">
        <v>1761</v>
      </c>
      <c r="H718" s="237" t="s">
        <v>2793</v>
      </c>
      <c r="I718" s="185" t="s">
        <v>1762</v>
      </c>
      <c r="J718" s="185" t="s">
        <v>1762</v>
      </c>
      <c r="K718" s="185" t="s">
        <v>1762</v>
      </c>
      <c r="L718" s="185" t="s">
        <v>2259</v>
      </c>
      <c r="M718" s="196" t="s">
        <v>749</v>
      </c>
      <c r="N718" s="185"/>
      <c r="O718" s="238"/>
      <c r="P718" s="239" t="s">
        <v>1763</v>
      </c>
      <c r="Q718" s="239" t="s">
        <v>1764</v>
      </c>
      <c r="R718" s="240" t="s">
        <v>782</v>
      </c>
      <c r="S718" s="196" t="s">
        <v>782</v>
      </c>
      <c r="T718" s="196" t="s">
        <v>1765</v>
      </c>
    </row>
    <row r="719">
      <c r="A719" s="182" t="s">
        <v>2794</v>
      </c>
      <c r="B719" s="203" t="s">
        <v>66</v>
      </c>
      <c r="C719" s="173" t="s">
        <v>66</v>
      </c>
      <c r="D719" s="173" t="s">
        <v>2795</v>
      </c>
      <c r="E719" s="196" t="s">
        <v>2795</v>
      </c>
      <c r="F719" s="185" t="s">
        <v>185</v>
      </c>
      <c r="G719" s="185" t="s">
        <v>768</v>
      </c>
      <c r="H719" s="237">
        <v>0.17</v>
      </c>
      <c r="I719" s="185" t="s">
        <v>723</v>
      </c>
      <c r="J719" s="185" t="s">
        <v>723</v>
      </c>
      <c r="K719" s="185" t="s">
        <v>723</v>
      </c>
      <c r="L719" s="185" t="s">
        <v>2259</v>
      </c>
      <c r="M719" s="196" t="s">
        <v>687</v>
      </c>
      <c r="N719" s="185"/>
      <c r="O719" s="238"/>
      <c r="P719" s="239" t="s">
        <v>1777</v>
      </c>
      <c r="Q719" s="239" t="s">
        <v>1764</v>
      </c>
      <c r="R719" s="240" t="s">
        <v>724</v>
      </c>
      <c r="S719" s="196" t="s">
        <v>724</v>
      </c>
      <c r="T719" s="196" t="s">
        <v>1765</v>
      </c>
    </row>
    <row r="720">
      <c r="A720" s="182" t="s">
        <v>2796</v>
      </c>
      <c r="B720" s="203" t="s">
        <v>66</v>
      </c>
      <c r="C720" s="173" t="s">
        <v>66</v>
      </c>
      <c r="D720" s="173" t="s">
        <v>2797</v>
      </c>
      <c r="E720" s="196" t="s">
        <v>2797</v>
      </c>
      <c r="F720" s="185" t="s">
        <v>185</v>
      </c>
      <c r="G720" s="185" t="s">
        <v>768</v>
      </c>
      <c r="H720" s="237">
        <v>0.13</v>
      </c>
      <c r="I720" s="185" t="s">
        <v>723</v>
      </c>
      <c r="J720" s="185" t="s">
        <v>723</v>
      </c>
      <c r="K720" s="185" t="s">
        <v>723</v>
      </c>
      <c r="L720" s="185" t="s">
        <v>2259</v>
      </c>
      <c r="M720" s="196" t="s">
        <v>687</v>
      </c>
      <c r="N720" s="185"/>
      <c r="O720" s="238"/>
      <c r="P720" s="239" t="s">
        <v>1777</v>
      </c>
      <c r="Q720" s="239" t="s">
        <v>1764</v>
      </c>
      <c r="R720" s="240" t="s">
        <v>724</v>
      </c>
      <c r="S720" s="196" t="s">
        <v>724</v>
      </c>
      <c r="T720" s="196" t="s">
        <v>1765</v>
      </c>
    </row>
    <row r="721">
      <c r="A721" s="182" t="s">
        <v>2798</v>
      </c>
      <c r="B721" s="203" t="s">
        <v>66</v>
      </c>
      <c r="C721" s="173" t="s">
        <v>66</v>
      </c>
      <c r="D721" s="173" t="s">
        <v>2799</v>
      </c>
      <c r="E721" s="196" t="s">
        <v>2799</v>
      </c>
      <c r="F721" s="185" t="s">
        <v>185</v>
      </c>
      <c r="G721" s="185" t="s">
        <v>768</v>
      </c>
      <c r="H721" s="237">
        <v>83.36</v>
      </c>
      <c r="I721" s="185" t="s">
        <v>723</v>
      </c>
      <c r="J721" s="185" t="s">
        <v>723</v>
      </c>
      <c r="K721" s="185" t="s">
        <v>723</v>
      </c>
      <c r="L721" s="185" t="s">
        <v>2259</v>
      </c>
      <c r="M721" s="196" t="s">
        <v>687</v>
      </c>
      <c r="N721" s="185"/>
      <c r="O721" s="238"/>
      <c r="P721" s="239" t="s">
        <v>1777</v>
      </c>
      <c r="Q721" s="239" t="s">
        <v>1764</v>
      </c>
      <c r="R721" s="240" t="s">
        <v>724</v>
      </c>
      <c r="S721" s="196" t="s">
        <v>724</v>
      </c>
      <c r="T721" s="196" t="s">
        <v>1765</v>
      </c>
    </row>
    <row r="722">
      <c r="A722" s="182" t="s">
        <v>2800</v>
      </c>
      <c r="B722" s="203" t="s">
        <v>66</v>
      </c>
      <c r="C722" s="173" t="s">
        <v>66</v>
      </c>
      <c r="D722" s="173" t="s">
        <v>2801</v>
      </c>
      <c r="E722" s="196" t="s">
        <v>2801</v>
      </c>
      <c r="F722" s="185" t="s">
        <v>185</v>
      </c>
      <c r="G722" s="185" t="s">
        <v>768</v>
      </c>
      <c r="H722" s="237">
        <v>23.61</v>
      </c>
      <c r="I722" s="185" t="s">
        <v>723</v>
      </c>
      <c r="J722" s="185" t="s">
        <v>723</v>
      </c>
      <c r="K722" s="185" t="s">
        <v>723</v>
      </c>
      <c r="L722" s="185" t="s">
        <v>2259</v>
      </c>
      <c r="M722" s="196" t="s">
        <v>687</v>
      </c>
      <c r="N722" s="185"/>
      <c r="O722" s="238"/>
      <c r="P722" s="239" t="s">
        <v>1777</v>
      </c>
      <c r="Q722" s="239" t="s">
        <v>1764</v>
      </c>
      <c r="R722" s="240" t="s">
        <v>724</v>
      </c>
      <c r="S722" s="196" t="s">
        <v>724</v>
      </c>
      <c r="T722" s="196" t="s">
        <v>1765</v>
      </c>
    </row>
    <row r="723">
      <c r="A723" s="182" t="s">
        <v>2802</v>
      </c>
      <c r="B723" s="203" t="s">
        <v>66</v>
      </c>
      <c r="C723" s="173" t="s">
        <v>66</v>
      </c>
      <c r="D723" s="173" t="s">
        <v>2803</v>
      </c>
      <c r="E723" s="196" t="s">
        <v>2803</v>
      </c>
      <c r="F723" s="185" t="s">
        <v>185</v>
      </c>
      <c r="G723" s="185" t="s">
        <v>713</v>
      </c>
      <c r="H723" s="237">
        <v>500.0</v>
      </c>
      <c r="I723" s="185" t="s">
        <v>2804</v>
      </c>
      <c r="J723" s="185" t="s">
        <v>2804</v>
      </c>
      <c r="K723" s="185" t="s">
        <v>2804</v>
      </c>
      <c r="L723" s="185" t="s">
        <v>2259</v>
      </c>
      <c r="M723" s="196" t="s">
        <v>687</v>
      </c>
      <c r="N723" s="185"/>
      <c r="O723" s="238"/>
      <c r="P723" s="239" t="s">
        <v>1782</v>
      </c>
      <c r="Q723" s="239" t="s">
        <v>1783</v>
      </c>
      <c r="R723" s="240" t="s">
        <v>721</v>
      </c>
      <c r="S723" s="196" t="s">
        <v>721</v>
      </c>
      <c r="T723" s="196" t="s">
        <v>1765</v>
      </c>
    </row>
    <row r="724">
      <c r="A724" s="182" t="s">
        <v>2805</v>
      </c>
      <c r="B724" s="203" t="s">
        <v>66</v>
      </c>
      <c r="C724" s="173" t="s">
        <v>66</v>
      </c>
      <c r="D724" s="173" t="s">
        <v>2806</v>
      </c>
      <c r="E724" s="196" t="s">
        <v>2806</v>
      </c>
      <c r="F724" s="185" t="s">
        <v>185</v>
      </c>
      <c r="G724" s="185" t="s">
        <v>713</v>
      </c>
      <c r="H724" s="237">
        <v>100.0</v>
      </c>
      <c r="I724" s="185" t="s">
        <v>2807</v>
      </c>
      <c r="J724" s="185" t="s">
        <v>2807</v>
      </c>
      <c r="K724" s="185" t="s">
        <v>2807</v>
      </c>
      <c r="L724" s="185" t="s">
        <v>2259</v>
      </c>
      <c r="M724" s="196" t="s">
        <v>687</v>
      </c>
      <c r="N724" s="185"/>
      <c r="O724" s="238"/>
      <c r="P724" s="239" t="s">
        <v>1782</v>
      </c>
      <c r="Q724" s="239" t="s">
        <v>1783</v>
      </c>
      <c r="R724" s="240" t="s">
        <v>750</v>
      </c>
      <c r="S724" s="196" t="s">
        <v>750</v>
      </c>
      <c r="T724" s="196" t="s">
        <v>1765</v>
      </c>
    </row>
    <row r="725">
      <c r="A725" s="182" t="s">
        <v>2808</v>
      </c>
      <c r="B725" s="203" t="s">
        <v>66</v>
      </c>
      <c r="C725" s="173" t="s">
        <v>66</v>
      </c>
      <c r="D725" s="173" t="s">
        <v>2809</v>
      </c>
      <c r="E725" s="196" t="s">
        <v>2810</v>
      </c>
      <c r="F725" s="185" t="s">
        <v>185</v>
      </c>
      <c r="G725" s="185" t="s">
        <v>768</v>
      </c>
      <c r="H725" s="237">
        <v>132.67</v>
      </c>
      <c r="I725" s="185" t="s">
        <v>2807</v>
      </c>
      <c r="J725" s="185" t="s">
        <v>2807</v>
      </c>
      <c r="K725" s="185" t="s">
        <v>2807</v>
      </c>
      <c r="L725" s="185" t="s">
        <v>2259</v>
      </c>
      <c r="M725" s="196" t="s">
        <v>687</v>
      </c>
      <c r="N725" s="185"/>
      <c r="O725" s="238"/>
      <c r="P725" s="239" t="s">
        <v>1782</v>
      </c>
      <c r="Q725" s="239" t="s">
        <v>1783</v>
      </c>
      <c r="R725" s="240" t="s">
        <v>750</v>
      </c>
      <c r="S725" s="196" t="s">
        <v>750</v>
      </c>
      <c r="T725" s="196" t="s">
        <v>1765</v>
      </c>
    </row>
    <row r="726">
      <c r="A726" s="182" t="s">
        <v>2811</v>
      </c>
      <c r="B726" s="203" t="s">
        <v>66</v>
      </c>
      <c r="C726" s="173" t="s">
        <v>66</v>
      </c>
      <c r="D726" s="173" t="s">
        <v>2812</v>
      </c>
      <c r="E726" s="196" t="s">
        <v>2813</v>
      </c>
      <c r="F726" s="185" t="s">
        <v>135</v>
      </c>
      <c r="G726" s="185" t="s">
        <v>1761</v>
      </c>
      <c r="H726" s="237" t="s">
        <v>2814</v>
      </c>
      <c r="I726" s="185" t="s">
        <v>136</v>
      </c>
      <c r="J726" s="185" t="s">
        <v>136</v>
      </c>
      <c r="K726" s="185" t="s">
        <v>2362</v>
      </c>
      <c r="L726" s="185" t="s">
        <v>2259</v>
      </c>
      <c r="M726" s="196" t="s">
        <v>2815</v>
      </c>
      <c r="N726" s="185"/>
      <c r="O726" s="238"/>
      <c r="P726" s="239" t="s">
        <v>701</v>
      </c>
      <c r="Q726" s="239" t="s">
        <v>732</v>
      </c>
      <c r="R726" s="240" t="s">
        <v>702</v>
      </c>
      <c r="S726" s="196" t="s">
        <v>702</v>
      </c>
      <c r="T726" s="196" t="s">
        <v>1765</v>
      </c>
    </row>
    <row r="727">
      <c r="A727" s="182" t="s">
        <v>2816</v>
      </c>
      <c r="B727" s="203" t="s">
        <v>66</v>
      </c>
      <c r="C727" s="173" t="s">
        <v>66</v>
      </c>
      <c r="D727" s="173" t="s">
        <v>2817</v>
      </c>
      <c r="E727" s="196" t="s">
        <v>2818</v>
      </c>
      <c r="F727" s="185" t="s">
        <v>135</v>
      </c>
      <c r="G727" s="185" t="s">
        <v>1761</v>
      </c>
      <c r="H727" s="237">
        <v>1.9044417E7</v>
      </c>
      <c r="I727" s="185" t="s">
        <v>136</v>
      </c>
      <c r="J727" s="185" t="s">
        <v>136</v>
      </c>
      <c r="K727" s="185" t="s">
        <v>2362</v>
      </c>
      <c r="L727" s="185" t="s">
        <v>2259</v>
      </c>
      <c r="M727" s="196" t="s">
        <v>2815</v>
      </c>
      <c r="N727" s="185"/>
      <c r="O727" s="238"/>
      <c r="P727" s="239" t="s">
        <v>701</v>
      </c>
      <c r="Q727" s="239" t="s">
        <v>732</v>
      </c>
      <c r="R727" s="240" t="s">
        <v>702</v>
      </c>
      <c r="S727" s="196" t="s">
        <v>702</v>
      </c>
      <c r="T727" s="196" t="s">
        <v>1765</v>
      </c>
    </row>
    <row r="728">
      <c r="A728" s="182" t="s">
        <v>2819</v>
      </c>
      <c r="B728" s="203" t="s">
        <v>66</v>
      </c>
      <c r="C728" s="173" t="s">
        <v>66</v>
      </c>
      <c r="D728" s="173" t="s">
        <v>2820</v>
      </c>
      <c r="E728" s="196" t="s">
        <v>2821</v>
      </c>
      <c r="F728" s="185" t="s">
        <v>135</v>
      </c>
      <c r="G728" s="185" t="s">
        <v>713</v>
      </c>
      <c r="H728" s="237">
        <v>1499.0</v>
      </c>
      <c r="I728" s="185" t="s">
        <v>136</v>
      </c>
      <c r="J728" s="185" t="s">
        <v>136</v>
      </c>
      <c r="K728" s="185" t="s">
        <v>2362</v>
      </c>
      <c r="L728" s="185" t="s">
        <v>2259</v>
      </c>
      <c r="M728" s="196" t="s">
        <v>2815</v>
      </c>
      <c r="N728" s="185"/>
      <c r="O728" s="238"/>
      <c r="P728" s="239" t="s">
        <v>701</v>
      </c>
      <c r="Q728" s="239" t="s">
        <v>732</v>
      </c>
      <c r="R728" s="240" t="s">
        <v>702</v>
      </c>
      <c r="S728" s="196" t="s">
        <v>702</v>
      </c>
      <c r="T728" s="196" t="s">
        <v>1765</v>
      </c>
    </row>
    <row r="729">
      <c r="A729" s="182" t="s">
        <v>2822</v>
      </c>
      <c r="B729" s="203" t="s">
        <v>66</v>
      </c>
      <c r="C729" s="173" t="s">
        <v>66</v>
      </c>
      <c r="D729" s="173" t="s">
        <v>2823</v>
      </c>
      <c r="E729" s="196" t="s">
        <v>2824</v>
      </c>
      <c r="F729" s="185" t="s">
        <v>135</v>
      </c>
      <c r="G729" s="185" t="s">
        <v>1761</v>
      </c>
      <c r="H729" s="237" t="s">
        <v>2825</v>
      </c>
      <c r="I729" s="185" t="s">
        <v>136</v>
      </c>
      <c r="J729" s="185" t="s">
        <v>136</v>
      </c>
      <c r="K729" s="185" t="s">
        <v>2362</v>
      </c>
      <c r="L729" s="185" t="s">
        <v>2259</v>
      </c>
      <c r="M729" s="196" t="s">
        <v>2815</v>
      </c>
      <c r="N729" s="185"/>
      <c r="O729" s="238"/>
      <c r="P729" s="239" t="s">
        <v>701</v>
      </c>
      <c r="Q729" s="239" t="s">
        <v>732</v>
      </c>
      <c r="R729" s="240" t="s">
        <v>702</v>
      </c>
      <c r="S729" s="196" t="s">
        <v>702</v>
      </c>
      <c r="T729" s="196" t="s">
        <v>1765</v>
      </c>
    </row>
    <row r="730">
      <c r="A730" s="182" t="s">
        <v>2826</v>
      </c>
      <c r="B730" s="203" t="s">
        <v>66</v>
      </c>
      <c r="C730" s="173" t="s">
        <v>66</v>
      </c>
      <c r="D730" s="173" t="s">
        <v>2827</v>
      </c>
      <c r="E730" s="196" t="s">
        <v>2828</v>
      </c>
      <c r="F730" s="185" t="s">
        <v>135</v>
      </c>
      <c r="G730" s="185" t="s">
        <v>713</v>
      </c>
      <c r="H730" s="237">
        <v>15.0</v>
      </c>
      <c r="I730" s="185" t="s">
        <v>136</v>
      </c>
      <c r="J730" s="185" t="s">
        <v>136</v>
      </c>
      <c r="K730" s="185" t="s">
        <v>2362</v>
      </c>
      <c r="L730" s="185" t="s">
        <v>2259</v>
      </c>
      <c r="M730" s="196" t="s">
        <v>2815</v>
      </c>
      <c r="N730" s="185"/>
      <c r="O730" s="238"/>
      <c r="P730" s="239" t="s">
        <v>701</v>
      </c>
      <c r="Q730" s="239" t="s">
        <v>732</v>
      </c>
      <c r="R730" s="240" t="s">
        <v>702</v>
      </c>
      <c r="S730" s="196" t="s">
        <v>702</v>
      </c>
      <c r="T730" s="196" t="s">
        <v>1765</v>
      </c>
    </row>
    <row r="731">
      <c r="A731" s="182" t="s">
        <v>2829</v>
      </c>
      <c r="B731" s="203" t="s">
        <v>66</v>
      </c>
      <c r="C731" s="173" t="s">
        <v>66</v>
      </c>
      <c r="D731" s="173" t="s">
        <v>2830</v>
      </c>
      <c r="E731" s="196" t="s">
        <v>2831</v>
      </c>
      <c r="F731" s="185" t="s">
        <v>135</v>
      </c>
      <c r="G731" s="185" t="s">
        <v>768</v>
      </c>
      <c r="H731" s="237">
        <v>2431.0</v>
      </c>
      <c r="I731" s="185" t="s">
        <v>136</v>
      </c>
      <c r="J731" s="185" t="s">
        <v>136</v>
      </c>
      <c r="K731" s="185" t="s">
        <v>2362</v>
      </c>
      <c r="L731" s="185" t="s">
        <v>2259</v>
      </c>
      <c r="M731" s="196" t="s">
        <v>2815</v>
      </c>
      <c r="N731" s="185"/>
      <c r="O731" s="238"/>
      <c r="P731" s="239" t="s">
        <v>701</v>
      </c>
      <c r="Q731" s="239" t="s">
        <v>732</v>
      </c>
      <c r="R731" s="240" t="s">
        <v>702</v>
      </c>
      <c r="S731" s="196" t="s">
        <v>702</v>
      </c>
      <c r="T731" s="196" t="s">
        <v>1765</v>
      </c>
    </row>
    <row r="732">
      <c r="A732" s="182" t="s">
        <v>2832</v>
      </c>
      <c r="B732" s="203" t="s">
        <v>66</v>
      </c>
      <c r="C732" s="173" t="s">
        <v>66</v>
      </c>
      <c r="D732" s="173" t="s">
        <v>2833</v>
      </c>
      <c r="E732" s="196" t="s">
        <v>2834</v>
      </c>
      <c r="F732" s="185" t="s">
        <v>185</v>
      </c>
      <c r="G732" s="185" t="s">
        <v>1500</v>
      </c>
      <c r="H732" s="237" t="b">
        <v>1</v>
      </c>
      <c r="I732" s="185" t="s">
        <v>1762</v>
      </c>
      <c r="J732" s="185" t="s">
        <v>1762</v>
      </c>
      <c r="K732" s="185" t="s">
        <v>1762</v>
      </c>
      <c r="L732" s="185" t="s">
        <v>2259</v>
      </c>
      <c r="M732" s="196" t="s">
        <v>749</v>
      </c>
      <c r="N732" s="185"/>
      <c r="O732" s="238"/>
      <c r="P732" s="239" t="s">
        <v>1763</v>
      </c>
      <c r="Q732" s="239" t="s">
        <v>1764</v>
      </c>
      <c r="R732" s="240" t="s">
        <v>782</v>
      </c>
      <c r="S732" s="196" t="s">
        <v>782</v>
      </c>
      <c r="T732" s="196" t="s">
        <v>1765</v>
      </c>
    </row>
    <row r="733">
      <c r="A733" s="182" t="s">
        <v>2835</v>
      </c>
      <c r="B733" s="203" t="s">
        <v>66</v>
      </c>
      <c r="C733" s="173" t="s">
        <v>66</v>
      </c>
      <c r="D733" s="173" t="s">
        <v>2836</v>
      </c>
      <c r="E733" s="196" t="s">
        <v>2837</v>
      </c>
      <c r="F733" s="185" t="s">
        <v>185</v>
      </c>
      <c r="G733" s="185" t="s">
        <v>1500</v>
      </c>
      <c r="H733" s="237" t="b">
        <v>1</v>
      </c>
      <c r="I733" s="185" t="s">
        <v>1762</v>
      </c>
      <c r="J733" s="185" t="s">
        <v>1762</v>
      </c>
      <c r="K733" s="185" t="s">
        <v>1762</v>
      </c>
      <c r="L733" s="185" t="s">
        <v>2259</v>
      </c>
      <c r="M733" s="196" t="s">
        <v>749</v>
      </c>
      <c r="N733" s="185"/>
      <c r="O733" s="238"/>
      <c r="P733" s="239" t="s">
        <v>1763</v>
      </c>
      <c r="Q733" s="239" t="s">
        <v>1764</v>
      </c>
      <c r="R733" s="240" t="s">
        <v>782</v>
      </c>
      <c r="S733" s="196" t="s">
        <v>782</v>
      </c>
      <c r="T733" s="196" t="s">
        <v>1765</v>
      </c>
    </row>
    <row r="734">
      <c r="A734" s="182" t="s">
        <v>2838</v>
      </c>
      <c r="B734" s="203" t="s">
        <v>66</v>
      </c>
      <c r="C734" s="173" t="s">
        <v>66</v>
      </c>
      <c r="D734" s="173" t="s">
        <v>2839</v>
      </c>
      <c r="E734" s="196" t="s">
        <v>2840</v>
      </c>
      <c r="F734" s="185" t="s">
        <v>83</v>
      </c>
      <c r="G734" s="185" t="s">
        <v>1761</v>
      </c>
      <c r="H734" s="237" t="s">
        <v>977</v>
      </c>
      <c r="I734" s="185" t="s">
        <v>1762</v>
      </c>
      <c r="J734" s="185" t="s">
        <v>1762</v>
      </c>
      <c r="K734" s="185" t="s">
        <v>1762</v>
      </c>
      <c r="L734" s="185" t="s">
        <v>2259</v>
      </c>
      <c r="M734" s="196" t="s">
        <v>749</v>
      </c>
      <c r="N734" s="185"/>
      <c r="O734" s="238"/>
      <c r="P734" s="239" t="s">
        <v>1763</v>
      </c>
      <c r="Q734" s="239" t="s">
        <v>1764</v>
      </c>
      <c r="R734" s="240" t="s">
        <v>782</v>
      </c>
      <c r="S734" s="196" t="s">
        <v>782</v>
      </c>
      <c r="T734" s="196" t="s">
        <v>1765</v>
      </c>
    </row>
    <row r="735">
      <c r="A735" s="182" t="s">
        <v>2841</v>
      </c>
      <c r="B735" s="203" t="s">
        <v>66</v>
      </c>
      <c r="C735" s="173" t="s">
        <v>66</v>
      </c>
      <c r="D735" s="173" t="s">
        <v>2842</v>
      </c>
      <c r="E735" s="196" t="s">
        <v>2843</v>
      </c>
      <c r="F735" s="185" t="s">
        <v>185</v>
      </c>
      <c r="G735" s="185" t="s">
        <v>1761</v>
      </c>
      <c r="H735" s="237" t="s">
        <v>2476</v>
      </c>
      <c r="I735" s="185" t="s">
        <v>1762</v>
      </c>
      <c r="J735" s="185" t="s">
        <v>1762</v>
      </c>
      <c r="K735" s="185" t="s">
        <v>1762</v>
      </c>
      <c r="L735" s="185" t="s">
        <v>2259</v>
      </c>
      <c r="M735" s="196" t="s">
        <v>749</v>
      </c>
      <c r="N735" s="185"/>
      <c r="O735" s="238"/>
      <c r="P735" s="239" t="s">
        <v>1763</v>
      </c>
      <c r="Q735" s="239" t="s">
        <v>1764</v>
      </c>
      <c r="R735" s="240" t="s">
        <v>782</v>
      </c>
      <c r="S735" s="196" t="s">
        <v>782</v>
      </c>
      <c r="T735" s="196" t="s">
        <v>1765</v>
      </c>
    </row>
    <row r="736">
      <c r="A736" s="182" t="s">
        <v>2844</v>
      </c>
      <c r="B736" s="203" t="s">
        <v>66</v>
      </c>
      <c r="C736" s="173" t="s">
        <v>66</v>
      </c>
      <c r="D736" s="173" t="s">
        <v>2845</v>
      </c>
      <c r="E736" s="196" t="s">
        <v>2846</v>
      </c>
      <c r="F736" s="185" t="s">
        <v>185</v>
      </c>
      <c r="G736" s="185" t="s">
        <v>1761</v>
      </c>
      <c r="H736" s="237" t="s">
        <v>2847</v>
      </c>
      <c r="I736" s="185" t="s">
        <v>1762</v>
      </c>
      <c r="J736" s="185" t="s">
        <v>1762</v>
      </c>
      <c r="K736" s="185" t="s">
        <v>1762</v>
      </c>
      <c r="L736" s="185" t="s">
        <v>2259</v>
      </c>
      <c r="M736" s="196" t="s">
        <v>749</v>
      </c>
      <c r="N736" s="185"/>
      <c r="O736" s="238"/>
      <c r="P736" s="239" t="s">
        <v>1763</v>
      </c>
      <c r="Q736" s="239" t="s">
        <v>1764</v>
      </c>
      <c r="R736" s="240" t="s">
        <v>782</v>
      </c>
      <c r="S736" s="196" t="s">
        <v>782</v>
      </c>
      <c r="T736" s="196" t="s">
        <v>1765</v>
      </c>
    </row>
    <row r="737">
      <c r="A737" s="182" t="s">
        <v>2848</v>
      </c>
      <c r="B737" s="203" t="s">
        <v>66</v>
      </c>
      <c r="C737" s="173" t="s">
        <v>66</v>
      </c>
      <c r="D737" s="173" t="s">
        <v>2849</v>
      </c>
      <c r="E737" s="196" t="s">
        <v>2850</v>
      </c>
      <c r="F737" s="185" t="s">
        <v>185</v>
      </c>
      <c r="G737" s="185" t="s">
        <v>1500</v>
      </c>
      <c r="H737" s="237" t="b">
        <v>1</v>
      </c>
      <c r="I737" s="185" t="s">
        <v>1762</v>
      </c>
      <c r="J737" s="185" t="s">
        <v>1762</v>
      </c>
      <c r="K737" s="185" t="s">
        <v>1762</v>
      </c>
      <c r="L737" s="185" t="s">
        <v>2259</v>
      </c>
      <c r="M737" s="196" t="s">
        <v>749</v>
      </c>
      <c r="N737" s="185"/>
      <c r="O737" s="238"/>
      <c r="P737" s="239" t="s">
        <v>1763</v>
      </c>
      <c r="Q737" s="239" t="s">
        <v>1764</v>
      </c>
      <c r="R737" s="240" t="s">
        <v>782</v>
      </c>
      <c r="S737" s="196" t="s">
        <v>782</v>
      </c>
      <c r="T737" s="196" t="s">
        <v>1765</v>
      </c>
    </row>
    <row r="738">
      <c r="A738" s="182" t="s">
        <v>2851</v>
      </c>
      <c r="B738" s="203" t="s">
        <v>66</v>
      </c>
      <c r="C738" s="173" t="s">
        <v>66</v>
      </c>
      <c r="D738" s="173" t="s">
        <v>2852</v>
      </c>
      <c r="E738" s="196" t="s">
        <v>2853</v>
      </c>
      <c r="F738" s="185" t="s">
        <v>83</v>
      </c>
      <c r="G738" s="185" t="s">
        <v>1761</v>
      </c>
      <c r="H738" s="237" t="s">
        <v>977</v>
      </c>
      <c r="I738" s="185" t="s">
        <v>1762</v>
      </c>
      <c r="J738" s="185" t="s">
        <v>1762</v>
      </c>
      <c r="K738" s="185" t="s">
        <v>1762</v>
      </c>
      <c r="L738" s="185" t="s">
        <v>2259</v>
      </c>
      <c r="M738" s="196" t="s">
        <v>749</v>
      </c>
      <c r="N738" s="185"/>
      <c r="O738" s="238"/>
      <c r="P738" s="239" t="s">
        <v>1763</v>
      </c>
      <c r="Q738" s="239" t="s">
        <v>1764</v>
      </c>
      <c r="R738" s="240" t="s">
        <v>782</v>
      </c>
      <c r="S738" s="196" t="s">
        <v>782</v>
      </c>
      <c r="T738" s="196" t="s">
        <v>1765</v>
      </c>
    </row>
    <row r="739">
      <c r="A739" s="182" t="s">
        <v>2854</v>
      </c>
      <c r="B739" s="203" t="s">
        <v>66</v>
      </c>
      <c r="C739" s="173" t="s">
        <v>66</v>
      </c>
      <c r="D739" s="173" t="s">
        <v>2855</v>
      </c>
      <c r="E739" s="196" t="s">
        <v>2856</v>
      </c>
      <c r="F739" s="185" t="s">
        <v>185</v>
      </c>
      <c r="G739" s="185" t="s">
        <v>1761</v>
      </c>
      <c r="H739" s="237" t="s">
        <v>2476</v>
      </c>
      <c r="I739" s="185" t="s">
        <v>1762</v>
      </c>
      <c r="J739" s="185" t="s">
        <v>1762</v>
      </c>
      <c r="K739" s="185" t="s">
        <v>1762</v>
      </c>
      <c r="L739" s="185" t="s">
        <v>2259</v>
      </c>
      <c r="M739" s="196" t="s">
        <v>749</v>
      </c>
      <c r="N739" s="185"/>
      <c r="O739" s="238"/>
      <c r="P739" s="239" t="s">
        <v>1763</v>
      </c>
      <c r="Q739" s="239" t="s">
        <v>1764</v>
      </c>
      <c r="R739" s="240" t="s">
        <v>782</v>
      </c>
      <c r="S739" s="196" t="s">
        <v>782</v>
      </c>
      <c r="T739" s="196" t="s">
        <v>1765</v>
      </c>
    </row>
    <row r="740">
      <c r="A740" s="182" t="s">
        <v>2857</v>
      </c>
      <c r="B740" s="203" t="s">
        <v>66</v>
      </c>
      <c r="C740" s="173" t="s">
        <v>66</v>
      </c>
      <c r="D740" s="173" t="s">
        <v>2858</v>
      </c>
      <c r="E740" s="196" t="s">
        <v>2859</v>
      </c>
      <c r="F740" s="185" t="s">
        <v>185</v>
      </c>
      <c r="G740" s="185" t="s">
        <v>1761</v>
      </c>
      <c r="H740" s="237" t="s">
        <v>2860</v>
      </c>
      <c r="I740" s="185" t="s">
        <v>1762</v>
      </c>
      <c r="J740" s="185" t="s">
        <v>1762</v>
      </c>
      <c r="K740" s="185" t="s">
        <v>1762</v>
      </c>
      <c r="L740" s="185" t="s">
        <v>2259</v>
      </c>
      <c r="M740" s="196" t="s">
        <v>749</v>
      </c>
      <c r="N740" s="185"/>
      <c r="O740" s="238"/>
      <c r="P740" s="239" t="s">
        <v>1763</v>
      </c>
      <c r="Q740" s="239" t="s">
        <v>1764</v>
      </c>
      <c r="R740" s="240" t="s">
        <v>782</v>
      </c>
      <c r="S740" s="196" t="s">
        <v>782</v>
      </c>
      <c r="T740" s="196" t="s">
        <v>1765</v>
      </c>
    </row>
    <row r="741">
      <c r="A741" s="182" t="s">
        <v>2861</v>
      </c>
      <c r="B741" s="203" t="s">
        <v>66</v>
      </c>
      <c r="C741" s="173" t="s">
        <v>66</v>
      </c>
      <c r="D741" s="173" t="s">
        <v>2862</v>
      </c>
      <c r="E741" s="196" t="s">
        <v>2863</v>
      </c>
      <c r="F741" s="185" t="s">
        <v>185</v>
      </c>
      <c r="G741" s="185" t="s">
        <v>1500</v>
      </c>
      <c r="H741" s="237" t="b">
        <v>1</v>
      </c>
      <c r="I741" s="185" t="s">
        <v>1762</v>
      </c>
      <c r="J741" s="185" t="s">
        <v>1762</v>
      </c>
      <c r="K741" s="185" t="s">
        <v>1762</v>
      </c>
      <c r="L741" s="185" t="s">
        <v>2259</v>
      </c>
      <c r="M741" s="196" t="s">
        <v>749</v>
      </c>
      <c r="N741" s="185"/>
      <c r="O741" s="238"/>
      <c r="P741" s="239" t="s">
        <v>1763</v>
      </c>
      <c r="Q741" s="239" t="s">
        <v>1764</v>
      </c>
      <c r="R741" s="240" t="s">
        <v>782</v>
      </c>
      <c r="S741" s="196" t="s">
        <v>782</v>
      </c>
      <c r="T741" s="196" t="s">
        <v>1765</v>
      </c>
    </row>
    <row r="742">
      <c r="A742" s="182" t="s">
        <v>2864</v>
      </c>
      <c r="B742" s="203" t="s">
        <v>66</v>
      </c>
      <c r="C742" s="173" t="s">
        <v>66</v>
      </c>
      <c r="D742" s="173" t="s">
        <v>2865</v>
      </c>
      <c r="E742" s="196" t="s">
        <v>2866</v>
      </c>
      <c r="F742" s="185" t="s">
        <v>83</v>
      </c>
      <c r="G742" s="185" t="s">
        <v>1761</v>
      </c>
      <c r="H742" s="237" t="s">
        <v>977</v>
      </c>
      <c r="I742" s="185" t="s">
        <v>1762</v>
      </c>
      <c r="J742" s="185" t="s">
        <v>1762</v>
      </c>
      <c r="K742" s="185" t="s">
        <v>1762</v>
      </c>
      <c r="L742" s="185" t="s">
        <v>2259</v>
      </c>
      <c r="M742" s="196" t="s">
        <v>749</v>
      </c>
      <c r="N742" s="185"/>
      <c r="O742" s="238"/>
      <c r="P742" s="239" t="s">
        <v>1763</v>
      </c>
      <c r="Q742" s="239" t="s">
        <v>1764</v>
      </c>
      <c r="R742" s="240" t="s">
        <v>782</v>
      </c>
      <c r="S742" s="196" t="s">
        <v>782</v>
      </c>
      <c r="T742" s="196" t="s">
        <v>1765</v>
      </c>
    </row>
    <row r="743">
      <c r="A743" s="182" t="s">
        <v>2867</v>
      </c>
      <c r="B743" s="203" t="s">
        <v>66</v>
      </c>
      <c r="C743" s="173" t="s">
        <v>66</v>
      </c>
      <c r="D743" s="173" t="s">
        <v>2868</v>
      </c>
      <c r="E743" s="196" t="s">
        <v>2869</v>
      </c>
      <c r="F743" s="185" t="s">
        <v>185</v>
      </c>
      <c r="G743" s="185" t="s">
        <v>1761</v>
      </c>
      <c r="H743" s="237" t="s">
        <v>2476</v>
      </c>
      <c r="I743" s="185" t="s">
        <v>1762</v>
      </c>
      <c r="J743" s="185" t="s">
        <v>1762</v>
      </c>
      <c r="K743" s="185" t="s">
        <v>1762</v>
      </c>
      <c r="L743" s="185" t="s">
        <v>2259</v>
      </c>
      <c r="M743" s="196" t="s">
        <v>749</v>
      </c>
      <c r="N743" s="185"/>
      <c r="O743" s="238"/>
      <c r="P743" s="239" t="s">
        <v>1763</v>
      </c>
      <c r="Q743" s="239" t="s">
        <v>1764</v>
      </c>
      <c r="R743" s="240" t="s">
        <v>782</v>
      </c>
      <c r="S743" s="196" t="s">
        <v>782</v>
      </c>
      <c r="T743" s="196" t="s">
        <v>1765</v>
      </c>
    </row>
    <row r="744">
      <c r="A744" s="182" t="s">
        <v>2870</v>
      </c>
      <c r="B744" s="203" t="s">
        <v>66</v>
      </c>
      <c r="C744" s="173" t="s">
        <v>66</v>
      </c>
      <c r="D744" s="173" t="s">
        <v>2871</v>
      </c>
      <c r="E744" s="196" t="s">
        <v>2872</v>
      </c>
      <c r="F744" s="185" t="s">
        <v>185</v>
      </c>
      <c r="G744" s="185" t="s">
        <v>1761</v>
      </c>
      <c r="H744" s="237" t="s">
        <v>2873</v>
      </c>
      <c r="I744" s="185" t="s">
        <v>1762</v>
      </c>
      <c r="J744" s="185" t="s">
        <v>1762</v>
      </c>
      <c r="K744" s="185" t="s">
        <v>1762</v>
      </c>
      <c r="L744" s="185" t="s">
        <v>2259</v>
      </c>
      <c r="M744" s="196" t="s">
        <v>749</v>
      </c>
      <c r="N744" s="185"/>
      <c r="O744" s="238"/>
      <c r="P744" s="239" t="s">
        <v>1763</v>
      </c>
      <c r="Q744" s="239" t="s">
        <v>1764</v>
      </c>
      <c r="R744" s="240" t="s">
        <v>782</v>
      </c>
      <c r="S744" s="196" t="s">
        <v>782</v>
      </c>
      <c r="T744" s="196" t="s">
        <v>1765</v>
      </c>
    </row>
    <row r="745">
      <c r="A745" s="182" t="s">
        <v>2874</v>
      </c>
      <c r="B745" s="203" t="s">
        <v>66</v>
      </c>
      <c r="C745" s="173" t="s">
        <v>66</v>
      </c>
      <c r="D745" s="173" t="s">
        <v>2875</v>
      </c>
      <c r="E745" s="196" t="s">
        <v>2875</v>
      </c>
      <c r="F745" s="185" t="s">
        <v>185</v>
      </c>
      <c r="G745" s="185" t="s">
        <v>1761</v>
      </c>
      <c r="H745" s="237" t="s">
        <v>2876</v>
      </c>
      <c r="I745" s="185" t="s">
        <v>1762</v>
      </c>
      <c r="J745" s="185" t="s">
        <v>1762</v>
      </c>
      <c r="K745" s="185" t="s">
        <v>1762</v>
      </c>
      <c r="L745" s="185" t="s">
        <v>2259</v>
      </c>
      <c r="M745" s="196" t="s">
        <v>687</v>
      </c>
      <c r="N745" s="185"/>
      <c r="O745" s="238"/>
      <c r="P745" s="239" t="s">
        <v>1770</v>
      </c>
      <c r="Q745" s="239" t="s">
        <v>1764</v>
      </c>
      <c r="R745" s="240" t="s">
        <v>782</v>
      </c>
      <c r="S745" s="196" t="s">
        <v>782</v>
      </c>
      <c r="T745" s="196" t="s">
        <v>1765</v>
      </c>
    </row>
    <row r="746">
      <c r="A746" s="182" t="s">
        <v>2877</v>
      </c>
      <c r="B746" s="203" t="s">
        <v>66</v>
      </c>
      <c r="C746" s="173" t="s">
        <v>66</v>
      </c>
      <c r="D746" s="173" t="s">
        <v>2878</v>
      </c>
      <c r="E746" s="196" t="s">
        <v>2878</v>
      </c>
      <c r="F746" s="185" t="s">
        <v>185</v>
      </c>
      <c r="G746" s="185" t="s">
        <v>1761</v>
      </c>
      <c r="H746" s="237" t="s">
        <v>2879</v>
      </c>
      <c r="I746" s="185" t="s">
        <v>1762</v>
      </c>
      <c r="J746" s="185" t="s">
        <v>1762</v>
      </c>
      <c r="K746" s="185" t="s">
        <v>1762</v>
      </c>
      <c r="L746" s="185" t="s">
        <v>2259</v>
      </c>
      <c r="M746" s="196" t="s">
        <v>687</v>
      </c>
      <c r="N746" s="185"/>
      <c r="O746" s="238"/>
      <c r="P746" s="239" t="s">
        <v>1770</v>
      </c>
      <c r="Q746" s="239" t="s">
        <v>1764</v>
      </c>
      <c r="R746" s="240" t="s">
        <v>782</v>
      </c>
      <c r="S746" s="196" t="s">
        <v>782</v>
      </c>
      <c r="T746" s="196" t="s">
        <v>1765</v>
      </c>
    </row>
    <row r="747">
      <c r="A747" s="182" t="s">
        <v>2880</v>
      </c>
      <c r="B747" s="203" t="s">
        <v>66</v>
      </c>
      <c r="C747" s="173" t="s">
        <v>66</v>
      </c>
      <c r="D747" s="173" t="s">
        <v>2881</v>
      </c>
      <c r="E747" s="196"/>
      <c r="F747" s="185" t="s">
        <v>185</v>
      </c>
      <c r="G747" s="185" t="s">
        <v>768</v>
      </c>
      <c r="H747" s="237">
        <v>-1.61</v>
      </c>
      <c r="I747" s="185" t="s">
        <v>2807</v>
      </c>
      <c r="J747" s="185" t="s">
        <v>2807</v>
      </c>
      <c r="K747" s="185" t="s">
        <v>2807</v>
      </c>
      <c r="L747" s="185" t="s">
        <v>2259</v>
      </c>
      <c r="M747" s="196" t="s">
        <v>687</v>
      </c>
      <c r="N747" s="185"/>
      <c r="O747" s="238"/>
      <c r="P747" s="239" t="s">
        <v>1782</v>
      </c>
      <c r="Q747" s="239" t="s">
        <v>1783</v>
      </c>
      <c r="R747" s="240" t="s">
        <v>750</v>
      </c>
      <c r="S747" s="196" t="s">
        <v>750</v>
      </c>
      <c r="T747" s="196" t="s">
        <v>1765</v>
      </c>
    </row>
    <row r="748">
      <c r="A748" s="182" t="s">
        <v>2882</v>
      </c>
      <c r="B748" s="203" t="s">
        <v>66</v>
      </c>
      <c r="C748" s="173" t="s">
        <v>66</v>
      </c>
      <c r="D748" s="173" t="s">
        <v>2883</v>
      </c>
      <c r="E748" s="196"/>
      <c r="F748" s="185" t="s">
        <v>185</v>
      </c>
      <c r="G748" s="185" t="s">
        <v>768</v>
      </c>
      <c r="H748" s="237">
        <v>0.01</v>
      </c>
      <c r="I748" s="185" t="s">
        <v>2807</v>
      </c>
      <c r="J748" s="185" t="s">
        <v>2807</v>
      </c>
      <c r="K748" s="185" t="s">
        <v>2807</v>
      </c>
      <c r="L748" s="185" t="s">
        <v>2259</v>
      </c>
      <c r="M748" s="196" t="s">
        <v>687</v>
      </c>
      <c r="N748" s="185"/>
      <c r="O748" s="238"/>
      <c r="P748" s="239" t="s">
        <v>1782</v>
      </c>
      <c r="Q748" s="239" t="s">
        <v>1783</v>
      </c>
      <c r="R748" s="240" t="s">
        <v>750</v>
      </c>
      <c r="S748" s="196" t="s">
        <v>750</v>
      </c>
      <c r="T748" s="196" t="s">
        <v>1765</v>
      </c>
    </row>
    <row r="749">
      <c r="A749" s="182" t="s">
        <v>2884</v>
      </c>
      <c r="B749" s="203" t="s">
        <v>66</v>
      </c>
      <c r="C749" s="173" t="s">
        <v>66</v>
      </c>
      <c r="D749" s="173" t="s">
        <v>2885</v>
      </c>
      <c r="E749" s="196"/>
      <c r="F749" s="185" t="s">
        <v>185</v>
      </c>
      <c r="G749" s="185" t="s">
        <v>1500</v>
      </c>
      <c r="H749" s="237" t="b">
        <v>1</v>
      </c>
      <c r="I749" s="185" t="s">
        <v>1762</v>
      </c>
      <c r="J749" s="185" t="s">
        <v>1762</v>
      </c>
      <c r="K749" s="185" t="s">
        <v>1762</v>
      </c>
      <c r="L749" s="185" t="s">
        <v>2259</v>
      </c>
      <c r="M749" s="196" t="s">
        <v>749</v>
      </c>
      <c r="N749" s="185"/>
      <c r="O749" s="238"/>
      <c r="P749" s="239" t="s">
        <v>1763</v>
      </c>
      <c r="Q749" s="239" t="s">
        <v>1764</v>
      </c>
      <c r="R749" s="240" t="s">
        <v>782</v>
      </c>
      <c r="S749" s="196" t="s">
        <v>782</v>
      </c>
      <c r="T749" s="196" t="s">
        <v>1765</v>
      </c>
    </row>
    <row r="750">
      <c r="A750" s="182" t="s">
        <v>2886</v>
      </c>
      <c r="B750" s="203" t="s">
        <v>66</v>
      </c>
      <c r="C750" s="173" t="s">
        <v>66</v>
      </c>
      <c r="D750" s="173" t="s">
        <v>2887</v>
      </c>
      <c r="E750" s="196"/>
      <c r="F750" s="185" t="s">
        <v>83</v>
      </c>
      <c r="G750" s="185" t="s">
        <v>1761</v>
      </c>
      <c r="H750" s="237" t="s">
        <v>977</v>
      </c>
      <c r="I750" s="185" t="s">
        <v>1762</v>
      </c>
      <c r="J750" s="185" t="s">
        <v>1762</v>
      </c>
      <c r="K750" s="185" t="s">
        <v>1762</v>
      </c>
      <c r="L750" s="185" t="s">
        <v>2259</v>
      </c>
      <c r="M750" s="196" t="s">
        <v>749</v>
      </c>
      <c r="N750" s="185"/>
      <c r="O750" s="238"/>
      <c r="P750" s="239" t="s">
        <v>1763</v>
      </c>
      <c r="Q750" s="239" t="s">
        <v>1764</v>
      </c>
      <c r="R750" s="240" t="s">
        <v>782</v>
      </c>
      <c r="S750" s="196" t="s">
        <v>782</v>
      </c>
      <c r="T750" s="196" t="s">
        <v>1765</v>
      </c>
    </row>
    <row r="751">
      <c r="A751" s="182" t="s">
        <v>2888</v>
      </c>
      <c r="B751" s="203" t="s">
        <v>66</v>
      </c>
      <c r="C751" s="173" t="s">
        <v>66</v>
      </c>
      <c r="D751" s="173" t="s">
        <v>2889</v>
      </c>
      <c r="E751" s="196"/>
      <c r="F751" s="185" t="s">
        <v>185</v>
      </c>
      <c r="G751" s="185" t="s">
        <v>1761</v>
      </c>
      <c r="H751" s="237" t="s">
        <v>2379</v>
      </c>
      <c r="I751" s="185" t="s">
        <v>1762</v>
      </c>
      <c r="J751" s="185" t="s">
        <v>1762</v>
      </c>
      <c r="K751" s="185" t="s">
        <v>1762</v>
      </c>
      <c r="L751" s="185" t="s">
        <v>2259</v>
      </c>
      <c r="M751" s="196" t="s">
        <v>749</v>
      </c>
      <c r="N751" s="185"/>
      <c r="O751" s="238"/>
      <c r="P751" s="239" t="s">
        <v>1763</v>
      </c>
      <c r="Q751" s="239" t="s">
        <v>1764</v>
      </c>
      <c r="R751" s="240" t="s">
        <v>782</v>
      </c>
      <c r="S751" s="196" t="s">
        <v>782</v>
      </c>
      <c r="T751" s="196" t="s">
        <v>1765</v>
      </c>
    </row>
    <row r="752">
      <c r="A752" s="182" t="s">
        <v>2890</v>
      </c>
      <c r="B752" s="203" t="s">
        <v>66</v>
      </c>
      <c r="C752" s="173" t="s">
        <v>66</v>
      </c>
      <c r="D752" s="173" t="s">
        <v>2891</v>
      </c>
      <c r="E752" s="196"/>
      <c r="F752" s="185" t="s">
        <v>185</v>
      </c>
      <c r="G752" s="185" t="s">
        <v>1761</v>
      </c>
      <c r="H752" s="237" t="s">
        <v>2892</v>
      </c>
      <c r="I752" s="185" t="s">
        <v>1762</v>
      </c>
      <c r="J752" s="185" t="s">
        <v>1762</v>
      </c>
      <c r="K752" s="185" t="s">
        <v>1762</v>
      </c>
      <c r="L752" s="185" t="s">
        <v>2259</v>
      </c>
      <c r="M752" s="196" t="s">
        <v>749</v>
      </c>
      <c r="N752" s="185"/>
      <c r="O752" s="238"/>
      <c r="P752" s="239" t="s">
        <v>1763</v>
      </c>
      <c r="Q752" s="239" t="s">
        <v>1764</v>
      </c>
      <c r="R752" s="240" t="s">
        <v>782</v>
      </c>
      <c r="S752" s="196" t="s">
        <v>782</v>
      </c>
      <c r="T752" s="196" t="s">
        <v>1765</v>
      </c>
    </row>
    <row r="753">
      <c r="A753" s="182" t="s">
        <v>2893</v>
      </c>
      <c r="B753" s="203" t="s">
        <v>66</v>
      </c>
      <c r="C753" s="173" t="s">
        <v>66</v>
      </c>
      <c r="D753" s="173" t="s">
        <v>2894</v>
      </c>
      <c r="E753" s="196"/>
      <c r="F753" s="185" t="s">
        <v>185</v>
      </c>
      <c r="G753" s="185" t="s">
        <v>1500</v>
      </c>
      <c r="H753" s="237" t="b">
        <v>1</v>
      </c>
      <c r="I753" s="185" t="s">
        <v>1762</v>
      </c>
      <c r="J753" s="185" t="s">
        <v>1762</v>
      </c>
      <c r="K753" s="185" t="s">
        <v>1762</v>
      </c>
      <c r="L753" s="185" t="s">
        <v>2259</v>
      </c>
      <c r="M753" s="196" t="s">
        <v>749</v>
      </c>
      <c r="N753" s="185"/>
      <c r="O753" s="238"/>
      <c r="P753" s="239" t="s">
        <v>1763</v>
      </c>
      <c r="Q753" s="239" t="s">
        <v>1764</v>
      </c>
      <c r="R753" s="240" t="s">
        <v>782</v>
      </c>
      <c r="S753" s="196" t="s">
        <v>782</v>
      </c>
      <c r="T753" s="196" t="s">
        <v>1765</v>
      </c>
    </row>
    <row r="754">
      <c r="A754" s="182" t="s">
        <v>2895</v>
      </c>
      <c r="B754" s="203" t="s">
        <v>66</v>
      </c>
      <c r="C754" s="173" t="s">
        <v>66</v>
      </c>
      <c r="D754" s="173" t="s">
        <v>2896</v>
      </c>
      <c r="E754" s="196"/>
      <c r="F754" s="185" t="s">
        <v>83</v>
      </c>
      <c r="G754" s="185" t="s">
        <v>1761</v>
      </c>
      <c r="H754" s="237" t="s">
        <v>977</v>
      </c>
      <c r="I754" s="185" t="s">
        <v>1762</v>
      </c>
      <c r="J754" s="185" t="s">
        <v>1762</v>
      </c>
      <c r="K754" s="185" t="s">
        <v>1762</v>
      </c>
      <c r="L754" s="185" t="s">
        <v>2259</v>
      </c>
      <c r="M754" s="196" t="s">
        <v>749</v>
      </c>
      <c r="N754" s="185"/>
      <c r="O754" s="238"/>
      <c r="P754" s="239" t="s">
        <v>1763</v>
      </c>
      <c r="Q754" s="239" t="s">
        <v>1764</v>
      </c>
      <c r="R754" s="240" t="s">
        <v>782</v>
      </c>
      <c r="S754" s="196" t="s">
        <v>782</v>
      </c>
      <c r="T754" s="196" t="s">
        <v>1765</v>
      </c>
    </row>
    <row r="755">
      <c r="A755" s="182" t="s">
        <v>2897</v>
      </c>
      <c r="B755" s="203" t="s">
        <v>66</v>
      </c>
      <c r="C755" s="173" t="s">
        <v>66</v>
      </c>
      <c r="D755" s="173" t="s">
        <v>2898</v>
      </c>
      <c r="E755" s="196"/>
      <c r="F755" s="185" t="s">
        <v>185</v>
      </c>
      <c r="G755" s="185" t="s">
        <v>1761</v>
      </c>
      <c r="H755" s="237" t="s">
        <v>2476</v>
      </c>
      <c r="I755" s="185" t="s">
        <v>1762</v>
      </c>
      <c r="J755" s="185" t="s">
        <v>1762</v>
      </c>
      <c r="K755" s="185" t="s">
        <v>1762</v>
      </c>
      <c r="L755" s="185" t="s">
        <v>2259</v>
      </c>
      <c r="M755" s="196" t="s">
        <v>749</v>
      </c>
      <c r="N755" s="185"/>
      <c r="O755" s="238"/>
      <c r="P755" s="239" t="s">
        <v>1763</v>
      </c>
      <c r="Q755" s="239" t="s">
        <v>1764</v>
      </c>
      <c r="R755" s="240" t="s">
        <v>782</v>
      </c>
      <c r="S755" s="196" t="s">
        <v>782</v>
      </c>
      <c r="T755" s="196" t="s">
        <v>1765</v>
      </c>
    </row>
    <row r="756">
      <c r="A756" s="182" t="s">
        <v>2899</v>
      </c>
      <c r="B756" s="203" t="s">
        <v>66</v>
      </c>
      <c r="C756" s="173" t="s">
        <v>66</v>
      </c>
      <c r="D756" s="173" t="s">
        <v>2900</v>
      </c>
      <c r="E756" s="196"/>
      <c r="F756" s="185" t="s">
        <v>185</v>
      </c>
      <c r="G756" s="185" t="s">
        <v>1761</v>
      </c>
      <c r="H756" s="237" t="s">
        <v>2901</v>
      </c>
      <c r="I756" s="185" t="s">
        <v>1762</v>
      </c>
      <c r="J756" s="185" t="s">
        <v>1762</v>
      </c>
      <c r="K756" s="185" t="s">
        <v>1762</v>
      </c>
      <c r="L756" s="185" t="s">
        <v>2259</v>
      </c>
      <c r="M756" s="196" t="s">
        <v>749</v>
      </c>
      <c r="N756" s="185"/>
      <c r="O756" s="238"/>
      <c r="P756" s="239" t="s">
        <v>1763</v>
      </c>
      <c r="Q756" s="239" t="s">
        <v>1764</v>
      </c>
      <c r="R756" s="240" t="s">
        <v>782</v>
      </c>
      <c r="S756" s="196" t="s">
        <v>782</v>
      </c>
      <c r="T756" s="196" t="s">
        <v>1765</v>
      </c>
    </row>
    <row r="757">
      <c r="A757" s="182" t="s">
        <v>2902</v>
      </c>
      <c r="B757" s="203" t="s">
        <v>66</v>
      </c>
      <c r="C757" s="173" t="s">
        <v>66</v>
      </c>
      <c r="D757" s="173" t="s">
        <v>2903</v>
      </c>
      <c r="E757" s="196"/>
      <c r="F757" s="185" t="s">
        <v>185</v>
      </c>
      <c r="G757" s="185" t="s">
        <v>1500</v>
      </c>
      <c r="H757" s="237" t="b">
        <v>1</v>
      </c>
      <c r="I757" s="185" t="s">
        <v>1762</v>
      </c>
      <c r="J757" s="185" t="s">
        <v>1762</v>
      </c>
      <c r="K757" s="185" t="s">
        <v>1762</v>
      </c>
      <c r="L757" s="185" t="s">
        <v>2259</v>
      </c>
      <c r="M757" s="196" t="s">
        <v>749</v>
      </c>
      <c r="N757" s="185"/>
      <c r="O757" s="238"/>
      <c r="P757" s="239" t="s">
        <v>1763</v>
      </c>
      <c r="Q757" s="239" t="s">
        <v>1764</v>
      </c>
      <c r="R757" s="240" t="s">
        <v>782</v>
      </c>
      <c r="S757" s="196" t="s">
        <v>782</v>
      </c>
      <c r="T757" s="196" t="s">
        <v>1765</v>
      </c>
    </row>
    <row r="758">
      <c r="A758" s="182" t="s">
        <v>2904</v>
      </c>
      <c r="B758" s="203" t="s">
        <v>66</v>
      </c>
      <c r="C758" s="173" t="s">
        <v>66</v>
      </c>
      <c r="D758" s="173" t="s">
        <v>2905</v>
      </c>
      <c r="E758" s="196"/>
      <c r="F758" s="185" t="s">
        <v>83</v>
      </c>
      <c r="G758" s="185" t="s">
        <v>1761</v>
      </c>
      <c r="H758" s="237" t="s">
        <v>977</v>
      </c>
      <c r="I758" s="185" t="s">
        <v>1762</v>
      </c>
      <c r="J758" s="185" t="s">
        <v>1762</v>
      </c>
      <c r="K758" s="185" t="s">
        <v>1762</v>
      </c>
      <c r="L758" s="185" t="s">
        <v>2259</v>
      </c>
      <c r="M758" s="196" t="s">
        <v>749</v>
      </c>
      <c r="N758" s="185"/>
      <c r="O758" s="238"/>
      <c r="P758" s="239" t="s">
        <v>1763</v>
      </c>
      <c r="Q758" s="239" t="s">
        <v>1764</v>
      </c>
      <c r="R758" s="240" t="s">
        <v>782</v>
      </c>
      <c r="S758" s="196" t="s">
        <v>782</v>
      </c>
      <c r="T758" s="196" t="s">
        <v>1765</v>
      </c>
    </row>
    <row r="759">
      <c r="A759" s="182" t="s">
        <v>2906</v>
      </c>
      <c r="B759" s="203" t="s">
        <v>66</v>
      </c>
      <c r="C759" s="173" t="s">
        <v>66</v>
      </c>
      <c r="D759" s="173" t="s">
        <v>2907</v>
      </c>
      <c r="E759" s="196"/>
      <c r="F759" s="185" t="s">
        <v>185</v>
      </c>
      <c r="G759" s="185" t="s">
        <v>1761</v>
      </c>
      <c r="H759" s="237" t="s">
        <v>2476</v>
      </c>
      <c r="I759" s="185" t="s">
        <v>1762</v>
      </c>
      <c r="J759" s="185" t="s">
        <v>1762</v>
      </c>
      <c r="K759" s="185" t="s">
        <v>1762</v>
      </c>
      <c r="L759" s="185" t="s">
        <v>2259</v>
      </c>
      <c r="M759" s="196" t="s">
        <v>749</v>
      </c>
      <c r="N759" s="185"/>
      <c r="O759" s="238"/>
      <c r="P759" s="239" t="s">
        <v>1763</v>
      </c>
      <c r="Q759" s="239" t="s">
        <v>1764</v>
      </c>
      <c r="R759" s="240" t="s">
        <v>782</v>
      </c>
      <c r="S759" s="196" t="s">
        <v>782</v>
      </c>
      <c r="T759" s="196" t="s">
        <v>1765</v>
      </c>
    </row>
    <row r="760">
      <c r="A760" s="182" t="s">
        <v>2908</v>
      </c>
      <c r="B760" s="203" t="s">
        <v>66</v>
      </c>
      <c r="C760" s="173" t="s">
        <v>66</v>
      </c>
      <c r="D760" s="173" t="s">
        <v>2909</v>
      </c>
      <c r="E760" s="196"/>
      <c r="F760" s="185" t="s">
        <v>185</v>
      </c>
      <c r="G760" s="185" t="s">
        <v>1761</v>
      </c>
      <c r="H760" s="237" t="s">
        <v>2910</v>
      </c>
      <c r="I760" s="185" t="s">
        <v>1762</v>
      </c>
      <c r="J760" s="185" t="s">
        <v>1762</v>
      </c>
      <c r="K760" s="185" t="s">
        <v>1762</v>
      </c>
      <c r="L760" s="185" t="s">
        <v>2259</v>
      </c>
      <c r="M760" s="196" t="s">
        <v>749</v>
      </c>
      <c r="N760" s="185"/>
      <c r="O760" s="238"/>
      <c r="P760" s="239" t="s">
        <v>1763</v>
      </c>
      <c r="Q760" s="239" t="s">
        <v>1764</v>
      </c>
      <c r="R760" s="240" t="s">
        <v>782</v>
      </c>
      <c r="S760" s="196" t="s">
        <v>782</v>
      </c>
      <c r="T760" s="196" t="s">
        <v>1765</v>
      </c>
    </row>
    <row r="761">
      <c r="A761" s="182" t="s">
        <v>2911</v>
      </c>
      <c r="B761" s="203" t="s">
        <v>66</v>
      </c>
      <c r="C761" s="173" t="s">
        <v>66</v>
      </c>
      <c r="D761" s="173" t="s">
        <v>2912</v>
      </c>
      <c r="E761" s="196"/>
      <c r="F761" s="185" t="s">
        <v>185</v>
      </c>
      <c r="G761" s="185" t="s">
        <v>1761</v>
      </c>
      <c r="H761" s="237" t="s">
        <v>2913</v>
      </c>
      <c r="I761" s="185" t="s">
        <v>1762</v>
      </c>
      <c r="J761" s="185" t="s">
        <v>1762</v>
      </c>
      <c r="K761" s="185" t="s">
        <v>1762</v>
      </c>
      <c r="L761" s="185" t="s">
        <v>2259</v>
      </c>
      <c r="M761" s="196" t="s">
        <v>749</v>
      </c>
      <c r="N761" s="185"/>
      <c r="O761" s="238"/>
      <c r="P761" s="239" t="s">
        <v>1763</v>
      </c>
      <c r="Q761" s="239" t="s">
        <v>1764</v>
      </c>
      <c r="R761" s="240" t="s">
        <v>782</v>
      </c>
      <c r="S761" s="196" t="s">
        <v>782</v>
      </c>
      <c r="T761" s="196" t="s">
        <v>1765</v>
      </c>
    </row>
    <row r="762">
      <c r="A762" s="182" t="s">
        <v>2914</v>
      </c>
      <c r="B762" s="203" t="s">
        <v>66</v>
      </c>
      <c r="C762" s="173" t="s">
        <v>66</v>
      </c>
      <c r="D762" s="173" t="s">
        <v>2915</v>
      </c>
      <c r="E762" s="196"/>
      <c r="F762" s="185" t="s">
        <v>185</v>
      </c>
      <c r="G762" s="185" t="s">
        <v>1761</v>
      </c>
      <c r="H762" s="237" t="s">
        <v>2916</v>
      </c>
      <c r="I762" s="185" t="s">
        <v>1762</v>
      </c>
      <c r="J762" s="185" t="s">
        <v>1762</v>
      </c>
      <c r="K762" s="185" t="s">
        <v>1762</v>
      </c>
      <c r="L762" s="185" t="s">
        <v>2259</v>
      </c>
      <c r="M762" s="196" t="s">
        <v>749</v>
      </c>
      <c r="N762" s="185"/>
      <c r="O762" s="238"/>
      <c r="P762" s="239" t="s">
        <v>1763</v>
      </c>
      <c r="Q762" s="239" t="s">
        <v>1764</v>
      </c>
      <c r="R762" s="240" t="s">
        <v>782</v>
      </c>
      <c r="S762" s="196" t="s">
        <v>782</v>
      </c>
      <c r="T762" s="196" t="s">
        <v>1765</v>
      </c>
    </row>
    <row r="763">
      <c r="A763" s="182" t="s">
        <v>2917</v>
      </c>
      <c r="B763" s="203" t="s">
        <v>66</v>
      </c>
      <c r="C763" s="173" t="s">
        <v>66</v>
      </c>
      <c r="D763" s="173" t="s">
        <v>2918</v>
      </c>
      <c r="E763" s="196"/>
      <c r="F763" s="185" t="s">
        <v>83</v>
      </c>
      <c r="G763" s="185" t="s">
        <v>1761</v>
      </c>
      <c r="H763" s="237" t="s">
        <v>982</v>
      </c>
      <c r="I763" s="185" t="s">
        <v>1762</v>
      </c>
      <c r="J763" s="185" t="s">
        <v>1762</v>
      </c>
      <c r="K763" s="185" t="s">
        <v>1762</v>
      </c>
      <c r="L763" s="185" t="s">
        <v>2259</v>
      </c>
      <c r="M763" s="196" t="s">
        <v>749</v>
      </c>
      <c r="N763" s="185"/>
      <c r="O763" s="238"/>
      <c r="P763" s="239" t="s">
        <v>1763</v>
      </c>
      <c r="Q763" s="239" t="s">
        <v>1764</v>
      </c>
      <c r="R763" s="240" t="s">
        <v>782</v>
      </c>
      <c r="S763" s="196" t="s">
        <v>782</v>
      </c>
      <c r="T763" s="196" t="s">
        <v>1765</v>
      </c>
    </row>
    <row r="764">
      <c r="A764" s="182" t="s">
        <v>2919</v>
      </c>
      <c r="B764" s="203" t="s">
        <v>66</v>
      </c>
      <c r="C764" s="173" t="s">
        <v>66</v>
      </c>
      <c r="D764" s="173" t="s">
        <v>2920</v>
      </c>
      <c r="E764" s="196"/>
      <c r="F764" s="185" t="s">
        <v>185</v>
      </c>
      <c r="G764" s="185" t="s">
        <v>1500</v>
      </c>
      <c r="H764" s="237" t="b">
        <v>1</v>
      </c>
      <c r="I764" s="185" t="s">
        <v>1762</v>
      </c>
      <c r="J764" s="185" t="s">
        <v>1762</v>
      </c>
      <c r="K764" s="185" t="s">
        <v>1762</v>
      </c>
      <c r="L764" s="185" t="s">
        <v>2259</v>
      </c>
      <c r="M764" s="196" t="s">
        <v>749</v>
      </c>
      <c r="N764" s="185"/>
      <c r="O764" s="238"/>
      <c r="P764" s="239" t="s">
        <v>1763</v>
      </c>
      <c r="Q764" s="239" t="s">
        <v>1764</v>
      </c>
      <c r="R764" s="240" t="s">
        <v>782</v>
      </c>
      <c r="S764" s="196" t="s">
        <v>782</v>
      </c>
      <c r="T764" s="196" t="s">
        <v>1765</v>
      </c>
    </row>
    <row r="765">
      <c r="A765" s="182" t="s">
        <v>2921</v>
      </c>
      <c r="B765" s="203" t="s">
        <v>66</v>
      </c>
      <c r="C765" s="173" t="s">
        <v>66</v>
      </c>
      <c r="D765" s="173" t="s">
        <v>2922</v>
      </c>
      <c r="E765" s="196"/>
      <c r="F765" s="185" t="s">
        <v>185</v>
      </c>
      <c r="G765" s="185" t="s">
        <v>1761</v>
      </c>
      <c r="H765" s="237" t="s">
        <v>2923</v>
      </c>
      <c r="I765" s="185" t="s">
        <v>1762</v>
      </c>
      <c r="J765" s="185" t="s">
        <v>1762</v>
      </c>
      <c r="K765" s="185" t="s">
        <v>1762</v>
      </c>
      <c r="L765" s="185" t="s">
        <v>2259</v>
      </c>
      <c r="M765" s="196" t="s">
        <v>749</v>
      </c>
      <c r="N765" s="185"/>
      <c r="O765" s="238"/>
      <c r="P765" s="239" t="s">
        <v>1763</v>
      </c>
      <c r="Q765" s="239" t="s">
        <v>1764</v>
      </c>
      <c r="R765" s="240" t="s">
        <v>782</v>
      </c>
      <c r="S765" s="196" t="s">
        <v>782</v>
      </c>
      <c r="T765" s="196" t="s">
        <v>1765</v>
      </c>
    </row>
    <row r="766">
      <c r="A766" s="182" t="s">
        <v>2924</v>
      </c>
      <c r="B766" s="203" t="s">
        <v>66</v>
      </c>
      <c r="C766" s="173" t="s">
        <v>66</v>
      </c>
      <c r="D766" s="173" t="s">
        <v>2925</v>
      </c>
      <c r="E766" s="196"/>
      <c r="F766" s="185" t="s">
        <v>185</v>
      </c>
      <c r="G766" s="185" t="s">
        <v>1761</v>
      </c>
      <c r="H766" s="237" t="s">
        <v>2926</v>
      </c>
      <c r="I766" s="185" t="s">
        <v>1762</v>
      </c>
      <c r="J766" s="185" t="s">
        <v>1762</v>
      </c>
      <c r="K766" s="185" t="s">
        <v>1762</v>
      </c>
      <c r="L766" s="185" t="s">
        <v>2259</v>
      </c>
      <c r="M766" s="196" t="s">
        <v>749</v>
      </c>
      <c r="N766" s="185"/>
      <c r="O766" s="238"/>
      <c r="P766" s="239" t="s">
        <v>1763</v>
      </c>
      <c r="Q766" s="239" t="s">
        <v>1764</v>
      </c>
      <c r="R766" s="240" t="s">
        <v>782</v>
      </c>
      <c r="S766" s="196" t="s">
        <v>782</v>
      </c>
      <c r="T766" s="196" t="s">
        <v>1765</v>
      </c>
    </row>
    <row r="767">
      <c r="A767" s="182" t="s">
        <v>2927</v>
      </c>
      <c r="B767" s="203" t="s">
        <v>66</v>
      </c>
      <c r="C767" s="173" t="s">
        <v>66</v>
      </c>
      <c r="D767" s="173" t="s">
        <v>2928</v>
      </c>
      <c r="E767" s="196"/>
      <c r="F767" s="185" t="s">
        <v>83</v>
      </c>
      <c r="G767" s="185" t="s">
        <v>1761</v>
      </c>
      <c r="H767" s="237" t="s">
        <v>982</v>
      </c>
      <c r="I767" s="185" t="s">
        <v>1762</v>
      </c>
      <c r="J767" s="185" t="s">
        <v>1762</v>
      </c>
      <c r="K767" s="185" t="s">
        <v>1762</v>
      </c>
      <c r="L767" s="185" t="s">
        <v>2259</v>
      </c>
      <c r="M767" s="196" t="s">
        <v>749</v>
      </c>
      <c r="N767" s="185"/>
      <c r="O767" s="238"/>
      <c r="P767" s="239" t="s">
        <v>1763</v>
      </c>
      <c r="Q767" s="239" t="s">
        <v>1764</v>
      </c>
      <c r="R767" s="240" t="s">
        <v>782</v>
      </c>
      <c r="S767" s="196" t="s">
        <v>782</v>
      </c>
      <c r="T767" s="196" t="s">
        <v>1765</v>
      </c>
    </row>
    <row r="768">
      <c r="A768" s="182" t="s">
        <v>2929</v>
      </c>
      <c r="B768" s="203" t="s">
        <v>66</v>
      </c>
      <c r="C768" s="173" t="s">
        <v>66</v>
      </c>
      <c r="D768" s="173" t="s">
        <v>2930</v>
      </c>
      <c r="E768" s="196"/>
      <c r="F768" s="185" t="s">
        <v>185</v>
      </c>
      <c r="G768" s="185" t="s">
        <v>1500</v>
      </c>
      <c r="H768" s="237" t="b">
        <v>1</v>
      </c>
      <c r="I768" s="185" t="s">
        <v>1762</v>
      </c>
      <c r="J768" s="185" t="s">
        <v>1762</v>
      </c>
      <c r="K768" s="185" t="s">
        <v>1762</v>
      </c>
      <c r="L768" s="185" t="s">
        <v>2259</v>
      </c>
      <c r="M768" s="196" t="s">
        <v>749</v>
      </c>
      <c r="N768" s="185"/>
      <c r="O768" s="238"/>
      <c r="P768" s="239" t="s">
        <v>1763</v>
      </c>
      <c r="Q768" s="239" t="s">
        <v>1764</v>
      </c>
      <c r="R768" s="240" t="s">
        <v>782</v>
      </c>
      <c r="S768" s="196" t="s">
        <v>782</v>
      </c>
      <c r="T768" s="196" t="s">
        <v>1765</v>
      </c>
    </row>
    <row r="769">
      <c r="A769" s="182" t="s">
        <v>2931</v>
      </c>
      <c r="B769" s="203" t="s">
        <v>66</v>
      </c>
      <c r="C769" s="173" t="s">
        <v>66</v>
      </c>
      <c r="D769" s="173" t="s">
        <v>2932</v>
      </c>
      <c r="E769" s="196"/>
      <c r="F769" s="185" t="s">
        <v>185</v>
      </c>
      <c r="G769" s="185" t="s">
        <v>1761</v>
      </c>
      <c r="H769" s="237" t="s">
        <v>2933</v>
      </c>
      <c r="I769" s="185" t="s">
        <v>1762</v>
      </c>
      <c r="J769" s="185" t="s">
        <v>1762</v>
      </c>
      <c r="K769" s="185" t="s">
        <v>1762</v>
      </c>
      <c r="L769" s="185" t="s">
        <v>2259</v>
      </c>
      <c r="M769" s="196" t="s">
        <v>749</v>
      </c>
      <c r="N769" s="185"/>
      <c r="O769" s="238"/>
      <c r="P769" s="239" t="s">
        <v>1763</v>
      </c>
      <c r="Q769" s="239" t="s">
        <v>1764</v>
      </c>
      <c r="R769" s="240" t="s">
        <v>782</v>
      </c>
      <c r="S769" s="196" t="s">
        <v>782</v>
      </c>
      <c r="T769" s="196" t="s">
        <v>1765</v>
      </c>
    </row>
    <row r="770">
      <c r="A770" s="182" t="s">
        <v>2934</v>
      </c>
      <c r="B770" s="203" t="s">
        <v>66</v>
      </c>
      <c r="C770" s="173" t="s">
        <v>66</v>
      </c>
      <c r="D770" s="173" t="s">
        <v>2935</v>
      </c>
      <c r="E770" s="196"/>
      <c r="F770" s="185" t="s">
        <v>185</v>
      </c>
      <c r="G770" s="185" t="s">
        <v>1761</v>
      </c>
      <c r="H770" s="237" t="s">
        <v>2936</v>
      </c>
      <c r="I770" s="185" t="s">
        <v>1762</v>
      </c>
      <c r="J770" s="185" t="s">
        <v>1762</v>
      </c>
      <c r="K770" s="185" t="s">
        <v>1762</v>
      </c>
      <c r="L770" s="185" t="s">
        <v>2259</v>
      </c>
      <c r="M770" s="196" t="s">
        <v>749</v>
      </c>
      <c r="N770" s="185"/>
      <c r="O770" s="238"/>
      <c r="P770" s="239" t="s">
        <v>1763</v>
      </c>
      <c r="Q770" s="239" t="s">
        <v>1764</v>
      </c>
      <c r="R770" s="240" t="s">
        <v>782</v>
      </c>
      <c r="S770" s="196" t="s">
        <v>782</v>
      </c>
      <c r="T770" s="196" t="s">
        <v>1765</v>
      </c>
    </row>
    <row r="771">
      <c r="A771" s="182" t="s">
        <v>2937</v>
      </c>
      <c r="B771" s="203" t="s">
        <v>66</v>
      </c>
      <c r="C771" s="173" t="s">
        <v>66</v>
      </c>
      <c r="D771" s="173" t="s">
        <v>2905</v>
      </c>
      <c r="E771" s="196"/>
      <c r="F771" s="185" t="s">
        <v>83</v>
      </c>
      <c r="G771" s="185" t="s">
        <v>1761</v>
      </c>
      <c r="H771" s="237" t="s">
        <v>936</v>
      </c>
      <c r="I771" s="185" t="s">
        <v>1762</v>
      </c>
      <c r="J771" s="185" t="s">
        <v>1762</v>
      </c>
      <c r="K771" s="185" t="s">
        <v>1762</v>
      </c>
      <c r="L771" s="185" t="s">
        <v>2259</v>
      </c>
      <c r="M771" s="196" t="s">
        <v>749</v>
      </c>
      <c r="N771" s="185"/>
      <c r="O771" s="238"/>
      <c r="P771" s="239" t="s">
        <v>1763</v>
      </c>
      <c r="Q771" s="239" t="s">
        <v>1764</v>
      </c>
      <c r="R771" s="240" t="s">
        <v>782</v>
      </c>
      <c r="S771" s="196" t="s">
        <v>782</v>
      </c>
      <c r="T771" s="196" t="s">
        <v>1765</v>
      </c>
    </row>
    <row r="772">
      <c r="A772" s="182" t="s">
        <v>2938</v>
      </c>
      <c r="B772" s="203" t="s">
        <v>66</v>
      </c>
      <c r="C772" s="173" t="s">
        <v>66</v>
      </c>
      <c r="D772" s="173" t="s">
        <v>2939</v>
      </c>
      <c r="E772" s="196"/>
      <c r="F772" s="185" t="s">
        <v>185</v>
      </c>
      <c r="G772" s="185" t="s">
        <v>1500</v>
      </c>
      <c r="H772" s="237" t="b">
        <v>1</v>
      </c>
      <c r="I772" s="185" t="s">
        <v>1762</v>
      </c>
      <c r="J772" s="185" t="s">
        <v>1762</v>
      </c>
      <c r="K772" s="185" t="s">
        <v>1762</v>
      </c>
      <c r="L772" s="185" t="s">
        <v>2259</v>
      </c>
      <c r="M772" s="196" t="s">
        <v>749</v>
      </c>
      <c r="N772" s="185"/>
      <c r="O772" s="238"/>
      <c r="P772" s="239" t="s">
        <v>1763</v>
      </c>
      <c r="Q772" s="239" t="s">
        <v>1764</v>
      </c>
      <c r="R772" s="240" t="s">
        <v>782</v>
      </c>
      <c r="S772" s="196" t="s">
        <v>782</v>
      </c>
      <c r="T772" s="196" t="s">
        <v>1765</v>
      </c>
    </row>
    <row r="773">
      <c r="A773" s="182" t="s">
        <v>2940</v>
      </c>
      <c r="B773" s="203" t="s">
        <v>66</v>
      </c>
      <c r="C773" s="173" t="s">
        <v>66</v>
      </c>
      <c r="D773" s="173" t="s">
        <v>2941</v>
      </c>
      <c r="E773" s="196"/>
      <c r="F773" s="185" t="s">
        <v>185</v>
      </c>
      <c r="G773" s="185" t="s">
        <v>1761</v>
      </c>
      <c r="H773" s="237" t="s">
        <v>2942</v>
      </c>
      <c r="I773" s="185" t="s">
        <v>1762</v>
      </c>
      <c r="J773" s="185" t="s">
        <v>1762</v>
      </c>
      <c r="K773" s="185" t="s">
        <v>1762</v>
      </c>
      <c r="L773" s="185" t="s">
        <v>2259</v>
      </c>
      <c r="M773" s="196" t="s">
        <v>749</v>
      </c>
      <c r="N773" s="185"/>
      <c r="O773" s="238"/>
      <c r="P773" s="239" t="s">
        <v>1763</v>
      </c>
      <c r="Q773" s="239" t="s">
        <v>1764</v>
      </c>
      <c r="R773" s="240" t="s">
        <v>782</v>
      </c>
      <c r="S773" s="196" t="s">
        <v>782</v>
      </c>
      <c r="T773" s="196" t="s">
        <v>1765</v>
      </c>
    </row>
    <row r="774">
      <c r="A774" s="182" t="s">
        <v>2943</v>
      </c>
      <c r="B774" s="203" t="s">
        <v>66</v>
      </c>
      <c r="C774" s="173" t="s">
        <v>66</v>
      </c>
      <c r="D774" s="173" t="s">
        <v>2944</v>
      </c>
      <c r="E774" s="196"/>
      <c r="F774" s="185" t="s">
        <v>185</v>
      </c>
      <c r="G774" s="185" t="s">
        <v>1761</v>
      </c>
      <c r="H774" s="237" t="s">
        <v>2945</v>
      </c>
      <c r="I774" s="185" t="s">
        <v>1762</v>
      </c>
      <c r="J774" s="185" t="s">
        <v>1762</v>
      </c>
      <c r="K774" s="185" t="s">
        <v>1762</v>
      </c>
      <c r="L774" s="185" t="s">
        <v>2259</v>
      </c>
      <c r="M774" s="196" t="s">
        <v>749</v>
      </c>
      <c r="N774" s="185"/>
      <c r="O774" s="238"/>
      <c r="P774" s="239" t="s">
        <v>1763</v>
      </c>
      <c r="Q774" s="239" t="s">
        <v>1764</v>
      </c>
      <c r="R774" s="240" t="s">
        <v>782</v>
      </c>
      <c r="S774" s="196" t="s">
        <v>782</v>
      </c>
      <c r="T774" s="196" t="s">
        <v>1765</v>
      </c>
    </row>
    <row r="775">
      <c r="A775" s="182" t="s">
        <v>2946</v>
      </c>
      <c r="B775" s="203" t="s">
        <v>66</v>
      </c>
      <c r="C775" s="173" t="s">
        <v>66</v>
      </c>
      <c r="D775" s="173" t="s">
        <v>2947</v>
      </c>
      <c r="E775" s="196"/>
      <c r="F775" s="185" t="s">
        <v>83</v>
      </c>
      <c r="G775" s="185" t="s">
        <v>1761</v>
      </c>
      <c r="H775" s="237" t="s">
        <v>977</v>
      </c>
      <c r="I775" s="185" t="s">
        <v>1762</v>
      </c>
      <c r="J775" s="185" t="s">
        <v>1762</v>
      </c>
      <c r="K775" s="185" t="s">
        <v>1762</v>
      </c>
      <c r="L775" s="185" t="s">
        <v>2259</v>
      </c>
      <c r="M775" s="196" t="s">
        <v>687</v>
      </c>
      <c r="N775" s="185"/>
      <c r="O775" s="238"/>
      <c r="P775" s="239" t="s">
        <v>1763</v>
      </c>
      <c r="Q775" s="239" t="s">
        <v>1764</v>
      </c>
      <c r="R775" s="240" t="s">
        <v>782</v>
      </c>
      <c r="S775" s="196" t="s">
        <v>782</v>
      </c>
      <c r="T775" s="196" t="s">
        <v>1765</v>
      </c>
    </row>
    <row r="776">
      <c r="A776" s="182" t="s">
        <v>2948</v>
      </c>
      <c r="B776" s="203" t="s">
        <v>66</v>
      </c>
      <c r="C776" s="173" t="s">
        <v>66</v>
      </c>
      <c r="D776" s="173" t="s">
        <v>2949</v>
      </c>
      <c r="E776" s="196"/>
      <c r="F776" s="185" t="s">
        <v>83</v>
      </c>
      <c r="G776" s="185" t="s">
        <v>1500</v>
      </c>
      <c r="H776" s="237" t="b">
        <v>1</v>
      </c>
      <c r="I776" s="185" t="s">
        <v>1762</v>
      </c>
      <c r="J776" s="185" t="s">
        <v>1762</v>
      </c>
      <c r="K776" s="185" t="s">
        <v>1762</v>
      </c>
      <c r="L776" s="185" t="s">
        <v>2259</v>
      </c>
      <c r="M776" s="196" t="s">
        <v>687</v>
      </c>
      <c r="N776" s="185"/>
      <c r="O776" s="238"/>
      <c r="P776" s="239" t="s">
        <v>1763</v>
      </c>
      <c r="Q776" s="239" t="s">
        <v>1764</v>
      </c>
      <c r="R776" s="240" t="s">
        <v>782</v>
      </c>
      <c r="S776" s="196" t="s">
        <v>782</v>
      </c>
      <c r="T776" s="196" t="s">
        <v>1765</v>
      </c>
    </row>
    <row r="777">
      <c r="A777" s="182" t="s">
        <v>2950</v>
      </c>
      <c r="B777" s="203" t="s">
        <v>66</v>
      </c>
      <c r="C777" s="173" t="s">
        <v>66</v>
      </c>
      <c r="D777" s="173" t="s">
        <v>2951</v>
      </c>
      <c r="E777" s="196"/>
      <c r="F777" s="185" t="s">
        <v>83</v>
      </c>
      <c r="G777" s="185" t="s">
        <v>768</v>
      </c>
      <c r="H777" s="237">
        <v>0.0</v>
      </c>
      <c r="I777" s="185" t="s">
        <v>2807</v>
      </c>
      <c r="J777" s="185" t="s">
        <v>2807</v>
      </c>
      <c r="K777" s="185" t="s">
        <v>2807</v>
      </c>
      <c r="L777" s="185" t="s">
        <v>2259</v>
      </c>
      <c r="M777" s="196" t="s">
        <v>687</v>
      </c>
      <c r="N777" s="185"/>
      <c r="O777" s="238"/>
      <c r="P777" s="239" t="s">
        <v>1782</v>
      </c>
      <c r="Q777" s="239" t="s">
        <v>1783</v>
      </c>
      <c r="R777" s="240" t="s">
        <v>721</v>
      </c>
      <c r="S777" s="196" t="s">
        <v>721</v>
      </c>
      <c r="T777" s="196" t="s">
        <v>1765</v>
      </c>
    </row>
    <row r="778">
      <c r="A778" s="182" t="s">
        <v>2952</v>
      </c>
      <c r="B778" s="203" t="s">
        <v>66</v>
      </c>
      <c r="C778" s="173" t="s">
        <v>66</v>
      </c>
      <c r="D778" s="173" t="s">
        <v>2953</v>
      </c>
      <c r="E778" s="196"/>
      <c r="F778" s="185" t="s">
        <v>83</v>
      </c>
      <c r="G778" s="185" t="s">
        <v>768</v>
      </c>
      <c r="H778" s="237">
        <v>-5.0</v>
      </c>
      <c r="I778" s="185" t="s">
        <v>2807</v>
      </c>
      <c r="J778" s="185" t="s">
        <v>2807</v>
      </c>
      <c r="K778" s="185" t="s">
        <v>2807</v>
      </c>
      <c r="L778" s="185" t="s">
        <v>2259</v>
      </c>
      <c r="M778" s="196" t="s">
        <v>687</v>
      </c>
      <c r="N778" s="185"/>
      <c r="O778" s="238"/>
      <c r="P778" s="239" t="s">
        <v>1782</v>
      </c>
      <c r="Q778" s="239" t="s">
        <v>1783</v>
      </c>
      <c r="R778" s="240" t="s">
        <v>721</v>
      </c>
      <c r="S778" s="196" t="s">
        <v>721</v>
      </c>
      <c r="T778" s="196" t="s">
        <v>1765</v>
      </c>
    </row>
    <row r="779">
      <c r="A779" s="182" t="s">
        <v>2954</v>
      </c>
      <c r="B779" s="203" t="s">
        <v>66</v>
      </c>
      <c r="C779" s="173" t="s">
        <v>66</v>
      </c>
      <c r="D779" s="173" t="s">
        <v>2955</v>
      </c>
      <c r="E779" s="196"/>
      <c r="F779" s="185" t="s">
        <v>83</v>
      </c>
      <c r="G779" s="185" t="s">
        <v>713</v>
      </c>
      <c r="H779" s="237">
        <v>1.0</v>
      </c>
      <c r="I779" s="185" t="s">
        <v>2807</v>
      </c>
      <c r="J779" s="185" t="s">
        <v>2807</v>
      </c>
      <c r="K779" s="185" t="s">
        <v>2807</v>
      </c>
      <c r="L779" s="185" t="s">
        <v>2259</v>
      </c>
      <c r="M779" s="196" t="s">
        <v>687</v>
      </c>
      <c r="N779" s="185"/>
      <c r="O779" s="238"/>
      <c r="P779" s="239" t="s">
        <v>1782</v>
      </c>
      <c r="Q779" s="239" t="s">
        <v>1783</v>
      </c>
      <c r="R779" s="240" t="s">
        <v>721</v>
      </c>
      <c r="S779" s="196" t="s">
        <v>721</v>
      </c>
      <c r="T779" s="196" t="s">
        <v>1765</v>
      </c>
    </row>
    <row r="780">
      <c r="A780" s="182" t="s">
        <v>2956</v>
      </c>
      <c r="B780" s="203" t="s">
        <v>66</v>
      </c>
      <c r="C780" s="173" t="s">
        <v>66</v>
      </c>
      <c r="D780" s="173" t="s">
        <v>2957</v>
      </c>
      <c r="E780" s="196"/>
      <c r="F780" s="185" t="s">
        <v>83</v>
      </c>
      <c r="G780" s="185" t="s">
        <v>768</v>
      </c>
      <c r="H780" s="237">
        <v>0.33</v>
      </c>
      <c r="I780" s="185" t="s">
        <v>2807</v>
      </c>
      <c r="J780" s="185" t="s">
        <v>2807</v>
      </c>
      <c r="K780" s="185" t="s">
        <v>2807</v>
      </c>
      <c r="L780" s="185" t="s">
        <v>2259</v>
      </c>
      <c r="M780" s="196" t="s">
        <v>687</v>
      </c>
      <c r="N780" s="185"/>
      <c r="O780" s="238"/>
      <c r="P780" s="239" t="s">
        <v>1782</v>
      </c>
      <c r="Q780" s="239" t="s">
        <v>1783</v>
      </c>
      <c r="R780" s="240" t="s">
        <v>721</v>
      </c>
      <c r="S780" s="196" t="s">
        <v>721</v>
      </c>
      <c r="T780" s="196" t="s">
        <v>1765</v>
      </c>
    </row>
    <row r="781">
      <c r="A781" s="182" t="s">
        <v>2958</v>
      </c>
      <c r="B781" s="203" t="s">
        <v>66</v>
      </c>
      <c r="C781" s="173" t="s">
        <v>66</v>
      </c>
      <c r="D781" s="173" t="s">
        <v>2959</v>
      </c>
      <c r="E781" s="196"/>
      <c r="F781" s="185" t="s">
        <v>83</v>
      </c>
      <c r="G781" s="185" t="s">
        <v>713</v>
      </c>
      <c r="H781" s="237">
        <v>0.0</v>
      </c>
      <c r="I781" s="185" t="s">
        <v>2807</v>
      </c>
      <c r="J781" s="185" t="s">
        <v>2807</v>
      </c>
      <c r="K781" s="185" t="s">
        <v>2807</v>
      </c>
      <c r="L781" s="185" t="s">
        <v>2259</v>
      </c>
      <c r="M781" s="196" t="s">
        <v>687</v>
      </c>
      <c r="N781" s="185"/>
      <c r="O781" s="238"/>
      <c r="P781" s="239" t="s">
        <v>1782</v>
      </c>
      <c r="Q781" s="239" t="s">
        <v>1783</v>
      </c>
      <c r="R781" s="240" t="s">
        <v>721</v>
      </c>
      <c r="S781" s="196" t="s">
        <v>721</v>
      </c>
      <c r="T781" s="196" t="s">
        <v>1765</v>
      </c>
    </row>
    <row r="782">
      <c r="A782" s="182" t="s">
        <v>2960</v>
      </c>
      <c r="B782" s="203" t="s">
        <v>66</v>
      </c>
      <c r="C782" s="173" t="s">
        <v>66</v>
      </c>
      <c r="D782" s="173" t="s">
        <v>2961</v>
      </c>
      <c r="E782" s="196"/>
      <c r="F782" s="185" t="s">
        <v>83</v>
      </c>
      <c r="G782" s="185" t="s">
        <v>713</v>
      </c>
      <c r="H782" s="237">
        <v>1.0</v>
      </c>
      <c r="I782" s="185" t="s">
        <v>2807</v>
      </c>
      <c r="J782" s="185" t="s">
        <v>2807</v>
      </c>
      <c r="K782" s="185" t="s">
        <v>2807</v>
      </c>
      <c r="L782" s="185" t="s">
        <v>2259</v>
      </c>
      <c r="M782" s="196" t="s">
        <v>687</v>
      </c>
      <c r="N782" s="185"/>
      <c r="O782" s="238"/>
      <c r="P782" s="239" t="s">
        <v>1782</v>
      </c>
      <c r="Q782" s="239" t="s">
        <v>1783</v>
      </c>
      <c r="R782" s="240" t="s">
        <v>721</v>
      </c>
      <c r="S782" s="196" t="s">
        <v>721</v>
      </c>
      <c r="T782" s="196" t="s">
        <v>1765</v>
      </c>
    </row>
    <row r="783">
      <c r="A783" s="182" t="s">
        <v>2962</v>
      </c>
      <c r="B783" s="203" t="s">
        <v>66</v>
      </c>
      <c r="C783" s="173" t="s">
        <v>66</v>
      </c>
      <c r="D783" s="173" t="s">
        <v>2963</v>
      </c>
      <c r="E783" s="196"/>
      <c r="F783" s="185" t="s">
        <v>185</v>
      </c>
      <c r="G783" s="185" t="s">
        <v>1761</v>
      </c>
      <c r="H783" s="237" t="s">
        <v>2964</v>
      </c>
      <c r="I783" s="185" t="s">
        <v>1762</v>
      </c>
      <c r="J783" s="185" t="s">
        <v>1762</v>
      </c>
      <c r="K783" s="185" t="s">
        <v>1762</v>
      </c>
      <c r="L783" s="185" t="s">
        <v>2259</v>
      </c>
      <c r="M783" s="196" t="s">
        <v>687</v>
      </c>
      <c r="N783" s="185"/>
      <c r="O783" s="238"/>
      <c r="P783" s="239" t="s">
        <v>1771</v>
      </c>
      <c r="Q783" s="239" t="s">
        <v>1764</v>
      </c>
      <c r="R783" s="240" t="s">
        <v>691</v>
      </c>
      <c r="S783" s="196" t="s">
        <v>691</v>
      </c>
      <c r="T783" s="196" t="s">
        <v>1765</v>
      </c>
    </row>
    <row r="784">
      <c r="A784" s="182" t="s">
        <v>2965</v>
      </c>
      <c r="B784" s="203" t="s">
        <v>66</v>
      </c>
      <c r="C784" s="173" t="s">
        <v>66</v>
      </c>
      <c r="D784" s="173" t="s">
        <v>2966</v>
      </c>
      <c r="E784" s="196"/>
      <c r="F784" s="185" t="s">
        <v>185</v>
      </c>
      <c r="G784" s="185" t="s">
        <v>1500</v>
      </c>
      <c r="H784" s="237" t="b">
        <v>1</v>
      </c>
      <c r="I784" s="185" t="s">
        <v>1762</v>
      </c>
      <c r="J784" s="185" t="s">
        <v>1762</v>
      </c>
      <c r="K784" s="185" t="s">
        <v>1762</v>
      </c>
      <c r="L784" s="185" t="s">
        <v>2259</v>
      </c>
      <c r="M784" s="196" t="s">
        <v>749</v>
      </c>
      <c r="N784" s="185"/>
      <c r="O784" s="238"/>
      <c r="P784" s="239" t="s">
        <v>1763</v>
      </c>
      <c r="Q784" s="239" t="s">
        <v>1764</v>
      </c>
      <c r="R784" s="240" t="s">
        <v>782</v>
      </c>
      <c r="S784" s="196" t="s">
        <v>782</v>
      </c>
      <c r="T784" s="196" t="s">
        <v>1765</v>
      </c>
    </row>
    <row r="785">
      <c r="A785" s="182" t="s">
        <v>2967</v>
      </c>
      <c r="B785" s="203" t="s">
        <v>66</v>
      </c>
      <c r="C785" s="173" t="s">
        <v>66</v>
      </c>
      <c r="D785" s="173" t="s">
        <v>2968</v>
      </c>
      <c r="E785" s="196"/>
      <c r="F785" s="185" t="s">
        <v>83</v>
      </c>
      <c r="G785" s="185" t="s">
        <v>1761</v>
      </c>
      <c r="H785" s="237" t="s">
        <v>977</v>
      </c>
      <c r="I785" s="185" t="s">
        <v>1762</v>
      </c>
      <c r="J785" s="185" t="s">
        <v>1762</v>
      </c>
      <c r="K785" s="185" t="s">
        <v>1762</v>
      </c>
      <c r="L785" s="185" t="s">
        <v>2259</v>
      </c>
      <c r="M785" s="196" t="s">
        <v>749</v>
      </c>
      <c r="N785" s="185"/>
      <c r="O785" s="238"/>
      <c r="P785" s="239" t="s">
        <v>1763</v>
      </c>
      <c r="Q785" s="239" t="s">
        <v>1764</v>
      </c>
      <c r="R785" s="240" t="s">
        <v>782</v>
      </c>
      <c r="S785" s="196" t="s">
        <v>782</v>
      </c>
      <c r="T785" s="196" t="s">
        <v>1765</v>
      </c>
    </row>
    <row r="786">
      <c r="A786" s="182" t="s">
        <v>2969</v>
      </c>
      <c r="B786" s="203" t="s">
        <v>66</v>
      </c>
      <c r="C786" s="173" t="s">
        <v>66</v>
      </c>
      <c r="D786" s="173" t="s">
        <v>2970</v>
      </c>
      <c r="E786" s="196"/>
      <c r="F786" s="185" t="s">
        <v>185</v>
      </c>
      <c r="G786" s="185" t="s">
        <v>1761</v>
      </c>
      <c r="H786" s="237" t="s">
        <v>2476</v>
      </c>
      <c r="I786" s="185" t="s">
        <v>1762</v>
      </c>
      <c r="J786" s="185" t="s">
        <v>1762</v>
      </c>
      <c r="K786" s="185" t="s">
        <v>1762</v>
      </c>
      <c r="L786" s="185" t="s">
        <v>2259</v>
      </c>
      <c r="M786" s="196" t="s">
        <v>749</v>
      </c>
      <c r="N786" s="185"/>
      <c r="O786" s="238"/>
      <c r="P786" s="239" t="s">
        <v>1763</v>
      </c>
      <c r="Q786" s="239" t="s">
        <v>1764</v>
      </c>
      <c r="R786" s="240" t="s">
        <v>782</v>
      </c>
      <c r="S786" s="196" t="s">
        <v>782</v>
      </c>
      <c r="T786" s="196" t="s">
        <v>1765</v>
      </c>
    </row>
    <row r="787">
      <c r="A787" s="182" t="s">
        <v>2971</v>
      </c>
      <c r="B787" s="203" t="s">
        <v>66</v>
      </c>
      <c r="C787" s="173" t="s">
        <v>66</v>
      </c>
      <c r="D787" s="173" t="s">
        <v>2972</v>
      </c>
      <c r="E787" s="196"/>
      <c r="F787" s="185" t="s">
        <v>185</v>
      </c>
      <c r="G787" s="185" t="s">
        <v>1761</v>
      </c>
      <c r="H787" s="237" t="s">
        <v>2973</v>
      </c>
      <c r="I787" s="185" t="s">
        <v>1762</v>
      </c>
      <c r="J787" s="185" t="s">
        <v>1762</v>
      </c>
      <c r="K787" s="185" t="s">
        <v>1762</v>
      </c>
      <c r="L787" s="185" t="s">
        <v>2259</v>
      </c>
      <c r="M787" s="196" t="s">
        <v>749</v>
      </c>
      <c r="N787" s="185"/>
      <c r="O787" s="238"/>
      <c r="P787" s="239" t="s">
        <v>1763</v>
      </c>
      <c r="Q787" s="239" t="s">
        <v>1764</v>
      </c>
      <c r="R787" s="240" t="s">
        <v>782</v>
      </c>
      <c r="S787" s="196" t="s">
        <v>782</v>
      </c>
      <c r="T787" s="196" t="s">
        <v>1765</v>
      </c>
    </row>
    <row r="788">
      <c r="A788" s="182" t="s">
        <v>2974</v>
      </c>
      <c r="B788" s="203" t="s">
        <v>66</v>
      </c>
      <c r="C788" s="173" t="s">
        <v>66</v>
      </c>
      <c r="D788" s="173" t="s">
        <v>2975</v>
      </c>
      <c r="E788" s="196"/>
      <c r="F788" s="185" t="s">
        <v>185</v>
      </c>
      <c r="G788" s="185" t="s">
        <v>698</v>
      </c>
      <c r="H788" s="237">
        <v>42354.333333333336</v>
      </c>
      <c r="I788" s="185" t="s">
        <v>2807</v>
      </c>
      <c r="J788" s="185" t="s">
        <v>2807</v>
      </c>
      <c r="K788" s="185" t="s">
        <v>2807</v>
      </c>
      <c r="L788" s="185" t="s">
        <v>2259</v>
      </c>
      <c r="M788" s="196" t="s">
        <v>687</v>
      </c>
      <c r="N788" s="185"/>
      <c r="O788" s="238"/>
      <c r="P788" s="239" t="s">
        <v>1782</v>
      </c>
      <c r="Q788" s="239" t="s">
        <v>1783</v>
      </c>
      <c r="R788" s="240" t="s">
        <v>721</v>
      </c>
      <c r="S788" s="196" t="s">
        <v>721</v>
      </c>
      <c r="T788" s="196" t="s">
        <v>1765</v>
      </c>
    </row>
    <row r="789">
      <c r="A789" s="182" t="s">
        <v>2976</v>
      </c>
      <c r="B789" s="203" t="s">
        <v>66</v>
      </c>
      <c r="C789" s="173" t="s">
        <v>66</v>
      </c>
      <c r="D789" s="173" t="s">
        <v>2977</v>
      </c>
      <c r="E789" s="196"/>
      <c r="F789" s="185" t="s">
        <v>185</v>
      </c>
      <c r="G789" s="185" t="s">
        <v>1761</v>
      </c>
      <c r="H789" s="237" t="s">
        <v>2978</v>
      </c>
      <c r="I789" s="185" t="s">
        <v>2807</v>
      </c>
      <c r="J789" s="185" t="s">
        <v>2807</v>
      </c>
      <c r="K789" s="185" t="s">
        <v>2807</v>
      </c>
      <c r="L789" s="185" t="s">
        <v>2259</v>
      </c>
      <c r="M789" s="196" t="s">
        <v>687</v>
      </c>
      <c r="N789" s="185"/>
      <c r="O789" s="238"/>
      <c r="P789" s="239" t="s">
        <v>1782</v>
      </c>
      <c r="Q789" s="239" t="s">
        <v>1783</v>
      </c>
      <c r="R789" s="240" t="s">
        <v>721</v>
      </c>
      <c r="S789" s="196" t="s">
        <v>721</v>
      </c>
      <c r="T789" s="196" t="s">
        <v>1765</v>
      </c>
    </row>
    <row r="790">
      <c r="A790" s="182" t="s">
        <v>2979</v>
      </c>
      <c r="B790" s="203" t="s">
        <v>66</v>
      </c>
      <c r="C790" s="173" t="s">
        <v>66</v>
      </c>
      <c r="D790" s="173" t="s">
        <v>2980</v>
      </c>
      <c r="E790" s="196"/>
      <c r="F790" s="185" t="s">
        <v>185</v>
      </c>
      <c r="G790" s="185" t="s">
        <v>1500</v>
      </c>
      <c r="H790" s="237" t="b">
        <v>1</v>
      </c>
      <c r="I790" s="185" t="s">
        <v>2807</v>
      </c>
      <c r="J790" s="185" t="s">
        <v>2807</v>
      </c>
      <c r="K790" s="185" t="s">
        <v>2807</v>
      </c>
      <c r="L790" s="185" t="s">
        <v>2259</v>
      </c>
      <c r="M790" s="196" t="s">
        <v>687</v>
      </c>
      <c r="N790" s="185"/>
      <c r="O790" s="238"/>
      <c r="P790" s="239" t="s">
        <v>1782</v>
      </c>
      <c r="Q790" s="239" t="s">
        <v>1764</v>
      </c>
      <c r="R790" s="240" t="s">
        <v>761</v>
      </c>
      <c r="S790" s="196" t="s">
        <v>761</v>
      </c>
      <c r="T790" s="196" t="s">
        <v>1765</v>
      </c>
    </row>
    <row r="791">
      <c r="A791" s="182" t="s">
        <v>2981</v>
      </c>
      <c r="B791" s="203" t="s">
        <v>65</v>
      </c>
      <c r="C791" s="173" t="s">
        <v>1799</v>
      </c>
      <c r="D791" s="173" t="s">
        <v>2982</v>
      </c>
      <c r="E791" s="196"/>
      <c r="F791" s="185" t="s">
        <v>185</v>
      </c>
      <c r="G791" s="185" t="s">
        <v>1761</v>
      </c>
      <c r="H791" s="237" t="s">
        <v>142</v>
      </c>
      <c r="I791" s="185" t="s">
        <v>136</v>
      </c>
      <c r="J791" s="185" t="s">
        <v>1762</v>
      </c>
      <c r="K791" s="185" t="s">
        <v>1762</v>
      </c>
      <c r="L791" s="185" t="s">
        <v>2259</v>
      </c>
      <c r="M791" s="196" t="s">
        <v>749</v>
      </c>
      <c r="N791" s="185"/>
      <c r="O791" s="238"/>
      <c r="P791" s="239" t="s">
        <v>1777</v>
      </c>
      <c r="Q791" s="239" t="s">
        <v>1764</v>
      </c>
      <c r="R791" s="240" t="s">
        <v>691</v>
      </c>
      <c r="S791" s="196" t="s">
        <v>691</v>
      </c>
      <c r="T791" s="196" t="s">
        <v>1765</v>
      </c>
    </row>
    <row r="792">
      <c r="A792" s="182" t="s">
        <v>2983</v>
      </c>
      <c r="B792" s="203" t="s">
        <v>65</v>
      </c>
      <c r="C792" s="173" t="s">
        <v>1799</v>
      </c>
      <c r="D792" s="173" t="s">
        <v>2984</v>
      </c>
      <c r="E792" s="196"/>
      <c r="F792" s="185" t="s">
        <v>185</v>
      </c>
      <c r="G792" s="185" t="s">
        <v>1761</v>
      </c>
      <c r="H792" s="237" t="s">
        <v>148</v>
      </c>
      <c r="I792" s="185" t="s">
        <v>1762</v>
      </c>
      <c r="J792" s="185" t="s">
        <v>1762</v>
      </c>
      <c r="K792" s="185" t="s">
        <v>1762</v>
      </c>
      <c r="L792" s="185" t="s">
        <v>2259</v>
      </c>
      <c r="M792" s="196" t="s">
        <v>2985</v>
      </c>
      <c r="N792" s="185"/>
      <c r="O792" s="238"/>
      <c r="P792" s="239" t="s">
        <v>1771</v>
      </c>
      <c r="Q792" s="239" t="s">
        <v>1764</v>
      </c>
      <c r="R792" s="240" t="s">
        <v>691</v>
      </c>
      <c r="S792" s="196" t="s">
        <v>691</v>
      </c>
      <c r="T792" s="196" t="s">
        <v>1765</v>
      </c>
    </row>
    <row r="793">
      <c r="A793" s="182" t="s">
        <v>2986</v>
      </c>
      <c r="B793" s="203" t="s">
        <v>65</v>
      </c>
      <c r="C793" s="173" t="s">
        <v>1799</v>
      </c>
      <c r="D793" s="173" t="s">
        <v>2987</v>
      </c>
      <c r="E793" s="196"/>
      <c r="F793" s="185" t="s">
        <v>185</v>
      </c>
      <c r="G793" s="185" t="s">
        <v>1761</v>
      </c>
      <c r="H793" s="237" t="s">
        <v>148</v>
      </c>
      <c r="I793" s="185" t="s">
        <v>136</v>
      </c>
      <c r="J793" s="185" t="s">
        <v>1762</v>
      </c>
      <c r="K793" s="185" t="s">
        <v>1762</v>
      </c>
      <c r="L793" s="185" t="s">
        <v>2259</v>
      </c>
      <c r="M793" s="196" t="s">
        <v>2985</v>
      </c>
      <c r="N793" s="185"/>
      <c r="O793" s="238"/>
      <c r="P793" s="239" t="s">
        <v>1779</v>
      </c>
      <c r="Q793" s="239" t="s">
        <v>1764</v>
      </c>
      <c r="R793" s="240" t="s">
        <v>691</v>
      </c>
      <c r="S793" s="196" t="s">
        <v>691</v>
      </c>
      <c r="T793" s="196" t="s">
        <v>1765</v>
      </c>
    </row>
    <row r="794" hidden="1">
      <c r="A794" s="182" t="s">
        <v>2988</v>
      </c>
      <c r="B794" s="241" t="s">
        <v>58</v>
      </c>
      <c r="C794" s="173"/>
      <c r="D794" s="173" t="s">
        <v>2989</v>
      </c>
      <c r="E794" s="196"/>
      <c r="F794" s="185" t="s">
        <v>185</v>
      </c>
      <c r="G794" s="185" t="s">
        <v>768</v>
      </c>
      <c r="H794" s="237">
        <v>123.45</v>
      </c>
      <c r="I794" s="185" t="s">
        <v>1823</v>
      </c>
      <c r="J794" s="185" t="s">
        <v>1823</v>
      </c>
      <c r="K794" s="185" t="s">
        <v>2804</v>
      </c>
      <c r="L794" s="185" t="s">
        <v>2259</v>
      </c>
      <c r="M794" s="196" t="s">
        <v>749</v>
      </c>
      <c r="N794" s="185"/>
      <c r="O794" s="238"/>
      <c r="P794" s="239" t="s">
        <v>1830</v>
      </c>
      <c r="Q794" s="239" t="s">
        <v>1826</v>
      </c>
      <c r="R794" s="240" t="s">
        <v>750</v>
      </c>
      <c r="S794" s="196" t="s">
        <v>750</v>
      </c>
      <c r="T794" s="196" t="s">
        <v>1903</v>
      </c>
    </row>
    <row r="795" hidden="1">
      <c r="A795" s="182" t="s">
        <v>2990</v>
      </c>
      <c r="B795" s="241" t="s">
        <v>58</v>
      </c>
      <c r="C795" s="173"/>
      <c r="D795" s="173" t="s">
        <v>2991</v>
      </c>
      <c r="E795" s="196"/>
      <c r="F795" s="185" t="s">
        <v>185</v>
      </c>
      <c r="G795" s="185" t="s">
        <v>713</v>
      </c>
      <c r="H795" s="237">
        <v>1.0</v>
      </c>
      <c r="I795" s="185" t="s">
        <v>1823</v>
      </c>
      <c r="J795" s="185" t="s">
        <v>1823</v>
      </c>
      <c r="K795" s="185" t="s">
        <v>2804</v>
      </c>
      <c r="L795" s="185" t="s">
        <v>2259</v>
      </c>
      <c r="M795" s="196" t="s">
        <v>749</v>
      </c>
      <c r="N795" s="185"/>
      <c r="O795" s="238"/>
      <c r="P795" s="239" t="s">
        <v>1830</v>
      </c>
      <c r="Q795" s="239" t="s">
        <v>1826</v>
      </c>
      <c r="R795" s="240" t="s">
        <v>750</v>
      </c>
      <c r="S795" s="196" t="s">
        <v>750</v>
      </c>
      <c r="T795" s="196" t="s">
        <v>1903</v>
      </c>
    </row>
    <row r="796">
      <c r="A796" s="182" t="s">
        <v>2992</v>
      </c>
      <c r="B796" s="203" t="s">
        <v>66</v>
      </c>
      <c r="C796" s="173" t="s">
        <v>66</v>
      </c>
      <c r="D796" s="173" t="s">
        <v>2993</v>
      </c>
      <c r="E796" s="196"/>
      <c r="F796" s="185" t="s">
        <v>185</v>
      </c>
      <c r="G796" s="185" t="s">
        <v>1500</v>
      </c>
      <c r="H796" s="237" t="b">
        <v>1</v>
      </c>
      <c r="I796" s="185" t="s">
        <v>1762</v>
      </c>
      <c r="J796" s="185" t="s">
        <v>1762</v>
      </c>
      <c r="K796" s="185" t="s">
        <v>1762</v>
      </c>
      <c r="L796" s="185" t="s">
        <v>2259</v>
      </c>
      <c r="M796" s="196" t="s">
        <v>2985</v>
      </c>
      <c r="N796" s="185"/>
      <c r="O796" s="238"/>
      <c r="P796" s="239" t="s">
        <v>1763</v>
      </c>
      <c r="Q796" s="239" t="s">
        <v>1764</v>
      </c>
      <c r="R796" s="240" t="s">
        <v>782</v>
      </c>
      <c r="S796" s="196" t="s">
        <v>782</v>
      </c>
      <c r="T796" s="196" t="s">
        <v>1765</v>
      </c>
    </row>
    <row r="797">
      <c r="A797" s="182" t="s">
        <v>2994</v>
      </c>
      <c r="B797" s="203" t="s">
        <v>66</v>
      </c>
      <c r="C797" s="173" t="s">
        <v>66</v>
      </c>
      <c r="D797" s="173" t="s">
        <v>2995</v>
      </c>
      <c r="E797" s="196"/>
      <c r="F797" s="185" t="s">
        <v>83</v>
      </c>
      <c r="G797" s="185" t="s">
        <v>1761</v>
      </c>
      <c r="H797" s="237" t="s">
        <v>936</v>
      </c>
      <c r="I797" s="185" t="s">
        <v>1762</v>
      </c>
      <c r="J797" s="185" t="s">
        <v>1762</v>
      </c>
      <c r="K797" s="185" t="s">
        <v>1762</v>
      </c>
      <c r="L797" s="185" t="s">
        <v>2259</v>
      </c>
      <c r="M797" s="196" t="s">
        <v>2985</v>
      </c>
      <c r="N797" s="185"/>
      <c r="O797" s="238"/>
      <c r="P797" s="239" t="s">
        <v>1763</v>
      </c>
      <c r="Q797" s="239" t="s">
        <v>1764</v>
      </c>
      <c r="R797" s="240" t="s">
        <v>782</v>
      </c>
      <c r="S797" s="196" t="s">
        <v>782</v>
      </c>
      <c r="T797" s="196" t="s">
        <v>1765</v>
      </c>
    </row>
    <row r="798">
      <c r="A798" s="182" t="s">
        <v>2996</v>
      </c>
      <c r="B798" s="203" t="s">
        <v>66</v>
      </c>
      <c r="C798" s="173" t="s">
        <v>66</v>
      </c>
      <c r="D798" s="173" t="s">
        <v>2997</v>
      </c>
      <c r="E798" s="196"/>
      <c r="F798" s="185" t="s">
        <v>185</v>
      </c>
      <c r="G798" s="185" t="s">
        <v>1761</v>
      </c>
      <c r="H798" s="237" t="s">
        <v>2998</v>
      </c>
      <c r="I798" s="185" t="s">
        <v>1762</v>
      </c>
      <c r="J798" s="185" t="s">
        <v>1762</v>
      </c>
      <c r="K798" s="185" t="s">
        <v>1762</v>
      </c>
      <c r="L798" s="185" t="s">
        <v>2259</v>
      </c>
      <c r="M798" s="196" t="s">
        <v>2985</v>
      </c>
      <c r="N798" s="185"/>
      <c r="O798" s="238"/>
      <c r="P798" s="239" t="s">
        <v>1763</v>
      </c>
      <c r="Q798" s="239" t="s">
        <v>1764</v>
      </c>
      <c r="R798" s="240" t="s">
        <v>782</v>
      </c>
      <c r="S798" s="196" t="s">
        <v>782</v>
      </c>
      <c r="T798" s="196" t="s">
        <v>1765</v>
      </c>
    </row>
    <row r="799">
      <c r="A799" s="182" t="s">
        <v>2999</v>
      </c>
      <c r="B799" s="203" t="s">
        <v>66</v>
      </c>
      <c r="C799" s="173" t="s">
        <v>66</v>
      </c>
      <c r="D799" s="173" t="s">
        <v>3000</v>
      </c>
      <c r="E799" s="196"/>
      <c r="F799" s="185" t="s">
        <v>185</v>
      </c>
      <c r="G799" s="185" t="s">
        <v>1761</v>
      </c>
      <c r="H799" s="237" t="s">
        <v>3001</v>
      </c>
      <c r="I799" s="185" t="s">
        <v>1762</v>
      </c>
      <c r="J799" s="185" t="s">
        <v>1762</v>
      </c>
      <c r="K799" s="185" t="s">
        <v>1762</v>
      </c>
      <c r="L799" s="185" t="s">
        <v>2259</v>
      </c>
      <c r="M799" s="196" t="s">
        <v>2985</v>
      </c>
      <c r="N799" s="185"/>
      <c r="O799" s="238"/>
      <c r="P799" s="239" t="s">
        <v>1763</v>
      </c>
      <c r="Q799" s="239" t="s">
        <v>1764</v>
      </c>
      <c r="R799" s="240" t="s">
        <v>782</v>
      </c>
      <c r="S799" s="196" t="s">
        <v>782</v>
      </c>
      <c r="T799" s="196" t="s">
        <v>1765</v>
      </c>
    </row>
    <row r="800">
      <c r="A800" s="182" t="s">
        <v>3002</v>
      </c>
      <c r="B800" s="203" t="s">
        <v>66</v>
      </c>
      <c r="C800" s="173" t="s">
        <v>66</v>
      </c>
      <c r="D800" s="173" t="s">
        <v>3003</v>
      </c>
      <c r="E800" s="196"/>
      <c r="F800" s="185" t="s">
        <v>185</v>
      </c>
      <c r="G800" s="185" t="s">
        <v>1500</v>
      </c>
      <c r="H800" s="237" t="b">
        <v>1</v>
      </c>
      <c r="I800" s="185" t="s">
        <v>1762</v>
      </c>
      <c r="J800" s="185" t="s">
        <v>1762</v>
      </c>
      <c r="K800" s="185" t="s">
        <v>1762</v>
      </c>
      <c r="L800" s="185" t="s">
        <v>2259</v>
      </c>
      <c r="M800" s="196" t="s">
        <v>2985</v>
      </c>
      <c r="N800" s="185"/>
      <c r="O800" s="238"/>
      <c r="P800" s="239" t="s">
        <v>1763</v>
      </c>
      <c r="Q800" s="239" t="s">
        <v>1764</v>
      </c>
      <c r="R800" s="240" t="s">
        <v>782</v>
      </c>
      <c r="S800" s="196" t="s">
        <v>782</v>
      </c>
      <c r="T800" s="196" t="s">
        <v>1765</v>
      </c>
    </row>
    <row r="801">
      <c r="A801" s="182" t="s">
        <v>3004</v>
      </c>
      <c r="B801" s="203" t="s">
        <v>66</v>
      </c>
      <c r="C801" s="173" t="s">
        <v>66</v>
      </c>
      <c r="D801" s="173" t="s">
        <v>3005</v>
      </c>
      <c r="E801" s="196"/>
      <c r="F801" s="185" t="s">
        <v>83</v>
      </c>
      <c r="G801" s="185" t="s">
        <v>1761</v>
      </c>
      <c r="H801" s="237" t="s">
        <v>936</v>
      </c>
      <c r="I801" s="185" t="s">
        <v>1762</v>
      </c>
      <c r="J801" s="185" t="s">
        <v>1762</v>
      </c>
      <c r="K801" s="185" t="s">
        <v>1762</v>
      </c>
      <c r="L801" s="185" t="s">
        <v>2259</v>
      </c>
      <c r="M801" s="196" t="s">
        <v>2985</v>
      </c>
      <c r="N801" s="185"/>
      <c r="O801" s="238"/>
      <c r="P801" s="239" t="s">
        <v>1763</v>
      </c>
      <c r="Q801" s="239" t="s">
        <v>1764</v>
      </c>
      <c r="R801" s="240" t="s">
        <v>782</v>
      </c>
      <c r="S801" s="196" t="s">
        <v>782</v>
      </c>
      <c r="T801" s="196" t="s">
        <v>1765</v>
      </c>
    </row>
    <row r="802">
      <c r="A802" s="182" t="s">
        <v>3006</v>
      </c>
      <c r="B802" s="203" t="s">
        <v>66</v>
      </c>
      <c r="C802" s="173" t="s">
        <v>66</v>
      </c>
      <c r="D802" s="173" t="s">
        <v>3007</v>
      </c>
      <c r="E802" s="196"/>
      <c r="F802" s="185" t="s">
        <v>185</v>
      </c>
      <c r="G802" s="185" t="s">
        <v>1761</v>
      </c>
      <c r="H802" s="237" t="s">
        <v>3008</v>
      </c>
      <c r="I802" s="185" t="s">
        <v>1762</v>
      </c>
      <c r="J802" s="185" t="s">
        <v>1762</v>
      </c>
      <c r="K802" s="185" t="s">
        <v>1762</v>
      </c>
      <c r="L802" s="185" t="s">
        <v>2259</v>
      </c>
      <c r="M802" s="196" t="s">
        <v>2985</v>
      </c>
      <c r="N802" s="185"/>
      <c r="O802" s="238"/>
      <c r="P802" s="239" t="s">
        <v>1763</v>
      </c>
      <c r="Q802" s="239" t="s">
        <v>1764</v>
      </c>
      <c r="R802" s="240" t="s">
        <v>782</v>
      </c>
      <c r="S802" s="196" t="s">
        <v>782</v>
      </c>
      <c r="T802" s="196" t="s">
        <v>1765</v>
      </c>
    </row>
    <row r="803">
      <c r="A803" s="182" t="s">
        <v>3009</v>
      </c>
      <c r="B803" s="203" t="s">
        <v>66</v>
      </c>
      <c r="C803" s="173" t="s">
        <v>66</v>
      </c>
      <c r="D803" s="173" t="s">
        <v>3010</v>
      </c>
      <c r="E803" s="196"/>
      <c r="F803" s="185" t="s">
        <v>185</v>
      </c>
      <c r="G803" s="185" t="s">
        <v>1761</v>
      </c>
      <c r="H803" s="237" t="s">
        <v>3011</v>
      </c>
      <c r="I803" s="185" t="s">
        <v>1762</v>
      </c>
      <c r="J803" s="185" t="s">
        <v>1762</v>
      </c>
      <c r="K803" s="185" t="s">
        <v>1762</v>
      </c>
      <c r="L803" s="185" t="s">
        <v>2259</v>
      </c>
      <c r="M803" s="196" t="s">
        <v>2985</v>
      </c>
      <c r="N803" s="185"/>
      <c r="O803" s="238"/>
      <c r="P803" s="239" t="s">
        <v>1763</v>
      </c>
      <c r="Q803" s="239" t="s">
        <v>1764</v>
      </c>
      <c r="R803" s="240" t="s">
        <v>782</v>
      </c>
      <c r="S803" s="196" t="s">
        <v>782</v>
      </c>
      <c r="T803" s="196" t="s">
        <v>1765</v>
      </c>
    </row>
    <row r="804">
      <c r="A804" s="182" t="s">
        <v>3012</v>
      </c>
      <c r="B804" s="203" t="s">
        <v>66</v>
      </c>
      <c r="C804" s="173" t="s">
        <v>66</v>
      </c>
      <c r="D804" s="173" t="s">
        <v>3013</v>
      </c>
      <c r="E804" s="196"/>
      <c r="F804" s="185" t="s">
        <v>185</v>
      </c>
      <c r="G804" s="185" t="s">
        <v>713</v>
      </c>
      <c r="H804" s="237">
        <v>40.0</v>
      </c>
      <c r="I804" s="185" t="s">
        <v>2804</v>
      </c>
      <c r="J804" s="185" t="s">
        <v>2804</v>
      </c>
      <c r="K804" s="185" t="s">
        <v>2804</v>
      </c>
      <c r="L804" s="185" t="s">
        <v>2259</v>
      </c>
      <c r="M804" s="196" t="s">
        <v>2985</v>
      </c>
      <c r="N804" s="185"/>
      <c r="O804" s="238"/>
      <c r="P804" s="239" t="s">
        <v>1782</v>
      </c>
      <c r="Q804" s="239" t="s">
        <v>1783</v>
      </c>
      <c r="R804" s="240" t="s">
        <v>761</v>
      </c>
      <c r="S804" s="196" t="s">
        <v>761</v>
      </c>
      <c r="T804" s="196" t="s">
        <v>1765</v>
      </c>
    </row>
    <row r="805">
      <c r="A805" s="182" t="s">
        <v>3014</v>
      </c>
      <c r="B805" s="203" t="s">
        <v>66</v>
      </c>
      <c r="C805" s="173" t="s">
        <v>66</v>
      </c>
      <c r="D805" s="173" t="s">
        <v>3015</v>
      </c>
      <c r="E805" s="196"/>
      <c r="F805" s="185" t="s">
        <v>185</v>
      </c>
      <c r="G805" s="185" t="s">
        <v>1761</v>
      </c>
      <c r="H805" s="237" t="s">
        <v>3016</v>
      </c>
      <c r="I805" s="185" t="s">
        <v>1762</v>
      </c>
      <c r="J805" s="185" t="s">
        <v>1762</v>
      </c>
      <c r="K805" s="185" t="s">
        <v>1762</v>
      </c>
      <c r="L805" s="185" t="s">
        <v>2259</v>
      </c>
      <c r="M805" s="196" t="s">
        <v>687</v>
      </c>
      <c r="N805" s="185"/>
      <c r="O805" s="238"/>
      <c r="P805" s="239" t="s">
        <v>1777</v>
      </c>
      <c r="Q805" s="239" t="s">
        <v>1764</v>
      </c>
      <c r="R805" s="240" t="s">
        <v>691</v>
      </c>
      <c r="S805" s="196" t="s">
        <v>691</v>
      </c>
      <c r="T805" s="196" t="s">
        <v>1765</v>
      </c>
    </row>
    <row r="806">
      <c r="A806" s="182" t="s">
        <v>3017</v>
      </c>
      <c r="B806" s="203" t="s">
        <v>66</v>
      </c>
      <c r="C806" s="173" t="s">
        <v>66</v>
      </c>
      <c r="D806" s="173" t="s">
        <v>3018</v>
      </c>
      <c r="E806" s="196"/>
      <c r="F806" s="185" t="s">
        <v>185</v>
      </c>
      <c r="G806" s="185" t="s">
        <v>1761</v>
      </c>
      <c r="H806" s="237" t="s">
        <v>2964</v>
      </c>
      <c r="I806" s="185" t="s">
        <v>1762</v>
      </c>
      <c r="J806" s="185" t="s">
        <v>1762</v>
      </c>
      <c r="K806" s="185" t="s">
        <v>1762</v>
      </c>
      <c r="L806" s="185" t="s">
        <v>2259</v>
      </c>
      <c r="M806" s="196" t="s">
        <v>687</v>
      </c>
      <c r="N806" s="185"/>
      <c r="O806" s="238"/>
      <c r="P806" s="239" t="s">
        <v>1777</v>
      </c>
      <c r="Q806" s="239" t="s">
        <v>1764</v>
      </c>
      <c r="R806" s="240" t="s">
        <v>691</v>
      </c>
      <c r="S806" s="196" t="s">
        <v>691</v>
      </c>
      <c r="T806" s="196" t="s">
        <v>1765</v>
      </c>
    </row>
    <row r="807">
      <c r="A807" s="182" t="s">
        <v>3019</v>
      </c>
      <c r="B807" s="203" t="s">
        <v>65</v>
      </c>
      <c r="C807" s="173" t="s">
        <v>1804</v>
      </c>
      <c r="D807" s="173" t="s">
        <v>3020</v>
      </c>
      <c r="E807" s="196"/>
      <c r="F807" s="185" t="s">
        <v>185</v>
      </c>
      <c r="G807" s="185" t="s">
        <v>1761</v>
      </c>
      <c r="H807" s="242" t="s">
        <v>3021</v>
      </c>
      <c r="I807" s="185" t="s">
        <v>1762</v>
      </c>
      <c r="J807" s="185" t="s">
        <v>1762</v>
      </c>
      <c r="K807" s="185" t="s">
        <v>1762</v>
      </c>
      <c r="L807" s="185" t="s">
        <v>2259</v>
      </c>
      <c r="M807" s="196" t="s">
        <v>687</v>
      </c>
      <c r="N807" s="185"/>
      <c r="O807" s="238"/>
      <c r="P807" s="239" t="s">
        <v>1777</v>
      </c>
      <c r="Q807" s="239" t="s">
        <v>1764</v>
      </c>
      <c r="R807" s="240" t="s">
        <v>691</v>
      </c>
      <c r="S807" s="196" t="s">
        <v>691</v>
      </c>
      <c r="T807" s="196" t="s">
        <v>1765</v>
      </c>
    </row>
    <row r="808">
      <c r="A808" s="182" t="s">
        <v>3022</v>
      </c>
      <c r="B808" s="203" t="s">
        <v>66</v>
      </c>
      <c r="C808" s="173" t="s">
        <v>66</v>
      </c>
      <c r="D808" s="173" t="s">
        <v>3023</v>
      </c>
      <c r="E808" s="196"/>
      <c r="F808" s="185" t="s">
        <v>185</v>
      </c>
      <c r="G808" s="185" t="s">
        <v>1500</v>
      </c>
      <c r="H808" s="237" t="b">
        <v>1</v>
      </c>
      <c r="I808" s="185" t="s">
        <v>1762</v>
      </c>
      <c r="J808" s="185" t="s">
        <v>1762</v>
      </c>
      <c r="K808" s="185" t="s">
        <v>1762</v>
      </c>
      <c r="L808" s="185" t="s">
        <v>2259</v>
      </c>
      <c r="M808" s="196" t="s">
        <v>749</v>
      </c>
      <c r="N808" s="185"/>
      <c r="O808" s="238"/>
      <c r="P808" s="239" t="s">
        <v>1763</v>
      </c>
      <c r="Q808" s="239" t="s">
        <v>1764</v>
      </c>
      <c r="R808" s="240" t="s">
        <v>782</v>
      </c>
      <c r="S808" s="196" t="s">
        <v>782</v>
      </c>
      <c r="T808" s="196" t="s">
        <v>1765</v>
      </c>
    </row>
    <row r="809">
      <c r="A809" s="182" t="s">
        <v>3024</v>
      </c>
      <c r="B809" s="203" t="s">
        <v>66</v>
      </c>
      <c r="C809" s="173" t="s">
        <v>66</v>
      </c>
      <c r="D809" s="173" t="s">
        <v>3025</v>
      </c>
      <c r="E809" s="196"/>
      <c r="F809" s="185" t="s">
        <v>83</v>
      </c>
      <c r="G809" s="185" t="s">
        <v>1761</v>
      </c>
      <c r="H809" s="237" t="s">
        <v>977</v>
      </c>
      <c r="I809" s="185" t="s">
        <v>1762</v>
      </c>
      <c r="J809" s="185" t="s">
        <v>1762</v>
      </c>
      <c r="K809" s="185" t="s">
        <v>1762</v>
      </c>
      <c r="L809" s="185" t="s">
        <v>2259</v>
      </c>
      <c r="M809" s="196" t="s">
        <v>749</v>
      </c>
      <c r="N809" s="185"/>
      <c r="O809" s="238"/>
      <c r="P809" s="239" t="s">
        <v>1763</v>
      </c>
      <c r="Q809" s="239" t="s">
        <v>1764</v>
      </c>
      <c r="R809" s="240" t="s">
        <v>782</v>
      </c>
      <c r="S809" s="196" t="s">
        <v>782</v>
      </c>
      <c r="T809" s="196" t="s">
        <v>1765</v>
      </c>
    </row>
    <row r="810">
      <c r="A810" s="182" t="s">
        <v>3026</v>
      </c>
      <c r="B810" s="203" t="s">
        <v>66</v>
      </c>
      <c r="C810" s="173" t="s">
        <v>66</v>
      </c>
      <c r="D810" s="173" t="s">
        <v>3027</v>
      </c>
      <c r="E810" s="196"/>
      <c r="F810" s="185" t="s">
        <v>185</v>
      </c>
      <c r="G810" s="185" t="s">
        <v>1761</v>
      </c>
      <c r="H810" s="237" t="s">
        <v>2476</v>
      </c>
      <c r="I810" s="185" t="s">
        <v>1762</v>
      </c>
      <c r="J810" s="185" t="s">
        <v>1762</v>
      </c>
      <c r="K810" s="185" t="s">
        <v>1762</v>
      </c>
      <c r="L810" s="185" t="s">
        <v>2259</v>
      </c>
      <c r="M810" s="196" t="s">
        <v>749</v>
      </c>
      <c r="N810" s="185"/>
      <c r="O810" s="238"/>
      <c r="P810" s="239" t="s">
        <v>1763</v>
      </c>
      <c r="Q810" s="239" t="s">
        <v>1764</v>
      </c>
      <c r="R810" s="240" t="s">
        <v>782</v>
      </c>
      <c r="S810" s="196" t="s">
        <v>782</v>
      </c>
      <c r="T810" s="196" t="s">
        <v>1765</v>
      </c>
    </row>
    <row r="811">
      <c r="A811" s="182" t="s">
        <v>3028</v>
      </c>
      <c r="B811" s="203" t="s">
        <v>66</v>
      </c>
      <c r="C811" s="173" t="s">
        <v>66</v>
      </c>
      <c r="D811" s="173" t="s">
        <v>3029</v>
      </c>
      <c r="E811" s="196"/>
      <c r="F811" s="185" t="s">
        <v>185</v>
      </c>
      <c r="G811" s="185" t="s">
        <v>1761</v>
      </c>
      <c r="H811" s="237" t="s">
        <v>3030</v>
      </c>
      <c r="I811" s="185" t="s">
        <v>1762</v>
      </c>
      <c r="J811" s="185" t="s">
        <v>1762</v>
      </c>
      <c r="K811" s="185" t="s">
        <v>1762</v>
      </c>
      <c r="L811" s="185" t="s">
        <v>2259</v>
      </c>
      <c r="M811" s="196" t="s">
        <v>749</v>
      </c>
      <c r="N811" s="185"/>
      <c r="O811" s="238"/>
      <c r="P811" s="239" t="s">
        <v>1763</v>
      </c>
      <c r="Q811" s="239" t="s">
        <v>1764</v>
      </c>
      <c r="R811" s="240" t="s">
        <v>782</v>
      </c>
      <c r="S811" s="196" t="s">
        <v>782</v>
      </c>
      <c r="T811" s="196" t="s">
        <v>1765</v>
      </c>
    </row>
    <row r="812">
      <c r="A812" s="182" t="s">
        <v>3031</v>
      </c>
      <c r="B812" s="203" t="s">
        <v>66</v>
      </c>
      <c r="C812" s="173" t="s">
        <v>66</v>
      </c>
      <c r="D812" s="173" t="s">
        <v>3032</v>
      </c>
      <c r="E812" s="196"/>
      <c r="F812" s="185" t="s">
        <v>185</v>
      </c>
      <c r="G812" s="185" t="s">
        <v>1761</v>
      </c>
      <c r="H812" s="237" t="s">
        <v>3033</v>
      </c>
      <c r="I812" s="185" t="s">
        <v>1762</v>
      </c>
      <c r="J812" s="185" t="s">
        <v>1762</v>
      </c>
      <c r="K812" s="185" t="s">
        <v>1762</v>
      </c>
      <c r="L812" s="185" t="s">
        <v>2259</v>
      </c>
      <c r="M812" s="196" t="s">
        <v>749</v>
      </c>
      <c r="N812" s="185"/>
      <c r="O812" s="238"/>
      <c r="P812" s="239" t="s">
        <v>1781</v>
      </c>
      <c r="Q812" s="239" t="s">
        <v>1764</v>
      </c>
      <c r="R812" s="240" t="s">
        <v>782</v>
      </c>
      <c r="S812" s="196" t="s">
        <v>782</v>
      </c>
      <c r="T812" s="196" t="s">
        <v>1765</v>
      </c>
    </row>
    <row r="813">
      <c r="A813" s="182" t="s">
        <v>3034</v>
      </c>
      <c r="B813" s="203" t="s">
        <v>65</v>
      </c>
      <c r="C813" s="173" t="s">
        <v>1814</v>
      </c>
      <c r="D813" s="173" t="s">
        <v>3035</v>
      </c>
      <c r="E813" s="196"/>
      <c r="F813" s="185" t="s">
        <v>185</v>
      </c>
      <c r="G813" s="185" t="s">
        <v>698</v>
      </c>
      <c r="H813" s="237">
        <v>35260.33</v>
      </c>
      <c r="I813" s="185" t="s">
        <v>1762</v>
      </c>
      <c r="J813" s="185" t="s">
        <v>1762</v>
      </c>
      <c r="K813" s="185" t="s">
        <v>1762</v>
      </c>
      <c r="L813" s="185" t="s">
        <v>2259</v>
      </c>
      <c r="M813" s="196" t="s">
        <v>687</v>
      </c>
      <c r="N813" s="185"/>
      <c r="O813" s="238"/>
      <c r="P813" s="239" t="s">
        <v>1777</v>
      </c>
      <c r="Q813" s="239" t="s">
        <v>1764</v>
      </c>
      <c r="R813" s="240" t="s">
        <v>691</v>
      </c>
      <c r="S813" s="196" t="s">
        <v>691</v>
      </c>
      <c r="T813" s="196" t="s">
        <v>1765</v>
      </c>
    </row>
    <row r="814">
      <c r="A814" s="182" t="s">
        <v>3036</v>
      </c>
      <c r="B814" s="203" t="s">
        <v>66</v>
      </c>
      <c r="C814" s="173" t="s">
        <v>66</v>
      </c>
      <c r="D814" s="173" t="s">
        <v>3037</v>
      </c>
      <c r="E814" s="196"/>
      <c r="F814" s="185" t="s">
        <v>185</v>
      </c>
      <c r="G814" s="185" t="s">
        <v>1761</v>
      </c>
      <c r="H814" s="237" t="s">
        <v>3038</v>
      </c>
      <c r="I814" s="185" t="s">
        <v>136</v>
      </c>
      <c r="J814" s="185" t="s">
        <v>1762</v>
      </c>
      <c r="K814" s="185" t="s">
        <v>1762</v>
      </c>
      <c r="L814" s="185" t="s">
        <v>2259</v>
      </c>
      <c r="M814" s="196" t="s">
        <v>687</v>
      </c>
      <c r="N814" s="185"/>
      <c r="O814" s="238"/>
      <c r="P814" s="239" t="s">
        <v>1777</v>
      </c>
      <c r="Q814" s="239" t="s">
        <v>1764</v>
      </c>
      <c r="R814" s="240" t="s">
        <v>691</v>
      </c>
      <c r="S814" s="196" t="s">
        <v>691</v>
      </c>
      <c r="T814" s="196" t="s">
        <v>1765</v>
      </c>
    </row>
    <row r="815">
      <c r="A815" s="182" t="s">
        <v>3039</v>
      </c>
      <c r="B815" s="203" t="s">
        <v>66</v>
      </c>
      <c r="C815" s="173" t="s">
        <v>66</v>
      </c>
      <c r="D815" s="173" t="s">
        <v>3040</v>
      </c>
      <c r="E815" s="196"/>
      <c r="F815" s="185" t="s">
        <v>185</v>
      </c>
      <c r="G815" s="185" t="s">
        <v>713</v>
      </c>
      <c r="H815" s="237">
        <v>25.0</v>
      </c>
      <c r="I815" s="185" t="s">
        <v>1762</v>
      </c>
      <c r="J815" s="185" t="s">
        <v>1762</v>
      </c>
      <c r="K815" s="185" t="s">
        <v>1762</v>
      </c>
      <c r="L815" s="185" t="s">
        <v>2259</v>
      </c>
      <c r="M815" s="196" t="s">
        <v>687</v>
      </c>
      <c r="N815" s="185"/>
      <c r="O815" s="238"/>
      <c r="P815" s="239" t="s">
        <v>1777</v>
      </c>
      <c r="Q815" s="239" t="s">
        <v>1764</v>
      </c>
      <c r="R815" s="240" t="s">
        <v>691</v>
      </c>
      <c r="S815" s="196" t="s">
        <v>691</v>
      </c>
      <c r="T815" s="196" t="s">
        <v>1765</v>
      </c>
    </row>
    <row r="816">
      <c r="A816" s="182" t="s">
        <v>3041</v>
      </c>
      <c r="B816" s="203" t="s">
        <v>66</v>
      </c>
      <c r="C816" s="173" t="s">
        <v>66</v>
      </c>
      <c r="D816" s="173" t="s">
        <v>3042</v>
      </c>
      <c r="E816" s="196"/>
      <c r="F816" s="185" t="s">
        <v>185</v>
      </c>
      <c r="G816" s="185" t="s">
        <v>1858</v>
      </c>
      <c r="H816" s="237" t="s">
        <v>3043</v>
      </c>
      <c r="I816" s="185" t="s">
        <v>136</v>
      </c>
      <c r="J816" s="185" t="s">
        <v>136</v>
      </c>
      <c r="K816" s="185" t="s">
        <v>2362</v>
      </c>
      <c r="L816" s="185" t="s">
        <v>2259</v>
      </c>
      <c r="M816" s="196" t="s">
        <v>2985</v>
      </c>
      <c r="N816" s="185"/>
      <c r="O816" s="238"/>
      <c r="P816" s="239" t="s">
        <v>1786</v>
      </c>
      <c r="Q816" s="239" t="s">
        <v>1787</v>
      </c>
      <c r="R816" s="240" t="s">
        <v>702</v>
      </c>
      <c r="S816" s="196" t="s">
        <v>702</v>
      </c>
      <c r="T816" s="196" t="s">
        <v>1765</v>
      </c>
    </row>
    <row r="817">
      <c r="A817" s="182" t="s">
        <v>3044</v>
      </c>
      <c r="B817" s="203" t="s">
        <v>66</v>
      </c>
      <c r="C817" s="173" t="s">
        <v>66</v>
      </c>
      <c r="D817" s="173" t="s">
        <v>3045</v>
      </c>
      <c r="E817" s="196"/>
      <c r="F817" s="185" t="s">
        <v>185</v>
      </c>
      <c r="G817" s="185" t="s">
        <v>1858</v>
      </c>
      <c r="H817" s="237" t="s">
        <v>3046</v>
      </c>
      <c r="I817" s="185" t="s">
        <v>136</v>
      </c>
      <c r="J817" s="185" t="s">
        <v>136</v>
      </c>
      <c r="K817" s="185" t="s">
        <v>2362</v>
      </c>
      <c r="L817" s="185" t="s">
        <v>2259</v>
      </c>
      <c r="M817" s="196" t="s">
        <v>2985</v>
      </c>
      <c r="N817" s="185"/>
      <c r="O817" s="238"/>
      <c r="P817" s="239" t="s">
        <v>1786</v>
      </c>
      <c r="Q817" s="239" t="s">
        <v>1787</v>
      </c>
      <c r="R817" s="240" t="s">
        <v>702</v>
      </c>
      <c r="S817" s="196" t="s">
        <v>702</v>
      </c>
      <c r="T817" s="196" t="s">
        <v>1765</v>
      </c>
    </row>
    <row r="818">
      <c r="A818" s="182" t="s">
        <v>3047</v>
      </c>
      <c r="B818" s="203" t="s">
        <v>66</v>
      </c>
      <c r="C818" s="173" t="s">
        <v>66</v>
      </c>
      <c r="D818" s="173" t="s">
        <v>3048</v>
      </c>
      <c r="E818" s="196"/>
      <c r="F818" s="185" t="s">
        <v>185</v>
      </c>
      <c r="G818" s="185" t="s">
        <v>1858</v>
      </c>
      <c r="H818" s="237" t="s">
        <v>3049</v>
      </c>
      <c r="I818" s="185" t="s">
        <v>136</v>
      </c>
      <c r="J818" s="185" t="s">
        <v>136</v>
      </c>
      <c r="K818" s="185" t="s">
        <v>2362</v>
      </c>
      <c r="L818" s="185" t="s">
        <v>2259</v>
      </c>
      <c r="M818" s="196" t="s">
        <v>2985</v>
      </c>
      <c r="N818" s="185"/>
      <c r="O818" s="238"/>
      <c r="P818" s="239" t="s">
        <v>701</v>
      </c>
      <c r="Q818" s="239" t="s">
        <v>1787</v>
      </c>
      <c r="R818" s="240" t="s">
        <v>702</v>
      </c>
      <c r="S818" s="196" t="s">
        <v>702</v>
      </c>
      <c r="T818" s="196" t="s">
        <v>1765</v>
      </c>
    </row>
    <row r="819">
      <c r="A819" s="182" t="s">
        <v>3050</v>
      </c>
      <c r="B819" s="203" t="s">
        <v>66</v>
      </c>
      <c r="C819" s="173" t="s">
        <v>66</v>
      </c>
      <c r="D819" s="173" t="s">
        <v>3051</v>
      </c>
      <c r="E819" s="196"/>
      <c r="F819" s="185" t="s">
        <v>185</v>
      </c>
      <c r="G819" s="185" t="s">
        <v>1858</v>
      </c>
      <c r="H819" s="237" t="s">
        <v>3052</v>
      </c>
      <c r="I819" s="185" t="s">
        <v>136</v>
      </c>
      <c r="J819" s="185" t="s">
        <v>136</v>
      </c>
      <c r="K819" s="185" t="s">
        <v>2362</v>
      </c>
      <c r="L819" s="185" t="s">
        <v>2259</v>
      </c>
      <c r="M819" s="196" t="s">
        <v>2985</v>
      </c>
      <c r="N819" s="185"/>
      <c r="O819" s="238"/>
      <c r="P819" s="239" t="s">
        <v>701</v>
      </c>
      <c r="Q819" s="239" t="s">
        <v>1787</v>
      </c>
      <c r="R819" s="240" t="s">
        <v>702</v>
      </c>
      <c r="S819" s="196" t="s">
        <v>702</v>
      </c>
      <c r="T819" s="196" t="s">
        <v>1765</v>
      </c>
    </row>
    <row r="820">
      <c r="A820" s="182" t="s">
        <v>3053</v>
      </c>
      <c r="B820" s="203" t="s">
        <v>65</v>
      </c>
      <c r="C820" s="173" t="s">
        <v>1804</v>
      </c>
      <c r="D820" s="173" t="s">
        <v>3054</v>
      </c>
      <c r="E820" s="196"/>
      <c r="F820" s="185" t="s">
        <v>185</v>
      </c>
      <c r="G820" s="185" t="s">
        <v>1761</v>
      </c>
      <c r="H820" s="237" t="s">
        <v>129</v>
      </c>
      <c r="I820" s="185" t="s">
        <v>1762</v>
      </c>
      <c r="J820" s="185" t="s">
        <v>1762</v>
      </c>
      <c r="K820" s="185" t="s">
        <v>1762</v>
      </c>
      <c r="L820" s="185" t="s">
        <v>2259</v>
      </c>
      <c r="M820" s="196" t="s">
        <v>2985</v>
      </c>
      <c r="N820" s="185"/>
      <c r="O820" s="238"/>
      <c r="P820" s="239" t="s">
        <v>1777</v>
      </c>
      <c r="Q820" s="239" t="s">
        <v>1764</v>
      </c>
      <c r="R820" s="240" t="s">
        <v>691</v>
      </c>
      <c r="S820" s="196" t="s">
        <v>691</v>
      </c>
      <c r="T820" s="196" t="s">
        <v>1765</v>
      </c>
    </row>
    <row r="821">
      <c r="A821" s="182" t="s">
        <v>3055</v>
      </c>
      <c r="B821" s="203" t="s">
        <v>65</v>
      </c>
      <c r="C821" s="173" t="s">
        <v>1804</v>
      </c>
      <c r="D821" s="173" t="s">
        <v>3056</v>
      </c>
      <c r="E821" s="196"/>
      <c r="F821" s="185" t="s">
        <v>185</v>
      </c>
      <c r="G821" s="185" t="s">
        <v>1761</v>
      </c>
      <c r="H821" s="237" t="s">
        <v>3057</v>
      </c>
      <c r="I821" s="185" t="s">
        <v>1762</v>
      </c>
      <c r="J821" s="185" t="s">
        <v>1762</v>
      </c>
      <c r="K821" s="185" t="s">
        <v>1762</v>
      </c>
      <c r="L821" s="185" t="s">
        <v>2259</v>
      </c>
      <c r="M821" s="196" t="s">
        <v>2985</v>
      </c>
      <c r="N821" s="185"/>
      <c r="O821" s="238"/>
      <c r="P821" s="239" t="s">
        <v>1777</v>
      </c>
      <c r="Q821" s="239" t="s">
        <v>1764</v>
      </c>
      <c r="R821" s="240" t="s">
        <v>691</v>
      </c>
      <c r="S821" s="196" t="s">
        <v>691</v>
      </c>
      <c r="T821" s="196" t="s">
        <v>1765</v>
      </c>
    </row>
    <row r="822">
      <c r="A822" s="182" t="s">
        <v>3058</v>
      </c>
      <c r="B822" s="203" t="s">
        <v>65</v>
      </c>
      <c r="C822" s="173" t="s">
        <v>1804</v>
      </c>
      <c r="D822" s="173" t="s">
        <v>3059</v>
      </c>
      <c r="E822" s="196"/>
      <c r="F822" s="185" t="s">
        <v>185</v>
      </c>
      <c r="G822" s="185" t="s">
        <v>1761</v>
      </c>
      <c r="H822" s="237" t="s">
        <v>3060</v>
      </c>
      <c r="I822" s="185" t="s">
        <v>1762</v>
      </c>
      <c r="J822" s="185" t="s">
        <v>1762</v>
      </c>
      <c r="K822" s="185" t="s">
        <v>1762</v>
      </c>
      <c r="L822" s="185" t="s">
        <v>2259</v>
      </c>
      <c r="M822" s="196" t="s">
        <v>2985</v>
      </c>
      <c r="N822" s="185"/>
      <c r="O822" s="238"/>
      <c r="P822" s="239" t="s">
        <v>1777</v>
      </c>
      <c r="Q822" s="239" t="s">
        <v>1764</v>
      </c>
      <c r="R822" s="240" t="s">
        <v>691</v>
      </c>
      <c r="S822" s="196" t="s">
        <v>691</v>
      </c>
      <c r="T822" s="196" t="s">
        <v>1765</v>
      </c>
    </row>
    <row r="823">
      <c r="A823" s="182" t="s">
        <v>3061</v>
      </c>
      <c r="B823" s="203" t="s">
        <v>66</v>
      </c>
      <c r="C823" s="173" t="s">
        <v>66</v>
      </c>
      <c r="D823" s="173" t="s">
        <v>3062</v>
      </c>
      <c r="E823" s="196"/>
      <c r="F823" s="185" t="s">
        <v>185</v>
      </c>
      <c r="G823" s="185" t="s">
        <v>1500</v>
      </c>
      <c r="H823" s="237" t="b">
        <v>1</v>
      </c>
      <c r="I823" s="185" t="s">
        <v>2807</v>
      </c>
      <c r="J823" s="185" t="s">
        <v>2807</v>
      </c>
      <c r="K823" s="185" t="s">
        <v>2807</v>
      </c>
      <c r="L823" s="185" t="s">
        <v>2259</v>
      </c>
      <c r="M823" s="196" t="s">
        <v>749</v>
      </c>
      <c r="N823" s="185"/>
      <c r="O823" s="238"/>
      <c r="P823" s="239" t="s">
        <v>3063</v>
      </c>
      <c r="Q823" s="239" t="s">
        <v>1902</v>
      </c>
      <c r="R823" s="240" t="s">
        <v>702</v>
      </c>
      <c r="S823" s="196" t="s">
        <v>702</v>
      </c>
      <c r="T823" s="196" t="s">
        <v>1765</v>
      </c>
    </row>
    <row r="824">
      <c r="A824" s="182" t="s">
        <v>3064</v>
      </c>
      <c r="B824" s="203" t="s">
        <v>66</v>
      </c>
      <c r="C824" s="173" t="s">
        <v>66</v>
      </c>
      <c r="D824" s="173" t="s">
        <v>3065</v>
      </c>
      <c r="E824" s="196"/>
      <c r="F824" s="185" t="s">
        <v>185</v>
      </c>
      <c r="G824" s="185" t="s">
        <v>713</v>
      </c>
      <c r="H824" s="237">
        <v>1.0</v>
      </c>
      <c r="I824" s="185" t="s">
        <v>136</v>
      </c>
      <c r="J824" s="185" t="s">
        <v>2072</v>
      </c>
      <c r="K824" s="185" t="s">
        <v>2072</v>
      </c>
      <c r="L824" s="185" t="s">
        <v>2259</v>
      </c>
      <c r="M824" s="196" t="s">
        <v>687</v>
      </c>
      <c r="N824" s="185"/>
      <c r="O824" s="238"/>
      <c r="P824" s="239" t="s">
        <v>1830</v>
      </c>
      <c r="Q824" s="239" t="s">
        <v>732</v>
      </c>
      <c r="R824" s="240" t="s">
        <v>761</v>
      </c>
      <c r="S824" s="196" t="s">
        <v>761</v>
      </c>
      <c r="T824" s="196" t="s">
        <v>1765</v>
      </c>
    </row>
    <row r="825">
      <c r="A825" s="182" t="s">
        <v>3066</v>
      </c>
      <c r="B825" s="203" t="s">
        <v>66</v>
      </c>
      <c r="C825" s="173" t="s">
        <v>66</v>
      </c>
      <c r="D825" s="173" t="s">
        <v>3067</v>
      </c>
      <c r="E825" s="196"/>
      <c r="F825" s="185" t="s">
        <v>185</v>
      </c>
      <c r="G825" s="185" t="s">
        <v>768</v>
      </c>
      <c r="H825" s="237">
        <v>100.0</v>
      </c>
      <c r="I825" s="185" t="s">
        <v>2072</v>
      </c>
      <c r="J825" s="185" t="s">
        <v>2072</v>
      </c>
      <c r="K825" s="185" t="s">
        <v>2072</v>
      </c>
      <c r="L825" s="185" t="s">
        <v>2259</v>
      </c>
      <c r="M825" s="196" t="s">
        <v>687</v>
      </c>
      <c r="N825" s="185"/>
      <c r="O825" s="238"/>
      <c r="P825" s="239" t="s">
        <v>1782</v>
      </c>
      <c r="Q825" s="239" t="s">
        <v>1783</v>
      </c>
      <c r="R825" s="240" t="s">
        <v>750</v>
      </c>
      <c r="S825" s="196" t="s">
        <v>750</v>
      </c>
      <c r="T825" s="196" t="s">
        <v>1765</v>
      </c>
    </row>
    <row r="826">
      <c r="A826" s="182" t="s">
        <v>3068</v>
      </c>
      <c r="B826" s="203" t="s">
        <v>66</v>
      </c>
      <c r="C826" s="173" t="s">
        <v>66</v>
      </c>
      <c r="D826" s="173" t="s">
        <v>3069</v>
      </c>
      <c r="E826" s="196"/>
      <c r="F826" s="185" t="s">
        <v>185</v>
      </c>
      <c r="G826" s="185" t="s">
        <v>1500</v>
      </c>
      <c r="H826" s="237" t="b">
        <v>1</v>
      </c>
      <c r="I826" s="185" t="s">
        <v>1762</v>
      </c>
      <c r="J826" s="185" t="s">
        <v>1762</v>
      </c>
      <c r="K826" s="185" t="s">
        <v>1762</v>
      </c>
      <c r="L826" s="185" t="s">
        <v>2259</v>
      </c>
      <c r="M826" s="196" t="s">
        <v>749</v>
      </c>
      <c r="N826" s="185"/>
      <c r="O826" s="238"/>
      <c r="P826" s="239" t="s">
        <v>1763</v>
      </c>
      <c r="Q826" s="239" t="s">
        <v>1764</v>
      </c>
      <c r="R826" s="240" t="s">
        <v>782</v>
      </c>
      <c r="S826" s="196" t="s">
        <v>782</v>
      </c>
      <c r="T826" s="196" t="s">
        <v>1765</v>
      </c>
    </row>
    <row r="827">
      <c r="A827" s="182" t="s">
        <v>3070</v>
      </c>
      <c r="B827" s="203" t="s">
        <v>66</v>
      </c>
      <c r="C827" s="173" t="s">
        <v>66</v>
      </c>
      <c r="D827" s="173" t="s">
        <v>3071</v>
      </c>
      <c r="E827" s="196"/>
      <c r="F827" s="185" t="s">
        <v>83</v>
      </c>
      <c r="G827" s="185" t="s">
        <v>1761</v>
      </c>
      <c r="H827" s="237" t="s">
        <v>982</v>
      </c>
      <c r="I827" s="185" t="s">
        <v>1762</v>
      </c>
      <c r="J827" s="185" t="s">
        <v>1762</v>
      </c>
      <c r="K827" s="185" t="s">
        <v>1762</v>
      </c>
      <c r="L827" s="185" t="s">
        <v>2259</v>
      </c>
      <c r="M827" s="196" t="s">
        <v>749</v>
      </c>
      <c r="N827" s="185"/>
      <c r="O827" s="238"/>
      <c r="P827" s="239" t="s">
        <v>1763</v>
      </c>
      <c r="Q827" s="239" t="s">
        <v>1764</v>
      </c>
      <c r="R827" s="240" t="s">
        <v>782</v>
      </c>
      <c r="S827" s="196" t="s">
        <v>782</v>
      </c>
      <c r="T827" s="196" t="s">
        <v>1765</v>
      </c>
    </row>
    <row r="828">
      <c r="A828" s="182" t="s">
        <v>3072</v>
      </c>
      <c r="B828" s="203" t="s">
        <v>66</v>
      </c>
      <c r="C828" s="173" t="s">
        <v>66</v>
      </c>
      <c r="D828" s="173" t="s">
        <v>3073</v>
      </c>
      <c r="E828" s="196"/>
      <c r="F828" s="185" t="s">
        <v>185</v>
      </c>
      <c r="G828" s="185" t="s">
        <v>1761</v>
      </c>
      <c r="H828" s="237" t="s">
        <v>3074</v>
      </c>
      <c r="I828" s="185" t="s">
        <v>1762</v>
      </c>
      <c r="J828" s="185" t="s">
        <v>1762</v>
      </c>
      <c r="K828" s="185" t="s">
        <v>1762</v>
      </c>
      <c r="L828" s="185" t="s">
        <v>2259</v>
      </c>
      <c r="M828" s="196" t="s">
        <v>749</v>
      </c>
      <c r="N828" s="185"/>
      <c r="O828" s="238"/>
      <c r="P828" s="239" t="s">
        <v>1763</v>
      </c>
      <c r="Q828" s="239" t="s">
        <v>1764</v>
      </c>
      <c r="R828" s="240" t="s">
        <v>782</v>
      </c>
      <c r="S828" s="196" t="s">
        <v>782</v>
      </c>
      <c r="T828" s="196" t="s">
        <v>1765</v>
      </c>
    </row>
    <row r="829">
      <c r="A829" s="182" t="s">
        <v>3075</v>
      </c>
      <c r="B829" s="203" t="s">
        <v>66</v>
      </c>
      <c r="C829" s="173" t="s">
        <v>66</v>
      </c>
      <c r="D829" s="173" t="s">
        <v>3076</v>
      </c>
      <c r="E829" s="196"/>
      <c r="F829" s="185" t="s">
        <v>185</v>
      </c>
      <c r="G829" s="185" t="s">
        <v>1761</v>
      </c>
      <c r="H829" s="237" t="s">
        <v>3077</v>
      </c>
      <c r="I829" s="185" t="s">
        <v>1762</v>
      </c>
      <c r="J829" s="185" t="s">
        <v>1762</v>
      </c>
      <c r="K829" s="185" t="s">
        <v>1762</v>
      </c>
      <c r="L829" s="185" t="s">
        <v>2259</v>
      </c>
      <c r="M829" s="196" t="s">
        <v>749</v>
      </c>
      <c r="N829" s="185"/>
      <c r="O829" s="238"/>
      <c r="P829" s="239" t="s">
        <v>1763</v>
      </c>
      <c r="Q829" s="239" t="s">
        <v>1764</v>
      </c>
      <c r="R829" s="240" t="s">
        <v>782</v>
      </c>
      <c r="S829" s="196" t="s">
        <v>782</v>
      </c>
      <c r="T829" s="196" t="s">
        <v>1765</v>
      </c>
    </row>
    <row r="830">
      <c r="A830" s="182" t="s">
        <v>3078</v>
      </c>
      <c r="B830" s="203" t="s">
        <v>66</v>
      </c>
      <c r="C830" s="173" t="s">
        <v>66</v>
      </c>
      <c r="D830" s="173" t="s">
        <v>3079</v>
      </c>
      <c r="E830" s="196"/>
      <c r="F830" s="185" t="s">
        <v>185</v>
      </c>
      <c r="G830" s="185" t="s">
        <v>1500</v>
      </c>
      <c r="H830" s="237" t="b">
        <v>1</v>
      </c>
      <c r="I830" s="185" t="s">
        <v>1823</v>
      </c>
      <c r="J830" s="185" t="s">
        <v>1823</v>
      </c>
      <c r="K830" s="185" t="s">
        <v>2072</v>
      </c>
      <c r="L830" s="185" t="s">
        <v>2259</v>
      </c>
      <c r="M830" s="196" t="s">
        <v>687</v>
      </c>
      <c r="N830" s="185"/>
      <c r="O830" s="238"/>
      <c r="P830" s="239" t="s">
        <v>1779</v>
      </c>
      <c r="Q830" s="239" t="s">
        <v>1764</v>
      </c>
      <c r="R830" s="240" t="s">
        <v>702</v>
      </c>
      <c r="S830" s="196" t="s">
        <v>702</v>
      </c>
      <c r="T830" s="196" t="s">
        <v>1765</v>
      </c>
    </row>
    <row r="831">
      <c r="A831" s="182" t="s">
        <v>3080</v>
      </c>
      <c r="B831" s="203" t="s">
        <v>66</v>
      </c>
      <c r="C831" s="173" t="s">
        <v>66</v>
      </c>
      <c r="D831" s="173" t="s">
        <v>3081</v>
      </c>
      <c r="E831" s="196"/>
      <c r="F831" s="185" t="s">
        <v>185</v>
      </c>
      <c r="G831" s="185" t="s">
        <v>713</v>
      </c>
      <c r="H831" s="237">
        <v>10.0</v>
      </c>
      <c r="I831" s="185" t="s">
        <v>136</v>
      </c>
      <c r="J831" s="185" t="s">
        <v>136</v>
      </c>
      <c r="K831" s="185" t="s">
        <v>2362</v>
      </c>
      <c r="L831" s="185" t="s">
        <v>2259</v>
      </c>
      <c r="M831" s="196" t="s">
        <v>687</v>
      </c>
      <c r="N831" s="185"/>
      <c r="O831" s="238"/>
      <c r="P831" s="239" t="s">
        <v>3082</v>
      </c>
      <c r="Q831" s="239" t="s">
        <v>732</v>
      </c>
      <c r="R831" s="240" t="s">
        <v>750</v>
      </c>
      <c r="S831" s="196" t="s">
        <v>750</v>
      </c>
      <c r="T831" s="196" t="s">
        <v>1765</v>
      </c>
    </row>
    <row r="832">
      <c r="A832" s="182" t="s">
        <v>3083</v>
      </c>
      <c r="B832" s="203" t="s">
        <v>66</v>
      </c>
      <c r="C832" s="173" t="s">
        <v>66</v>
      </c>
      <c r="D832" s="173" t="s">
        <v>3084</v>
      </c>
      <c r="E832" s="196"/>
      <c r="F832" s="185" t="s">
        <v>185</v>
      </c>
      <c r="G832" s="185" t="s">
        <v>713</v>
      </c>
      <c r="H832" s="237">
        <v>50.0</v>
      </c>
      <c r="I832" s="185" t="s">
        <v>136</v>
      </c>
      <c r="J832" s="185" t="s">
        <v>136</v>
      </c>
      <c r="K832" s="185" t="s">
        <v>2362</v>
      </c>
      <c r="L832" s="185" t="s">
        <v>2259</v>
      </c>
      <c r="M832" s="196" t="s">
        <v>687</v>
      </c>
      <c r="N832" s="185"/>
      <c r="O832" s="238"/>
      <c r="P832" s="239" t="s">
        <v>1782</v>
      </c>
      <c r="Q832" s="239" t="s">
        <v>1783</v>
      </c>
      <c r="R832" s="240" t="s">
        <v>761</v>
      </c>
      <c r="S832" s="196" t="s">
        <v>761</v>
      </c>
      <c r="T832" s="196" t="s">
        <v>1765</v>
      </c>
    </row>
    <row r="833">
      <c r="A833" s="182" t="s">
        <v>3085</v>
      </c>
      <c r="B833" s="203" t="s">
        <v>66</v>
      </c>
      <c r="C833" s="173" t="s">
        <v>66</v>
      </c>
      <c r="D833" s="173" t="s">
        <v>3086</v>
      </c>
      <c r="E833" s="196"/>
      <c r="F833" s="185" t="s">
        <v>185</v>
      </c>
      <c r="G833" s="185" t="s">
        <v>1500</v>
      </c>
      <c r="H833" s="237" t="s">
        <v>3087</v>
      </c>
      <c r="I833" s="185" t="s">
        <v>2072</v>
      </c>
      <c r="J833" s="185" t="s">
        <v>2072</v>
      </c>
      <c r="K833" s="185" t="s">
        <v>2072</v>
      </c>
      <c r="L833" s="185" t="s">
        <v>2259</v>
      </c>
      <c r="M833" s="196" t="s">
        <v>687</v>
      </c>
      <c r="N833" s="185"/>
      <c r="O833" s="238"/>
      <c r="P833" s="239" t="s">
        <v>1779</v>
      </c>
      <c r="Q833" s="239" t="s">
        <v>1764</v>
      </c>
      <c r="R833" s="240" t="s">
        <v>1518</v>
      </c>
      <c r="S833" s="196" t="s">
        <v>1518</v>
      </c>
      <c r="T833" s="196" t="s">
        <v>1765</v>
      </c>
    </row>
    <row r="834">
      <c r="A834" s="182" t="s">
        <v>3088</v>
      </c>
      <c r="B834" s="203" t="s">
        <v>66</v>
      </c>
      <c r="C834" s="173" t="s">
        <v>66</v>
      </c>
      <c r="D834" s="173" t="s">
        <v>3089</v>
      </c>
      <c r="E834" s="196"/>
      <c r="F834" s="185" t="s">
        <v>185</v>
      </c>
      <c r="G834" s="185" t="s">
        <v>1500</v>
      </c>
      <c r="H834" s="237" t="s">
        <v>3087</v>
      </c>
      <c r="I834" s="185" t="s">
        <v>2072</v>
      </c>
      <c r="J834" s="185" t="s">
        <v>2072</v>
      </c>
      <c r="K834" s="185" t="s">
        <v>2072</v>
      </c>
      <c r="L834" s="185" t="s">
        <v>2259</v>
      </c>
      <c r="M834" s="196" t="s">
        <v>687</v>
      </c>
      <c r="N834" s="185"/>
      <c r="O834" s="238"/>
      <c r="P834" s="239" t="s">
        <v>1779</v>
      </c>
      <c r="Q834" s="239" t="s">
        <v>1764</v>
      </c>
      <c r="R834" s="240" t="s">
        <v>1518</v>
      </c>
      <c r="S834" s="196" t="s">
        <v>1518</v>
      </c>
      <c r="T834" s="196" t="s">
        <v>1765</v>
      </c>
    </row>
    <row r="835">
      <c r="A835" s="182" t="s">
        <v>3090</v>
      </c>
      <c r="B835" s="203" t="s">
        <v>66</v>
      </c>
      <c r="C835" s="173" t="s">
        <v>66</v>
      </c>
      <c r="D835" s="173" t="s">
        <v>3086</v>
      </c>
      <c r="E835" s="196"/>
      <c r="F835" s="185" t="s">
        <v>185</v>
      </c>
      <c r="G835" s="185" t="s">
        <v>1500</v>
      </c>
      <c r="H835" s="237" t="s">
        <v>3087</v>
      </c>
      <c r="I835" s="185" t="s">
        <v>2072</v>
      </c>
      <c r="J835" s="185" t="s">
        <v>2072</v>
      </c>
      <c r="K835" s="185" t="s">
        <v>2072</v>
      </c>
      <c r="L835" s="185" t="s">
        <v>2259</v>
      </c>
      <c r="M835" s="196" t="s">
        <v>687</v>
      </c>
      <c r="N835" s="185"/>
      <c r="O835" s="238"/>
      <c r="P835" s="239" t="s">
        <v>1824</v>
      </c>
      <c r="Q835" s="239" t="s">
        <v>1764</v>
      </c>
      <c r="R835" s="240" t="s">
        <v>1518</v>
      </c>
      <c r="S835" s="196" t="s">
        <v>1518</v>
      </c>
      <c r="T835" s="196" t="s">
        <v>1765</v>
      </c>
    </row>
    <row r="836">
      <c r="A836" s="182" t="s">
        <v>3091</v>
      </c>
      <c r="B836" s="203" t="s">
        <v>66</v>
      </c>
      <c r="C836" s="173" t="s">
        <v>66</v>
      </c>
      <c r="D836" s="173" t="s">
        <v>3092</v>
      </c>
      <c r="E836" s="196"/>
      <c r="F836" s="185" t="s">
        <v>185</v>
      </c>
      <c r="G836" s="185" t="s">
        <v>768</v>
      </c>
      <c r="H836" s="237">
        <v>10.0</v>
      </c>
      <c r="I836" s="185" t="s">
        <v>136</v>
      </c>
      <c r="J836" s="185" t="s">
        <v>136</v>
      </c>
      <c r="K836" s="185" t="s">
        <v>2362</v>
      </c>
      <c r="L836" s="185" t="s">
        <v>2259</v>
      </c>
      <c r="M836" s="196" t="s">
        <v>749</v>
      </c>
      <c r="N836" s="185"/>
      <c r="O836" s="238"/>
      <c r="P836" s="239" t="s">
        <v>1782</v>
      </c>
      <c r="Q836" s="239" t="s">
        <v>1783</v>
      </c>
      <c r="R836" s="240" t="s">
        <v>761</v>
      </c>
      <c r="S836" s="196" t="s">
        <v>761</v>
      </c>
      <c r="T836" s="196" t="s">
        <v>1765</v>
      </c>
    </row>
    <row r="837">
      <c r="A837" s="182" t="s">
        <v>3093</v>
      </c>
      <c r="B837" s="203" t="s">
        <v>66</v>
      </c>
      <c r="C837" s="173" t="s">
        <v>66</v>
      </c>
      <c r="D837" s="173" t="s">
        <v>3094</v>
      </c>
      <c r="E837" s="196"/>
      <c r="F837" s="185" t="s">
        <v>185</v>
      </c>
      <c r="G837" s="185" t="s">
        <v>768</v>
      </c>
      <c r="H837" s="237">
        <v>20.0</v>
      </c>
      <c r="I837" s="185" t="s">
        <v>136</v>
      </c>
      <c r="J837" s="185" t="s">
        <v>136</v>
      </c>
      <c r="K837" s="185" t="s">
        <v>2362</v>
      </c>
      <c r="L837" s="185" t="s">
        <v>2259</v>
      </c>
      <c r="M837" s="196" t="s">
        <v>749</v>
      </c>
      <c r="N837" s="185"/>
      <c r="O837" s="238"/>
      <c r="P837" s="239" t="s">
        <v>1782</v>
      </c>
      <c r="Q837" s="239" t="s">
        <v>1783</v>
      </c>
      <c r="R837" s="240" t="s">
        <v>761</v>
      </c>
      <c r="S837" s="196" t="s">
        <v>761</v>
      </c>
      <c r="T837" s="196" t="s">
        <v>1765</v>
      </c>
    </row>
    <row r="838">
      <c r="A838" s="182" t="s">
        <v>3095</v>
      </c>
      <c r="B838" s="203" t="s">
        <v>66</v>
      </c>
      <c r="C838" s="173" t="s">
        <v>66</v>
      </c>
      <c r="D838" s="173" t="s">
        <v>3096</v>
      </c>
      <c r="E838" s="196"/>
      <c r="F838" s="185" t="s">
        <v>185</v>
      </c>
      <c r="G838" s="185" t="s">
        <v>768</v>
      </c>
      <c r="H838" s="237">
        <v>30.0</v>
      </c>
      <c r="I838" s="185" t="s">
        <v>136</v>
      </c>
      <c r="J838" s="185" t="s">
        <v>136</v>
      </c>
      <c r="K838" s="185" t="s">
        <v>2362</v>
      </c>
      <c r="L838" s="185" t="s">
        <v>2259</v>
      </c>
      <c r="M838" s="196" t="s">
        <v>749</v>
      </c>
      <c r="N838" s="185"/>
      <c r="O838" s="238"/>
      <c r="P838" s="239" t="s">
        <v>1782</v>
      </c>
      <c r="Q838" s="239" t="s">
        <v>1783</v>
      </c>
      <c r="R838" s="240" t="s">
        <v>761</v>
      </c>
      <c r="S838" s="196" t="s">
        <v>761</v>
      </c>
      <c r="T838" s="196" t="s">
        <v>1765</v>
      </c>
    </row>
    <row r="839">
      <c r="A839" s="182" t="s">
        <v>3097</v>
      </c>
      <c r="B839" s="203" t="s">
        <v>66</v>
      </c>
      <c r="C839" s="173" t="s">
        <v>66</v>
      </c>
      <c r="D839" s="173" t="s">
        <v>3098</v>
      </c>
      <c r="E839" s="196"/>
      <c r="F839" s="185" t="s">
        <v>185</v>
      </c>
      <c r="G839" s="185" t="s">
        <v>768</v>
      </c>
      <c r="H839" s="237">
        <v>40.0</v>
      </c>
      <c r="I839" s="185" t="s">
        <v>136</v>
      </c>
      <c r="J839" s="185" t="s">
        <v>136</v>
      </c>
      <c r="K839" s="185" t="s">
        <v>2362</v>
      </c>
      <c r="L839" s="185" t="s">
        <v>2259</v>
      </c>
      <c r="M839" s="196" t="s">
        <v>749</v>
      </c>
      <c r="N839" s="185"/>
      <c r="O839" s="238"/>
      <c r="P839" s="239" t="s">
        <v>1782</v>
      </c>
      <c r="Q839" s="239" t="s">
        <v>1783</v>
      </c>
      <c r="R839" s="240" t="s">
        <v>761</v>
      </c>
      <c r="S839" s="196" t="s">
        <v>761</v>
      </c>
      <c r="T839" s="196" t="s">
        <v>1765</v>
      </c>
    </row>
    <row r="840">
      <c r="A840" s="182" t="s">
        <v>3099</v>
      </c>
      <c r="B840" s="203" t="s">
        <v>66</v>
      </c>
      <c r="C840" s="173" t="s">
        <v>66</v>
      </c>
      <c r="D840" s="173" t="s">
        <v>3100</v>
      </c>
      <c r="E840" s="196"/>
      <c r="F840" s="185" t="s">
        <v>185</v>
      </c>
      <c r="G840" s="185" t="s">
        <v>768</v>
      </c>
      <c r="H840" s="237">
        <v>50.0</v>
      </c>
      <c r="I840" s="185" t="s">
        <v>136</v>
      </c>
      <c r="J840" s="185" t="s">
        <v>136</v>
      </c>
      <c r="K840" s="185" t="s">
        <v>2362</v>
      </c>
      <c r="L840" s="185" t="s">
        <v>2259</v>
      </c>
      <c r="M840" s="196" t="s">
        <v>749</v>
      </c>
      <c r="N840" s="185"/>
      <c r="O840" s="238"/>
      <c r="P840" s="239" t="s">
        <v>1782</v>
      </c>
      <c r="Q840" s="239" t="s">
        <v>1783</v>
      </c>
      <c r="R840" s="240" t="s">
        <v>761</v>
      </c>
      <c r="S840" s="196" t="s">
        <v>761</v>
      </c>
      <c r="T840" s="196" t="s">
        <v>1765</v>
      </c>
    </row>
    <row r="841">
      <c r="A841" s="182" t="s">
        <v>3101</v>
      </c>
      <c r="B841" s="203" t="s">
        <v>66</v>
      </c>
      <c r="C841" s="173" t="s">
        <v>66</v>
      </c>
      <c r="D841" s="173" t="s">
        <v>3102</v>
      </c>
      <c r="E841" s="196"/>
      <c r="F841" s="185" t="s">
        <v>185</v>
      </c>
      <c r="G841" s="185" t="s">
        <v>768</v>
      </c>
      <c r="H841" s="237">
        <v>60.0</v>
      </c>
      <c r="I841" s="185" t="s">
        <v>136</v>
      </c>
      <c r="J841" s="185" t="s">
        <v>136</v>
      </c>
      <c r="K841" s="185" t="s">
        <v>2362</v>
      </c>
      <c r="L841" s="185" t="s">
        <v>2259</v>
      </c>
      <c r="M841" s="196" t="s">
        <v>749</v>
      </c>
      <c r="N841" s="185"/>
      <c r="O841" s="238"/>
      <c r="P841" s="239" t="s">
        <v>1782</v>
      </c>
      <c r="Q841" s="239" t="s">
        <v>1783</v>
      </c>
      <c r="R841" s="240" t="s">
        <v>761</v>
      </c>
      <c r="S841" s="196" t="s">
        <v>761</v>
      </c>
      <c r="T841" s="196" t="s">
        <v>1765</v>
      </c>
    </row>
    <row r="842">
      <c r="A842" s="182" t="s">
        <v>3103</v>
      </c>
      <c r="B842" s="203" t="s">
        <v>66</v>
      </c>
      <c r="C842" s="173" t="s">
        <v>66</v>
      </c>
      <c r="D842" s="173" t="s">
        <v>3104</v>
      </c>
      <c r="E842" s="196"/>
      <c r="F842" s="185" t="s">
        <v>185</v>
      </c>
      <c r="G842" s="185" t="s">
        <v>768</v>
      </c>
      <c r="H842" s="237">
        <v>70.0</v>
      </c>
      <c r="I842" s="185" t="s">
        <v>136</v>
      </c>
      <c r="J842" s="185" t="s">
        <v>136</v>
      </c>
      <c r="K842" s="185" t="s">
        <v>2362</v>
      </c>
      <c r="L842" s="185" t="s">
        <v>2259</v>
      </c>
      <c r="M842" s="196" t="s">
        <v>749</v>
      </c>
      <c r="N842" s="185"/>
      <c r="O842" s="238"/>
      <c r="P842" s="239" t="s">
        <v>1782</v>
      </c>
      <c r="Q842" s="239" t="s">
        <v>1783</v>
      </c>
      <c r="R842" s="240" t="s">
        <v>761</v>
      </c>
      <c r="S842" s="196" t="s">
        <v>761</v>
      </c>
      <c r="T842" s="196" t="s">
        <v>1765</v>
      </c>
    </row>
    <row r="843">
      <c r="A843" s="182" t="s">
        <v>3105</v>
      </c>
      <c r="B843" s="203" t="s">
        <v>66</v>
      </c>
      <c r="C843" s="173" t="s">
        <v>66</v>
      </c>
      <c r="D843" s="173" t="s">
        <v>3106</v>
      </c>
      <c r="E843" s="196"/>
      <c r="F843" s="185" t="s">
        <v>185</v>
      </c>
      <c r="G843" s="185" t="s">
        <v>768</v>
      </c>
      <c r="H843" s="237">
        <v>80.0</v>
      </c>
      <c r="I843" s="185" t="s">
        <v>136</v>
      </c>
      <c r="J843" s="185" t="s">
        <v>136</v>
      </c>
      <c r="K843" s="185" t="s">
        <v>2362</v>
      </c>
      <c r="L843" s="185" t="s">
        <v>2259</v>
      </c>
      <c r="M843" s="196" t="s">
        <v>749</v>
      </c>
      <c r="N843" s="185"/>
      <c r="O843" s="238"/>
      <c r="P843" s="239" t="s">
        <v>1782</v>
      </c>
      <c r="Q843" s="239" t="s">
        <v>1783</v>
      </c>
      <c r="R843" s="240" t="s">
        <v>761</v>
      </c>
      <c r="S843" s="196" t="s">
        <v>761</v>
      </c>
      <c r="T843" s="196" t="s">
        <v>1765</v>
      </c>
    </row>
    <row r="844">
      <c r="A844" s="182" t="s">
        <v>3107</v>
      </c>
      <c r="B844" s="203" t="s">
        <v>66</v>
      </c>
      <c r="C844" s="173" t="s">
        <v>66</v>
      </c>
      <c r="D844" s="173" t="s">
        <v>3108</v>
      </c>
      <c r="E844" s="196"/>
      <c r="F844" s="185" t="s">
        <v>185</v>
      </c>
      <c r="G844" s="185" t="s">
        <v>768</v>
      </c>
      <c r="H844" s="237">
        <v>90.0</v>
      </c>
      <c r="I844" s="185" t="s">
        <v>136</v>
      </c>
      <c r="J844" s="185" t="s">
        <v>136</v>
      </c>
      <c r="K844" s="185" t="s">
        <v>2362</v>
      </c>
      <c r="L844" s="185" t="s">
        <v>2259</v>
      </c>
      <c r="M844" s="196" t="s">
        <v>749</v>
      </c>
      <c r="N844" s="185"/>
      <c r="O844" s="238"/>
      <c r="P844" s="239" t="s">
        <v>1782</v>
      </c>
      <c r="Q844" s="239" t="s">
        <v>1783</v>
      </c>
      <c r="R844" s="240" t="s">
        <v>761</v>
      </c>
      <c r="S844" s="196" t="s">
        <v>761</v>
      </c>
      <c r="T844" s="196" t="s">
        <v>1765</v>
      </c>
    </row>
    <row r="845">
      <c r="A845" s="182" t="s">
        <v>3109</v>
      </c>
      <c r="B845" s="203" t="s">
        <v>66</v>
      </c>
      <c r="C845" s="173" t="s">
        <v>66</v>
      </c>
      <c r="D845" s="173" t="s">
        <v>3110</v>
      </c>
      <c r="E845" s="196"/>
      <c r="F845" s="185" t="s">
        <v>185</v>
      </c>
      <c r="G845" s="185" t="s">
        <v>768</v>
      </c>
      <c r="H845" s="237">
        <v>100.0</v>
      </c>
      <c r="I845" s="185" t="s">
        <v>136</v>
      </c>
      <c r="J845" s="185" t="s">
        <v>136</v>
      </c>
      <c r="K845" s="185" t="s">
        <v>2362</v>
      </c>
      <c r="L845" s="185" t="s">
        <v>2259</v>
      </c>
      <c r="M845" s="196" t="s">
        <v>749</v>
      </c>
      <c r="N845" s="185"/>
      <c r="O845" s="238"/>
      <c r="P845" s="239" t="s">
        <v>1782</v>
      </c>
      <c r="Q845" s="239" t="s">
        <v>1783</v>
      </c>
      <c r="R845" s="240" t="s">
        <v>761</v>
      </c>
      <c r="S845" s="196" t="s">
        <v>761</v>
      </c>
      <c r="T845" s="196" t="s">
        <v>1765</v>
      </c>
    </row>
    <row r="846">
      <c r="A846" s="182" t="s">
        <v>3111</v>
      </c>
      <c r="B846" s="203" t="s">
        <v>66</v>
      </c>
      <c r="C846" s="173" t="s">
        <v>66</v>
      </c>
      <c r="D846" s="173" t="s">
        <v>3112</v>
      </c>
      <c r="E846" s="196"/>
      <c r="F846" s="185" t="s">
        <v>185</v>
      </c>
      <c r="G846" s="185" t="s">
        <v>768</v>
      </c>
      <c r="H846" s="237">
        <v>110.0</v>
      </c>
      <c r="I846" s="185" t="s">
        <v>136</v>
      </c>
      <c r="J846" s="185" t="s">
        <v>136</v>
      </c>
      <c r="K846" s="185" t="s">
        <v>2362</v>
      </c>
      <c r="L846" s="185" t="s">
        <v>2259</v>
      </c>
      <c r="M846" s="196" t="s">
        <v>749</v>
      </c>
      <c r="N846" s="185"/>
      <c r="O846" s="238"/>
      <c r="P846" s="239" t="s">
        <v>1782</v>
      </c>
      <c r="Q846" s="239" t="s">
        <v>1783</v>
      </c>
      <c r="R846" s="240" t="s">
        <v>761</v>
      </c>
      <c r="S846" s="196" t="s">
        <v>761</v>
      </c>
      <c r="T846" s="196" t="s">
        <v>1765</v>
      </c>
    </row>
    <row r="847">
      <c r="A847" s="182" t="s">
        <v>3113</v>
      </c>
      <c r="B847" s="203" t="s">
        <v>66</v>
      </c>
      <c r="C847" s="173" t="s">
        <v>66</v>
      </c>
      <c r="D847" s="173" t="s">
        <v>3114</v>
      </c>
      <c r="E847" s="196"/>
      <c r="F847" s="185" t="s">
        <v>185</v>
      </c>
      <c r="G847" s="185" t="s">
        <v>768</v>
      </c>
      <c r="H847" s="237">
        <v>120.0</v>
      </c>
      <c r="I847" s="185" t="s">
        <v>136</v>
      </c>
      <c r="J847" s="185" t="s">
        <v>136</v>
      </c>
      <c r="K847" s="185" t="s">
        <v>2362</v>
      </c>
      <c r="L847" s="185" t="s">
        <v>2259</v>
      </c>
      <c r="M847" s="196" t="s">
        <v>749</v>
      </c>
      <c r="N847" s="185"/>
      <c r="O847" s="238"/>
      <c r="P847" s="239" t="s">
        <v>1782</v>
      </c>
      <c r="Q847" s="239" t="s">
        <v>1783</v>
      </c>
      <c r="R847" s="240" t="s">
        <v>761</v>
      </c>
      <c r="S847" s="196" t="s">
        <v>761</v>
      </c>
      <c r="T847" s="196" t="s">
        <v>1765</v>
      </c>
    </row>
    <row r="848">
      <c r="A848" s="182" t="s">
        <v>3115</v>
      </c>
      <c r="B848" s="203" t="s">
        <v>66</v>
      </c>
      <c r="C848" s="173" t="s">
        <v>66</v>
      </c>
      <c r="D848" s="173" t="s">
        <v>3116</v>
      </c>
      <c r="E848" s="196"/>
      <c r="F848" s="185" t="s">
        <v>185</v>
      </c>
      <c r="G848" s="185" t="s">
        <v>1761</v>
      </c>
      <c r="H848" s="237" t="s">
        <v>3117</v>
      </c>
      <c r="I848" s="185" t="s">
        <v>1762</v>
      </c>
      <c r="J848" s="185" t="s">
        <v>1762</v>
      </c>
      <c r="K848" s="185" t="s">
        <v>1762</v>
      </c>
      <c r="L848" s="185" t="s">
        <v>2259</v>
      </c>
      <c r="M848" s="196" t="s">
        <v>687</v>
      </c>
      <c r="N848" s="185"/>
      <c r="O848" s="238"/>
      <c r="P848" s="239" t="s">
        <v>1771</v>
      </c>
      <c r="Q848" s="239" t="s">
        <v>1764</v>
      </c>
      <c r="R848" s="240" t="s">
        <v>1510</v>
      </c>
      <c r="S848" s="196" t="s">
        <v>1510</v>
      </c>
      <c r="T848" s="196" t="s">
        <v>1765</v>
      </c>
    </row>
    <row r="849">
      <c r="A849" s="182" t="s">
        <v>3118</v>
      </c>
      <c r="B849" s="203" t="s">
        <v>66</v>
      </c>
      <c r="C849" s="173" t="s">
        <v>66</v>
      </c>
      <c r="D849" s="173" t="s">
        <v>3116</v>
      </c>
      <c r="E849" s="196"/>
      <c r="F849" s="185" t="s">
        <v>185</v>
      </c>
      <c r="G849" s="185" t="s">
        <v>713</v>
      </c>
      <c r="H849" s="237">
        <v>1.0</v>
      </c>
      <c r="I849" s="185" t="s">
        <v>1762</v>
      </c>
      <c r="J849" s="185" t="s">
        <v>1762</v>
      </c>
      <c r="K849" s="185" t="s">
        <v>1762</v>
      </c>
      <c r="L849" s="185" t="s">
        <v>2259</v>
      </c>
      <c r="M849" s="196" t="s">
        <v>687</v>
      </c>
      <c r="N849" s="185"/>
      <c r="O849" s="238"/>
      <c r="P849" s="239" t="s">
        <v>1771</v>
      </c>
      <c r="Q849" s="239" t="s">
        <v>1764</v>
      </c>
      <c r="R849" s="240" t="s">
        <v>1510</v>
      </c>
      <c r="S849" s="196" t="s">
        <v>1510</v>
      </c>
      <c r="T849" s="196" t="s">
        <v>1765</v>
      </c>
    </row>
    <row r="850">
      <c r="A850" s="182" t="s">
        <v>3119</v>
      </c>
      <c r="B850" s="203" t="s">
        <v>66</v>
      </c>
      <c r="C850" s="173" t="s">
        <v>66</v>
      </c>
      <c r="D850" s="173" t="s">
        <v>3120</v>
      </c>
      <c r="E850" s="196"/>
      <c r="F850" s="185" t="s">
        <v>185</v>
      </c>
      <c r="G850" s="185" t="s">
        <v>1761</v>
      </c>
      <c r="H850" s="237" t="s">
        <v>3121</v>
      </c>
      <c r="I850" s="185" t="s">
        <v>2072</v>
      </c>
      <c r="J850" s="185" t="s">
        <v>2072</v>
      </c>
      <c r="K850" s="185" t="s">
        <v>2072</v>
      </c>
      <c r="L850" s="185" t="s">
        <v>2259</v>
      </c>
      <c r="M850" s="196" t="s">
        <v>687</v>
      </c>
      <c r="N850" s="185"/>
      <c r="O850" s="238"/>
      <c r="P850" s="239" t="s">
        <v>1770</v>
      </c>
      <c r="Q850" s="239" t="s">
        <v>1764</v>
      </c>
      <c r="R850" s="240" t="s">
        <v>782</v>
      </c>
      <c r="S850" s="196" t="s">
        <v>782</v>
      </c>
      <c r="T850" s="196" t="s">
        <v>1765</v>
      </c>
    </row>
    <row r="851">
      <c r="A851" s="182" t="s">
        <v>3122</v>
      </c>
      <c r="B851" s="203" t="s">
        <v>66</v>
      </c>
      <c r="C851" s="173" t="s">
        <v>66</v>
      </c>
      <c r="D851" s="173" t="s">
        <v>3123</v>
      </c>
      <c r="E851" s="196"/>
      <c r="F851" s="185" t="s">
        <v>185</v>
      </c>
      <c r="G851" s="185" t="s">
        <v>1761</v>
      </c>
      <c r="H851" s="237" t="s">
        <v>3124</v>
      </c>
      <c r="I851" s="185" t="s">
        <v>2072</v>
      </c>
      <c r="J851" s="185" t="s">
        <v>2072</v>
      </c>
      <c r="K851" s="185" t="s">
        <v>2072</v>
      </c>
      <c r="L851" s="185" t="s">
        <v>2259</v>
      </c>
      <c r="M851" s="196" t="s">
        <v>687</v>
      </c>
      <c r="N851" s="185"/>
      <c r="O851" s="238"/>
      <c r="P851" s="239" t="s">
        <v>1777</v>
      </c>
      <c r="Q851" s="239" t="s">
        <v>1764</v>
      </c>
      <c r="R851" s="240" t="s">
        <v>782</v>
      </c>
      <c r="S851" s="196" t="s">
        <v>782</v>
      </c>
      <c r="T851" s="196" t="s">
        <v>1765</v>
      </c>
    </row>
    <row r="852">
      <c r="A852" s="182" t="s">
        <v>3125</v>
      </c>
      <c r="B852" s="203" t="s">
        <v>66</v>
      </c>
      <c r="C852" s="173" t="s">
        <v>66</v>
      </c>
      <c r="D852" s="173" t="s">
        <v>3126</v>
      </c>
      <c r="E852" s="196"/>
      <c r="F852" s="185" t="s">
        <v>185</v>
      </c>
      <c r="G852" s="185" t="s">
        <v>713</v>
      </c>
      <c r="H852" s="237">
        <v>88.0</v>
      </c>
      <c r="I852" s="185" t="s">
        <v>1762</v>
      </c>
      <c r="J852" s="185" t="s">
        <v>1762</v>
      </c>
      <c r="K852" s="185" t="s">
        <v>1762</v>
      </c>
      <c r="L852" s="185" t="s">
        <v>2259</v>
      </c>
      <c r="M852" s="196" t="s">
        <v>687</v>
      </c>
      <c r="N852" s="185"/>
      <c r="O852" s="238"/>
      <c r="P852" s="239" t="s">
        <v>1775</v>
      </c>
      <c r="Q852" s="239" t="s">
        <v>1764</v>
      </c>
      <c r="R852" s="240" t="s">
        <v>1510</v>
      </c>
      <c r="S852" s="196" t="s">
        <v>1510</v>
      </c>
      <c r="T852" s="196" t="s">
        <v>1765</v>
      </c>
    </row>
    <row r="853">
      <c r="A853" s="182" t="s">
        <v>3127</v>
      </c>
      <c r="B853" s="203" t="s">
        <v>66</v>
      </c>
      <c r="C853" s="173" t="s">
        <v>66</v>
      </c>
      <c r="D853" s="173" t="s">
        <v>3128</v>
      </c>
      <c r="E853" s="196"/>
      <c r="F853" s="185" t="s">
        <v>185</v>
      </c>
      <c r="G853" s="185" t="s">
        <v>768</v>
      </c>
      <c r="H853" s="237">
        <v>27.0</v>
      </c>
      <c r="I853" s="185" t="s">
        <v>1762</v>
      </c>
      <c r="J853" s="185" t="s">
        <v>1762</v>
      </c>
      <c r="K853" s="185" t="s">
        <v>1762</v>
      </c>
      <c r="L853" s="185" t="s">
        <v>2259</v>
      </c>
      <c r="M853" s="196" t="s">
        <v>687</v>
      </c>
      <c r="N853" s="185"/>
      <c r="O853" s="238"/>
      <c r="P853" s="239" t="s">
        <v>1775</v>
      </c>
      <c r="Q853" s="239" t="s">
        <v>1764</v>
      </c>
      <c r="R853" s="240" t="s">
        <v>1510</v>
      </c>
      <c r="S853" s="196" t="s">
        <v>1510</v>
      </c>
      <c r="T853" s="196" t="s">
        <v>1765</v>
      </c>
    </row>
    <row r="854">
      <c r="A854" s="182" t="s">
        <v>3129</v>
      </c>
      <c r="B854" s="203" t="s">
        <v>66</v>
      </c>
      <c r="C854" s="173" t="s">
        <v>66</v>
      </c>
      <c r="D854" s="173" t="s">
        <v>3130</v>
      </c>
      <c r="E854" s="196"/>
      <c r="F854" s="185" t="s">
        <v>185</v>
      </c>
      <c r="G854" s="185" t="s">
        <v>1761</v>
      </c>
      <c r="H854" s="237" t="s">
        <v>3131</v>
      </c>
      <c r="I854" s="185" t="s">
        <v>835</v>
      </c>
      <c r="J854" s="185" t="s">
        <v>1823</v>
      </c>
      <c r="K854" s="185" t="s">
        <v>2072</v>
      </c>
      <c r="L854" s="185" t="s">
        <v>2259</v>
      </c>
      <c r="M854" s="196" t="s">
        <v>3132</v>
      </c>
      <c r="N854" s="185"/>
      <c r="O854" s="238"/>
      <c r="P854" s="239" t="s">
        <v>913</v>
      </c>
      <c r="Q854" s="239" t="s">
        <v>732</v>
      </c>
      <c r="R854" s="240" t="s">
        <v>761</v>
      </c>
      <c r="S854" s="196" t="s">
        <v>761</v>
      </c>
      <c r="T854" s="196" t="s">
        <v>1765</v>
      </c>
    </row>
    <row r="855">
      <c r="A855" s="182" t="s">
        <v>3133</v>
      </c>
      <c r="B855" s="203" t="s">
        <v>66</v>
      </c>
      <c r="C855" s="173" t="s">
        <v>66</v>
      </c>
      <c r="D855" s="173" t="s">
        <v>3134</v>
      </c>
      <c r="E855" s="196"/>
      <c r="F855" s="185" t="s">
        <v>185</v>
      </c>
      <c r="G855" s="185" t="s">
        <v>1761</v>
      </c>
      <c r="H855" s="237" t="s">
        <v>1386</v>
      </c>
      <c r="I855" s="185" t="s">
        <v>835</v>
      </c>
      <c r="J855" s="185" t="s">
        <v>1823</v>
      </c>
      <c r="K855" s="185" t="s">
        <v>2072</v>
      </c>
      <c r="L855" s="185" t="s">
        <v>2259</v>
      </c>
      <c r="M855" s="196" t="s">
        <v>3132</v>
      </c>
      <c r="N855" s="185"/>
      <c r="O855" s="238"/>
      <c r="P855" s="239" t="s">
        <v>913</v>
      </c>
      <c r="Q855" s="239" t="s">
        <v>732</v>
      </c>
      <c r="R855" s="240" t="s">
        <v>761</v>
      </c>
      <c r="S855" s="196" t="s">
        <v>761</v>
      </c>
      <c r="T855" s="196" t="s">
        <v>1765</v>
      </c>
    </row>
    <row r="856">
      <c r="A856" s="182" t="s">
        <v>3135</v>
      </c>
      <c r="B856" s="203" t="s">
        <v>66</v>
      </c>
      <c r="C856" s="173" t="s">
        <v>66</v>
      </c>
      <c r="D856" s="173" t="s">
        <v>3136</v>
      </c>
      <c r="E856" s="196"/>
      <c r="F856" s="185" t="s">
        <v>185</v>
      </c>
      <c r="G856" s="185" t="s">
        <v>1761</v>
      </c>
      <c r="H856" s="237" t="s">
        <v>1386</v>
      </c>
      <c r="I856" s="185" t="s">
        <v>136</v>
      </c>
      <c r="J856" s="185" t="s">
        <v>1823</v>
      </c>
      <c r="K856" s="185" t="s">
        <v>2072</v>
      </c>
      <c r="L856" s="185" t="s">
        <v>2259</v>
      </c>
      <c r="M856" s="196" t="s">
        <v>3132</v>
      </c>
      <c r="N856" s="185"/>
      <c r="O856" s="238"/>
      <c r="P856" s="239" t="s">
        <v>913</v>
      </c>
      <c r="Q856" s="239" t="s">
        <v>732</v>
      </c>
      <c r="R856" s="240" t="s">
        <v>761</v>
      </c>
      <c r="S856" s="196" t="s">
        <v>761</v>
      </c>
      <c r="T856" s="196" t="s">
        <v>1765</v>
      </c>
    </row>
    <row r="857">
      <c r="A857" s="182" t="s">
        <v>3137</v>
      </c>
      <c r="B857" s="203" t="s">
        <v>66</v>
      </c>
      <c r="C857" s="173" t="s">
        <v>66</v>
      </c>
      <c r="D857" s="173" t="s">
        <v>3138</v>
      </c>
      <c r="E857" s="196"/>
      <c r="F857" s="185" t="s">
        <v>185</v>
      </c>
      <c r="G857" s="185" t="s">
        <v>1500</v>
      </c>
      <c r="H857" s="237" t="b">
        <v>1</v>
      </c>
      <c r="I857" s="185" t="s">
        <v>1823</v>
      </c>
      <c r="J857" s="185" t="s">
        <v>86</v>
      </c>
      <c r="K857" s="185" t="s">
        <v>86</v>
      </c>
      <c r="L857" s="185" t="s">
        <v>2259</v>
      </c>
      <c r="M857" s="196" t="s">
        <v>749</v>
      </c>
      <c r="N857" s="185"/>
      <c r="O857" s="238"/>
      <c r="P857" s="239" t="s">
        <v>1779</v>
      </c>
      <c r="Q857" s="239" t="s">
        <v>1764</v>
      </c>
      <c r="R857" s="240" t="s">
        <v>691</v>
      </c>
      <c r="S857" s="196" t="s">
        <v>691</v>
      </c>
      <c r="T857" s="196" t="s">
        <v>1765</v>
      </c>
    </row>
    <row r="858">
      <c r="A858" s="182" t="s">
        <v>3139</v>
      </c>
      <c r="B858" s="203" t="s">
        <v>66</v>
      </c>
      <c r="C858" s="173" t="s">
        <v>66</v>
      </c>
      <c r="D858" s="173" t="s">
        <v>3140</v>
      </c>
      <c r="E858" s="196"/>
      <c r="F858" s="185" t="s">
        <v>185</v>
      </c>
      <c r="G858" s="185" t="s">
        <v>768</v>
      </c>
      <c r="H858" s="237">
        <v>0.12</v>
      </c>
      <c r="I858" s="185" t="s">
        <v>136</v>
      </c>
      <c r="J858" s="185" t="s">
        <v>2072</v>
      </c>
      <c r="K858" s="185" t="s">
        <v>2072</v>
      </c>
      <c r="L858" s="185" t="s">
        <v>2259</v>
      </c>
      <c r="M858" s="196" t="s">
        <v>749</v>
      </c>
      <c r="N858" s="185"/>
      <c r="O858" s="238"/>
      <c r="P858" s="239" t="s">
        <v>1781</v>
      </c>
      <c r="Q858" s="239" t="s">
        <v>732</v>
      </c>
      <c r="R858" s="240" t="s">
        <v>750</v>
      </c>
      <c r="S858" s="196" t="s">
        <v>750</v>
      </c>
      <c r="T858" s="196" t="s">
        <v>1765</v>
      </c>
    </row>
    <row r="859">
      <c r="A859" s="182" t="s">
        <v>3141</v>
      </c>
      <c r="B859" s="203" t="s">
        <v>66</v>
      </c>
      <c r="C859" s="173" t="s">
        <v>66</v>
      </c>
      <c r="D859" s="173" t="s">
        <v>3142</v>
      </c>
      <c r="E859" s="196"/>
      <c r="F859" s="185" t="s">
        <v>185</v>
      </c>
      <c r="G859" s="185" t="s">
        <v>768</v>
      </c>
      <c r="H859" s="237">
        <v>0.23</v>
      </c>
      <c r="I859" s="185" t="s">
        <v>1762</v>
      </c>
      <c r="J859" s="185" t="s">
        <v>1762</v>
      </c>
      <c r="K859" s="185" t="s">
        <v>1762</v>
      </c>
      <c r="L859" s="185" t="s">
        <v>2259</v>
      </c>
      <c r="M859" s="196" t="s">
        <v>687</v>
      </c>
      <c r="N859" s="185"/>
      <c r="O859" s="238"/>
      <c r="P859" s="239" t="s">
        <v>1771</v>
      </c>
      <c r="Q859" s="239" t="s">
        <v>1764</v>
      </c>
      <c r="R859" s="240" t="s">
        <v>1510</v>
      </c>
      <c r="S859" s="196" t="s">
        <v>1510</v>
      </c>
      <c r="T859" s="196" t="s">
        <v>1765</v>
      </c>
    </row>
    <row r="860" hidden="1">
      <c r="A860" s="182" t="s">
        <v>3143</v>
      </c>
      <c r="B860" s="203" t="s">
        <v>66</v>
      </c>
      <c r="C860" s="173" t="s">
        <v>66</v>
      </c>
      <c r="D860" s="173" t="s">
        <v>3144</v>
      </c>
      <c r="E860" s="196"/>
      <c r="F860" s="185" t="s">
        <v>135</v>
      </c>
      <c r="G860" s="185" t="s">
        <v>768</v>
      </c>
      <c r="H860" s="237">
        <v>0.11</v>
      </c>
      <c r="I860" s="185" t="s">
        <v>136</v>
      </c>
      <c r="J860" s="185" t="s">
        <v>136</v>
      </c>
      <c r="K860" s="185" t="s">
        <v>1762</v>
      </c>
      <c r="L860" s="185" t="s">
        <v>2259</v>
      </c>
      <c r="M860" s="196" t="s">
        <v>749</v>
      </c>
      <c r="N860" s="185"/>
      <c r="O860" s="238"/>
      <c r="P860" s="239" t="s">
        <v>701</v>
      </c>
      <c r="Q860" s="239" t="s">
        <v>732</v>
      </c>
      <c r="R860" s="240" t="s">
        <v>702</v>
      </c>
      <c r="S860" s="196" t="s">
        <v>702</v>
      </c>
      <c r="T860" s="196" t="s">
        <v>1927</v>
      </c>
    </row>
    <row r="861" hidden="1">
      <c r="A861" s="182" t="s">
        <v>3145</v>
      </c>
      <c r="B861" s="203" t="s">
        <v>66</v>
      </c>
      <c r="C861" s="173" t="s">
        <v>66</v>
      </c>
      <c r="D861" s="173" t="s">
        <v>3146</v>
      </c>
      <c r="E861" s="196"/>
      <c r="F861" s="185" t="s">
        <v>135</v>
      </c>
      <c r="G861" s="185" t="s">
        <v>713</v>
      </c>
      <c r="H861" s="237">
        <v>1.0</v>
      </c>
      <c r="I861" s="185" t="s">
        <v>136</v>
      </c>
      <c r="J861" s="185" t="s">
        <v>136</v>
      </c>
      <c r="K861" s="185" t="s">
        <v>1762</v>
      </c>
      <c r="L861" s="185" t="s">
        <v>2259</v>
      </c>
      <c r="M861" s="196" t="s">
        <v>749</v>
      </c>
      <c r="N861" s="185"/>
      <c r="O861" s="238"/>
      <c r="P861" s="239" t="s">
        <v>701</v>
      </c>
      <c r="Q861" s="239" t="s">
        <v>732</v>
      </c>
      <c r="R861" s="240" t="s">
        <v>702</v>
      </c>
      <c r="S861" s="196" t="s">
        <v>702</v>
      </c>
      <c r="T861" s="196" t="s">
        <v>1927</v>
      </c>
    </row>
    <row r="862">
      <c r="A862" s="182" t="s">
        <v>3147</v>
      </c>
      <c r="B862" s="203" t="s">
        <v>66</v>
      </c>
      <c r="C862" s="173" t="s">
        <v>66</v>
      </c>
      <c r="D862" s="173" t="s">
        <v>3148</v>
      </c>
      <c r="E862" s="196"/>
      <c r="F862" s="185" t="s">
        <v>135</v>
      </c>
      <c r="G862" s="185" t="s">
        <v>768</v>
      </c>
      <c r="H862" s="237">
        <v>0.12</v>
      </c>
      <c r="I862" s="185" t="s">
        <v>136</v>
      </c>
      <c r="J862" s="185" t="s">
        <v>136</v>
      </c>
      <c r="K862" s="185" t="s">
        <v>1762</v>
      </c>
      <c r="L862" s="185" t="s">
        <v>2259</v>
      </c>
      <c r="M862" s="196" t="s">
        <v>749</v>
      </c>
      <c r="N862" s="185"/>
      <c r="O862" s="238"/>
      <c r="P862" s="239" t="s">
        <v>701</v>
      </c>
      <c r="Q862" s="239" t="s">
        <v>732</v>
      </c>
      <c r="R862" s="240" t="s">
        <v>750</v>
      </c>
      <c r="S862" s="196" t="s">
        <v>750</v>
      </c>
      <c r="T862" s="196" t="s">
        <v>1765</v>
      </c>
    </row>
    <row r="863">
      <c r="A863" s="182" t="s">
        <v>3149</v>
      </c>
      <c r="B863" s="203" t="s">
        <v>66</v>
      </c>
      <c r="C863" s="173" t="s">
        <v>66</v>
      </c>
      <c r="D863" s="173" t="s">
        <v>3150</v>
      </c>
      <c r="E863" s="196"/>
      <c r="F863" s="185" t="s">
        <v>135</v>
      </c>
      <c r="G863" s="185" t="s">
        <v>713</v>
      </c>
      <c r="H863" s="237">
        <v>2.0</v>
      </c>
      <c r="I863" s="185" t="s">
        <v>136</v>
      </c>
      <c r="J863" s="185" t="s">
        <v>136</v>
      </c>
      <c r="K863" s="185" t="s">
        <v>1762</v>
      </c>
      <c r="L863" s="185" t="s">
        <v>2259</v>
      </c>
      <c r="M863" s="196" t="s">
        <v>749</v>
      </c>
      <c r="N863" s="185"/>
      <c r="O863" s="238"/>
      <c r="P863" s="239" t="s">
        <v>701</v>
      </c>
      <c r="Q863" s="239" t="s">
        <v>732</v>
      </c>
      <c r="R863" s="240" t="s">
        <v>750</v>
      </c>
      <c r="S863" s="196" t="s">
        <v>750</v>
      </c>
      <c r="T863" s="196" t="s">
        <v>1765</v>
      </c>
    </row>
    <row r="864">
      <c r="A864" s="182" t="s">
        <v>3151</v>
      </c>
      <c r="B864" s="203" t="s">
        <v>66</v>
      </c>
      <c r="C864" s="173" t="s">
        <v>66</v>
      </c>
      <c r="D864" s="173" t="s">
        <v>3152</v>
      </c>
      <c r="E864" s="196"/>
      <c r="F864" s="185" t="s">
        <v>185</v>
      </c>
      <c r="G864" s="185" t="s">
        <v>768</v>
      </c>
      <c r="H864" s="237">
        <v>0.13</v>
      </c>
      <c r="I864" s="185" t="s">
        <v>2072</v>
      </c>
      <c r="J864" s="185" t="s">
        <v>2072</v>
      </c>
      <c r="K864" s="185" t="s">
        <v>723</v>
      </c>
      <c r="L864" s="185" t="s">
        <v>2259</v>
      </c>
      <c r="M864" s="196" t="s">
        <v>687</v>
      </c>
      <c r="N864" s="185"/>
      <c r="O864" s="238"/>
      <c r="P864" s="239" t="s">
        <v>1782</v>
      </c>
      <c r="Q864" s="239" t="s">
        <v>1783</v>
      </c>
      <c r="R864" s="240" t="s">
        <v>750</v>
      </c>
      <c r="S864" s="196" t="s">
        <v>750</v>
      </c>
      <c r="T864" s="196" t="s">
        <v>1765</v>
      </c>
    </row>
    <row r="865" hidden="1">
      <c r="A865" s="182" t="s">
        <v>3153</v>
      </c>
      <c r="B865" s="203" t="s">
        <v>66</v>
      </c>
      <c r="C865" s="173" t="s">
        <v>66</v>
      </c>
      <c r="D865" s="173" t="s">
        <v>3154</v>
      </c>
      <c r="E865" s="196"/>
      <c r="F865" s="185" t="s">
        <v>135</v>
      </c>
      <c r="G865" s="185" t="s">
        <v>1761</v>
      </c>
      <c r="H865" s="237" t="s">
        <v>3155</v>
      </c>
      <c r="I865" s="185" t="s">
        <v>835</v>
      </c>
      <c r="J865" s="185" t="s">
        <v>2072</v>
      </c>
      <c r="K865" s="185" t="s">
        <v>2072</v>
      </c>
      <c r="L865" s="185" t="s">
        <v>2259</v>
      </c>
      <c r="M865" s="196" t="s">
        <v>749</v>
      </c>
      <c r="N865" s="185"/>
      <c r="O865" s="238"/>
      <c r="P865" s="239" t="s">
        <v>1763</v>
      </c>
      <c r="Q865" s="239" t="s">
        <v>1764</v>
      </c>
      <c r="R865" s="240" t="s">
        <v>750</v>
      </c>
      <c r="S865" s="196" t="s">
        <v>750</v>
      </c>
      <c r="T865" s="196" t="s">
        <v>1903</v>
      </c>
    </row>
    <row r="866">
      <c r="A866" s="182" t="s">
        <v>3156</v>
      </c>
      <c r="B866" s="203" t="s">
        <v>66</v>
      </c>
      <c r="C866" s="173" t="s">
        <v>66</v>
      </c>
      <c r="D866" s="173" t="s">
        <v>3157</v>
      </c>
      <c r="E866" s="196"/>
      <c r="F866" s="185" t="s">
        <v>83</v>
      </c>
      <c r="G866" s="185" t="s">
        <v>1761</v>
      </c>
      <c r="H866" s="237" t="s">
        <v>3158</v>
      </c>
      <c r="I866" s="185" t="s">
        <v>1762</v>
      </c>
      <c r="J866" s="185" t="s">
        <v>1762</v>
      </c>
      <c r="K866" s="185" t="s">
        <v>1762</v>
      </c>
      <c r="L866" s="185" t="s">
        <v>2259</v>
      </c>
      <c r="M866" s="196" t="s">
        <v>749</v>
      </c>
      <c r="N866" s="185"/>
      <c r="O866" s="238"/>
      <c r="P866" s="239" t="s">
        <v>1770</v>
      </c>
      <c r="Q866" s="239" t="s">
        <v>1764</v>
      </c>
      <c r="R866" s="240" t="s">
        <v>1518</v>
      </c>
      <c r="S866" s="196" t="s">
        <v>1518</v>
      </c>
      <c r="T866" s="196" t="s">
        <v>1765</v>
      </c>
    </row>
    <row r="867">
      <c r="A867" s="182" t="s">
        <v>3159</v>
      </c>
      <c r="B867" s="203" t="s">
        <v>66</v>
      </c>
      <c r="C867" s="173" t="s">
        <v>66</v>
      </c>
      <c r="D867" s="173" t="s">
        <v>3160</v>
      </c>
      <c r="E867" s="196"/>
      <c r="F867" s="185" t="s">
        <v>83</v>
      </c>
      <c r="G867" s="185" t="s">
        <v>1761</v>
      </c>
      <c r="H867" s="237" t="s">
        <v>3161</v>
      </c>
      <c r="I867" s="185" t="s">
        <v>1762</v>
      </c>
      <c r="J867" s="185" t="s">
        <v>1762</v>
      </c>
      <c r="K867" s="185" t="s">
        <v>1762</v>
      </c>
      <c r="L867" s="185" t="s">
        <v>2259</v>
      </c>
      <c r="M867" s="196" t="s">
        <v>749</v>
      </c>
      <c r="N867" s="185"/>
      <c r="O867" s="238"/>
      <c r="P867" s="239" t="s">
        <v>1770</v>
      </c>
      <c r="Q867" s="239" t="s">
        <v>1764</v>
      </c>
      <c r="R867" s="240" t="s">
        <v>1518</v>
      </c>
      <c r="S867" s="196" t="s">
        <v>1518</v>
      </c>
      <c r="T867" s="196" t="s">
        <v>1765</v>
      </c>
    </row>
    <row r="868">
      <c r="A868" s="182" t="s">
        <v>3162</v>
      </c>
      <c r="B868" s="203" t="s">
        <v>66</v>
      </c>
      <c r="C868" s="173" t="s">
        <v>66</v>
      </c>
      <c r="D868" s="173" t="s">
        <v>3163</v>
      </c>
      <c r="E868" s="196"/>
      <c r="F868" s="185" t="s">
        <v>83</v>
      </c>
      <c r="G868" s="185" t="s">
        <v>1761</v>
      </c>
      <c r="H868" s="237" t="s">
        <v>3164</v>
      </c>
      <c r="I868" s="185" t="s">
        <v>1762</v>
      </c>
      <c r="J868" s="185" t="s">
        <v>1762</v>
      </c>
      <c r="K868" s="185" t="s">
        <v>1762</v>
      </c>
      <c r="L868" s="185" t="s">
        <v>2259</v>
      </c>
      <c r="M868" s="196" t="s">
        <v>749</v>
      </c>
      <c r="N868" s="185"/>
      <c r="O868" s="238"/>
      <c r="P868" s="239" t="s">
        <v>1770</v>
      </c>
      <c r="Q868" s="239" t="s">
        <v>1764</v>
      </c>
      <c r="R868" s="240" t="s">
        <v>1518</v>
      </c>
      <c r="S868" s="196" t="s">
        <v>1518</v>
      </c>
      <c r="T868" s="196" t="s">
        <v>1765</v>
      </c>
    </row>
    <row r="869">
      <c r="A869" s="182" t="s">
        <v>3165</v>
      </c>
      <c r="B869" s="203" t="s">
        <v>66</v>
      </c>
      <c r="C869" s="173" t="s">
        <v>66</v>
      </c>
      <c r="D869" s="173" t="s">
        <v>3166</v>
      </c>
      <c r="E869" s="196"/>
      <c r="F869" s="185" t="s">
        <v>185</v>
      </c>
      <c r="G869" s="185" t="s">
        <v>1500</v>
      </c>
      <c r="H869" s="237" t="s">
        <v>3167</v>
      </c>
      <c r="I869" s="185" t="s">
        <v>1762</v>
      </c>
      <c r="J869" s="185" t="s">
        <v>1762</v>
      </c>
      <c r="K869" s="185" t="s">
        <v>1762</v>
      </c>
      <c r="L869" s="185" t="s">
        <v>2259</v>
      </c>
      <c r="M869" s="196" t="s">
        <v>749</v>
      </c>
      <c r="N869" s="185"/>
      <c r="O869" s="238"/>
      <c r="P869" s="239" t="s">
        <v>1781</v>
      </c>
      <c r="Q869" s="239" t="s">
        <v>1764</v>
      </c>
      <c r="R869" s="240" t="s">
        <v>1518</v>
      </c>
      <c r="S869" s="196" t="s">
        <v>1518</v>
      </c>
      <c r="T869" s="196" t="s">
        <v>1765</v>
      </c>
    </row>
    <row r="870">
      <c r="A870" s="182" t="s">
        <v>3168</v>
      </c>
      <c r="B870" s="203" t="s">
        <v>66</v>
      </c>
      <c r="C870" s="173" t="s">
        <v>66</v>
      </c>
      <c r="D870" s="173" t="s">
        <v>3169</v>
      </c>
      <c r="E870" s="196"/>
      <c r="F870" s="185" t="s">
        <v>185</v>
      </c>
      <c r="G870" s="185" t="s">
        <v>1500</v>
      </c>
      <c r="H870" s="237" t="s">
        <v>3167</v>
      </c>
      <c r="I870" s="185" t="s">
        <v>1762</v>
      </c>
      <c r="J870" s="185" t="s">
        <v>1762</v>
      </c>
      <c r="K870" s="185" t="s">
        <v>1762</v>
      </c>
      <c r="L870" s="185" t="s">
        <v>2259</v>
      </c>
      <c r="M870" s="196" t="s">
        <v>749</v>
      </c>
      <c r="N870" s="185"/>
      <c r="O870" s="238"/>
      <c r="P870" s="239" t="s">
        <v>1781</v>
      </c>
      <c r="Q870" s="239" t="s">
        <v>1764</v>
      </c>
      <c r="R870" s="240" t="s">
        <v>1518</v>
      </c>
      <c r="S870" s="196" t="s">
        <v>1518</v>
      </c>
      <c r="T870" s="196" t="s">
        <v>1765</v>
      </c>
    </row>
    <row r="871">
      <c r="A871" s="182" t="s">
        <v>3170</v>
      </c>
      <c r="B871" s="203" t="s">
        <v>66</v>
      </c>
      <c r="C871" s="173" t="s">
        <v>66</v>
      </c>
      <c r="D871" s="173" t="s">
        <v>3171</v>
      </c>
      <c r="E871" s="196"/>
      <c r="F871" s="185" t="s">
        <v>135</v>
      </c>
      <c r="G871" s="185" t="s">
        <v>1500</v>
      </c>
      <c r="H871" s="237" t="b">
        <v>1</v>
      </c>
      <c r="I871" s="185" t="s">
        <v>835</v>
      </c>
      <c r="J871" s="185" t="s">
        <v>2072</v>
      </c>
      <c r="K871" s="185" t="s">
        <v>2072</v>
      </c>
      <c r="L871" s="185" t="s">
        <v>2259</v>
      </c>
      <c r="M871" s="196" t="s">
        <v>749</v>
      </c>
      <c r="N871" s="185"/>
      <c r="O871" s="238"/>
      <c r="P871" s="239" t="s">
        <v>3172</v>
      </c>
      <c r="Q871" s="239" t="s">
        <v>1764</v>
      </c>
      <c r="R871" s="240" t="s">
        <v>782</v>
      </c>
      <c r="S871" s="196" t="s">
        <v>782</v>
      </c>
      <c r="T871" s="196" t="s">
        <v>1765</v>
      </c>
    </row>
    <row r="872">
      <c r="A872" s="182" t="s">
        <v>3173</v>
      </c>
      <c r="B872" s="203" t="s">
        <v>66</v>
      </c>
      <c r="C872" s="173" t="s">
        <v>66</v>
      </c>
      <c r="D872" s="173" t="s">
        <v>3174</v>
      </c>
      <c r="E872" s="196"/>
      <c r="F872" s="185" t="s">
        <v>135</v>
      </c>
      <c r="G872" s="185" t="s">
        <v>1500</v>
      </c>
      <c r="H872" s="237" t="b">
        <v>1</v>
      </c>
      <c r="I872" s="185" t="s">
        <v>835</v>
      </c>
      <c r="J872" s="185" t="s">
        <v>2072</v>
      </c>
      <c r="K872" s="185" t="s">
        <v>2072</v>
      </c>
      <c r="L872" s="185" t="s">
        <v>2259</v>
      </c>
      <c r="M872" s="196" t="s">
        <v>749</v>
      </c>
      <c r="N872" s="185"/>
      <c r="O872" s="238"/>
      <c r="P872" s="239" t="s">
        <v>3172</v>
      </c>
      <c r="Q872" s="239" t="s">
        <v>1764</v>
      </c>
      <c r="R872" s="240" t="s">
        <v>782</v>
      </c>
      <c r="S872" s="196" t="s">
        <v>782</v>
      </c>
      <c r="T872" s="196" t="s">
        <v>1765</v>
      </c>
    </row>
    <row r="873">
      <c r="A873" s="182" t="s">
        <v>3175</v>
      </c>
      <c r="B873" s="203" t="s">
        <v>66</v>
      </c>
      <c r="C873" s="173" t="s">
        <v>66</v>
      </c>
      <c r="D873" s="173" t="s">
        <v>3176</v>
      </c>
      <c r="E873" s="196"/>
      <c r="F873" s="185" t="s">
        <v>135</v>
      </c>
      <c r="G873" s="185" t="s">
        <v>1500</v>
      </c>
      <c r="H873" s="237" t="b">
        <v>0</v>
      </c>
      <c r="I873" s="185" t="s">
        <v>835</v>
      </c>
      <c r="J873" s="185" t="s">
        <v>2072</v>
      </c>
      <c r="K873" s="185" t="s">
        <v>2072</v>
      </c>
      <c r="L873" s="185" t="s">
        <v>2259</v>
      </c>
      <c r="M873" s="196" t="s">
        <v>749</v>
      </c>
      <c r="N873" s="185"/>
      <c r="O873" s="238"/>
      <c r="P873" s="239" t="s">
        <v>3172</v>
      </c>
      <c r="Q873" s="239" t="s">
        <v>1764</v>
      </c>
      <c r="R873" s="240" t="s">
        <v>782</v>
      </c>
      <c r="S873" s="196" t="s">
        <v>782</v>
      </c>
      <c r="T873" s="196" t="s">
        <v>1765</v>
      </c>
    </row>
    <row r="874">
      <c r="A874" s="182" t="s">
        <v>3177</v>
      </c>
      <c r="B874" s="203" t="s">
        <v>66</v>
      </c>
      <c r="C874" s="173" t="s">
        <v>66</v>
      </c>
      <c r="D874" s="173" t="s">
        <v>3178</v>
      </c>
      <c r="E874" s="196"/>
      <c r="F874" s="185" t="s">
        <v>135</v>
      </c>
      <c r="G874" s="185" t="s">
        <v>1500</v>
      </c>
      <c r="H874" s="237" t="b">
        <v>1</v>
      </c>
      <c r="I874" s="185" t="s">
        <v>835</v>
      </c>
      <c r="J874" s="185" t="s">
        <v>2072</v>
      </c>
      <c r="K874" s="185" t="s">
        <v>2072</v>
      </c>
      <c r="L874" s="185" t="s">
        <v>2259</v>
      </c>
      <c r="M874" s="196" t="s">
        <v>749</v>
      </c>
      <c r="N874" s="185"/>
      <c r="O874" s="238"/>
      <c r="P874" s="239" t="s">
        <v>3172</v>
      </c>
      <c r="Q874" s="239" t="s">
        <v>1764</v>
      </c>
      <c r="R874" s="240" t="s">
        <v>782</v>
      </c>
      <c r="S874" s="196" t="s">
        <v>782</v>
      </c>
      <c r="T874" s="196" t="s">
        <v>1765</v>
      </c>
    </row>
    <row r="875">
      <c r="A875" s="182" t="s">
        <v>3179</v>
      </c>
      <c r="B875" s="203" t="s">
        <v>66</v>
      </c>
      <c r="C875" s="173" t="s">
        <v>66</v>
      </c>
      <c r="D875" s="173" t="s">
        <v>3180</v>
      </c>
      <c r="E875" s="196"/>
      <c r="F875" s="185" t="s">
        <v>135</v>
      </c>
      <c r="G875" s="185" t="s">
        <v>1500</v>
      </c>
      <c r="H875" s="237" t="b">
        <v>1</v>
      </c>
      <c r="I875" s="185" t="s">
        <v>835</v>
      </c>
      <c r="J875" s="185" t="s">
        <v>2072</v>
      </c>
      <c r="K875" s="185" t="s">
        <v>2072</v>
      </c>
      <c r="L875" s="185" t="s">
        <v>2259</v>
      </c>
      <c r="M875" s="196" t="s">
        <v>749</v>
      </c>
      <c r="N875" s="185"/>
      <c r="O875" s="238"/>
      <c r="P875" s="239" t="s">
        <v>3172</v>
      </c>
      <c r="Q875" s="239" t="s">
        <v>1764</v>
      </c>
      <c r="R875" s="240" t="s">
        <v>782</v>
      </c>
      <c r="S875" s="196" t="s">
        <v>782</v>
      </c>
      <c r="T875" s="196" t="s">
        <v>1765</v>
      </c>
    </row>
    <row r="876">
      <c r="A876" s="182" t="s">
        <v>3181</v>
      </c>
      <c r="B876" s="203" t="s">
        <v>66</v>
      </c>
      <c r="C876" s="173" t="s">
        <v>66</v>
      </c>
      <c r="D876" s="173" t="s">
        <v>3182</v>
      </c>
      <c r="E876" s="196"/>
      <c r="F876" s="185" t="s">
        <v>135</v>
      </c>
      <c r="G876" s="185" t="s">
        <v>1500</v>
      </c>
      <c r="H876" s="237" t="b">
        <v>1</v>
      </c>
      <c r="I876" s="185" t="s">
        <v>835</v>
      </c>
      <c r="J876" s="185" t="s">
        <v>2072</v>
      </c>
      <c r="K876" s="185" t="s">
        <v>2072</v>
      </c>
      <c r="L876" s="185" t="s">
        <v>2259</v>
      </c>
      <c r="M876" s="196" t="s">
        <v>749</v>
      </c>
      <c r="N876" s="185"/>
      <c r="O876" s="238"/>
      <c r="P876" s="239" t="s">
        <v>3172</v>
      </c>
      <c r="Q876" s="239" t="s">
        <v>1783</v>
      </c>
      <c r="R876" s="240" t="s">
        <v>782</v>
      </c>
      <c r="S876" s="196" t="s">
        <v>782</v>
      </c>
      <c r="T876" s="196" t="s">
        <v>1765</v>
      </c>
    </row>
    <row r="877">
      <c r="A877" s="182" t="s">
        <v>3183</v>
      </c>
      <c r="B877" s="203" t="s">
        <v>66</v>
      </c>
      <c r="C877" s="173" t="s">
        <v>66</v>
      </c>
      <c r="D877" s="173" t="s">
        <v>3184</v>
      </c>
      <c r="E877" s="196"/>
      <c r="F877" s="185" t="s">
        <v>135</v>
      </c>
      <c r="G877" s="185" t="s">
        <v>1500</v>
      </c>
      <c r="H877" s="237" t="b">
        <v>0</v>
      </c>
      <c r="I877" s="185" t="s">
        <v>835</v>
      </c>
      <c r="J877" s="185" t="s">
        <v>2072</v>
      </c>
      <c r="K877" s="185" t="s">
        <v>2072</v>
      </c>
      <c r="L877" s="185" t="s">
        <v>2259</v>
      </c>
      <c r="M877" s="196" t="s">
        <v>749</v>
      </c>
      <c r="N877" s="185"/>
      <c r="O877" s="238"/>
      <c r="P877" s="239" t="s">
        <v>3172</v>
      </c>
      <c r="Q877" s="239" t="s">
        <v>1764</v>
      </c>
      <c r="R877" s="240" t="s">
        <v>782</v>
      </c>
      <c r="S877" s="196" t="s">
        <v>782</v>
      </c>
      <c r="T877" s="196" t="s">
        <v>1765</v>
      </c>
    </row>
    <row r="878">
      <c r="A878" s="182" t="s">
        <v>3185</v>
      </c>
      <c r="B878" s="203" t="s">
        <v>66</v>
      </c>
      <c r="C878" s="173" t="s">
        <v>66</v>
      </c>
      <c r="D878" s="173" t="s">
        <v>3186</v>
      </c>
      <c r="E878" s="196"/>
      <c r="F878" s="185" t="s">
        <v>135</v>
      </c>
      <c r="G878" s="185" t="s">
        <v>1500</v>
      </c>
      <c r="H878" s="237" t="b">
        <v>1</v>
      </c>
      <c r="I878" s="185" t="s">
        <v>835</v>
      </c>
      <c r="J878" s="185" t="s">
        <v>2072</v>
      </c>
      <c r="K878" s="185" t="s">
        <v>2072</v>
      </c>
      <c r="L878" s="185" t="s">
        <v>2259</v>
      </c>
      <c r="M878" s="196" t="s">
        <v>749</v>
      </c>
      <c r="N878" s="185"/>
      <c r="O878" s="238"/>
      <c r="P878" s="239" t="s">
        <v>3172</v>
      </c>
      <c r="Q878" s="239" t="s">
        <v>1764</v>
      </c>
      <c r="R878" s="240" t="s">
        <v>782</v>
      </c>
      <c r="S878" s="196" t="s">
        <v>782</v>
      </c>
      <c r="T878" s="196" t="s">
        <v>1765</v>
      </c>
    </row>
    <row r="879">
      <c r="A879" s="182" t="s">
        <v>3187</v>
      </c>
      <c r="B879" s="203" t="s">
        <v>66</v>
      </c>
      <c r="C879" s="173" t="s">
        <v>66</v>
      </c>
      <c r="D879" s="173" t="s">
        <v>3188</v>
      </c>
      <c r="E879" s="196"/>
      <c r="F879" s="185" t="s">
        <v>185</v>
      </c>
      <c r="G879" s="185" t="s">
        <v>1761</v>
      </c>
      <c r="H879" s="237" t="s">
        <v>428</v>
      </c>
      <c r="I879" s="185" t="s">
        <v>3189</v>
      </c>
      <c r="J879" s="185" t="s">
        <v>3189</v>
      </c>
      <c r="K879" s="185" t="s">
        <v>3189</v>
      </c>
      <c r="L879" s="185" t="s">
        <v>2259</v>
      </c>
      <c r="M879" s="196" t="s">
        <v>749</v>
      </c>
      <c r="N879" s="185"/>
      <c r="O879" s="238"/>
      <c r="P879" s="239" t="s">
        <v>1770</v>
      </c>
      <c r="Q879" s="239" t="s">
        <v>1764</v>
      </c>
      <c r="R879" s="240" t="s">
        <v>782</v>
      </c>
      <c r="S879" s="196" t="s">
        <v>782</v>
      </c>
      <c r="T879" s="196" t="s">
        <v>1765</v>
      </c>
    </row>
    <row r="880">
      <c r="A880" s="182" t="s">
        <v>3190</v>
      </c>
      <c r="B880" s="203" t="s">
        <v>66</v>
      </c>
      <c r="C880" s="173" t="s">
        <v>66</v>
      </c>
      <c r="D880" s="173" t="s">
        <v>3191</v>
      </c>
      <c r="E880" s="196"/>
      <c r="F880" s="185" t="s">
        <v>185</v>
      </c>
      <c r="G880" s="185" t="s">
        <v>1761</v>
      </c>
      <c r="H880" s="237" t="s">
        <v>3192</v>
      </c>
      <c r="I880" s="185" t="s">
        <v>3189</v>
      </c>
      <c r="J880" s="185" t="s">
        <v>3189</v>
      </c>
      <c r="K880" s="185" t="s">
        <v>3189</v>
      </c>
      <c r="L880" s="185" t="s">
        <v>2259</v>
      </c>
      <c r="M880" s="196" t="s">
        <v>749</v>
      </c>
      <c r="N880" s="185"/>
      <c r="O880" s="238"/>
      <c r="P880" s="239" t="s">
        <v>1770</v>
      </c>
      <c r="Q880" s="239" t="s">
        <v>1764</v>
      </c>
      <c r="R880" s="240" t="s">
        <v>782</v>
      </c>
      <c r="S880" s="196" t="s">
        <v>782</v>
      </c>
      <c r="T880" s="196" t="s">
        <v>1765</v>
      </c>
    </row>
    <row r="881">
      <c r="A881" s="182" t="s">
        <v>3193</v>
      </c>
      <c r="B881" s="203" t="s">
        <v>66</v>
      </c>
      <c r="C881" s="173" t="s">
        <v>66</v>
      </c>
      <c r="D881" s="173" t="s">
        <v>3194</v>
      </c>
      <c r="E881" s="196"/>
      <c r="F881" s="185" t="s">
        <v>185</v>
      </c>
      <c r="G881" s="185" t="s">
        <v>1761</v>
      </c>
      <c r="H881" s="237" t="s">
        <v>3195</v>
      </c>
      <c r="I881" s="185" t="s">
        <v>2072</v>
      </c>
      <c r="J881" s="185" t="s">
        <v>2072</v>
      </c>
      <c r="K881" s="185" t="s">
        <v>2072</v>
      </c>
      <c r="L881" s="185" t="s">
        <v>2259</v>
      </c>
      <c r="M881" s="196" t="s">
        <v>687</v>
      </c>
      <c r="N881" s="185"/>
      <c r="O881" s="238"/>
      <c r="P881" s="239" t="s">
        <v>1782</v>
      </c>
      <c r="Q881" s="239" t="s">
        <v>1783</v>
      </c>
      <c r="R881" s="240" t="s">
        <v>721</v>
      </c>
      <c r="S881" s="196" t="s">
        <v>721</v>
      </c>
      <c r="T881" s="196" t="s">
        <v>1765</v>
      </c>
    </row>
    <row r="882">
      <c r="A882" s="182" t="s">
        <v>3196</v>
      </c>
      <c r="B882" s="203" t="s">
        <v>66</v>
      </c>
      <c r="C882" s="173" t="s">
        <v>66</v>
      </c>
      <c r="D882" s="173" t="s">
        <v>3197</v>
      </c>
      <c r="E882" s="196"/>
      <c r="F882" s="185" t="s">
        <v>83</v>
      </c>
      <c r="G882" s="185" t="s">
        <v>1500</v>
      </c>
      <c r="H882" s="237" t="b">
        <v>1</v>
      </c>
      <c r="I882" s="185" t="s">
        <v>2362</v>
      </c>
      <c r="J882" s="185" t="s">
        <v>2362</v>
      </c>
      <c r="K882" s="185" t="s">
        <v>3198</v>
      </c>
      <c r="L882" s="185" t="s">
        <v>2259</v>
      </c>
      <c r="M882" s="196" t="s">
        <v>3199</v>
      </c>
      <c r="N882" s="185"/>
      <c r="O882" s="238"/>
      <c r="P882" s="239" t="s">
        <v>2314</v>
      </c>
      <c r="Q882" s="239" t="s">
        <v>1764</v>
      </c>
      <c r="R882" s="240" t="s">
        <v>3200</v>
      </c>
      <c r="S882" s="196" t="s">
        <v>3200</v>
      </c>
      <c r="T882" s="196" t="s">
        <v>1765</v>
      </c>
    </row>
    <row r="883">
      <c r="A883" s="182" t="s">
        <v>3201</v>
      </c>
      <c r="B883" s="203" t="s">
        <v>66</v>
      </c>
      <c r="C883" s="173" t="s">
        <v>66</v>
      </c>
      <c r="D883" s="173" t="s">
        <v>3202</v>
      </c>
      <c r="E883" s="196"/>
      <c r="F883" s="185" t="s">
        <v>83</v>
      </c>
      <c r="G883" s="185" t="s">
        <v>1500</v>
      </c>
      <c r="H883" s="237" t="b">
        <v>1</v>
      </c>
      <c r="I883" s="185" t="s">
        <v>2362</v>
      </c>
      <c r="J883" s="185" t="s">
        <v>2362</v>
      </c>
      <c r="K883" s="185" t="s">
        <v>3198</v>
      </c>
      <c r="L883" s="185" t="s">
        <v>2259</v>
      </c>
      <c r="M883" s="196" t="s">
        <v>3199</v>
      </c>
      <c r="N883" s="185"/>
      <c r="O883" s="238"/>
      <c r="P883" s="239" t="s">
        <v>2314</v>
      </c>
      <c r="Q883" s="239" t="s">
        <v>1764</v>
      </c>
      <c r="R883" s="240" t="s">
        <v>3200</v>
      </c>
      <c r="S883" s="196" t="s">
        <v>3200</v>
      </c>
      <c r="T883" s="196" t="s">
        <v>1765</v>
      </c>
    </row>
    <row r="884">
      <c r="A884" s="182" t="s">
        <v>3203</v>
      </c>
      <c r="B884" s="203" t="s">
        <v>66</v>
      </c>
      <c r="C884" s="173" t="s">
        <v>66</v>
      </c>
      <c r="D884" s="173" t="s">
        <v>3204</v>
      </c>
      <c r="E884" s="196"/>
      <c r="F884" s="185" t="s">
        <v>83</v>
      </c>
      <c r="G884" s="185" t="s">
        <v>1500</v>
      </c>
      <c r="H884" s="237" t="b">
        <v>1</v>
      </c>
      <c r="I884" s="185" t="s">
        <v>2362</v>
      </c>
      <c r="J884" s="185" t="s">
        <v>2362</v>
      </c>
      <c r="K884" s="185" t="s">
        <v>3198</v>
      </c>
      <c r="L884" s="185" t="s">
        <v>2259</v>
      </c>
      <c r="M884" s="196" t="s">
        <v>3199</v>
      </c>
      <c r="N884" s="185"/>
      <c r="O884" s="238"/>
      <c r="P884" s="239" t="s">
        <v>2314</v>
      </c>
      <c r="Q884" s="239" t="s">
        <v>1764</v>
      </c>
      <c r="R884" s="240" t="s">
        <v>3200</v>
      </c>
      <c r="S884" s="196" t="s">
        <v>3200</v>
      </c>
      <c r="T884" s="196" t="s">
        <v>1765</v>
      </c>
    </row>
    <row r="885" hidden="1">
      <c r="A885" s="182" t="s">
        <v>3205</v>
      </c>
      <c r="B885" s="241" t="s">
        <v>48</v>
      </c>
      <c r="C885" s="173"/>
      <c r="D885" s="173" t="s">
        <v>3206</v>
      </c>
      <c r="E885" s="196"/>
      <c r="F885" s="185" t="s">
        <v>83</v>
      </c>
      <c r="G885" s="185" t="s">
        <v>1500</v>
      </c>
      <c r="H885" s="237" t="b">
        <v>1</v>
      </c>
      <c r="I885" s="185" t="s">
        <v>2362</v>
      </c>
      <c r="J885" s="185" t="s">
        <v>2362</v>
      </c>
      <c r="K885" s="185" t="s">
        <v>3198</v>
      </c>
      <c r="L885" s="185" t="s">
        <v>2259</v>
      </c>
      <c r="M885" s="196" t="s">
        <v>3199</v>
      </c>
      <c r="N885" s="185"/>
      <c r="O885" s="238"/>
      <c r="P885" s="239" t="s">
        <v>2314</v>
      </c>
      <c r="Q885" s="239" t="s">
        <v>1764</v>
      </c>
      <c r="R885" s="240" t="s">
        <v>3200</v>
      </c>
      <c r="S885" s="196" t="s">
        <v>3200</v>
      </c>
      <c r="T885" s="196" t="s">
        <v>1927</v>
      </c>
    </row>
    <row r="886" hidden="1">
      <c r="A886" s="182" t="s">
        <v>3207</v>
      </c>
      <c r="B886" s="241" t="s">
        <v>48</v>
      </c>
      <c r="C886" s="173"/>
      <c r="D886" s="173" t="s">
        <v>3208</v>
      </c>
      <c r="E886" s="196"/>
      <c r="F886" s="185" t="s">
        <v>83</v>
      </c>
      <c r="G886" s="185" t="s">
        <v>3209</v>
      </c>
      <c r="H886" s="237">
        <v>6.0</v>
      </c>
      <c r="I886" s="185" t="s">
        <v>2362</v>
      </c>
      <c r="J886" s="185" t="s">
        <v>2362</v>
      </c>
      <c r="K886" s="185" t="s">
        <v>3198</v>
      </c>
      <c r="L886" s="185" t="s">
        <v>2259</v>
      </c>
      <c r="M886" s="196" t="s">
        <v>3199</v>
      </c>
      <c r="N886" s="185"/>
      <c r="O886" s="238"/>
      <c r="P886" s="239" t="s">
        <v>1779</v>
      </c>
      <c r="Q886" s="239" t="s">
        <v>1764</v>
      </c>
      <c r="R886" s="240" t="s">
        <v>3200</v>
      </c>
      <c r="S886" s="196" t="s">
        <v>3200</v>
      </c>
      <c r="T886" s="196" t="s">
        <v>1927</v>
      </c>
    </row>
    <row r="887" hidden="1">
      <c r="A887" s="182" t="s">
        <v>3210</v>
      </c>
      <c r="B887" s="241" t="s">
        <v>48</v>
      </c>
      <c r="C887" s="173"/>
      <c r="D887" s="173" t="s">
        <v>3211</v>
      </c>
      <c r="E887" s="196"/>
      <c r="F887" s="185" t="s">
        <v>83</v>
      </c>
      <c r="G887" s="185" t="s">
        <v>3209</v>
      </c>
      <c r="H887" s="237">
        <v>20.0</v>
      </c>
      <c r="I887" s="185" t="s">
        <v>2362</v>
      </c>
      <c r="J887" s="185" t="s">
        <v>2362</v>
      </c>
      <c r="K887" s="185" t="s">
        <v>3198</v>
      </c>
      <c r="L887" s="185" t="s">
        <v>2259</v>
      </c>
      <c r="M887" s="196" t="s">
        <v>3199</v>
      </c>
      <c r="N887" s="185"/>
      <c r="O887" s="238"/>
      <c r="P887" s="239" t="s">
        <v>1779</v>
      </c>
      <c r="Q887" s="239" t="s">
        <v>1764</v>
      </c>
      <c r="R887" s="240" t="s">
        <v>3200</v>
      </c>
      <c r="S887" s="196" t="s">
        <v>3200</v>
      </c>
      <c r="T887" s="196" t="s">
        <v>1927</v>
      </c>
    </row>
    <row r="888" hidden="1">
      <c r="A888" s="182" t="s">
        <v>3212</v>
      </c>
      <c r="B888" s="241" t="s">
        <v>48</v>
      </c>
      <c r="C888" s="173"/>
      <c r="D888" s="173" t="s">
        <v>3213</v>
      </c>
      <c r="E888" s="196"/>
      <c r="F888" s="185" t="s">
        <v>83</v>
      </c>
      <c r="G888" s="185" t="s">
        <v>3209</v>
      </c>
      <c r="H888" s="237">
        <v>30.0</v>
      </c>
      <c r="I888" s="185" t="s">
        <v>2362</v>
      </c>
      <c r="J888" s="185" t="s">
        <v>2362</v>
      </c>
      <c r="K888" s="185" t="s">
        <v>3198</v>
      </c>
      <c r="L888" s="185" t="s">
        <v>2259</v>
      </c>
      <c r="M888" s="196" t="s">
        <v>3199</v>
      </c>
      <c r="N888" s="185"/>
      <c r="O888" s="238"/>
      <c r="P888" s="239" t="s">
        <v>2314</v>
      </c>
      <c r="Q888" s="239" t="s">
        <v>1764</v>
      </c>
      <c r="R888" s="240" t="s">
        <v>3200</v>
      </c>
      <c r="S888" s="196" t="s">
        <v>3200</v>
      </c>
      <c r="T888" s="196" t="s">
        <v>1927</v>
      </c>
    </row>
    <row r="889" hidden="1">
      <c r="A889" s="182" t="s">
        <v>3214</v>
      </c>
      <c r="B889" s="241" t="s">
        <v>48</v>
      </c>
      <c r="C889" s="173"/>
      <c r="D889" s="173" t="s">
        <v>3215</v>
      </c>
      <c r="E889" s="196"/>
      <c r="F889" s="185" t="s">
        <v>83</v>
      </c>
      <c r="G889" s="185" t="s">
        <v>3209</v>
      </c>
      <c r="H889" s="237">
        <v>9.0</v>
      </c>
      <c r="I889" s="185" t="s">
        <v>2362</v>
      </c>
      <c r="J889" s="185" t="s">
        <v>2362</v>
      </c>
      <c r="K889" s="185" t="s">
        <v>3198</v>
      </c>
      <c r="L889" s="185" t="s">
        <v>2259</v>
      </c>
      <c r="M889" s="196" t="s">
        <v>3199</v>
      </c>
      <c r="N889" s="185"/>
      <c r="O889" s="238"/>
      <c r="P889" s="239" t="s">
        <v>1782</v>
      </c>
      <c r="Q889" s="239" t="s">
        <v>1783</v>
      </c>
      <c r="R889" s="240" t="s">
        <v>3200</v>
      </c>
      <c r="S889" s="196" t="s">
        <v>3200</v>
      </c>
      <c r="T889" s="196" t="s">
        <v>1927</v>
      </c>
    </row>
    <row r="890" hidden="1">
      <c r="A890" s="182" t="s">
        <v>3216</v>
      </c>
      <c r="B890" s="241" t="s">
        <v>48</v>
      </c>
      <c r="C890" s="173"/>
      <c r="D890" s="173" t="s">
        <v>3217</v>
      </c>
      <c r="E890" s="196"/>
      <c r="F890" s="185" t="s">
        <v>83</v>
      </c>
      <c r="G890" s="185" t="s">
        <v>1761</v>
      </c>
      <c r="H890" s="237">
        <v>100.0</v>
      </c>
      <c r="I890" s="185" t="s">
        <v>2362</v>
      </c>
      <c r="J890" s="185" t="s">
        <v>2362</v>
      </c>
      <c r="K890" s="185" t="s">
        <v>3198</v>
      </c>
      <c r="L890" s="185" t="s">
        <v>2259</v>
      </c>
      <c r="M890" s="196" t="s">
        <v>3199</v>
      </c>
      <c r="N890" s="185"/>
      <c r="O890" s="238"/>
      <c r="P890" s="239" t="s">
        <v>1782</v>
      </c>
      <c r="Q890" s="239" t="s">
        <v>1783</v>
      </c>
      <c r="R890" s="240" t="s">
        <v>3200</v>
      </c>
      <c r="S890" s="196" t="s">
        <v>3200</v>
      </c>
      <c r="T890" s="196" t="s">
        <v>1927</v>
      </c>
    </row>
    <row r="891" hidden="1">
      <c r="A891" s="182" t="s">
        <v>3218</v>
      </c>
      <c r="B891" s="241" t="s">
        <v>48</v>
      </c>
      <c r="C891" s="173"/>
      <c r="D891" s="173" t="s">
        <v>3219</v>
      </c>
      <c r="E891" s="196"/>
      <c r="F891" s="185" t="s">
        <v>83</v>
      </c>
      <c r="G891" s="185" t="s">
        <v>1761</v>
      </c>
      <c r="H891" s="237" t="s">
        <v>3220</v>
      </c>
      <c r="I891" s="185" t="s">
        <v>2362</v>
      </c>
      <c r="J891" s="185" t="s">
        <v>2362</v>
      </c>
      <c r="K891" s="185" t="s">
        <v>3198</v>
      </c>
      <c r="L891" s="185" t="s">
        <v>2259</v>
      </c>
      <c r="M891" s="196" t="s">
        <v>3199</v>
      </c>
      <c r="N891" s="185"/>
      <c r="O891" s="238"/>
      <c r="P891" s="239" t="s">
        <v>2314</v>
      </c>
      <c r="Q891" s="239" t="s">
        <v>1764</v>
      </c>
      <c r="R891" s="240" t="s">
        <v>3200</v>
      </c>
      <c r="S891" s="196" t="s">
        <v>3200</v>
      </c>
      <c r="T891" s="196" t="s">
        <v>1927</v>
      </c>
    </row>
    <row r="892" hidden="1">
      <c r="A892" s="182" t="s">
        <v>3221</v>
      </c>
      <c r="B892" s="241" t="s">
        <v>48</v>
      </c>
      <c r="C892" s="173"/>
      <c r="D892" s="173" t="s">
        <v>3222</v>
      </c>
      <c r="E892" s="196"/>
      <c r="F892" s="185" t="s">
        <v>83</v>
      </c>
      <c r="G892" s="185" t="s">
        <v>1500</v>
      </c>
      <c r="H892" s="237" t="b">
        <v>1</v>
      </c>
      <c r="I892" s="185" t="s">
        <v>2362</v>
      </c>
      <c r="J892" s="185" t="s">
        <v>2362</v>
      </c>
      <c r="K892" s="185" t="s">
        <v>3198</v>
      </c>
      <c r="L892" s="185" t="s">
        <v>2259</v>
      </c>
      <c r="M892" s="196" t="s">
        <v>3199</v>
      </c>
      <c r="N892" s="185"/>
      <c r="O892" s="238"/>
      <c r="P892" s="239" t="s">
        <v>2314</v>
      </c>
      <c r="Q892" s="239" t="s">
        <v>1764</v>
      </c>
      <c r="R892" s="240" t="s">
        <v>3200</v>
      </c>
      <c r="S892" s="196" t="s">
        <v>3200</v>
      </c>
      <c r="T892" s="196" t="s">
        <v>1927</v>
      </c>
    </row>
    <row r="893">
      <c r="A893" s="182" t="s">
        <v>3223</v>
      </c>
      <c r="B893" s="203" t="s">
        <v>66</v>
      </c>
      <c r="C893" s="173" t="s">
        <v>66</v>
      </c>
      <c r="D893" s="173" t="s">
        <v>3224</v>
      </c>
      <c r="E893" s="196"/>
      <c r="F893" s="185" t="s">
        <v>185</v>
      </c>
      <c r="G893" s="185" t="s">
        <v>768</v>
      </c>
      <c r="H893" s="237">
        <v>857.0</v>
      </c>
      <c r="I893" s="185" t="s">
        <v>3225</v>
      </c>
      <c r="J893" s="185" t="s">
        <v>3225</v>
      </c>
      <c r="K893" s="185" t="s">
        <v>3225</v>
      </c>
      <c r="L893" s="185" t="s">
        <v>2259</v>
      </c>
      <c r="M893" s="196" t="s">
        <v>3226</v>
      </c>
      <c r="N893" s="185"/>
      <c r="O893" s="238"/>
      <c r="P893" s="239" t="s">
        <v>1763</v>
      </c>
      <c r="Q893" s="239" t="s">
        <v>1764</v>
      </c>
      <c r="R893" s="240" t="s">
        <v>1518</v>
      </c>
      <c r="S893" s="196" t="s">
        <v>1518</v>
      </c>
      <c r="T893" s="196" t="s">
        <v>1765</v>
      </c>
    </row>
    <row r="894">
      <c r="A894" s="182" t="s">
        <v>3227</v>
      </c>
      <c r="B894" s="203" t="s">
        <v>66</v>
      </c>
      <c r="C894" s="173" t="s">
        <v>66</v>
      </c>
      <c r="D894" s="173" t="s">
        <v>3228</v>
      </c>
      <c r="E894" s="196"/>
      <c r="F894" s="185" t="s">
        <v>83</v>
      </c>
      <c r="G894" s="185" t="s">
        <v>1306</v>
      </c>
      <c r="H894" s="237">
        <v>36.0</v>
      </c>
      <c r="I894" s="185" t="s">
        <v>3229</v>
      </c>
      <c r="J894" s="185" t="s">
        <v>2257</v>
      </c>
      <c r="K894" s="185" t="s">
        <v>3230</v>
      </c>
      <c r="L894" s="185" t="s">
        <v>2259</v>
      </c>
      <c r="M894" s="196" t="s">
        <v>3226</v>
      </c>
      <c r="N894" s="185"/>
      <c r="O894" s="238"/>
      <c r="P894" s="239" t="s">
        <v>3231</v>
      </c>
      <c r="Q894" s="239" t="s">
        <v>2009</v>
      </c>
      <c r="R894" s="240" t="s">
        <v>691</v>
      </c>
      <c r="S894" s="196" t="s">
        <v>691</v>
      </c>
      <c r="T894" s="196" t="s">
        <v>1765</v>
      </c>
    </row>
    <row r="895">
      <c r="A895" s="182" t="s">
        <v>3232</v>
      </c>
      <c r="B895" s="203" t="s">
        <v>66</v>
      </c>
      <c r="C895" s="173" t="s">
        <v>66</v>
      </c>
      <c r="D895" s="173" t="s">
        <v>3233</v>
      </c>
      <c r="E895" s="196"/>
      <c r="F895" s="185" t="s">
        <v>185</v>
      </c>
      <c r="G895" s="185" t="s">
        <v>777</v>
      </c>
      <c r="H895" s="237">
        <v>1.0</v>
      </c>
      <c r="I895" s="185" t="s">
        <v>136</v>
      </c>
      <c r="J895" s="185" t="s">
        <v>136</v>
      </c>
      <c r="K895" s="185" t="s">
        <v>1762</v>
      </c>
      <c r="L895" s="185" t="s">
        <v>2259</v>
      </c>
      <c r="M895" s="196" t="s">
        <v>687</v>
      </c>
      <c r="N895" s="185"/>
      <c r="O895" s="238"/>
      <c r="P895" s="239" t="s">
        <v>1770</v>
      </c>
      <c r="Q895" s="239" t="s">
        <v>1764</v>
      </c>
      <c r="R895" s="240" t="s">
        <v>782</v>
      </c>
      <c r="S895" s="196" t="s">
        <v>782</v>
      </c>
      <c r="T895" s="196" t="s">
        <v>1765</v>
      </c>
    </row>
    <row r="896">
      <c r="A896" s="182" t="s">
        <v>3234</v>
      </c>
      <c r="B896" s="203" t="s">
        <v>66</v>
      </c>
      <c r="C896" s="173" t="s">
        <v>66</v>
      </c>
      <c r="D896" s="173" t="s">
        <v>3235</v>
      </c>
      <c r="E896" s="196"/>
      <c r="F896" s="185" t="s">
        <v>135</v>
      </c>
      <c r="G896" s="185" t="s">
        <v>1761</v>
      </c>
      <c r="H896" s="237" t="s">
        <v>520</v>
      </c>
      <c r="I896" s="185" t="s">
        <v>136</v>
      </c>
      <c r="J896" s="185" t="s">
        <v>136</v>
      </c>
      <c r="K896" s="185" t="s">
        <v>1762</v>
      </c>
      <c r="L896" s="185" t="s">
        <v>2259</v>
      </c>
      <c r="M896" s="196" t="s">
        <v>687</v>
      </c>
      <c r="N896" s="185"/>
      <c r="O896" s="238"/>
      <c r="P896" s="239" t="s">
        <v>1770</v>
      </c>
      <c r="Q896" s="239" t="s">
        <v>1764</v>
      </c>
      <c r="R896" s="240" t="s">
        <v>782</v>
      </c>
      <c r="S896" s="196" t="s">
        <v>782</v>
      </c>
      <c r="T896" s="196" t="s">
        <v>1765</v>
      </c>
    </row>
    <row r="897">
      <c r="A897" s="182" t="s">
        <v>3236</v>
      </c>
      <c r="B897" s="203" t="s">
        <v>66</v>
      </c>
      <c r="C897" s="173" t="s">
        <v>66</v>
      </c>
      <c r="D897" s="173" t="s">
        <v>3237</v>
      </c>
      <c r="E897" s="196"/>
      <c r="F897" s="185" t="s">
        <v>135</v>
      </c>
      <c r="G897" s="185" t="s">
        <v>777</v>
      </c>
      <c r="H897" s="237">
        <v>1.0</v>
      </c>
      <c r="I897" s="185" t="s">
        <v>136</v>
      </c>
      <c r="J897" s="185" t="s">
        <v>136</v>
      </c>
      <c r="K897" s="185" t="s">
        <v>1762</v>
      </c>
      <c r="L897" s="185" t="s">
        <v>2259</v>
      </c>
      <c r="M897" s="196" t="s">
        <v>3132</v>
      </c>
      <c r="N897" s="185"/>
      <c r="O897" s="238"/>
      <c r="P897" s="239" t="s">
        <v>1770</v>
      </c>
      <c r="Q897" s="239" t="s">
        <v>1764</v>
      </c>
      <c r="R897" s="240" t="s">
        <v>782</v>
      </c>
      <c r="S897" s="196" t="s">
        <v>782</v>
      </c>
      <c r="T897" s="196" t="s">
        <v>1765</v>
      </c>
    </row>
    <row r="898">
      <c r="A898" s="182" t="s">
        <v>3238</v>
      </c>
      <c r="B898" s="203" t="s">
        <v>66</v>
      </c>
      <c r="C898" s="173" t="s">
        <v>66</v>
      </c>
      <c r="D898" s="173" t="s">
        <v>3239</v>
      </c>
      <c r="E898" s="196"/>
      <c r="F898" s="185" t="s">
        <v>135</v>
      </c>
      <c r="G898" s="185" t="s">
        <v>1761</v>
      </c>
      <c r="H898" s="237" t="s">
        <v>520</v>
      </c>
      <c r="I898" s="185" t="s">
        <v>136</v>
      </c>
      <c r="J898" s="185" t="s">
        <v>136</v>
      </c>
      <c r="K898" s="185" t="s">
        <v>1762</v>
      </c>
      <c r="L898" s="185" t="s">
        <v>2259</v>
      </c>
      <c r="M898" s="196" t="s">
        <v>3132</v>
      </c>
      <c r="N898" s="185"/>
      <c r="O898" s="238"/>
      <c r="P898" s="239" t="s">
        <v>1770</v>
      </c>
      <c r="Q898" s="239" t="s">
        <v>1764</v>
      </c>
      <c r="R898" s="240" t="s">
        <v>782</v>
      </c>
      <c r="S898" s="196" t="s">
        <v>782</v>
      </c>
      <c r="T898" s="196" t="s">
        <v>1765</v>
      </c>
    </row>
    <row r="899">
      <c r="A899" s="182" t="s">
        <v>3240</v>
      </c>
      <c r="B899" s="203" t="s">
        <v>66</v>
      </c>
      <c r="C899" s="173" t="s">
        <v>66</v>
      </c>
      <c r="D899" s="173" t="s">
        <v>3241</v>
      </c>
      <c r="E899" s="196"/>
      <c r="F899" s="185" t="s">
        <v>135</v>
      </c>
      <c r="G899" s="185" t="s">
        <v>777</v>
      </c>
      <c r="H899" s="237">
        <v>1.0</v>
      </c>
      <c r="I899" s="185" t="s">
        <v>136</v>
      </c>
      <c r="J899" s="185" t="s">
        <v>136</v>
      </c>
      <c r="K899" s="185" t="s">
        <v>1762</v>
      </c>
      <c r="L899" s="185" t="s">
        <v>2259</v>
      </c>
      <c r="M899" s="196" t="s">
        <v>749</v>
      </c>
      <c r="N899" s="185"/>
      <c r="O899" s="238"/>
      <c r="P899" s="239" t="s">
        <v>1775</v>
      </c>
      <c r="Q899" s="239" t="s">
        <v>1764</v>
      </c>
      <c r="R899" s="240" t="s">
        <v>782</v>
      </c>
      <c r="S899" s="196" t="s">
        <v>782</v>
      </c>
      <c r="T899" s="196" t="s">
        <v>1765</v>
      </c>
    </row>
    <row r="900">
      <c r="A900" s="182" t="s">
        <v>3242</v>
      </c>
      <c r="B900" s="203" t="s">
        <v>66</v>
      </c>
      <c r="C900" s="173" t="s">
        <v>66</v>
      </c>
      <c r="D900" s="173" t="s">
        <v>3243</v>
      </c>
      <c r="E900" s="196"/>
      <c r="F900" s="185" t="s">
        <v>135</v>
      </c>
      <c r="G900" s="185" t="s">
        <v>1761</v>
      </c>
      <c r="H900" s="237" t="s">
        <v>520</v>
      </c>
      <c r="I900" s="185" t="s">
        <v>136</v>
      </c>
      <c r="J900" s="185" t="s">
        <v>136</v>
      </c>
      <c r="K900" s="185" t="s">
        <v>1762</v>
      </c>
      <c r="L900" s="185" t="s">
        <v>2259</v>
      </c>
      <c r="M900" s="196" t="s">
        <v>749</v>
      </c>
      <c r="N900" s="185"/>
      <c r="O900" s="238"/>
      <c r="P900" s="239" t="s">
        <v>1775</v>
      </c>
      <c r="Q900" s="239" t="s">
        <v>1764</v>
      </c>
      <c r="R900" s="240" t="s">
        <v>782</v>
      </c>
      <c r="S900" s="196" t="s">
        <v>782</v>
      </c>
      <c r="T900" s="196" t="s">
        <v>1765</v>
      </c>
    </row>
    <row r="901">
      <c r="A901" s="182" t="s">
        <v>3244</v>
      </c>
      <c r="B901" s="203" t="s">
        <v>66</v>
      </c>
      <c r="C901" s="173" t="s">
        <v>66</v>
      </c>
      <c r="D901" s="173" t="s">
        <v>3245</v>
      </c>
      <c r="E901" s="196"/>
      <c r="F901" s="185" t="s">
        <v>135</v>
      </c>
      <c r="G901" s="185" t="s">
        <v>713</v>
      </c>
      <c r="H901" s="237">
        <v>8.0</v>
      </c>
      <c r="I901" s="185" t="s">
        <v>136</v>
      </c>
      <c r="J901" s="185" t="s">
        <v>136</v>
      </c>
      <c r="K901" s="185" t="s">
        <v>1762</v>
      </c>
      <c r="L901" s="185" t="s">
        <v>2259</v>
      </c>
      <c r="M901" s="196" t="s">
        <v>749</v>
      </c>
      <c r="N901" s="185"/>
      <c r="O901" s="238"/>
      <c r="P901" s="239" t="s">
        <v>1781</v>
      </c>
      <c r="Q901" s="239" t="s">
        <v>732</v>
      </c>
      <c r="R901" s="240" t="s">
        <v>750</v>
      </c>
      <c r="S901" s="196" t="s">
        <v>750</v>
      </c>
      <c r="T901" s="196" t="s">
        <v>1765</v>
      </c>
    </row>
    <row r="902">
      <c r="A902" s="182" t="s">
        <v>3246</v>
      </c>
      <c r="B902" s="203" t="s">
        <v>66</v>
      </c>
      <c r="C902" s="173" t="s">
        <v>66</v>
      </c>
      <c r="D902" s="173" t="s">
        <v>3247</v>
      </c>
      <c r="E902" s="196"/>
      <c r="F902" s="185" t="s">
        <v>135</v>
      </c>
      <c r="G902" s="185" t="s">
        <v>768</v>
      </c>
      <c r="H902" s="237">
        <v>0.123456</v>
      </c>
      <c r="I902" s="185" t="s">
        <v>136</v>
      </c>
      <c r="J902" s="185" t="s">
        <v>136</v>
      </c>
      <c r="K902" s="185" t="s">
        <v>1762</v>
      </c>
      <c r="L902" s="185" t="s">
        <v>2259</v>
      </c>
      <c r="M902" s="196" t="s">
        <v>749</v>
      </c>
      <c r="N902" s="185"/>
      <c r="O902" s="238"/>
      <c r="P902" s="239" t="s">
        <v>1781</v>
      </c>
      <c r="Q902" s="239" t="s">
        <v>732</v>
      </c>
      <c r="R902" s="240" t="s">
        <v>750</v>
      </c>
      <c r="S902" s="196" t="s">
        <v>750</v>
      </c>
      <c r="T902" s="196" t="s">
        <v>1765</v>
      </c>
    </row>
    <row r="903">
      <c r="A903" s="182" t="s">
        <v>3248</v>
      </c>
      <c r="B903" s="203" t="s">
        <v>66</v>
      </c>
      <c r="C903" s="173" t="s">
        <v>66</v>
      </c>
      <c r="D903" s="173" t="s">
        <v>3249</v>
      </c>
      <c r="E903" s="196"/>
      <c r="F903" s="185" t="s">
        <v>135</v>
      </c>
      <c r="G903" s="185" t="s">
        <v>768</v>
      </c>
      <c r="H903" s="237">
        <v>0.123456</v>
      </c>
      <c r="I903" s="185" t="s">
        <v>136</v>
      </c>
      <c r="J903" s="185" t="s">
        <v>136</v>
      </c>
      <c r="K903" s="185" t="s">
        <v>1762</v>
      </c>
      <c r="L903" s="185" t="s">
        <v>2259</v>
      </c>
      <c r="M903" s="196" t="s">
        <v>749</v>
      </c>
      <c r="N903" s="185"/>
      <c r="O903" s="238"/>
      <c r="P903" s="239" t="s">
        <v>1781</v>
      </c>
      <c r="Q903" s="239" t="s">
        <v>732</v>
      </c>
      <c r="R903" s="240" t="s">
        <v>750</v>
      </c>
      <c r="S903" s="196" t="s">
        <v>750</v>
      </c>
      <c r="T903" s="196" t="s">
        <v>1765</v>
      </c>
    </row>
    <row r="904">
      <c r="A904" s="182" t="s">
        <v>3250</v>
      </c>
      <c r="B904" s="203" t="s">
        <v>66</v>
      </c>
      <c r="C904" s="173" t="s">
        <v>66</v>
      </c>
      <c r="D904" s="173" t="s">
        <v>3251</v>
      </c>
      <c r="E904" s="196"/>
      <c r="F904" s="185" t="s">
        <v>135</v>
      </c>
      <c r="G904" s="185" t="s">
        <v>768</v>
      </c>
      <c r="H904" s="237">
        <v>0.123456</v>
      </c>
      <c r="I904" s="185" t="s">
        <v>136</v>
      </c>
      <c r="J904" s="185" t="s">
        <v>136</v>
      </c>
      <c r="K904" s="185" t="s">
        <v>1762</v>
      </c>
      <c r="L904" s="185" t="s">
        <v>2259</v>
      </c>
      <c r="M904" s="196" t="s">
        <v>749</v>
      </c>
      <c r="N904" s="185"/>
      <c r="O904" s="238"/>
      <c r="P904" s="239" t="s">
        <v>1781</v>
      </c>
      <c r="Q904" s="239" t="s">
        <v>732</v>
      </c>
      <c r="R904" s="240" t="s">
        <v>750</v>
      </c>
      <c r="S904" s="196" t="s">
        <v>750</v>
      </c>
      <c r="T904" s="196" t="s">
        <v>1765</v>
      </c>
    </row>
    <row r="905">
      <c r="A905" s="182" t="s">
        <v>3252</v>
      </c>
      <c r="B905" s="203" t="s">
        <v>66</v>
      </c>
      <c r="C905" s="173" t="s">
        <v>66</v>
      </c>
      <c r="D905" s="173" t="s">
        <v>3253</v>
      </c>
      <c r="E905" s="196"/>
      <c r="F905" s="185" t="s">
        <v>135</v>
      </c>
      <c r="G905" s="185" t="s">
        <v>768</v>
      </c>
      <c r="H905" s="237">
        <v>0.123456</v>
      </c>
      <c r="I905" s="185" t="s">
        <v>136</v>
      </c>
      <c r="J905" s="185" t="s">
        <v>136</v>
      </c>
      <c r="K905" s="185" t="s">
        <v>1762</v>
      </c>
      <c r="L905" s="185" t="s">
        <v>2259</v>
      </c>
      <c r="M905" s="196" t="s">
        <v>749</v>
      </c>
      <c r="N905" s="185"/>
      <c r="O905" s="238"/>
      <c r="P905" s="239" t="s">
        <v>1781</v>
      </c>
      <c r="Q905" s="239" t="s">
        <v>732</v>
      </c>
      <c r="R905" s="240" t="s">
        <v>750</v>
      </c>
      <c r="S905" s="196" t="s">
        <v>750</v>
      </c>
      <c r="T905" s="196" t="s">
        <v>1765</v>
      </c>
    </row>
    <row r="906">
      <c r="A906" s="182" t="s">
        <v>3254</v>
      </c>
      <c r="B906" s="203" t="s">
        <v>66</v>
      </c>
      <c r="C906" s="173" t="s">
        <v>66</v>
      </c>
      <c r="D906" s="173" t="s">
        <v>3255</v>
      </c>
      <c r="E906" s="196"/>
      <c r="F906" s="185" t="s">
        <v>135</v>
      </c>
      <c r="G906" s="185" t="s">
        <v>768</v>
      </c>
      <c r="H906" s="237">
        <v>0.123456</v>
      </c>
      <c r="I906" s="185" t="s">
        <v>136</v>
      </c>
      <c r="J906" s="185" t="s">
        <v>136</v>
      </c>
      <c r="K906" s="185" t="s">
        <v>1762</v>
      </c>
      <c r="L906" s="185" t="s">
        <v>2259</v>
      </c>
      <c r="M906" s="196" t="s">
        <v>749</v>
      </c>
      <c r="N906" s="185"/>
      <c r="O906" s="238"/>
      <c r="P906" s="239" t="s">
        <v>1781</v>
      </c>
      <c r="Q906" s="239" t="s">
        <v>732</v>
      </c>
      <c r="R906" s="240" t="s">
        <v>750</v>
      </c>
      <c r="S906" s="196" t="s">
        <v>750</v>
      </c>
      <c r="T906" s="196" t="s">
        <v>1765</v>
      </c>
    </row>
    <row r="907">
      <c r="A907" s="182" t="s">
        <v>3256</v>
      </c>
      <c r="B907" s="203" t="s">
        <v>66</v>
      </c>
      <c r="C907" s="173" t="s">
        <v>66</v>
      </c>
      <c r="D907" s="173" t="s">
        <v>3257</v>
      </c>
      <c r="E907" s="196"/>
      <c r="F907" s="185" t="s">
        <v>135</v>
      </c>
      <c r="G907" s="185" t="s">
        <v>768</v>
      </c>
      <c r="H907" s="237">
        <v>0.123456</v>
      </c>
      <c r="I907" s="185" t="s">
        <v>136</v>
      </c>
      <c r="J907" s="185" t="s">
        <v>136</v>
      </c>
      <c r="K907" s="185" t="s">
        <v>1762</v>
      </c>
      <c r="L907" s="185" t="s">
        <v>2259</v>
      </c>
      <c r="M907" s="196" t="s">
        <v>749</v>
      </c>
      <c r="N907" s="185"/>
      <c r="O907" s="238"/>
      <c r="P907" s="239" t="s">
        <v>1781</v>
      </c>
      <c r="Q907" s="239" t="s">
        <v>732</v>
      </c>
      <c r="R907" s="240" t="s">
        <v>750</v>
      </c>
      <c r="S907" s="196" t="s">
        <v>750</v>
      </c>
      <c r="T907" s="196" t="s">
        <v>1765</v>
      </c>
    </row>
    <row r="908">
      <c r="A908" s="182" t="s">
        <v>3258</v>
      </c>
      <c r="B908" s="203" t="s">
        <v>66</v>
      </c>
      <c r="C908" s="173" t="s">
        <v>66</v>
      </c>
      <c r="D908" s="173" t="s">
        <v>3259</v>
      </c>
      <c r="E908" s="196"/>
      <c r="F908" s="185" t="s">
        <v>135</v>
      </c>
      <c r="G908" s="185" t="s">
        <v>768</v>
      </c>
      <c r="H908" s="237">
        <v>0.123456</v>
      </c>
      <c r="I908" s="185" t="s">
        <v>136</v>
      </c>
      <c r="J908" s="185" t="s">
        <v>136</v>
      </c>
      <c r="K908" s="185" t="s">
        <v>1762</v>
      </c>
      <c r="L908" s="185" t="s">
        <v>2259</v>
      </c>
      <c r="M908" s="196" t="s">
        <v>749</v>
      </c>
      <c r="N908" s="185"/>
      <c r="O908" s="238"/>
      <c r="P908" s="239" t="s">
        <v>1781</v>
      </c>
      <c r="Q908" s="239" t="s">
        <v>732</v>
      </c>
      <c r="R908" s="240" t="s">
        <v>750</v>
      </c>
      <c r="S908" s="196" t="s">
        <v>750</v>
      </c>
      <c r="T908" s="196" t="s">
        <v>1765</v>
      </c>
    </row>
    <row r="909">
      <c r="A909" s="182" t="s">
        <v>3260</v>
      </c>
      <c r="B909" s="203" t="s">
        <v>66</v>
      </c>
      <c r="C909" s="173" t="s">
        <v>66</v>
      </c>
      <c r="D909" s="173" t="s">
        <v>3261</v>
      </c>
      <c r="E909" s="196"/>
      <c r="F909" s="185" t="s">
        <v>135</v>
      </c>
      <c r="G909" s="185" t="s">
        <v>768</v>
      </c>
      <c r="H909" s="237">
        <v>0.123456</v>
      </c>
      <c r="I909" s="185" t="s">
        <v>136</v>
      </c>
      <c r="J909" s="185" t="s">
        <v>136</v>
      </c>
      <c r="K909" s="185" t="s">
        <v>1762</v>
      </c>
      <c r="L909" s="185" t="s">
        <v>2259</v>
      </c>
      <c r="M909" s="196" t="s">
        <v>749</v>
      </c>
      <c r="N909" s="185"/>
      <c r="O909" s="238"/>
      <c r="P909" s="239" t="s">
        <v>1781</v>
      </c>
      <c r="Q909" s="239" t="s">
        <v>732</v>
      </c>
      <c r="R909" s="240" t="s">
        <v>750</v>
      </c>
      <c r="S909" s="196" t="s">
        <v>750</v>
      </c>
      <c r="T909" s="196" t="s">
        <v>1765</v>
      </c>
    </row>
    <row r="910">
      <c r="A910" s="182" t="s">
        <v>3262</v>
      </c>
      <c r="B910" s="203" t="s">
        <v>66</v>
      </c>
      <c r="C910" s="173" t="s">
        <v>66</v>
      </c>
      <c r="D910" s="173" t="s">
        <v>3263</v>
      </c>
      <c r="E910" s="196"/>
      <c r="F910" s="185" t="s">
        <v>135</v>
      </c>
      <c r="G910" s="185" t="s">
        <v>768</v>
      </c>
      <c r="H910" s="237">
        <v>0.123456</v>
      </c>
      <c r="I910" s="185" t="s">
        <v>136</v>
      </c>
      <c r="J910" s="185" t="s">
        <v>136</v>
      </c>
      <c r="K910" s="185" t="s">
        <v>1762</v>
      </c>
      <c r="L910" s="185" t="s">
        <v>2259</v>
      </c>
      <c r="M910" s="196" t="s">
        <v>749</v>
      </c>
      <c r="N910" s="185"/>
      <c r="O910" s="238"/>
      <c r="P910" s="239" t="s">
        <v>1781</v>
      </c>
      <c r="Q910" s="239" t="s">
        <v>732</v>
      </c>
      <c r="R910" s="240" t="s">
        <v>750</v>
      </c>
      <c r="S910" s="196" t="s">
        <v>750</v>
      </c>
      <c r="T910" s="196" t="s">
        <v>1765</v>
      </c>
    </row>
    <row r="911">
      <c r="A911" s="182" t="s">
        <v>3264</v>
      </c>
      <c r="B911" s="203" t="s">
        <v>66</v>
      </c>
      <c r="C911" s="173" t="s">
        <v>66</v>
      </c>
      <c r="D911" s="173" t="s">
        <v>3265</v>
      </c>
      <c r="E911" s="196"/>
      <c r="F911" s="185" t="s">
        <v>135</v>
      </c>
      <c r="G911" s="185" t="s">
        <v>768</v>
      </c>
      <c r="H911" s="237">
        <v>0.123456</v>
      </c>
      <c r="I911" s="185" t="s">
        <v>136</v>
      </c>
      <c r="J911" s="185" t="s">
        <v>136</v>
      </c>
      <c r="K911" s="185" t="s">
        <v>1762</v>
      </c>
      <c r="L911" s="185" t="s">
        <v>2259</v>
      </c>
      <c r="M911" s="196" t="s">
        <v>749</v>
      </c>
      <c r="N911" s="185"/>
      <c r="O911" s="238"/>
      <c r="P911" s="239" t="s">
        <v>1781</v>
      </c>
      <c r="Q911" s="239" t="s">
        <v>732</v>
      </c>
      <c r="R911" s="240" t="s">
        <v>750</v>
      </c>
      <c r="S911" s="196" t="s">
        <v>750</v>
      </c>
      <c r="T911" s="196" t="s">
        <v>1765</v>
      </c>
    </row>
    <row r="912">
      <c r="A912" s="182" t="s">
        <v>3266</v>
      </c>
      <c r="B912" s="203" t="s">
        <v>66</v>
      </c>
      <c r="C912" s="173" t="s">
        <v>66</v>
      </c>
      <c r="D912" s="173" t="s">
        <v>3267</v>
      </c>
      <c r="E912" s="196"/>
      <c r="F912" s="185" t="s">
        <v>135</v>
      </c>
      <c r="G912" s="185" t="s">
        <v>768</v>
      </c>
      <c r="H912" s="237">
        <v>0.123456</v>
      </c>
      <c r="I912" s="185" t="s">
        <v>136</v>
      </c>
      <c r="J912" s="185" t="s">
        <v>136</v>
      </c>
      <c r="K912" s="185" t="s">
        <v>1762</v>
      </c>
      <c r="L912" s="185" t="s">
        <v>2259</v>
      </c>
      <c r="M912" s="196" t="s">
        <v>749</v>
      </c>
      <c r="N912" s="185"/>
      <c r="O912" s="238"/>
      <c r="P912" s="239" t="s">
        <v>1781</v>
      </c>
      <c r="Q912" s="239" t="s">
        <v>732</v>
      </c>
      <c r="R912" s="240" t="s">
        <v>750</v>
      </c>
      <c r="S912" s="196" t="s">
        <v>750</v>
      </c>
      <c r="T912" s="196" t="s">
        <v>1765</v>
      </c>
    </row>
    <row r="913">
      <c r="A913" s="182" t="s">
        <v>3268</v>
      </c>
      <c r="B913" s="203" t="s">
        <v>66</v>
      </c>
      <c r="C913" s="173" t="s">
        <v>66</v>
      </c>
      <c r="D913" s="173" t="s">
        <v>3269</v>
      </c>
      <c r="E913" s="196"/>
      <c r="F913" s="185" t="s">
        <v>135</v>
      </c>
      <c r="G913" s="185" t="s">
        <v>768</v>
      </c>
      <c r="H913" s="237">
        <v>0.123456</v>
      </c>
      <c r="I913" s="185" t="s">
        <v>136</v>
      </c>
      <c r="J913" s="185" t="s">
        <v>136</v>
      </c>
      <c r="K913" s="185" t="s">
        <v>1762</v>
      </c>
      <c r="L913" s="185" t="s">
        <v>2259</v>
      </c>
      <c r="M913" s="196" t="s">
        <v>749</v>
      </c>
      <c r="N913" s="185"/>
      <c r="O913" s="238"/>
      <c r="P913" s="239" t="s">
        <v>1781</v>
      </c>
      <c r="Q913" s="239" t="s">
        <v>732</v>
      </c>
      <c r="R913" s="240" t="s">
        <v>750</v>
      </c>
      <c r="S913" s="196" t="s">
        <v>750</v>
      </c>
      <c r="T913" s="196" t="s">
        <v>1765</v>
      </c>
    </row>
    <row r="914" hidden="1">
      <c r="A914" s="182" t="s">
        <v>3270</v>
      </c>
      <c r="B914" s="203" t="s">
        <v>66</v>
      </c>
      <c r="C914" s="173" t="s">
        <v>66</v>
      </c>
      <c r="D914" s="173" t="s">
        <v>3271</v>
      </c>
      <c r="E914" s="196"/>
      <c r="F914" s="185" t="s">
        <v>135</v>
      </c>
      <c r="G914" s="185" t="s">
        <v>713</v>
      </c>
      <c r="H914" s="237">
        <v>1.0</v>
      </c>
      <c r="I914" s="185" t="s">
        <v>136</v>
      </c>
      <c r="J914" s="185" t="s">
        <v>136</v>
      </c>
      <c r="K914" s="185" t="s">
        <v>1762</v>
      </c>
      <c r="L914" s="185" t="s">
        <v>2259</v>
      </c>
      <c r="M914" s="196" t="s">
        <v>749</v>
      </c>
      <c r="N914" s="185"/>
      <c r="O914" s="238"/>
      <c r="P914" s="239" t="s">
        <v>3272</v>
      </c>
      <c r="Q914" s="239" t="s">
        <v>2009</v>
      </c>
      <c r="R914" s="240" t="s">
        <v>750</v>
      </c>
      <c r="S914" s="196" t="s">
        <v>750</v>
      </c>
      <c r="T914" s="196" t="s">
        <v>1927</v>
      </c>
    </row>
    <row r="915">
      <c r="A915" s="182" t="s">
        <v>3273</v>
      </c>
      <c r="B915" s="203" t="s">
        <v>66</v>
      </c>
      <c r="C915" s="173" t="s">
        <v>66</v>
      </c>
      <c r="D915" s="173" t="s">
        <v>3274</v>
      </c>
      <c r="E915" s="196"/>
      <c r="F915" s="185" t="s">
        <v>185</v>
      </c>
      <c r="G915" s="185" t="s">
        <v>713</v>
      </c>
      <c r="H915" s="237">
        <v>8.0</v>
      </c>
      <c r="I915" s="185" t="s">
        <v>2362</v>
      </c>
      <c r="J915" s="185" t="s">
        <v>2362</v>
      </c>
      <c r="K915" s="185" t="s">
        <v>2362</v>
      </c>
      <c r="L915" s="185" t="s">
        <v>2259</v>
      </c>
      <c r="M915" s="196" t="s">
        <v>687</v>
      </c>
      <c r="N915" s="185"/>
      <c r="O915" s="238"/>
      <c r="P915" s="239" t="s">
        <v>3275</v>
      </c>
      <c r="Q915" s="239" t="s">
        <v>1783</v>
      </c>
      <c r="R915" s="240" t="s">
        <v>702</v>
      </c>
      <c r="S915" s="196" t="s">
        <v>702</v>
      </c>
      <c r="T915" s="196" t="s">
        <v>1765</v>
      </c>
    </row>
    <row r="916">
      <c r="A916" s="182" t="s">
        <v>3276</v>
      </c>
      <c r="B916" s="203" t="s">
        <v>66</v>
      </c>
      <c r="C916" s="173" t="s">
        <v>66</v>
      </c>
      <c r="D916" s="173" t="s">
        <v>3277</v>
      </c>
      <c r="E916" s="196"/>
      <c r="F916" s="185" t="s">
        <v>185</v>
      </c>
      <c r="G916" s="185" t="s">
        <v>713</v>
      </c>
      <c r="H916" s="237">
        <v>50.0</v>
      </c>
      <c r="I916" s="185" t="s">
        <v>2362</v>
      </c>
      <c r="J916" s="185" t="s">
        <v>2362</v>
      </c>
      <c r="K916" s="185" t="s">
        <v>2362</v>
      </c>
      <c r="L916" s="185" t="s">
        <v>2259</v>
      </c>
      <c r="M916" s="196" t="s">
        <v>687</v>
      </c>
      <c r="N916" s="185"/>
      <c r="O916" s="238"/>
      <c r="P916" s="239" t="s">
        <v>3275</v>
      </c>
      <c r="Q916" s="239" t="s">
        <v>1783</v>
      </c>
      <c r="R916" s="240" t="s">
        <v>702</v>
      </c>
      <c r="S916" s="196" t="s">
        <v>702</v>
      </c>
      <c r="T916" s="196" t="s">
        <v>1765</v>
      </c>
    </row>
    <row r="917">
      <c r="A917" s="182" t="s">
        <v>3278</v>
      </c>
      <c r="B917" s="203" t="s">
        <v>66</v>
      </c>
      <c r="C917" s="173" t="s">
        <v>66</v>
      </c>
      <c r="D917" s="173" t="s">
        <v>3279</v>
      </c>
      <c r="E917" s="196"/>
      <c r="F917" s="185" t="s">
        <v>185</v>
      </c>
      <c r="G917" s="185" t="s">
        <v>713</v>
      </c>
      <c r="H917" s="237">
        <v>10.0</v>
      </c>
      <c r="I917" s="185" t="s">
        <v>2362</v>
      </c>
      <c r="J917" s="185" t="s">
        <v>2362</v>
      </c>
      <c r="K917" s="185" t="s">
        <v>2362</v>
      </c>
      <c r="L917" s="185" t="s">
        <v>2259</v>
      </c>
      <c r="M917" s="196" t="s">
        <v>687</v>
      </c>
      <c r="N917" s="185"/>
      <c r="O917" s="238"/>
      <c r="P917" s="239" t="s">
        <v>3280</v>
      </c>
      <c r="Q917" s="239" t="s">
        <v>1826</v>
      </c>
      <c r="R917" s="240" t="s">
        <v>702</v>
      </c>
      <c r="S917" s="196" t="s">
        <v>702</v>
      </c>
      <c r="T917" s="196" t="s">
        <v>1765</v>
      </c>
    </row>
    <row r="918">
      <c r="A918" s="182" t="s">
        <v>3281</v>
      </c>
      <c r="B918" s="203" t="s">
        <v>66</v>
      </c>
      <c r="C918" s="173" t="s">
        <v>66</v>
      </c>
      <c r="D918" s="173" t="s">
        <v>3282</v>
      </c>
      <c r="E918" s="196"/>
      <c r="F918" s="185" t="s">
        <v>185</v>
      </c>
      <c r="G918" s="185" t="s">
        <v>1500</v>
      </c>
      <c r="H918" s="237" t="b">
        <v>1</v>
      </c>
      <c r="I918" s="185" t="s">
        <v>1762</v>
      </c>
      <c r="J918" s="185" t="s">
        <v>1762</v>
      </c>
      <c r="K918" s="185" t="s">
        <v>1762</v>
      </c>
      <c r="L918" s="185" t="s">
        <v>2259</v>
      </c>
      <c r="M918" s="196" t="s">
        <v>687</v>
      </c>
      <c r="N918" s="185"/>
      <c r="O918" s="238"/>
      <c r="P918" s="239" t="s">
        <v>3283</v>
      </c>
      <c r="Q918" s="239" t="s">
        <v>1764</v>
      </c>
      <c r="R918" s="240" t="s">
        <v>702</v>
      </c>
      <c r="S918" s="196" t="s">
        <v>702</v>
      </c>
      <c r="T918" s="196" t="s">
        <v>1765</v>
      </c>
    </row>
    <row r="919">
      <c r="A919" s="182" t="s">
        <v>3284</v>
      </c>
      <c r="B919" s="203" t="s">
        <v>66</v>
      </c>
      <c r="C919" s="173" t="s">
        <v>66</v>
      </c>
      <c r="D919" s="173" t="s">
        <v>3285</v>
      </c>
      <c r="E919" s="196"/>
      <c r="F919" s="185" t="s">
        <v>185</v>
      </c>
      <c r="G919" s="185" t="s">
        <v>1500</v>
      </c>
      <c r="H919" s="237" t="b">
        <v>1</v>
      </c>
      <c r="I919" s="185" t="s">
        <v>1762</v>
      </c>
      <c r="J919" s="185" t="s">
        <v>1762</v>
      </c>
      <c r="K919" s="185" t="s">
        <v>1762</v>
      </c>
      <c r="L919" s="185" t="s">
        <v>2259</v>
      </c>
      <c r="M919" s="196" t="s">
        <v>687</v>
      </c>
      <c r="N919" s="185"/>
      <c r="O919" s="238"/>
      <c r="P919" s="239" t="s">
        <v>3283</v>
      </c>
      <c r="Q919" s="239" t="s">
        <v>1764</v>
      </c>
      <c r="R919" s="240" t="s">
        <v>702</v>
      </c>
      <c r="S919" s="196" t="s">
        <v>702</v>
      </c>
      <c r="T919" s="196" t="s">
        <v>1765</v>
      </c>
    </row>
    <row r="920">
      <c r="A920" s="182" t="s">
        <v>3286</v>
      </c>
      <c r="B920" s="203" t="s">
        <v>66</v>
      </c>
      <c r="C920" s="173" t="s">
        <v>66</v>
      </c>
      <c r="D920" s="173" t="s">
        <v>3287</v>
      </c>
      <c r="E920" s="196"/>
      <c r="F920" s="185" t="s">
        <v>185</v>
      </c>
      <c r="G920" s="185" t="s">
        <v>1500</v>
      </c>
      <c r="H920" s="237" t="b">
        <v>0</v>
      </c>
      <c r="I920" s="185" t="s">
        <v>1762</v>
      </c>
      <c r="J920" s="185" t="s">
        <v>1762</v>
      </c>
      <c r="K920" s="185" t="s">
        <v>1762</v>
      </c>
      <c r="L920" s="185" t="s">
        <v>2259</v>
      </c>
      <c r="M920" s="196" t="s">
        <v>687</v>
      </c>
      <c r="N920" s="185"/>
      <c r="O920" s="238"/>
      <c r="P920" s="239" t="s">
        <v>3283</v>
      </c>
      <c r="Q920" s="239" t="s">
        <v>1764</v>
      </c>
      <c r="R920" s="240" t="s">
        <v>702</v>
      </c>
      <c r="S920" s="196" t="s">
        <v>702</v>
      </c>
      <c r="T920" s="196" t="s">
        <v>1765</v>
      </c>
    </row>
    <row r="921">
      <c r="A921" s="182" t="s">
        <v>3288</v>
      </c>
      <c r="B921" s="203" t="s">
        <v>66</v>
      </c>
      <c r="C921" s="173" t="s">
        <v>66</v>
      </c>
      <c r="D921" s="173" t="s">
        <v>3289</v>
      </c>
      <c r="E921" s="196"/>
      <c r="F921" s="185" t="s">
        <v>185</v>
      </c>
      <c r="G921" s="185" t="s">
        <v>713</v>
      </c>
      <c r="H921" s="237">
        <v>1.0</v>
      </c>
      <c r="I921" s="185" t="s">
        <v>1762</v>
      </c>
      <c r="J921" s="185" t="s">
        <v>1762</v>
      </c>
      <c r="K921" s="185" t="s">
        <v>1762</v>
      </c>
      <c r="L921" s="185" t="s">
        <v>2259</v>
      </c>
      <c r="M921" s="196" t="s">
        <v>687</v>
      </c>
      <c r="N921" s="185"/>
      <c r="O921" s="238"/>
      <c r="P921" s="239" t="s">
        <v>1763</v>
      </c>
      <c r="Q921" s="239" t="s">
        <v>1764</v>
      </c>
      <c r="R921" s="240" t="s">
        <v>782</v>
      </c>
      <c r="S921" s="196" t="s">
        <v>782</v>
      </c>
      <c r="T921" s="196" t="s">
        <v>1765</v>
      </c>
    </row>
    <row r="922">
      <c r="A922" s="182" t="s">
        <v>3290</v>
      </c>
      <c r="B922" s="203" t="s">
        <v>66</v>
      </c>
      <c r="C922" s="173" t="s">
        <v>66</v>
      </c>
      <c r="D922" s="173" t="s">
        <v>3291</v>
      </c>
      <c r="E922" s="196"/>
      <c r="F922" s="185" t="s">
        <v>185</v>
      </c>
      <c r="G922" s="185" t="s">
        <v>713</v>
      </c>
      <c r="H922" s="237">
        <v>2.0</v>
      </c>
      <c r="I922" s="185" t="s">
        <v>1762</v>
      </c>
      <c r="J922" s="185" t="s">
        <v>1762</v>
      </c>
      <c r="K922" s="185" t="s">
        <v>1762</v>
      </c>
      <c r="L922" s="185" t="s">
        <v>2259</v>
      </c>
      <c r="M922" s="196" t="s">
        <v>687</v>
      </c>
      <c r="N922" s="185"/>
      <c r="O922" s="238"/>
      <c r="P922" s="239" t="s">
        <v>1763</v>
      </c>
      <c r="Q922" s="239" t="s">
        <v>1764</v>
      </c>
      <c r="R922" s="240" t="s">
        <v>782</v>
      </c>
      <c r="S922" s="196" t="s">
        <v>782</v>
      </c>
      <c r="T922" s="196" t="s">
        <v>1765</v>
      </c>
    </row>
    <row r="923">
      <c r="A923" s="182" t="s">
        <v>3292</v>
      </c>
      <c r="B923" s="203" t="s">
        <v>66</v>
      </c>
      <c r="C923" s="173" t="s">
        <v>66</v>
      </c>
      <c r="D923" s="173" t="s">
        <v>3293</v>
      </c>
      <c r="E923" s="196"/>
      <c r="F923" s="185" t="s">
        <v>185</v>
      </c>
      <c r="G923" s="185" t="s">
        <v>713</v>
      </c>
      <c r="H923" s="237">
        <v>3.0</v>
      </c>
      <c r="I923" s="185" t="s">
        <v>1762</v>
      </c>
      <c r="J923" s="185" t="s">
        <v>1762</v>
      </c>
      <c r="K923" s="185" t="s">
        <v>1762</v>
      </c>
      <c r="L923" s="185" t="s">
        <v>2259</v>
      </c>
      <c r="M923" s="196" t="s">
        <v>687</v>
      </c>
      <c r="N923" s="185"/>
      <c r="O923" s="238"/>
      <c r="P923" s="239" t="s">
        <v>1763</v>
      </c>
      <c r="Q923" s="239" t="s">
        <v>1764</v>
      </c>
      <c r="R923" s="240" t="s">
        <v>782</v>
      </c>
      <c r="S923" s="196" t="s">
        <v>782</v>
      </c>
      <c r="T923" s="196" t="s">
        <v>1765</v>
      </c>
    </row>
    <row r="924">
      <c r="A924" s="182" t="s">
        <v>3294</v>
      </c>
      <c r="B924" s="203" t="s">
        <v>66</v>
      </c>
      <c r="C924" s="173" t="s">
        <v>66</v>
      </c>
      <c r="D924" s="173" t="s">
        <v>3295</v>
      </c>
      <c r="E924" s="196"/>
      <c r="F924" s="185" t="s">
        <v>185</v>
      </c>
      <c r="G924" s="185" t="s">
        <v>768</v>
      </c>
      <c r="H924" s="237">
        <v>500.9</v>
      </c>
      <c r="I924" s="185" t="s">
        <v>1762</v>
      </c>
      <c r="J924" s="185" t="s">
        <v>1762</v>
      </c>
      <c r="K924" s="185" t="s">
        <v>1762</v>
      </c>
      <c r="L924" s="185" t="s">
        <v>2259</v>
      </c>
      <c r="M924" s="196" t="s">
        <v>687</v>
      </c>
      <c r="N924" s="185"/>
      <c r="O924" s="238"/>
      <c r="P924" s="239" t="s">
        <v>1763</v>
      </c>
      <c r="Q924" s="239" t="s">
        <v>1764</v>
      </c>
      <c r="R924" s="240" t="s">
        <v>1518</v>
      </c>
      <c r="S924" s="196" t="s">
        <v>1518</v>
      </c>
      <c r="T924" s="196" t="s">
        <v>1765</v>
      </c>
    </row>
    <row r="925">
      <c r="A925" s="182" t="s">
        <v>3296</v>
      </c>
      <c r="B925" s="203" t="s">
        <v>66</v>
      </c>
      <c r="C925" s="173" t="s">
        <v>66</v>
      </c>
      <c r="D925" s="173" t="s">
        <v>3297</v>
      </c>
      <c r="E925" s="196"/>
      <c r="F925" s="185" t="s">
        <v>185</v>
      </c>
      <c r="G925" s="185" t="s">
        <v>713</v>
      </c>
      <c r="H925" s="237">
        <v>9.0</v>
      </c>
      <c r="I925" s="185" t="s">
        <v>835</v>
      </c>
      <c r="J925" s="185" t="s">
        <v>1823</v>
      </c>
      <c r="K925" s="185" t="s">
        <v>1823</v>
      </c>
      <c r="L925" s="185" t="s">
        <v>2259</v>
      </c>
      <c r="M925" s="196" t="s">
        <v>749</v>
      </c>
      <c r="N925" s="185"/>
      <c r="O925" s="238"/>
      <c r="P925" s="239" t="s">
        <v>913</v>
      </c>
      <c r="Q925" s="239" t="s">
        <v>732</v>
      </c>
      <c r="R925" s="240" t="s">
        <v>750</v>
      </c>
      <c r="S925" s="196" t="s">
        <v>750</v>
      </c>
      <c r="T925" s="196" t="s">
        <v>1765</v>
      </c>
    </row>
    <row r="926">
      <c r="A926" s="182" t="s">
        <v>3298</v>
      </c>
      <c r="B926" s="203" t="s">
        <v>66</v>
      </c>
      <c r="C926" s="173" t="s">
        <v>66</v>
      </c>
      <c r="D926" s="173" t="s">
        <v>3299</v>
      </c>
      <c r="E926" s="196"/>
      <c r="F926" s="185" t="s">
        <v>185</v>
      </c>
      <c r="G926" s="185" t="s">
        <v>768</v>
      </c>
      <c r="H926" s="237">
        <v>100.0</v>
      </c>
      <c r="I926" s="185" t="s">
        <v>835</v>
      </c>
      <c r="J926" s="185" t="s">
        <v>1823</v>
      </c>
      <c r="K926" s="185" t="s">
        <v>1823</v>
      </c>
      <c r="L926" s="185" t="s">
        <v>2259</v>
      </c>
      <c r="M926" s="196" t="s">
        <v>749</v>
      </c>
      <c r="N926" s="185"/>
      <c r="O926" s="238"/>
      <c r="P926" s="239" t="s">
        <v>913</v>
      </c>
      <c r="Q926" s="239" t="s">
        <v>732</v>
      </c>
      <c r="R926" s="240" t="s">
        <v>750</v>
      </c>
      <c r="S926" s="196" t="s">
        <v>750</v>
      </c>
      <c r="T926" s="196" t="s">
        <v>1765</v>
      </c>
    </row>
    <row r="927">
      <c r="A927" s="182" t="s">
        <v>3300</v>
      </c>
      <c r="B927" s="203" t="s">
        <v>66</v>
      </c>
      <c r="C927" s="173" t="s">
        <v>66</v>
      </c>
      <c r="D927" s="173" t="s">
        <v>3301</v>
      </c>
      <c r="E927" s="196"/>
      <c r="F927" s="185" t="s">
        <v>185</v>
      </c>
      <c r="G927" s="185" t="s">
        <v>768</v>
      </c>
      <c r="H927" s="237">
        <v>3.58</v>
      </c>
      <c r="I927" s="185" t="s">
        <v>723</v>
      </c>
      <c r="J927" s="185" t="s">
        <v>1823</v>
      </c>
      <c r="K927" s="185" t="s">
        <v>723</v>
      </c>
      <c r="L927" s="185" t="s">
        <v>2259</v>
      </c>
      <c r="M927" s="196" t="s">
        <v>687</v>
      </c>
      <c r="N927" s="185"/>
      <c r="O927" s="238"/>
      <c r="P927" s="239" t="s">
        <v>3302</v>
      </c>
      <c r="Q927" s="239" t="s">
        <v>1764</v>
      </c>
      <c r="R927" s="240" t="s">
        <v>724</v>
      </c>
      <c r="S927" s="196" t="s">
        <v>724</v>
      </c>
      <c r="T927" s="196" t="s">
        <v>1765</v>
      </c>
    </row>
    <row r="928">
      <c r="A928" s="182" t="s">
        <v>3303</v>
      </c>
      <c r="B928" s="203" t="s">
        <v>66</v>
      </c>
      <c r="C928" s="173" t="s">
        <v>66</v>
      </c>
      <c r="D928" s="173" t="s">
        <v>3304</v>
      </c>
      <c r="E928" s="196"/>
      <c r="F928" s="185" t="s">
        <v>185</v>
      </c>
      <c r="G928" s="185" t="s">
        <v>768</v>
      </c>
      <c r="H928" s="237">
        <v>1010.27</v>
      </c>
      <c r="I928" s="185" t="s">
        <v>723</v>
      </c>
      <c r="J928" s="185" t="s">
        <v>1823</v>
      </c>
      <c r="K928" s="185" t="s">
        <v>723</v>
      </c>
      <c r="L928" s="185" t="s">
        <v>2259</v>
      </c>
      <c r="M928" s="196" t="s">
        <v>687</v>
      </c>
      <c r="N928" s="185"/>
      <c r="O928" s="238"/>
      <c r="P928" s="239" t="s">
        <v>3302</v>
      </c>
      <c r="Q928" s="239" t="s">
        <v>1764</v>
      </c>
      <c r="R928" s="240" t="s">
        <v>724</v>
      </c>
      <c r="S928" s="196" t="s">
        <v>724</v>
      </c>
      <c r="T928" s="196" t="s">
        <v>1765</v>
      </c>
    </row>
    <row r="929">
      <c r="A929" s="182" t="s">
        <v>3305</v>
      </c>
      <c r="B929" s="203" t="s">
        <v>66</v>
      </c>
      <c r="C929" s="173" t="s">
        <v>66</v>
      </c>
      <c r="D929" s="173" t="s">
        <v>3306</v>
      </c>
      <c r="E929" s="196"/>
      <c r="F929" s="185" t="s">
        <v>185</v>
      </c>
      <c r="G929" s="185" t="s">
        <v>1761</v>
      </c>
      <c r="H929" s="237" t="s">
        <v>3307</v>
      </c>
      <c r="I929" s="185" t="s">
        <v>835</v>
      </c>
      <c r="J929" s="185" t="s">
        <v>1823</v>
      </c>
      <c r="K929" s="185" t="s">
        <v>1823</v>
      </c>
      <c r="L929" s="185" t="s">
        <v>2259</v>
      </c>
      <c r="M929" s="196" t="s">
        <v>749</v>
      </c>
      <c r="N929" s="185"/>
      <c r="O929" s="238"/>
      <c r="P929" s="239" t="s">
        <v>1779</v>
      </c>
      <c r="Q929" s="239" t="s">
        <v>1826</v>
      </c>
      <c r="R929" s="240" t="s">
        <v>691</v>
      </c>
      <c r="S929" s="196" t="s">
        <v>691</v>
      </c>
      <c r="T929" s="196" t="s">
        <v>1765</v>
      </c>
    </row>
    <row r="930">
      <c r="A930" s="182" t="s">
        <v>3308</v>
      </c>
      <c r="B930" s="203" t="s">
        <v>66</v>
      </c>
      <c r="C930" s="173" t="s">
        <v>66</v>
      </c>
      <c r="D930" s="173" t="s">
        <v>3309</v>
      </c>
      <c r="E930" s="196"/>
      <c r="F930" s="185" t="s">
        <v>185</v>
      </c>
      <c r="G930" s="185" t="s">
        <v>768</v>
      </c>
      <c r="H930" s="237">
        <v>100.5</v>
      </c>
      <c r="I930" s="185" t="s">
        <v>723</v>
      </c>
      <c r="J930" s="185" t="s">
        <v>1823</v>
      </c>
      <c r="K930" s="185" t="s">
        <v>723</v>
      </c>
      <c r="L930" s="185" t="s">
        <v>2259</v>
      </c>
      <c r="M930" s="196" t="s">
        <v>687</v>
      </c>
      <c r="N930" s="185"/>
      <c r="O930" s="238"/>
      <c r="P930" s="239" t="s">
        <v>701</v>
      </c>
      <c r="Q930" s="239" t="s">
        <v>1787</v>
      </c>
      <c r="R930" s="240" t="s">
        <v>724</v>
      </c>
      <c r="S930" s="196" t="s">
        <v>724</v>
      </c>
      <c r="T930" s="196" t="s">
        <v>1765</v>
      </c>
    </row>
    <row r="931">
      <c r="A931" s="182" t="s">
        <v>3310</v>
      </c>
      <c r="B931" s="203" t="s">
        <v>66</v>
      </c>
      <c r="C931" s="173" t="s">
        <v>66</v>
      </c>
      <c r="D931" s="173" t="s">
        <v>3311</v>
      </c>
      <c r="E931" s="196"/>
      <c r="F931" s="185" t="s">
        <v>185</v>
      </c>
      <c r="G931" s="185" t="s">
        <v>713</v>
      </c>
      <c r="H931" s="237">
        <v>10.0</v>
      </c>
      <c r="I931" s="185" t="s">
        <v>2362</v>
      </c>
      <c r="J931" s="185" t="s">
        <v>2362</v>
      </c>
      <c r="K931" s="185" t="s">
        <v>2362</v>
      </c>
      <c r="L931" s="185" t="s">
        <v>2259</v>
      </c>
      <c r="M931" s="196" t="s">
        <v>687</v>
      </c>
      <c r="N931" s="185"/>
      <c r="O931" s="238"/>
      <c r="P931" s="239" t="s">
        <v>2314</v>
      </c>
      <c r="Q931" s="239" t="s">
        <v>1764</v>
      </c>
      <c r="R931" s="240" t="s">
        <v>702</v>
      </c>
      <c r="S931" s="196" t="s">
        <v>702</v>
      </c>
      <c r="T931" s="196" t="s">
        <v>1765</v>
      </c>
    </row>
    <row r="932">
      <c r="A932" s="182" t="s">
        <v>3312</v>
      </c>
      <c r="B932" s="203" t="s">
        <v>66</v>
      </c>
      <c r="C932" s="173" t="s">
        <v>66</v>
      </c>
      <c r="D932" s="173" t="s">
        <v>3313</v>
      </c>
      <c r="E932" s="196"/>
      <c r="F932" s="185" t="s">
        <v>185</v>
      </c>
      <c r="G932" s="185" t="s">
        <v>713</v>
      </c>
      <c r="H932" s="237">
        <v>20.0</v>
      </c>
      <c r="I932" s="185" t="s">
        <v>2362</v>
      </c>
      <c r="J932" s="185" t="s">
        <v>2362</v>
      </c>
      <c r="K932" s="185" t="s">
        <v>2362</v>
      </c>
      <c r="L932" s="185" t="s">
        <v>2259</v>
      </c>
      <c r="M932" s="196" t="s">
        <v>687</v>
      </c>
      <c r="N932" s="185"/>
      <c r="O932" s="238"/>
      <c r="P932" s="239" t="s">
        <v>2314</v>
      </c>
      <c r="Q932" s="239" t="s">
        <v>1764</v>
      </c>
      <c r="R932" s="240" t="s">
        <v>702</v>
      </c>
      <c r="S932" s="196" t="s">
        <v>702</v>
      </c>
      <c r="T932" s="196" t="s">
        <v>1765</v>
      </c>
    </row>
    <row r="933">
      <c r="A933" s="182" t="s">
        <v>3314</v>
      </c>
      <c r="B933" s="203" t="s">
        <v>66</v>
      </c>
      <c r="C933" s="173" t="s">
        <v>66</v>
      </c>
      <c r="D933" s="173" t="s">
        <v>3274</v>
      </c>
      <c r="E933" s="196"/>
      <c r="F933" s="185" t="s">
        <v>185</v>
      </c>
      <c r="G933" s="185" t="s">
        <v>713</v>
      </c>
      <c r="H933" s="237">
        <v>10.0</v>
      </c>
      <c r="I933" s="185" t="s">
        <v>2362</v>
      </c>
      <c r="J933" s="185" t="s">
        <v>2362</v>
      </c>
      <c r="K933" s="185" t="s">
        <v>2362</v>
      </c>
      <c r="L933" s="185" t="s">
        <v>2259</v>
      </c>
      <c r="M933" s="196" t="s">
        <v>687</v>
      </c>
      <c r="N933" s="185"/>
      <c r="O933" s="238"/>
      <c r="P933" s="239" t="s">
        <v>1782</v>
      </c>
      <c r="Q933" s="239" t="s">
        <v>1783</v>
      </c>
      <c r="R933" s="240" t="s">
        <v>702</v>
      </c>
      <c r="S933" s="196" t="s">
        <v>702</v>
      </c>
      <c r="T933" s="196" t="s">
        <v>1765</v>
      </c>
    </row>
    <row r="934">
      <c r="A934" s="182" t="s">
        <v>363</v>
      </c>
      <c r="B934" s="203" t="s">
        <v>66</v>
      </c>
      <c r="C934" s="173" t="s">
        <v>66</v>
      </c>
      <c r="D934" s="173" t="s">
        <v>3315</v>
      </c>
      <c r="E934" s="196"/>
      <c r="F934" s="185" t="s">
        <v>185</v>
      </c>
      <c r="G934" s="185" t="s">
        <v>1500</v>
      </c>
      <c r="H934" s="237" t="b">
        <v>1</v>
      </c>
      <c r="I934" s="185" t="s">
        <v>1762</v>
      </c>
      <c r="J934" s="185" t="s">
        <v>1762</v>
      </c>
      <c r="K934" s="185" t="s">
        <v>1762</v>
      </c>
      <c r="L934" s="185" t="s">
        <v>2259</v>
      </c>
      <c r="M934" s="196" t="s">
        <v>687</v>
      </c>
      <c r="N934" s="185"/>
      <c r="O934" s="238"/>
      <c r="P934" s="239" t="s">
        <v>1763</v>
      </c>
      <c r="Q934" s="239" t="s">
        <v>1764</v>
      </c>
      <c r="R934" s="240" t="s">
        <v>702</v>
      </c>
      <c r="S934" s="196" t="s">
        <v>702</v>
      </c>
      <c r="T934" s="196" t="s">
        <v>1765</v>
      </c>
    </row>
    <row r="935">
      <c r="A935" s="182" t="s">
        <v>3316</v>
      </c>
      <c r="B935" s="203" t="s">
        <v>66</v>
      </c>
      <c r="C935" s="173" t="s">
        <v>66</v>
      </c>
      <c r="D935" s="173" t="s">
        <v>3317</v>
      </c>
      <c r="E935" s="196"/>
      <c r="F935" s="185" t="s">
        <v>185</v>
      </c>
      <c r="G935" s="185" t="s">
        <v>768</v>
      </c>
      <c r="H935" s="237">
        <v>200.0</v>
      </c>
      <c r="I935" s="185" t="s">
        <v>1051</v>
      </c>
      <c r="J935" s="185" t="s">
        <v>1052</v>
      </c>
      <c r="K935" s="185" t="s">
        <v>1052</v>
      </c>
      <c r="L935" s="185" t="s">
        <v>2259</v>
      </c>
      <c r="M935" s="196" t="s">
        <v>687</v>
      </c>
      <c r="N935" s="185"/>
      <c r="O935" s="238"/>
      <c r="P935" s="239" t="s">
        <v>1920</v>
      </c>
      <c r="Q935" s="239" t="s">
        <v>1905</v>
      </c>
      <c r="R935" s="240" t="s">
        <v>702</v>
      </c>
      <c r="S935" s="196" t="s">
        <v>702</v>
      </c>
      <c r="T935" s="196" t="s">
        <v>1765</v>
      </c>
    </row>
    <row r="936">
      <c r="A936" s="182" t="s">
        <v>3318</v>
      </c>
      <c r="B936" s="203" t="s">
        <v>66</v>
      </c>
      <c r="C936" s="173" t="s">
        <v>66</v>
      </c>
      <c r="D936" s="173" t="s">
        <v>3319</v>
      </c>
      <c r="E936" s="196"/>
      <c r="F936" s="185" t="s">
        <v>83</v>
      </c>
      <c r="G936" s="185" t="s">
        <v>777</v>
      </c>
      <c r="H936" s="237">
        <v>10.0</v>
      </c>
      <c r="I936" s="185" t="s">
        <v>3320</v>
      </c>
      <c r="J936" s="185" t="s">
        <v>3320</v>
      </c>
      <c r="K936" s="185" t="s">
        <v>3320</v>
      </c>
      <c r="L936" s="185" t="s">
        <v>2259</v>
      </c>
      <c r="M936" s="196" t="s">
        <v>687</v>
      </c>
      <c r="N936" s="185"/>
      <c r="O936" s="238"/>
      <c r="P936" s="239" t="s">
        <v>1920</v>
      </c>
      <c r="Q936" s="239" t="s">
        <v>3321</v>
      </c>
      <c r="R936" s="240" t="s">
        <v>744</v>
      </c>
      <c r="S936" s="196" t="s">
        <v>744</v>
      </c>
      <c r="T936" s="196" t="s">
        <v>1765</v>
      </c>
    </row>
    <row r="937">
      <c r="A937" s="182" t="s">
        <v>3322</v>
      </c>
      <c r="B937" s="203" t="s">
        <v>66</v>
      </c>
      <c r="C937" s="173" t="s">
        <v>66</v>
      </c>
      <c r="D937" s="173" t="s">
        <v>3323</v>
      </c>
      <c r="E937" s="196"/>
      <c r="F937" s="185" t="s">
        <v>185</v>
      </c>
      <c r="G937" s="185" t="s">
        <v>1858</v>
      </c>
      <c r="H937" s="237">
        <v>1024.0</v>
      </c>
      <c r="I937" s="185" t="s">
        <v>723</v>
      </c>
      <c r="J937" s="185" t="s">
        <v>1823</v>
      </c>
      <c r="K937" s="185" t="s">
        <v>723</v>
      </c>
      <c r="L937" s="185" t="s">
        <v>2259</v>
      </c>
      <c r="M937" s="196" t="s">
        <v>687</v>
      </c>
      <c r="N937" s="185"/>
      <c r="O937" s="238"/>
      <c r="P937" s="239" t="s">
        <v>1786</v>
      </c>
      <c r="Q937" s="239" t="s">
        <v>1787</v>
      </c>
      <c r="R937" s="240" t="s">
        <v>702</v>
      </c>
      <c r="S937" s="196" t="s">
        <v>702</v>
      </c>
      <c r="T937" s="196" t="s">
        <v>1765</v>
      </c>
    </row>
    <row r="938">
      <c r="A938" s="182" t="s">
        <v>3324</v>
      </c>
      <c r="B938" s="203" t="s">
        <v>66</v>
      </c>
      <c r="C938" s="173" t="s">
        <v>66</v>
      </c>
      <c r="D938" s="173" t="s">
        <v>3325</v>
      </c>
      <c r="E938" s="196"/>
      <c r="F938" s="185" t="s">
        <v>185</v>
      </c>
      <c r="G938" s="185" t="s">
        <v>1500</v>
      </c>
      <c r="H938" s="237" t="b">
        <v>1</v>
      </c>
      <c r="I938" s="185" t="s">
        <v>723</v>
      </c>
      <c r="J938" s="185" t="s">
        <v>1823</v>
      </c>
      <c r="K938" s="185" t="s">
        <v>723</v>
      </c>
      <c r="L938" s="185" t="s">
        <v>2259</v>
      </c>
      <c r="M938" s="196" t="s">
        <v>749</v>
      </c>
      <c r="N938" s="185"/>
      <c r="O938" s="238"/>
      <c r="P938" s="239" t="s">
        <v>1779</v>
      </c>
      <c r="Q938" s="239" t="s">
        <v>1764</v>
      </c>
      <c r="R938" s="240" t="s">
        <v>782</v>
      </c>
      <c r="S938" s="196" t="s">
        <v>782</v>
      </c>
      <c r="T938" s="196" t="s">
        <v>1765</v>
      </c>
    </row>
    <row r="939">
      <c r="A939" s="182" t="s">
        <v>3326</v>
      </c>
      <c r="B939" s="203" t="s">
        <v>66</v>
      </c>
      <c r="C939" s="173" t="s">
        <v>66</v>
      </c>
      <c r="D939" s="173" t="s">
        <v>3327</v>
      </c>
      <c r="E939" s="196"/>
      <c r="F939" s="185" t="s">
        <v>185</v>
      </c>
      <c r="G939" s="185" t="s">
        <v>768</v>
      </c>
      <c r="H939" s="237">
        <v>1299.99</v>
      </c>
      <c r="I939" s="185" t="s">
        <v>136</v>
      </c>
      <c r="J939" s="185" t="s">
        <v>1823</v>
      </c>
      <c r="K939" s="185" t="s">
        <v>723</v>
      </c>
      <c r="L939" s="185" t="s">
        <v>2259</v>
      </c>
      <c r="M939" s="196" t="s">
        <v>749</v>
      </c>
      <c r="N939" s="185"/>
      <c r="O939" s="238"/>
      <c r="P939" s="239" t="s">
        <v>701</v>
      </c>
      <c r="Q939" s="239" t="s">
        <v>732</v>
      </c>
      <c r="R939" s="240" t="s">
        <v>750</v>
      </c>
      <c r="S939" s="196" t="s">
        <v>750</v>
      </c>
      <c r="T939" s="196" t="s">
        <v>1765</v>
      </c>
    </row>
    <row r="940">
      <c r="A940" s="182" t="s">
        <v>3328</v>
      </c>
      <c r="B940" s="203" t="s">
        <v>66</v>
      </c>
      <c r="C940" s="173" t="s">
        <v>66</v>
      </c>
      <c r="D940" s="173" t="s">
        <v>3329</v>
      </c>
      <c r="E940" s="196"/>
      <c r="F940" s="185" t="s">
        <v>185</v>
      </c>
      <c r="G940" s="185" t="s">
        <v>1761</v>
      </c>
      <c r="H940" s="237" t="s">
        <v>936</v>
      </c>
      <c r="I940" s="185" t="s">
        <v>723</v>
      </c>
      <c r="J940" s="185" t="s">
        <v>1823</v>
      </c>
      <c r="K940" s="185" t="s">
        <v>723</v>
      </c>
      <c r="L940" s="185" t="s">
        <v>2259</v>
      </c>
      <c r="M940" s="196" t="s">
        <v>749</v>
      </c>
      <c r="N940" s="185"/>
      <c r="O940" s="238"/>
      <c r="P940" s="239" t="s">
        <v>1763</v>
      </c>
      <c r="Q940" s="239" t="s">
        <v>732</v>
      </c>
      <c r="R940" s="240" t="s">
        <v>724</v>
      </c>
      <c r="S940" s="196" t="s">
        <v>724</v>
      </c>
      <c r="T940" s="196" t="s">
        <v>1765</v>
      </c>
    </row>
    <row r="941">
      <c r="A941" s="182" t="s">
        <v>3330</v>
      </c>
      <c r="B941" s="203" t="s">
        <v>66</v>
      </c>
      <c r="C941" s="173" t="s">
        <v>66</v>
      </c>
      <c r="D941" s="173" t="s">
        <v>3331</v>
      </c>
      <c r="E941" s="196"/>
      <c r="F941" s="185" t="s">
        <v>185</v>
      </c>
      <c r="G941" s="185" t="s">
        <v>768</v>
      </c>
      <c r="H941" s="237">
        <v>100.8</v>
      </c>
      <c r="I941" s="185" t="s">
        <v>723</v>
      </c>
      <c r="J941" s="185" t="s">
        <v>1823</v>
      </c>
      <c r="K941" s="185" t="s">
        <v>723</v>
      </c>
      <c r="L941" s="185" t="s">
        <v>2259</v>
      </c>
      <c r="M941" s="196" t="s">
        <v>687</v>
      </c>
      <c r="N941" s="185"/>
      <c r="O941" s="238"/>
      <c r="P941" s="239" t="s">
        <v>1763</v>
      </c>
      <c r="Q941" s="239" t="s">
        <v>1764</v>
      </c>
      <c r="R941" s="240" t="s">
        <v>745</v>
      </c>
      <c r="S941" s="196" t="s">
        <v>745</v>
      </c>
      <c r="T941" s="196" t="s">
        <v>1765</v>
      </c>
    </row>
    <row r="942">
      <c r="A942" s="182" t="s">
        <v>3332</v>
      </c>
      <c r="B942" s="203" t="s">
        <v>66</v>
      </c>
      <c r="C942" s="173" t="s">
        <v>66</v>
      </c>
      <c r="D942" s="173" t="s">
        <v>3333</v>
      </c>
      <c r="E942" s="196"/>
      <c r="F942" s="185" t="s">
        <v>185</v>
      </c>
      <c r="G942" s="185" t="s">
        <v>1761</v>
      </c>
      <c r="H942" s="237" t="s">
        <v>3334</v>
      </c>
      <c r="I942" s="185" t="s">
        <v>835</v>
      </c>
      <c r="J942" s="185" t="s">
        <v>1823</v>
      </c>
      <c r="K942" s="185" t="s">
        <v>1823</v>
      </c>
      <c r="L942" s="185" t="s">
        <v>2259</v>
      </c>
      <c r="M942" s="196" t="s">
        <v>687</v>
      </c>
      <c r="N942" s="185"/>
      <c r="O942" s="238"/>
      <c r="P942" s="239" t="s">
        <v>3172</v>
      </c>
      <c r="Q942" s="239" t="s">
        <v>3335</v>
      </c>
      <c r="R942" s="240" t="s">
        <v>750</v>
      </c>
      <c r="S942" s="196" t="s">
        <v>750</v>
      </c>
      <c r="T942" s="196" t="s">
        <v>1765</v>
      </c>
    </row>
    <row r="943">
      <c r="A943" s="182" t="s">
        <v>3336</v>
      </c>
      <c r="B943" s="203" t="s">
        <v>66</v>
      </c>
      <c r="C943" s="173" t="s">
        <v>66</v>
      </c>
      <c r="D943" s="173" t="s">
        <v>3337</v>
      </c>
      <c r="E943" s="196"/>
      <c r="F943" s="185" t="s">
        <v>185</v>
      </c>
      <c r="G943" s="185" t="s">
        <v>1761</v>
      </c>
      <c r="H943" s="237" t="s">
        <v>3338</v>
      </c>
      <c r="I943" s="185" t="s">
        <v>835</v>
      </c>
      <c r="J943" s="185" t="s">
        <v>1823</v>
      </c>
      <c r="K943" s="185" t="s">
        <v>1823</v>
      </c>
      <c r="L943" s="185" t="s">
        <v>2259</v>
      </c>
      <c r="M943" s="196" t="s">
        <v>687</v>
      </c>
      <c r="N943" s="185"/>
      <c r="O943" s="238"/>
      <c r="P943" s="239" t="s">
        <v>3172</v>
      </c>
      <c r="Q943" s="239" t="s">
        <v>1764</v>
      </c>
      <c r="R943" s="240" t="s">
        <v>750</v>
      </c>
      <c r="S943" s="196" t="s">
        <v>750</v>
      </c>
      <c r="T943" s="196" t="s">
        <v>1765</v>
      </c>
    </row>
    <row r="944">
      <c r="A944" s="182" t="s">
        <v>3339</v>
      </c>
      <c r="B944" s="203" t="s">
        <v>66</v>
      </c>
      <c r="C944" s="173" t="s">
        <v>66</v>
      </c>
      <c r="D944" s="173" t="s">
        <v>3340</v>
      </c>
      <c r="E944" s="196"/>
      <c r="F944" s="185" t="s">
        <v>185</v>
      </c>
      <c r="G944" s="185" t="s">
        <v>777</v>
      </c>
      <c r="H944" s="237">
        <v>0.151689523</v>
      </c>
      <c r="I944" s="185" t="s">
        <v>136</v>
      </c>
      <c r="J944" s="185" t="s">
        <v>136</v>
      </c>
      <c r="K944" s="185" t="s">
        <v>1762</v>
      </c>
      <c r="L944" s="185" t="s">
        <v>2259</v>
      </c>
      <c r="M944" s="196" t="s">
        <v>749</v>
      </c>
      <c r="N944" s="185"/>
      <c r="O944" s="238"/>
      <c r="P944" s="239" t="s">
        <v>1770</v>
      </c>
      <c r="Q944" s="239" t="s">
        <v>1764</v>
      </c>
      <c r="R944" s="240" t="s">
        <v>782</v>
      </c>
      <c r="S944" s="196" t="s">
        <v>782</v>
      </c>
      <c r="T944" s="196" t="s">
        <v>1765</v>
      </c>
    </row>
    <row r="945">
      <c r="A945" s="182" t="s">
        <v>3341</v>
      </c>
      <c r="B945" s="203" t="s">
        <v>66</v>
      </c>
      <c r="C945" s="173" t="s">
        <v>66</v>
      </c>
      <c r="D945" s="173" t="s">
        <v>3342</v>
      </c>
      <c r="E945" s="196"/>
      <c r="F945" s="185" t="s">
        <v>185</v>
      </c>
      <c r="G945" s="185" t="s">
        <v>777</v>
      </c>
      <c r="H945" s="237">
        <v>0.156082001</v>
      </c>
      <c r="I945" s="185" t="s">
        <v>136</v>
      </c>
      <c r="J945" s="185" t="s">
        <v>136</v>
      </c>
      <c r="K945" s="185" t="s">
        <v>1762</v>
      </c>
      <c r="L945" s="185" t="s">
        <v>2259</v>
      </c>
      <c r="M945" s="196" t="s">
        <v>749</v>
      </c>
      <c r="N945" s="185"/>
      <c r="O945" s="238"/>
      <c r="P945" s="239" t="s">
        <v>1770</v>
      </c>
      <c r="Q945" s="239" t="s">
        <v>1764</v>
      </c>
      <c r="R945" s="240" t="s">
        <v>782</v>
      </c>
      <c r="S945" s="196" t="s">
        <v>782</v>
      </c>
      <c r="T945" s="196" t="s">
        <v>1765</v>
      </c>
    </row>
    <row r="946">
      <c r="A946" s="182" t="s">
        <v>3343</v>
      </c>
      <c r="B946" s="203" t="s">
        <v>66</v>
      </c>
      <c r="C946" s="173" t="s">
        <v>66</v>
      </c>
      <c r="D946" s="173" t="s">
        <v>3344</v>
      </c>
      <c r="E946" s="196"/>
      <c r="F946" s="185" t="s">
        <v>185</v>
      </c>
      <c r="G946" s="185" t="s">
        <v>777</v>
      </c>
      <c r="H946" s="237">
        <v>16.60031044</v>
      </c>
      <c r="I946" s="185" t="s">
        <v>136</v>
      </c>
      <c r="J946" s="185" t="s">
        <v>136</v>
      </c>
      <c r="K946" s="185" t="s">
        <v>1762</v>
      </c>
      <c r="L946" s="185" t="s">
        <v>2259</v>
      </c>
      <c r="M946" s="196" t="s">
        <v>749</v>
      </c>
      <c r="N946" s="185"/>
      <c r="O946" s="238"/>
      <c r="P946" s="239" t="s">
        <v>1770</v>
      </c>
      <c r="Q946" s="239" t="s">
        <v>1764</v>
      </c>
      <c r="R946" s="240" t="s">
        <v>782</v>
      </c>
      <c r="S946" s="196" t="s">
        <v>782</v>
      </c>
      <c r="T946" s="196" t="s">
        <v>1765</v>
      </c>
    </row>
    <row r="947">
      <c r="A947" s="182" t="s">
        <v>3345</v>
      </c>
      <c r="B947" s="203" t="s">
        <v>66</v>
      </c>
      <c r="C947" s="173" t="s">
        <v>66</v>
      </c>
      <c r="D947" s="173" t="s">
        <v>3346</v>
      </c>
      <c r="E947" s="196"/>
      <c r="F947" s="185" t="s">
        <v>185</v>
      </c>
      <c r="G947" s="185" t="s">
        <v>777</v>
      </c>
      <c r="H947" s="237">
        <v>71.15492988</v>
      </c>
      <c r="I947" s="185" t="s">
        <v>136</v>
      </c>
      <c r="J947" s="185" t="s">
        <v>136</v>
      </c>
      <c r="K947" s="185" t="s">
        <v>1762</v>
      </c>
      <c r="L947" s="185" t="s">
        <v>2259</v>
      </c>
      <c r="M947" s="196" t="s">
        <v>749</v>
      </c>
      <c r="N947" s="185"/>
      <c r="O947" s="238"/>
      <c r="P947" s="239" t="s">
        <v>1770</v>
      </c>
      <c r="Q947" s="239" t="s">
        <v>1764</v>
      </c>
      <c r="R947" s="240" t="s">
        <v>782</v>
      </c>
      <c r="S947" s="196" t="s">
        <v>782</v>
      </c>
      <c r="T947" s="196" t="s">
        <v>1765</v>
      </c>
    </row>
    <row r="948">
      <c r="A948" s="182" t="s">
        <v>3347</v>
      </c>
      <c r="B948" s="203" t="s">
        <v>66</v>
      </c>
      <c r="C948" s="173" t="s">
        <v>66</v>
      </c>
      <c r="D948" s="173" t="s">
        <v>3348</v>
      </c>
      <c r="E948" s="196"/>
      <c r="F948" s="185" t="s">
        <v>185</v>
      </c>
      <c r="G948" s="185" t="s">
        <v>777</v>
      </c>
      <c r="H948" s="237">
        <v>0.288835017</v>
      </c>
      <c r="I948" s="185" t="s">
        <v>136</v>
      </c>
      <c r="J948" s="185" t="s">
        <v>136</v>
      </c>
      <c r="K948" s="185" t="s">
        <v>1762</v>
      </c>
      <c r="L948" s="185" t="s">
        <v>2259</v>
      </c>
      <c r="M948" s="196" t="s">
        <v>749</v>
      </c>
      <c r="N948" s="185"/>
      <c r="O948" s="238"/>
      <c r="P948" s="239" t="s">
        <v>1770</v>
      </c>
      <c r="Q948" s="239" t="s">
        <v>1764</v>
      </c>
      <c r="R948" s="240" t="s">
        <v>782</v>
      </c>
      <c r="S948" s="196" t="s">
        <v>782</v>
      </c>
      <c r="T948" s="196" t="s">
        <v>1765</v>
      </c>
    </row>
    <row r="949">
      <c r="A949" s="182" t="s">
        <v>3349</v>
      </c>
      <c r="B949" s="203" t="s">
        <v>66</v>
      </c>
      <c r="C949" s="173" t="s">
        <v>66</v>
      </c>
      <c r="D949" s="173" t="s">
        <v>3350</v>
      </c>
      <c r="E949" s="196"/>
      <c r="F949" s="185" t="s">
        <v>185</v>
      </c>
      <c r="G949" s="185" t="s">
        <v>777</v>
      </c>
      <c r="H949" s="237">
        <v>0.296981449</v>
      </c>
      <c r="I949" s="185" t="s">
        <v>136</v>
      </c>
      <c r="J949" s="185" t="s">
        <v>136</v>
      </c>
      <c r="K949" s="185" t="s">
        <v>1762</v>
      </c>
      <c r="L949" s="185" t="s">
        <v>2259</v>
      </c>
      <c r="M949" s="196" t="s">
        <v>749</v>
      </c>
      <c r="N949" s="185"/>
      <c r="O949" s="238"/>
      <c r="P949" s="239" t="s">
        <v>1770</v>
      </c>
      <c r="Q949" s="239" t="s">
        <v>1764</v>
      </c>
      <c r="R949" s="240" t="s">
        <v>782</v>
      </c>
      <c r="S949" s="196" t="s">
        <v>782</v>
      </c>
      <c r="T949" s="196" t="s">
        <v>1765</v>
      </c>
    </row>
    <row r="950">
      <c r="A950" s="182" t="s">
        <v>3351</v>
      </c>
      <c r="B950" s="203" t="s">
        <v>66</v>
      </c>
      <c r="C950" s="173" t="s">
        <v>66</v>
      </c>
      <c r="D950" s="173" t="s">
        <v>3352</v>
      </c>
      <c r="E950" s="196"/>
      <c r="F950" s="185" t="s">
        <v>185</v>
      </c>
      <c r="G950" s="185" t="s">
        <v>1500</v>
      </c>
      <c r="H950" s="237" t="b">
        <v>1</v>
      </c>
      <c r="I950" s="185" t="s">
        <v>835</v>
      </c>
      <c r="J950" s="185" t="s">
        <v>1823</v>
      </c>
      <c r="K950" s="185" t="s">
        <v>1823</v>
      </c>
      <c r="L950" s="185" t="s">
        <v>2259</v>
      </c>
      <c r="M950" s="196" t="s">
        <v>749</v>
      </c>
      <c r="N950" s="185"/>
      <c r="O950" s="238"/>
      <c r="P950" s="239" t="s">
        <v>1830</v>
      </c>
      <c r="Q950" s="239" t="s">
        <v>732</v>
      </c>
      <c r="R950" s="240" t="s">
        <v>702</v>
      </c>
      <c r="S950" s="196" t="s">
        <v>702</v>
      </c>
      <c r="T950" s="196" t="s">
        <v>1765</v>
      </c>
    </row>
    <row r="951">
      <c r="A951" s="182" t="s">
        <v>3353</v>
      </c>
      <c r="B951" s="203" t="s">
        <v>66</v>
      </c>
      <c r="C951" s="173" t="s">
        <v>66</v>
      </c>
      <c r="D951" s="173" t="s">
        <v>3354</v>
      </c>
      <c r="E951" s="196"/>
      <c r="F951" s="185" t="s">
        <v>185</v>
      </c>
      <c r="G951" s="185" t="s">
        <v>1500</v>
      </c>
      <c r="H951" s="237" t="b">
        <v>1</v>
      </c>
      <c r="I951" s="185" t="s">
        <v>835</v>
      </c>
      <c r="J951" s="185" t="s">
        <v>1823</v>
      </c>
      <c r="K951" s="185" t="s">
        <v>1823</v>
      </c>
      <c r="L951" s="185" t="s">
        <v>2259</v>
      </c>
      <c r="M951" s="196" t="s">
        <v>749</v>
      </c>
      <c r="N951" s="185"/>
      <c r="O951" s="238"/>
      <c r="P951" s="239" t="s">
        <v>1830</v>
      </c>
      <c r="Q951" s="239" t="s">
        <v>732</v>
      </c>
      <c r="R951" s="240" t="s">
        <v>702</v>
      </c>
      <c r="S951" s="196" t="s">
        <v>702</v>
      </c>
      <c r="T951" s="196" t="s">
        <v>1765</v>
      </c>
    </row>
    <row r="952">
      <c r="A952" s="182" t="s">
        <v>3355</v>
      </c>
      <c r="B952" s="203" t="s">
        <v>66</v>
      </c>
      <c r="C952" s="173" t="s">
        <v>66</v>
      </c>
      <c r="D952" s="173" t="s">
        <v>3356</v>
      </c>
      <c r="E952" s="196"/>
      <c r="F952" s="185" t="s">
        <v>185</v>
      </c>
      <c r="G952" s="185" t="s">
        <v>1761</v>
      </c>
      <c r="H952" s="237" t="s">
        <v>3357</v>
      </c>
      <c r="I952" s="185" t="s">
        <v>835</v>
      </c>
      <c r="J952" s="185" t="s">
        <v>723</v>
      </c>
      <c r="K952" s="185" t="s">
        <v>723</v>
      </c>
      <c r="L952" s="185" t="s">
        <v>2259</v>
      </c>
      <c r="M952" s="196" t="s">
        <v>749</v>
      </c>
      <c r="N952" s="185"/>
      <c r="O952" s="238"/>
      <c r="P952" s="239" t="s">
        <v>1830</v>
      </c>
      <c r="Q952" s="239" t="s">
        <v>1826</v>
      </c>
      <c r="R952" s="240" t="s">
        <v>750</v>
      </c>
      <c r="S952" s="196" t="s">
        <v>750</v>
      </c>
      <c r="T952" s="196" t="s">
        <v>1765</v>
      </c>
    </row>
    <row r="953">
      <c r="A953" s="182" t="s">
        <v>3358</v>
      </c>
      <c r="B953" s="203" t="s">
        <v>65</v>
      </c>
      <c r="C953" s="173" t="s">
        <v>3359</v>
      </c>
      <c r="D953" s="173" t="s">
        <v>3360</v>
      </c>
      <c r="E953" s="196"/>
      <c r="F953" s="185" t="s">
        <v>185</v>
      </c>
      <c r="G953" s="185" t="s">
        <v>777</v>
      </c>
      <c r="H953" s="237">
        <v>10.000022</v>
      </c>
      <c r="I953" s="185" t="s">
        <v>136</v>
      </c>
      <c r="J953" s="185" t="s">
        <v>136</v>
      </c>
      <c r="K953" s="185" t="s">
        <v>1762</v>
      </c>
      <c r="L953" s="185" t="s">
        <v>2259</v>
      </c>
      <c r="M953" s="196" t="s">
        <v>749</v>
      </c>
      <c r="N953" s="185"/>
      <c r="O953" s="238"/>
      <c r="P953" s="239" t="s">
        <v>3361</v>
      </c>
      <c r="Q953" s="239" t="s">
        <v>1764</v>
      </c>
      <c r="R953" s="240" t="s">
        <v>782</v>
      </c>
      <c r="S953" s="196" t="s">
        <v>782</v>
      </c>
      <c r="T953" s="196" t="s">
        <v>1765</v>
      </c>
    </row>
    <row r="954">
      <c r="A954" s="182" t="s">
        <v>3362</v>
      </c>
      <c r="B954" s="203" t="s">
        <v>65</v>
      </c>
      <c r="C954" s="173" t="s">
        <v>3359</v>
      </c>
      <c r="D954" s="173" t="s">
        <v>3363</v>
      </c>
      <c r="E954" s="196"/>
      <c r="F954" s="185" t="s">
        <v>185</v>
      </c>
      <c r="G954" s="185" t="s">
        <v>777</v>
      </c>
      <c r="H954" s="237">
        <v>118.7704</v>
      </c>
      <c r="I954" s="185" t="s">
        <v>136</v>
      </c>
      <c r="J954" s="185" t="s">
        <v>136</v>
      </c>
      <c r="K954" s="185" t="s">
        <v>1762</v>
      </c>
      <c r="L954" s="185" t="s">
        <v>2259</v>
      </c>
      <c r="M954" s="196" t="s">
        <v>749</v>
      </c>
      <c r="N954" s="185"/>
      <c r="O954" s="238"/>
      <c r="P954" s="239" t="s">
        <v>3361</v>
      </c>
      <c r="Q954" s="239" t="s">
        <v>1764</v>
      </c>
      <c r="R954" s="240" t="s">
        <v>782</v>
      </c>
      <c r="S954" s="196" t="s">
        <v>782</v>
      </c>
      <c r="T954" s="196" t="s">
        <v>1765</v>
      </c>
    </row>
    <row r="955">
      <c r="A955" s="182" t="s">
        <v>3364</v>
      </c>
      <c r="B955" s="203" t="s">
        <v>65</v>
      </c>
      <c r="C955" s="173" t="s">
        <v>3359</v>
      </c>
      <c r="D955" s="173" t="s">
        <v>3365</v>
      </c>
      <c r="E955" s="196"/>
      <c r="F955" s="185" t="s">
        <v>185</v>
      </c>
      <c r="G955" s="185" t="s">
        <v>777</v>
      </c>
      <c r="H955" s="237">
        <v>6.101336</v>
      </c>
      <c r="I955" s="185" t="s">
        <v>136</v>
      </c>
      <c r="J955" s="185" t="s">
        <v>136</v>
      </c>
      <c r="K955" s="185" t="s">
        <v>1762</v>
      </c>
      <c r="L955" s="185" t="s">
        <v>2259</v>
      </c>
      <c r="M955" s="196" t="s">
        <v>749</v>
      </c>
      <c r="N955" s="185"/>
      <c r="O955" s="238"/>
      <c r="P955" s="239" t="s">
        <v>3361</v>
      </c>
      <c r="Q955" s="239" t="s">
        <v>1764</v>
      </c>
      <c r="R955" s="240" t="s">
        <v>782</v>
      </c>
      <c r="S955" s="196" t="s">
        <v>782</v>
      </c>
      <c r="T955" s="196" t="s">
        <v>1765</v>
      </c>
    </row>
    <row r="956">
      <c r="A956" s="182" t="s">
        <v>3366</v>
      </c>
      <c r="B956" s="203" t="s">
        <v>65</v>
      </c>
      <c r="C956" s="173" t="s">
        <v>3359</v>
      </c>
      <c r="D956" s="173" t="s">
        <v>3367</v>
      </c>
      <c r="E956" s="196"/>
      <c r="F956" s="185" t="s">
        <v>185</v>
      </c>
      <c r="G956" s="185" t="s">
        <v>777</v>
      </c>
      <c r="H956" s="237">
        <v>118.770251</v>
      </c>
      <c r="I956" s="185" t="s">
        <v>136</v>
      </c>
      <c r="J956" s="185" t="s">
        <v>136</v>
      </c>
      <c r="K956" s="185" t="s">
        <v>1762</v>
      </c>
      <c r="L956" s="185" t="s">
        <v>2259</v>
      </c>
      <c r="M956" s="196" t="s">
        <v>749</v>
      </c>
      <c r="N956" s="185"/>
      <c r="O956" s="238"/>
      <c r="P956" s="239" t="s">
        <v>3361</v>
      </c>
      <c r="Q956" s="239" t="s">
        <v>1764</v>
      </c>
      <c r="R956" s="240" t="s">
        <v>782</v>
      </c>
      <c r="S956" s="196" t="s">
        <v>782</v>
      </c>
      <c r="T956" s="196" t="s">
        <v>1765</v>
      </c>
    </row>
    <row r="957">
      <c r="A957" s="182" t="s">
        <v>3368</v>
      </c>
      <c r="B957" s="203" t="s">
        <v>66</v>
      </c>
      <c r="C957" s="173" t="s">
        <v>66</v>
      </c>
      <c r="D957" s="173" t="s">
        <v>3369</v>
      </c>
      <c r="E957" s="196"/>
      <c r="F957" s="185" t="s">
        <v>185</v>
      </c>
      <c r="G957" s="185" t="s">
        <v>777</v>
      </c>
      <c r="H957" s="237">
        <v>6.101336</v>
      </c>
      <c r="I957" s="185" t="s">
        <v>136</v>
      </c>
      <c r="J957" s="185" t="s">
        <v>136</v>
      </c>
      <c r="K957" s="185" t="s">
        <v>1762</v>
      </c>
      <c r="L957" s="185" t="s">
        <v>2259</v>
      </c>
      <c r="M957" s="196" t="s">
        <v>749</v>
      </c>
      <c r="N957" s="185"/>
      <c r="O957" s="238"/>
      <c r="P957" s="239" t="s">
        <v>3361</v>
      </c>
      <c r="Q957" s="239" t="s">
        <v>1764</v>
      </c>
      <c r="R957" s="240" t="s">
        <v>782</v>
      </c>
      <c r="S957" s="196" t="s">
        <v>782</v>
      </c>
      <c r="T957" s="196" t="s">
        <v>1765</v>
      </c>
    </row>
    <row r="958">
      <c r="A958" s="182" t="s">
        <v>3370</v>
      </c>
      <c r="B958" s="203" t="s">
        <v>66</v>
      </c>
      <c r="C958" s="173" t="s">
        <v>66</v>
      </c>
      <c r="D958" s="173" t="s">
        <v>3371</v>
      </c>
      <c r="E958" s="196"/>
      <c r="F958" s="185" t="s">
        <v>185</v>
      </c>
      <c r="G958" s="185" t="s">
        <v>777</v>
      </c>
      <c r="H958" s="237">
        <v>6.101336</v>
      </c>
      <c r="I958" s="185" t="s">
        <v>136</v>
      </c>
      <c r="J958" s="185" t="s">
        <v>136</v>
      </c>
      <c r="K958" s="185" t="s">
        <v>1762</v>
      </c>
      <c r="L958" s="185" t="s">
        <v>2259</v>
      </c>
      <c r="M958" s="196" t="s">
        <v>749</v>
      </c>
      <c r="N958" s="185"/>
      <c r="O958" s="238"/>
      <c r="P958" s="239" t="s">
        <v>3361</v>
      </c>
      <c r="Q958" s="239" t="s">
        <v>1764</v>
      </c>
      <c r="R958" s="240" t="s">
        <v>782</v>
      </c>
      <c r="S958" s="196" t="s">
        <v>782</v>
      </c>
      <c r="T958" s="196" t="s">
        <v>1765</v>
      </c>
    </row>
    <row r="959">
      <c r="A959" s="182" t="s">
        <v>3372</v>
      </c>
      <c r="B959" s="203" t="s">
        <v>66</v>
      </c>
      <c r="C959" s="173" t="s">
        <v>66</v>
      </c>
      <c r="D959" s="173" t="s">
        <v>3373</v>
      </c>
      <c r="E959" s="196"/>
      <c r="F959" s="185" t="s">
        <v>185</v>
      </c>
      <c r="G959" s="185" t="s">
        <v>777</v>
      </c>
      <c r="H959" s="237">
        <v>6.101336</v>
      </c>
      <c r="I959" s="185" t="s">
        <v>136</v>
      </c>
      <c r="J959" s="185" t="s">
        <v>136</v>
      </c>
      <c r="K959" s="185" t="s">
        <v>1762</v>
      </c>
      <c r="L959" s="185" t="s">
        <v>2259</v>
      </c>
      <c r="M959" s="196" t="s">
        <v>749</v>
      </c>
      <c r="N959" s="185"/>
      <c r="O959" s="238"/>
      <c r="P959" s="239" t="s">
        <v>3361</v>
      </c>
      <c r="Q959" s="239" t="s">
        <v>1764</v>
      </c>
      <c r="R959" s="240" t="s">
        <v>782</v>
      </c>
      <c r="S959" s="196" t="s">
        <v>782</v>
      </c>
      <c r="T959" s="196" t="s">
        <v>1765</v>
      </c>
    </row>
    <row r="960">
      <c r="A960" s="182" t="s">
        <v>3374</v>
      </c>
      <c r="B960" s="203" t="s">
        <v>66</v>
      </c>
      <c r="C960" s="173" t="s">
        <v>66</v>
      </c>
      <c r="D960" s="173" t="s">
        <v>3375</v>
      </c>
      <c r="E960" s="196"/>
      <c r="F960" s="185" t="s">
        <v>185</v>
      </c>
      <c r="G960" s="185" t="s">
        <v>777</v>
      </c>
      <c r="H960" s="237">
        <v>6.101336</v>
      </c>
      <c r="I960" s="185" t="s">
        <v>136</v>
      </c>
      <c r="J960" s="185" t="s">
        <v>136</v>
      </c>
      <c r="K960" s="185" t="s">
        <v>1762</v>
      </c>
      <c r="L960" s="185" t="s">
        <v>2259</v>
      </c>
      <c r="M960" s="196" t="s">
        <v>749</v>
      </c>
      <c r="N960" s="185"/>
      <c r="O960" s="238"/>
      <c r="P960" s="239" t="s">
        <v>3361</v>
      </c>
      <c r="Q960" s="239" t="s">
        <v>1764</v>
      </c>
      <c r="R960" s="240" t="s">
        <v>782</v>
      </c>
      <c r="S960" s="196" t="s">
        <v>782</v>
      </c>
      <c r="T960" s="196" t="s">
        <v>1765</v>
      </c>
    </row>
    <row r="961">
      <c r="A961" s="182" t="s">
        <v>3376</v>
      </c>
      <c r="B961" s="203" t="s">
        <v>66</v>
      </c>
      <c r="C961" s="173" t="s">
        <v>66</v>
      </c>
      <c r="D961" s="173" t="s">
        <v>3377</v>
      </c>
      <c r="E961" s="196"/>
      <c r="F961" s="185" t="s">
        <v>185</v>
      </c>
      <c r="G961" s="185" t="s">
        <v>777</v>
      </c>
      <c r="H961" s="237">
        <v>6.101336</v>
      </c>
      <c r="I961" s="185" t="s">
        <v>136</v>
      </c>
      <c r="J961" s="185" t="s">
        <v>136</v>
      </c>
      <c r="K961" s="185" t="s">
        <v>1762</v>
      </c>
      <c r="L961" s="185" t="s">
        <v>2259</v>
      </c>
      <c r="M961" s="196" t="s">
        <v>749</v>
      </c>
      <c r="N961" s="185"/>
      <c r="O961" s="238"/>
      <c r="P961" s="239" t="s">
        <v>3361</v>
      </c>
      <c r="Q961" s="239" t="s">
        <v>1764</v>
      </c>
      <c r="R961" s="240" t="s">
        <v>782</v>
      </c>
      <c r="S961" s="196" t="s">
        <v>782</v>
      </c>
      <c r="T961" s="196" t="s">
        <v>1765</v>
      </c>
    </row>
    <row r="962">
      <c r="A962" s="182" t="s">
        <v>3378</v>
      </c>
      <c r="B962" s="203" t="s">
        <v>66</v>
      </c>
      <c r="C962" s="173" t="s">
        <v>66</v>
      </c>
      <c r="D962" s="173" t="s">
        <v>3379</v>
      </c>
      <c r="E962" s="196"/>
      <c r="F962" s="185" t="s">
        <v>185</v>
      </c>
      <c r="G962" s="185" t="s">
        <v>1500</v>
      </c>
      <c r="H962" s="237" t="b">
        <v>1</v>
      </c>
      <c r="I962" s="185" t="s">
        <v>311</v>
      </c>
      <c r="J962" s="185" t="s">
        <v>1823</v>
      </c>
      <c r="K962" s="185" t="s">
        <v>723</v>
      </c>
      <c r="L962" s="185" t="s">
        <v>2259</v>
      </c>
      <c r="M962" s="196" t="s">
        <v>749</v>
      </c>
      <c r="N962" s="185"/>
      <c r="O962" s="238"/>
      <c r="P962" s="239" t="s">
        <v>1781</v>
      </c>
      <c r="Q962" s="239" t="s">
        <v>732</v>
      </c>
      <c r="R962" s="240" t="s">
        <v>1510</v>
      </c>
      <c r="S962" s="196" t="s">
        <v>1510</v>
      </c>
      <c r="T962" s="196" t="s">
        <v>1765</v>
      </c>
    </row>
    <row r="963">
      <c r="A963" s="182" t="s">
        <v>3380</v>
      </c>
      <c r="B963" s="203" t="s">
        <v>66</v>
      </c>
      <c r="C963" s="173" t="s">
        <v>66</v>
      </c>
      <c r="D963" s="173" t="s">
        <v>3381</v>
      </c>
      <c r="E963" s="196"/>
      <c r="F963" s="185" t="s">
        <v>185</v>
      </c>
      <c r="G963" s="185" t="s">
        <v>1183</v>
      </c>
      <c r="H963" s="237">
        <v>10.0</v>
      </c>
      <c r="I963" s="185" t="s">
        <v>2362</v>
      </c>
      <c r="J963" s="185" t="s">
        <v>2362</v>
      </c>
      <c r="K963" s="185" t="s">
        <v>2362</v>
      </c>
      <c r="L963" s="185" t="s">
        <v>2259</v>
      </c>
      <c r="M963" s="196" t="s">
        <v>687</v>
      </c>
      <c r="N963" s="185"/>
      <c r="O963" s="238"/>
      <c r="P963" s="239" t="s">
        <v>3382</v>
      </c>
      <c r="Q963" s="239" t="s">
        <v>1764</v>
      </c>
      <c r="R963" s="240" t="s">
        <v>691</v>
      </c>
      <c r="S963" s="196" t="s">
        <v>691</v>
      </c>
      <c r="T963" s="196" t="s">
        <v>1765</v>
      </c>
    </row>
    <row r="964">
      <c r="A964" s="182" t="s">
        <v>3383</v>
      </c>
      <c r="B964" s="203" t="s">
        <v>66</v>
      </c>
      <c r="C964" s="173" t="s">
        <v>66</v>
      </c>
      <c r="D964" s="173" t="s">
        <v>3384</v>
      </c>
      <c r="E964" s="196"/>
      <c r="F964" s="185" t="s">
        <v>185</v>
      </c>
      <c r="G964" s="185" t="s">
        <v>1183</v>
      </c>
      <c r="H964" s="237">
        <v>953.92</v>
      </c>
      <c r="I964" s="185" t="s">
        <v>2072</v>
      </c>
      <c r="J964" s="185" t="s">
        <v>2072</v>
      </c>
      <c r="K964" s="185" t="s">
        <v>2072</v>
      </c>
      <c r="L964" s="185" t="s">
        <v>2259</v>
      </c>
      <c r="M964" s="196" t="s">
        <v>749</v>
      </c>
      <c r="N964" s="185"/>
      <c r="O964" s="238"/>
      <c r="P964" s="239" t="s">
        <v>1786</v>
      </c>
      <c r="Q964" s="239" t="s">
        <v>1787</v>
      </c>
      <c r="R964" s="240" t="s">
        <v>750</v>
      </c>
      <c r="S964" s="196" t="s">
        <v>750</v>
      </c>
      <c r="T964" s="196" t="s">
        <v>1765</v>
      </c>
    </row>
    <row r="965">
      <c r="A965" s="182" t="s">
        <v>3385</v>
      </c>
      <c r="B965" s="203" t="s">
        <v>66</v>
      </c>
      <c r="C965" s="173" t="s">
        <v>66</v>
      </c>
      <c r="D965" s="173" t="s">
        <v>3386</v>
      </c>
      <c r="E965" s="196"/>
      <c r="F965" s="185" t="s">
        <v>185</v>
      </c>
      <c r="G965" s="185" t="s">
        <v>1183</v>
      </c>
      <c r="H965" s="237">
        <v>831.41</v>
      </c>
      <c r="I965" s="185" t="s">
        <v>2072</v>
      </c>
      <c r="J965" s="185" t="s">
        <v>2072</v>
      </c>
      <c r="K965" s="185" t="s">
        <v>2072</v>
      </c>
      <c r="L965" s="185" t="s">
        <v>2259</v>
      </c>
      <c r="M965" s="196" t="s">
        <v>749</v>
      </c>
      <c r="N965" s="185"/>
      <c r="O965" s="238"/>
      <c r="P965" s="239" t="s">
        <v>1786</v>
      </c>
      <c r="Q965" s="239" t="s">
        <v>1787</v>
      </c>
      <c r="R965" s="240" t="s">
        <v>750</v>
      </c>
      <c r="S965" s="196" t="s">
        <v>750</v>
      </c>
      <c r="T965" s="196" t="s">
        <v>1765</v>
      </c>
    </row>
    <row r="966">
      <c r="A966" s="182" t="s">
        <v>3387</v>
      </c>
      <c r="B966" s="203" t="s">
        <v>66</v>
      </c>
      <c r="C966" s="173" t="s">
        <v>66</v>
      </c>
      <c r="D966" s="173" t="s">
        <v>3388</v>
      </c>
      <c r="E966" s="196"/>
      <c r="F966" s="185" t="s">
        <v>185</v>
      </c>
      <c r="G966" s="185" t="s">
        <v>1183</v>
      </c>
      <c r="H966" s="237">
        <v>722.2733</v>
      </c>
      <c r="I966" s="185" t="s">
        <v>2072</v>
      </c>
      <c r="J966" s="185" t="s">
        <v>2072</v>
      </c>
      <c r="K966" s="185" t="s">
        <v>2072</v>
      </c>
      <c r="L966" s="185" t="s">
        <v>2259</v>
      </c>
      <c r="M966" s="196" t="s">
        <v>749</v>
      </c>
      <c r="N966" s="185"/>
      <c r="O966" s="238"/>
      <c r="P966" s="239" t="s">
        <v>1786</v>
      </c>
      <c r="Q966" s="239" t="s">
        <v>1787</v>
      </c>
      <c r="R966" s="240" t="s">
        <v>750</v>
      </c>
      <c r="S966" s="196" t="s">
        <v>750</v>
      </c>
      <c r="T966" s="196" t="s">
        <v>1765</v>
      </c>
    </row>
    <row r="967">
      <c r="A967" s="182" t="s">
        <v>3389</v>
      </c>
      <c r="B967" s="203" t="s">
        <v>66</v>
      </c>
      <c r="C967" s="173" t="s">
        <v>66</v>
      </c>
      <c r="D967" s="173" t="s">
        <v>3390</v>
      </c>
      <c r="E967" s="196"/>
      <c r="F967" s="185" t="s">
        <v>185</v>
      </c>
      <c r="G967" s="185" t="s">
        <v>1761</v>
      </c>
      <c r="H967" s="237" t="s">
        <v>701</v>
      </c>
      <c r="I967" s="185" t="s">
        <v>2362</v>
      </c>
      <c r="J967" s="185" t="s">
        <v>2362</v>
      </c>
      <c r="K967" s="185" t="s">
        <v>2362</v>
      </c>
      <c r="L967" s="185" t="s">
        <v>2259</v>
      </c>
      <c r="M967" s="196" t="s">
        <v>687</v>
      </c>
      <c r="N967" s="185"/>
      <c r="O967" s="238"/>
      <c r="P967" s="239" t="s">
        <v>3391</v>
      </c>
      <c r="Q967" s="239" t="s">
        <v>1764</v>
      </c>
      <c r="R967" s="240" t="s">
        <v>691</v>
      </c>
      <c r="S967" s="196" t="s">
        <v>691</v>
      </c>
      <c r="T967" s="196" t="s">
        <v>1765</v>
      </c>
    </row>
    <row r="968">
      <c r="A968" s="182" t="s">
        <v>3392</v>
      </c>
      <c r="B968" s="203" t="s">
        <v>66</v>
      </c>
      <c r="C968" s="173" t="s">
        <v>66</v>
      </c>
      <c r="D968" s="173" t="s">
        <v>3393</v>
      </c>
      <c r="E968" s="196"/>
      <c r="F968" s="185" t="s">
        <v>185</v>
      </c>
      <c r="G968" s="185" t="s">
        <v>1306</v>
      </c>
      <c r="H968" s="237" t="s">
        <v>3394</v>
      </c>
      <c r="I968" s="185" t="s">
        <v>2362</v>
      </c>
      <c r="J968" s="185" t="s">
        <v>2362</v>
      </c>
      <c r="K968" s="185" t="s">
        <v>2362</v>
      </c>
      <c r="L968" s="185" t="s">
        <v>2259</v>
      </c>
      <c r="M968" s="196" t="s">
        <v>687</v>
      </c>
      <c r="N968" s="185"/>
      <c r="O968" s="238"/>
      <c r="P968" s="239" t="s">
        <v>1786</v>
      </c>
      <c r="Q968" s="239" t="s">
        <v>1787</v>
      </c>
      <c r="R968" s="240" t="s">
        <v>705</v>
      </c>
      <c r="S968" s="196" t="s">
        <v>705</v>
      </c>
      <c r="T968" s="196" t="s">
        <v>1765</v>
      </c>
    </row>
    <row r="969">
      <c r="A969" s="182" t="s">
        <v>3395</v>
      </c>
      <c r="B969" s="203" t="s">
        <v>66</v>
      </c>
      <c r="C969" s="173" t="s">
        <v>66</v>
      </c>
      <c r="D969" s="173" t="s">
        <v>3396</v>
      </c>
      <c r="E969" s="196"/>
      <c r="F969" s="185" t="s">
        <v>185</v>
      </c>
      <c r="G969" s="185" t="s">
        <v>1345</v>
      </c>
      <c r="H969" s="237">
        <v>44732.0</v>
      </c>
      <c r="I969" s="185" t="s">
        <v>2362</v>
      </c>
      <c r="J969" s="185" t="s">
        <v>2362</v>
      </c>
      <c r="K969" s="185" t="s">
        <v>2362</v>
      </c>
      <c r="L969" s="185" t="s">
        <v>2259</v>
      </c>
      <c r="M969" s="196" t="s">
        <v>687</v>
      </c>
      <c r="N969" s="185"/>
      <c r="O969" s="238"/>
      <c r="P969" s="239" t="s">
        <v>1786</v>
      </c>
      <c r="Q969" s="239" t="s">
        <v>1787</v>
      </c>
      <c r="R969" s="240" t="s">
        <v>705</v>
      </c>
      <c r="S969" s="196" t="s">
        <v>705</v>
      </c>
      <c r="T969" s="196" t="s">
        <v>1765</v>
      </c>
    </row>
    <row r="970">
      <c r="A970" s="182" t="s">
        <v>3397</v>
      </c>
      <c r="B970" s="203" t="s">
        <v>66</v>
      </c>
      <c r="C970" s="173" t="s">
        <v>66</v>
      </c>
      <c r="D970" s="173" t="s">
        <v>3398</v>
      </c>
      <c r="E970" s="196"/>
      <c r="F970" s="185" t="s">
        <v>185</v>
      </c>
      <c r="G970" s="185" t="s">
        <v>1345</v>
      </c>
      <c r="H970" s="237">
        <v>44755.0</v>
      </c>
      <c r="I970" s="185" t="s">
        <v>2072</v>
      </c>
      <c r="J970" s="185" t="s">
        <v>2072</v>
      </c>
      <c r="K970" s="185" t="s">
        <v>2072</v>
      </c>
      <c r="L970" s="185" t="s">
        <v>2259</v>
      </c>
      <c r="M970" s="196" t="s">
        <v>687</v>
      </c>
      <c r="N970" s="185"/>
      <c r="O970" s="238"/>
      <c r="P970" s="239" t="s">
        <v>1779</v>
      </c>
      <c r="Q970" s="239" t="s">
        <v>1764</v>
      </c>
      <c r="R970" s="240" t="s">
        <v>745</v>
      </c>
      <c r="S970" s="196" t="s">
        <v>745</v>
      </c>
      <c r="T970" s="196" t="s">
        <v>1765</v>
      </c>
    </row>
    <row r="971">
      <c r="A971" s="182" t="s">
        <v>3399</v>
      </c>
      <c r="B971" s="203" t="s">
        <v>66</v>
      </c>
      <c r="C971" s="173" t="s">
        <v>66</v>
      </c>
      <c r="D971" s="173" t="s">
        <v>3400</v>
      </c>
      <c r="E971" s="196"/>
      <c r="F971" s="185" t="s">
        <v>185</v>
      </c>
      <c r="G971" s="185" t="s">
        <v>1306</v>
      </c>
      <c r="H971" s="237">
        <v>1.0</v>
      </c>
      <c r="I971" s="185" t="s">
        <v>2072</v>
      </c>
      <c r="J971" s="185" t="s">
        <v>2072</v>
      </c>
      <c r="K971" s="185" t="s">
        <v>2072</v>
      </c>
      <c r="L971" s="185" t="s">
        <v>2259</v>
      </c>
      <c r="M971" s="196" t="s">
        <v>749</v>
      </c>
      <c r="N971" s="185"/>
      <c r="O971" s="238"/>
      <c r="P971" s="239" t="s">
        <v>3401</v>
      </c>
      <c r="Q971" s="239" t="s">
        <v>1764</v>
      </c>
      <c r="R971" s="240" t="s">
        <v>750</v>
      </c>
      <c r="S971" s="196" t="s">
        <v>750</v>
      </c>
      <c r="T971" s="196" t="s">
        <v>1765</v>
      </c>
    </row>
    <row r="972">
      <c r="A972" s="182" t="s">
        <v>3402</v>
      </c>
      <c r="B972" s="203" t="s">
        <v>66</v>
      </c>
      <c r="C972" s="173" t="s">
        <v>66</v>
      </c>
      <c r="D972" s="173" t="s">
        <v>3403</v>
      </c>
      <c r="E972" s="196"/>
      <c r="F972" s="185" t="s">
        <v>185</v>
      </c>
      <c r="G972" s="185" t="s">
        <v>3404</v>
      </c>
      <c r="H972" s="237">
        <v>504.0</v>
      </c>
      <c r="I972" s="185" t="s">
        <v>2072</v>
      </c>
      <c r="J972" s="185" t="s">
        <v>3405</v>
      </c>
      <c r="K972" s="185" t="s">
        <v>2072</v>
      </c>
      <c r="L972" s="185" t="s">
        <v>2259</v>
      </c>
      <c r="M972" s="196" t="s">
        <v>749</v>
      </c>
      <c r="N972" s="185"/>
      <c r="O972" s="238"/>
      <c r="P972" s="239" t="s">
        <v>701</v>
      </c>
      <c r="Q972" s="239" t="s">
        <v>732</v>
      </c>
      <c r="R972" s="240" t="s">
        <v>750</v>
      </c>
      <c r="S972" s="196" t="s">
        <v>750</v>
      </c>
      <c r="T972" s="196" t="s">
        <v>1765</v>
      </c>
    </row>
    <row r="973">
      <c r="A973" s="182" t="s">
        <v>3406</v>
      </c>
      <c r="B973" s="203" t="s">
        <v>66</v>
      </c>
      <c r="C973" s="173" t="s">
        <v>66</v>
      </c>
      <c r="D973" s="173" t="s">
        <v>3407</v>
      </c>
      <c r="E973" s="196"/>
      <c r="F973" s="185" t="s">
        <v>185</v>
      </c>
      <c r="G973" s="185" t="s">
        <v>3404</v>
      </c>
      <c r="H973" s="237">
        <v>504.0</v>
      </c>
      <c r="I973" s="185" t="s">
        <v>2072</v>
      </c>
      <c r="J973" s="185" t="s">
        <v>3405</v>
      </c>
      <c r="K973" s="185" t="s">
        <v>2072</v>
      </c>
      <c r="L973" s="185" t="s">
        <v>2259</v>
      </c>
      <c r="M973" s="196" t="s">
        <v>749</v>
      </c>
      <c r="N973" s="185"/>
      <c r="O973" s="238"/>
      <c r="P973" s="239" t="s">
        <v>701</v>
      </c>
      <c r="Q973" s="239" t="s">
        <v>732</v>
      </c>
      <c r="R973" s="240" t="s">
        <v>750</v>
      </c>
      <c r="S973" s="196" t="s">
        <v>750</v>
      </c>
      <c r="T973" s="196" t="s">
        <v>1765</v>
      </c>
    </row>
    <row r="974">
      <c r="A974" s="182" t="s">
        <v>3408</v>
      </c>
      <c r="B974" s="203" t="s">
        <v>66</v>
      </c>
      <c r="C974" s="173" t="s">
        <v>66</v>
      </c>
      <c r="D974" s="173" t="s">
        <v>3409</v>
      </c>
      <c r="E974" s="196"/>
      <c r="F974" s="185" t="s">
        <v>185</v>
      </c>
      <c r="G974" s="185" t="s">
        <v>3404</v>
      </c>
      <c r="H974" s="237">
        <v>504.0</v>
      </c>
      <c r="I974" s="185" t="s">
        <v>2072</v>
      </c>
      <c r="J974" s="185" t="s">
        <v>3405</v>
      </c>
      <c r="K974" s="185" t="s">
        <v>2072</v>
      </c>
      <c r="L974" s="185" t="s">
        <v>2259</v>
      </c>
      <c r="M974" s="196" t="s">
        <v>749</v>
      </c>
      <c r="N974" s="185"/>
      <c r="O974" s="238"/>
      <c r="P974" s="239" t="s">
        <v>701</v>
      </c>
      <c r="Q974" s="239" t="s">
        <v>732</v>
      </c>
      <c r="R974" s="240" t="s">
        <v>750</v>
      </c>
      <c r="S974" s="196" t="s">
        <v>750</v>
      </c>
      <c r="T974" s="196" t="s">
        <v>1765</v>
      </c>
    </row>
    <row r="975">
      <c r="A975" s="182" t="s">
        <v>3410</v>
      </c>
      <c r="B975" s="203" t="s">
        <v>65</v>
      </c>
      <c r="C975" s="173" t="s">
        <v>3359</v>
      </c>
      <c r="D975" s="173" t="s">
        <v>3411</v>
      </c>
      <c r="E975" s="196"/>
      <c r="F975" s="185" t="s">
        <v>135</v>
      </c>
      <c r="G975" s="185" t="s">
        <v>777</v>
      </c>
      <c r="H975" s="237">
        <v>10.00002</v>
      </c>
      <c r="I975" s="185" t="s">
        <v>2072</v>
      </c>
      <c r="J975" s="185" t="s">
        <v>3405</v>
      </c>
      <c r="K975" s="185" t="s">
        <v>2072</v>
      </c>
      <c r="L975" s="185" t="s">
        <v>2259</v>
      </c>
      <c r="M975" s="196" t="s">
        <v>749</v>
      </c>
      <c r="N975" s="185"/>
      <c r="O975" s="238"/>
      <c r="P975" s="239" t="s">
        <v>701</v>
      </c>
      <c r="Q975" s="239" t="s">
        <v>732</v>
      </c>
      <c r="R975" s="196" t="s">
        <v>782</v>
      </c>
      <c r="S975" s="196" t="s">
        <v>782</v>
      </c>
      <c r="T975" s="196" t="s">
        <v>1765</v>
      </c>
    </row>
    <row r="976">
      <c r="A976" s="182" t="s">
        <v>3412</v>
      </c>
      <c r="B976" s="203" t="s">
        <v>65</v>
      </c>
      <c r="C976" s="173" t="s">
        <v>3359</v>
      </c>
      <c r="D976" s="173" t="s">
        <v>3413</v>
      </c>
      <c r="E976" s="196"/>
      <c r="F976" s="185" t="s">
        <v>135</v>
      </c>
      <c r="G976" s="185" t="s">
        <v>777</v>
      </c>
      <c r="H976" s="237">
        <v>10.00002</v>
      </c>
      <c r="I976" s="185" t="s">
        <v>2072</v>
      </c>
      <c r="J976" s="185" t="s">
        <v>3405</v>
      </c>
      <c r="K976" s="185" t="s">
        <v>2072</v>
      </c>
      <c r="L976" s="185" t="s">
        <v>2259</v>
      </c>
      <c r="M976" s="196" t="s">
        <v>749</v>
      </c>
      <c r="N976" s="185"/>
      <c r="O976" s="238"/>
      <c r="P976" s="239" t="s">
        <v>701</v>
      </c>
      <c r="Q976" s="239" t="s">
        <v>732</v>
      </c>
      <c r="R976" s="196" t="s">
        <v>782</v>
      </c>
      <c r="S976" s="196" t="s">
        <v>782</v>
      </c>
      <c r="T976" s="196" t="s">
        <v>1765</v>
      </c>
    </row>
    <row r="977">
      <c r="A977" s="182" t="s">
        <v>3414</v>
      </c>
      <c r="B977" s="203" t="s">
        <v>66</v>
      </c>
      <c r="C977" s="173" t="s">
        <v>66</v>
      </c>
      <c r="D977" s="173" t="s">
        <v>3415</v>
      </c>
      <c r="E977" s="196"/>
      <c r="F977" s="185" t="s">
        <v>185</v>
      </c>
      <c r="G977" s="185" t="s">
        <v>768</v>
      </c>
      <c r="H977" s="237">
        <v>504.0</v>
      </c>
      <c r="I977" s="185" t="s">
        <v>2072</v>
      </c>
      <c r="J977" s="185" t="s">
        <v>3405</v>
      </c>
      <c r="K977" s="185" t="s">
        <v>2072</v>
      </c>
      <c r="L977" s="185" t="s">
        <v>2259</v>
      </c>
      <c r="M977" s="196" t="s">
        <v>749</v>
      </c>
      <c r="N977" s="185"/>
      <c r="O977" s="238"/>
      <c r="P977" s="239" t="s">
        <v>701</v>
      </c>
      <c r="Q977" s="239" t="s">
        <v>732</v>
      </c>
      <c r="R977" s="240" t="s">
        <v>750</v>
      </c>
      <c r="S977" s="196" t="s">
        <v>750</v>
      </c>
      <c r="T977" s="196" t="s">
        <v>1765</v>
      </c>
    </row>
    <row r="978">
      <c r="A978" s="182" t="s">
        <v>3416</v>
      </c>
      <c r="B978" s="203" t="s">
        <v>66</v>
      </c>
      <c r="C978" s="173" t="s">
        <v>66</v>
      </c>
      <c r="D978" s="173" t="s">
        <v>3417</v>
      </c>
      <c r="E978" s="196"/>
      <c r="F978" s="185" t="s">
        <v>185</v>
      </c>
      <c r="G978" s="185" t="s">
        <v>768</v>
      </c>
      <c r="H978" s="237">
        <v>504.0</v>
      </c>
      <c r="I978" s="185" t="s">
        <v>2072</v>
      </c>
      <c r="J978" s="185" t="s">
        <v>3405</v>
      </c>
      <c r="K978" s="185" t="s">
        <v>2072</v>
      </c>
      <c r="L978" s="185" t="s">
        <v>2259</v>
      </c>
      <c r="M978" s="196" t="s">
        <v>749</v>
      </c>
      <c r="N978" s="185"/>
      <c r="O978" s="238"/>
      <c r="P978" s="239" t="s">
        <v>701</v>
      </c>
      <c r="Q978" s="239" t="s">
        <v>732</v>
      </c>
      <c r="R978" s="240" t="s">
        <v>750</v>
      </c>
      <c r="S978" s="196" t="s">
        <v>750</v>
      </c>
      <c r="T978" s="196" t="s">
        <v>1765</v>
      </c>
    </row>
    <row r="979">
      <c r="A979" s="182" t="s">
        <v>3418</v>
      </c>
      <c r="B979" s="203" t="s">
        <v>66</v>
      </c>
      <c r="C979" s="173" t="s">
        <v>66</v>
      </c>
      <c r="D979" s="173" t="s">
        <v>3419</v>
      </c>
      <c r="E979" s="196"/>
      <c r="F979" s="185" t="s">
        <v>185</v>
      </c>
      <c r="G979" s="185" t="s">
        <v>768</v>
      </c>
      <c r="H979" s="237">
        <v>504.0</v>
      </c>
      <c r="I979" s="185" t="s">
        <v>2072</v>
      </c>
      <c r="J979" s="185" t="s">
        <v>3405</v>
      </c>
      <c r="K979" s="185" t="s">
        <v>2072</v>
      </c>
      <c r="L979" s="185" t="s">
        <v>2259</v>
      </c>
      <c r="M979" s="196" t="s">
        <v>749</v>
      </c>
      <c r="N979" s="185"/>
      <c r="O979" s="238"/>
      <c r="P979" s="239" t="s">
        <v>701</v>
      </c>
      <c r="Q979" s="239" t="s">
        <v>732</v>
      </c>
      <c r="R979" s="240" t="s">
        <v>750</v>
      </c>
      <c r="S979" s="196" t="s">
        <v>750</v>
      </c>
      <c r="T979" s="196" t="s">
        <v>1765</v>
      </c>
    </row>
    <row r="980">
      <c r="A980" s="182" t="s">
        <v>3420</v>
      </c>
      <c r="B980" s="203" t="s">
        <v>66</v>
      </c>
      <c r="C980" s="173" t="s">
        <v>66</v>
      </c>
      <c r="D980" s="173" t="s">
        <v>3421</v>
      </c>
      <c r="E980" s="196"/>
      <c r="F980" s="185" t="s">
        <v>185</v>
      </c>
      <c r="G980" s="185" t="s">
        <v>1115</v>
      </c>
      <c r="H980" s="237" t="s">
        <v>3422</v>
      </c>
      <c r="I980" s="185" t="s">
        <v>723</v>
      </c>
      <c r="J980" s="185" t="s">
        <v>723</v>
      </c>
      <c r="K980" s="185" t="s">
        <v>723</v>
      </c>
      <c r="L980" s="185" t="s">
        <v>2259</v>
      </c>
      <c r="M980" s="196" t="s">
        <v>687</v>
      </c>
      <c r="N980" s="185"/>
      <c r="O980" s="238"/>
      <c r="P980" s="239" t="s">
        <v>1340</v>
      </c>
      <c r="Q980" s="239" t="s">
        <v>732</v>
      </c>
      <c r="R980" s="240" t="s">
        <v>3423</v>
      </c>
      <c r="S980" s="196" t="s">
        <v>3423</v>
      </c>
      <c r="T980" s="196" t="s">
        <v>1765</v>
      </c>
    </row>
    <row r="981" hidden="1">
      <c r="A981" s="243" t="s">
        <v>3424</v>
      </c>
      <c r="B981" s="244" t="s">
        <v>66</v>
      </c>
      <c r="C981" s="245"/>
      <c r="D981" s="245" t="s">
        <v>3425</v>
      </c>
      <c r="E981" s="244"/>
      <c r="F981" s="246" t="s">
        <v>185</v>
      </c>
      <c r="G981" s="246" t="s">
        <v>1761</v>
      </c>
      <c r="H981" s="247" t="s">
        <v>3426</v>
      </c>
      <c r="I981" s="248" t="s">
        <v>1823</v>
      </c>
      <c r="J981" s="244" t="s">
        <v>1051</v>
      </c>
      <c r="K981" s="244" t="s">
        <v>1051</v>
      </c>
      <c r="L981" s="244"/>
      <c r="M981" s="244" t="s">
        <v>749</v>
      </c>
      <c r="N981" s="244"/>
      <c r="O981" s="244"/>
      <c r="P981" s="249" t="s">
        <v>913</v>
      </c>
      <c r="Q981" s="249" t="s">
        <v>732</v>
      </c>
      <c r="R981" s="244" t="s">
        <v>3427</v>
      </c>
      <c r="S981" s="244" t="s">
        <v>3427</v>
      </c>
      <c r="T981" s="244" t="s">
        <v>3428</v>
      </c>
    </row>
    <row r="982" hidden="1">
      <c r="A982" s="250" t="s">
        <v>3429</v>
      </c>
      <c r="B982" s="251" t="s">
        <v>66</v>
      </c>
      <c r="C982" s="245"/>
      <c r="D982" s="245" t="s">
        <v>3430</v>
      </c>
      <c r="E982" s="251"/>
      <c r="F982" s="251" t="s">
        <v>83</v>
      </c>
      <c r="G982" s="251" t="s">
        <v>1761</v>
      </c>
      <c r="H982" s="176">
        <v>1.23456789E8</v>
      </c>
      <c r="I982" s="196" t="s">
        <v>3431</v>
      </c>
      <c r="J982" s="196" t="s">
        <v>3431</v>
      </c>
      <c r="K982" s="196" t="s">
        <v>3431</v>
      </c>
      <c r="L982" s="251"/>
      <c r="M982" s="251" t="s">
        <v>687</v>
      </c>
      <c r="N982" s="251"/>
      <c r="O982" s="251"/>
      <c r="P982" s="205" t="s">
        <v>3432</v>
      </c>
      <c r="Q982" s="205" t="s">
        <v>1764</v>
      </c>
      <c r="R982" s="251" t="s">
        <v>3427</v>
      </c>
      <c r="S982" s="251" t="s">
        <v>3427</v>
      </c>
      <c r="T982" s="251" t="s">
        <v>3428</v>
      </c>
    </row>
    <row r="983" hidden="1">
      <c r="A983" s="250" t="s">
        <v>3433</v>
      </c>
      <c r="B983" s="251" t="s">
        <v>66</v>
      </c>
      <c r="C983" s="245"/>
      <c r="D983" s="245" t="s">
        <v>3434</v>
      </c>
      <c r="E983" s="251"/>
      <c r="F983" s="251" t="s">
        <v>185</v>
      </c>
      <c r="G983" s="251" t="s">
        <v>1500</v>
      </c>
      <c r="H983" s="176" t="b">
        <v>1</v>
      </c>
      <c r="I983" s="196" t="s">
        <v>3431</v>
      </c>
      <c r="J983" s="196" t="s">
        <v>3431</v>
      </c>
      <c r="K983" s="196" t="s">
        <v>3431</v>
      </c>
      <c r="L983" s="251"/>
      <c r="M983" s="251" t="s">
        <v>687</v>
      </c>
      <c r="N983" s="251"/>
      <c r="O983" s="251"/>
      <c r="P983" s="205" t="s">
        <v>1777</v>
      </c>
      <c r="Q983" s="205" t="s">
        <v>1764</v>
      </c>
      <c r="R983" s="251" t="s">
        <v>3427</v>
      </c>
      <c r="S983" s="251" t="s">
        <v>3427</v>
      </c>
      <c r="T983" s="251" t="s">
        <v>3428</v>
      </c>
    </row>
    <row r="984" hidden="1">
      <c r="A984" s="250" t="s">
        <v>3435</v>
      </c>
      <c r="B984" s="251" t="s">
        <v>66</v>
      </c>
      <c r="C984" s="245"/>
      <c r="D984" s="245" t="s">
        <v>3436</v>
      </c>
      <c r="E984" s="251"/>
      <c r="F984" s="251" t="s">
        <v>185</v>
      </c>
      <c r="G984" s="251" t="s">
        <v>1500</v>
      </c>
      <c r="H984" s="176" t="b">
        <v>1</v>
      </c>
      <c r="I984" s="196" t="s">
        <v>3431</v>
      </c>
      <c r="J984" s="196" t="s">
        <v>3431</v>
      </c>
      <c r="K984" s="196" t="s">
        <v>3431</v>
      </c>
      <c r="L984" s="251"/>
      <c r="M984" s="251" t="s">
        <v>687</v>
      </c>
      <c r="N984" s="251"/>
      <c r="O984" s="251"/>
      <c r="P984" s="205" t="s">
        <v>1777</v>
      </c>
      <c r="Q984" s="205" t="s">
        <v>1764</v>
      </c>
      <c r="R984" s="251" t="s">
        <v>3427</v>
      </c>
      <c r="S984" s="251" t="s">
        <v>3427</v>
      </c>
      <c r="T984" s="251" t="s">
        <v>3428</v>
      </c>
    </row>
    <row r="985" hidden="1">
      <c r="A985" s="250" t="s">
        <v>3437</v>
      </c>
      <c r="B985" s="251" t="s">
        <v>66</v>
      </c>
      <c r="C985" s="245"/>
      <c r="D985" s="245" t="s">
        <v>3438</v>
      </c>
      <c r="E985" s="251"/>
      <c r="F985" s="251" t="s">
        <v>135</v>
      </c>
      <c r="G985" s="251" t="s">
        <v>1761</v>
      </c>
      <c r="H985" s="176" t="s">
        <v>3439</v>
      </c>
      <c r="I985" s="196" t="s">
        <v>136</v>
      </c>
      <c r="J985" s="196" t="s">
        <v>136</v>
      </c>
      <c r="K985" s="196" t="s">
        <v>136</v>
      </c>
      <c r="L985" s="251"/>
      <c r="M985" s="251" t="s">
        <v>749</v>
      </c>
      <c r="N985" s="251"/>
      <c r="O985" s="251"/>
      <c r="P985" s="205" t="s">
        <v>3440</v>
      </c>
      <c r="Q985" s="205" t="s">
        <v>732</v>
      </c>
      <c r="R985" s="251" t="s">
        <v>3427</v>
      </c>
      <c r="S985" s="251" t="s">
        <v>3427</v>
      </c>
      <c r="T985" s="251" t="s">
        <v>3428</v>
      </c>
    </row>
    <row r="986" hidden="1">
      <c r="A986" s="250" t="s">
        <v>3441</v>
      </c>
      <c r="B986" s="251" t="s">
        <v>66</v>
      </c>
      <c r="C986" s="245"/>
      <c r="D986" s="245" t="s">
        <v>3442</v>
      </c>
      <c r="E986" s="251"/>
      <c r="F986" s="251" t="s">
        <v>135</v>
      </c>
      <c r="G986" s="251" t="s">
        <v>1761</v>
      </c>
      <c r="H986" s="176" t="s">
        <v>3443</v>
      </c>
      <c r="I986" s="196" t="s">
        <v>136</v>
      </c>
      <c r="J986" s="196" t="s">
        <v>136</v>
      </c>
      <c r="K986" s="196" t="s">
        <v>136</v>
      </c>
      <c r="L986" s="251"/>
      <c r="M986" s="251" t="s">
        <v>749</v>
      </c>
      <c r="N986" s="251"/>
      <c r="O986" s="251"/>
      <c r="P986" s="205" t="s">
        <v>3440</v>
      </c>
      <c r="Q986" s="205" t="s">
        <v>732</v>
      </c>
      <c r="R986" s="251" t="s">
        <v>3427</v>
      </c>
      <c r="S986" s="251" t="s">
        <v>3427</v>
      </c>
      <c r="T986" s="251" t="s">
        <v>3428</v>
      </c>
    </row>
    <row r="987" hidden="1">
      <c r="A987" s="250" t="s">
        <v>3444</v>
      </c>
      <c r="B987" s="251" t="s">
        <v>66</v>
      </c>
      <c r="C987" s="245"/>
      <c r="D987" s="245" t="s">
        <v>3445</v>
      </c>
      <c r="E987" s="251"/>
      <c r="F987" s="251" t="s">
        <v>135</v>
      </c>
      <c r="G987" s="251" t="s">
        <v>1761</v>
      </c>
      <c r="H987" s="176" t="s">
        <v>3446</v>
      </c>
      <c r="I987" s="196" t="s">
        <v>136</v>
      </c>
      <c r="J987" s="196" t="s">
        <v>136</v>
      </c>
      <c r="K987" s="196" t="s">
        <v>136</v>
      </c>
      <c r="L987" s="251"/>
      <c r="M987" s="251" t="s">
        <v>749</v>
      </c>
      <c r="N987" s="251"/>
      <c r="O987" s="251"/>
      <c r="P987" s="205" t="s">
        <v>3440</v>
      </c>
      <c r="Q987" s="205" t="s">
        <v>732</v>
      </c>
      <c r="R987" s="251" t="s">
        <v>3427</v>
      </c>
      <c r="S987" s="251" t="s">
        <v>3427</v>
      </c>
      <c r="T987" s="251" t="s">
        <v>3428</v>
      </c>
    </row>
    <row r="988" hidden="1">
      <c r="A988" s="250" t="s">
        <v>3447</v>
      </c>
      <c r="B988" s="251" t="s">
        <v>66</v>
      </c>
      <c r="C988" s="245"/>
      <c r="D988" s="245" t="s">
        <v>3448</v>
      </c>
      <c r="E988" s="251"/>
      <c r="F988" s="251" t="s">
        <v>135</v>
      </c>
      <c r="G988" s="251" t="s">
        <v>1761</v>
      </c>
      <c r="H988" s="176" t="s">
        <v>3449</v>
      </c>
      <c r="I988" s="196" t="s">
        <v>136</v>
      </c>
      <c r="J988" s="196" t="s">
        <v>136</v>
      </c>
      <c r="K988" s="196" t="s">
        <v>136</v>
      </c>
      <c r="L988" s="251"/>
      <c r="M988" s="251" t="s">
        <v>749</v>
      </c>
      <c r="N988" s="251"/>
      <c r="O988" s="251"/>
      <c r="P988" s="205" t="s">
        <v>3440</v>
      </c>
      <c r="Q988" s="205" t="s">
        <v>732</v>
      </c>
      <c r="R988" s="251" t="s">
        <v>3427</v>
      </c>
      <c r="S988" s="251" t="s">
        <v>3427</v>
      </c>
      <c r="T988" s="251" t="s">
        <v>3428</v>
      </c>
    </row>
    <row r="989" hidden="1">
      <c r="A989" s="250" t="s">
        <v>3450</v>
      </c>
      <c r="B989" s="251" t="s">
        <v>66</v>
      </c>
      <c r="C989" s="245"/>
      <c r="D989" s="245" t="s">
        <v>3451</v>
      </c>
      <c r="E989" s="251"/>
      <c r="F989" s="251" t="s">
        <v>135</v>
      </c>
      <c r="G989" s="251" t="s">
        <v>1761</v>
      </c>
      <c r="H989" s="176" t="s">
        <v>3452</v>
      </c>
      <c r="I989" s="196" t="s">
        <v>136</v>
      </c>
      <c r="J989" s="196" t="s">
        <v>136</v>
      </c>
      <c r="K989" s="196" t="s">
        <v>136</v>
      </c>
      <c r="L989" s="251"/>
      <c r="M989" s="251" t="s">
        <v>749</v>
      </c>
      <c r="N989" s="251"/>
      <c r="O989" s="251"/>
      <c r="P989" s="205" t="s">
        <v>3440</v>
      </c>
      <c r="Q989" s="205" t="s">
        <v>732</v>
      </c>
      <c r="R989" s="251" t="s">
        <v>3427</v>
      </c>
      <c r="S989" s="251" t="s">
        <v>3427</v>
      </c>
      <c r="T989" s="251" t="s">
        <v>3428</v>
      </c>
    </row>
    <row r="990" hidden="1">
      <c r="A990" s="250" t="s">
        <v>3453</v>
      </c>
      <c r="B990" s="251" t="s">
        <v>66</v>
      </c>
      <c r="C990" s="245"/>
      <c r="D990" s="245" t="s">
        <v>3454</v>
      </c>
      <c r="E990" s="251"/>
      <c r="F990" s="251" t="s">
        <v>135</v>
      </c>
      <c r="G990" s="251" t="s">
        <v>1761</v>
      </c>
      <c r="H990" s="176" t="s">
        <v>3455</v>
      </c>
      <c r="I990" s="196" t="s">
        <v>136</v>
      </c>
      <c r="J990" s="196" t="s">
        <v>136</v>
      </c>
      <c r="K990" s="196" t="s">
        <v>136</v>
      </c>
      <c r="L990" s="251"/>
      <c r="M990" s="251" t="s">
        <v>749</v>
      </c>
      <c r="N990" s="251"/>
      <c r="O990" s="251"/>
      <c r="P990" s="205" t="s">
        <v>3440</v>
      </c>
      <c r="Q990" s="205" t="s">
        <v>732</v>
      </c>
      <c r="R990" s="251" t="s">
        <v>3427</v>
      </c>
      <c r="S990" s="251" t="s">
        <v>3427</v>
      </c>
      <c r="T990" s="251" t="s">
        <v>3428</v>
      </c>
    </row>
    <row r="991" hidden="1">
      <c r="A991" s="250" t="s">
        <v>3456</v>
      </c>
      <c r="B991" s="251" t="s">
        <v>66</v>
      </c>
      <c r="C991" s="245"/>
      <c r="D991" s="245" t="s">
        <v>3457</v>
      </c>
      <c r="E991" s="251"/>
      <c r="F991" s="251" t="s">
        <v>135</v>
      </c>
      <c r="G991" s="251" t="s">
        <v>1761</v>
      </c>
      <c r="H991" s="176" t="s">
        <v>3458</v>
      </c>
      <c r="I991" s="196" t="s">
        <v>136</v>
      </c>
      <c r="J991" s="196" t="s">
        <v>136</v>
      </c>
      <c r="K991" s="196" t="s">
        <v>136</v>
      </c>
      <c r="L991" s="251"/>
      <c r="M991" s="251" t="s">
        <v>749</v>
      </c>
      <c r="N991" s="251"/>
      <c r="O991" s="251"/>
      <c r="P991" s="205" t="s">
        <v>3440</v>
      </c>
      <c r="Q991" s="205" t="s">
        <v>732</v>
      </c>
      <c r="R991" s="251" t="s">
        <v>3427</v>
      </c>
      <c r="S991" s="251" t="s">
        <v>3427</v>
      </c>
      <c r="T991" s="251" t="s">
        <v>3428</v>
      </c>
    </row>
    <row r="992" hidden="1">
      <c r="A992" s="250" t="s">
        <v>3459</v>
      </c>
      <c r="B992" s="251" t="s">
        <v>66</v>
      </c>
      <c r="C992" s="245"/>
      <c r="D992" s="245" t="s">
        <v>3460</v>
      </c>
      <c r="E992" s="251"/>
      <c r="F992" s="251" t="s">
        <v>135</v>
      </c>
      <c r="G992" s="251" t="s">
        <v>1761</v>
      </c>
      <c r="H992" s="176" t="s">
        <v>3461</v>
      </c>
      <c r="I992" s="196" t="s">
        <v>136</v>
      </c>
      <c r="J992" s="196" t="s">
        <v>136</v>
      </c>
      <c r="K992" s="196" t="s">
        <v>136</v>
      </c>
      <c r="L992" s="251"/>
      <c r="M992" s="251" t="s">
        <v>749</v>
      </c>
      <c r="N992" s="251"/>
      <c r="O992" s="251"/>
      <c r="P992" s="205" t="s">
        <v>3440</v>
      </c>
      <c r="Q992" s="205" t="s">
        <v>732</v>
      </c>
      <c r="R992" s="251" t="s">
        <v>3427</v>
      </c>
      <c r="S992" s="251" t="s">
        <v>3427</v>
      </c>
      <c r="T992" s="251" t="s">
        <v>3428</v>
      </c>
    </row>
    <row r="993" hidden="1">
      <c r="A993" s="250" t="s">
        <v>3462</v>
      </c>
      <c r="B993" s="251" t="s">
        <v>66</v>
      </c>
      <c r="C993" s="245"/>
      <c r="D993" s="245" t="s">
        <v>3463</v>
      </c>
      <c r="E993" s="251"/>
      <c r="F993" s="251" t="s">
        <v>135</v>
      </c>
      <c r="G993" s="251" t="s">
        <v>1761</v>
      </c>
      <c r="H993" s="176" t="s">
        <v>3464</v>
      </c>
      <c r="I993" s="196" t="s">
        <v>136</v>
      </c>
      <c r="J993" s="196" t="s">
        <v>136</v>
      </c>
      <c r="K993" s="196" t="s">
        <v>136</v>
      </c>
      <c r="L993" s="251"/>
      <c r="M993" s="251" t="s">
        <v>749</v>
      </c>
      <c r="N993" s="251"/>
      <c r="O993" s="251"/>
      <c r="P993" s="205" t="s">
        <v>3440</v>
      </c>
      <c r="Q993" s="205" t="s">
        <v>732</v>
      </c>
      <c r="R993" s="251" t="s">
        <v>3427</v>
      </c>
      <c r="S993" s="251" t="s">
        <v>3427</v>
      </c>
      <c r="T993" s="251" t="s">
        <v>3428</v>
      </c>
    </row>
    <row r="994" hidden="1">
      <c r="A994" s="250" t="s">
        <v>3465</v>
      </c>
      <c r="B994" s="251" t="s">
        <v>66</v>
      </c>
      <c r="C994" s="245"/>
      <c r="D994" s="245" t="s">
        <v>3466</v>
      </c>
      <c r="E994" s="251"/>
      <c r="F994" s="251" t="s">
        <v>135</v>
      </c>
      <c r="G994" s="251" t="s">
        <v>1761</v>
      </c>
      <c r="H994" s="176" t="s">
        <v>3467</v>
      </c>
      <c r="I994" s="196" t="s">
        <v>136</v>
      </c>
      <c r="J994" s="196" t="s">
        <v>136</v>
      </c>
      <c r="K994" s="196" t="s">
        <v>136</v>
      </c>
      <c r="L994" s="251"/>
      <c r="M994" s="251" t="s">
        <v>749</v>
      </c>
      <c r="N994" s="251"/>
      <c r="O994" s="251"/>
      <c r="P994" s="205" t="s">
        <v>3440</v>
      </c>
      <c r="Q994" s="205" t="s">
        <v>732</v>
      </c>
      <c r="R994" s="251" t="s">
        <v>3427</v>
      </c>
      <c r="S994" s="251" t="s">
        <v>3427</v>
      </c>
      <c r="T994" s="251" t="s">
        <v>3428</v>
      </c>
    </row>
    <row r="995">
      <c r="A995" s="182" t="s">
        <v>3468</v>
      </c>
      <c r="B995" s="203" t="s">
        <v>66</v>
      </c>
      <c r="C995" s="173" t="s">
        <v>66</v>
      </c>
      <c r="D995" s="173" t="s">
        <v>3469</v>
      </c>
      <c r="E995" s="196"/>
      <c r="F995" s="185" t="s">
        <v>185</v>
      </c>
      <c r="G995" s="185" t="s">
        <v>777</v>
      </c>
      <c r="H995" s="237">
        <v>25.34</v>
      </c>
      <c r="I995" s="196" t="s">
        <v>2362</v>
      </c>
      <c r="J995" s="240" t="s">
        <v>2362</v>
      </c>
      <c r="K995" s="240" t="s">
        <v>2362</v>
      </c>
      <c r="L995" s="185"/>
      <c r="M995" s="196" t="s">
        <v>687</v>
      </c>
      <c r="N995" s="185"/>
      <c r="O995" s="238"/>
      <c r="P995" s="239" t="s">
        <v>3391</v>
      </c>
      <c r="Q995" s="239" t="s">
        <v>1764</v>
      </c>
      <c r="R995" s="196" t="s">
        <v>1518</v>
      </c>
      <c r="S995" s="196" t="s">
        <v>1518</v>
      </c>
      <c r="T995" s="196" t="s">
        <v>1765</v>
      </c>
    </row>
    <row r="996" hidden="1">
      <c r="A996" s="182" t="s">
        <v>3470</v>
      </c>
      <c r="B996" s="203" t="s">
        <v>66</v>
      </c>
      <c r="C996" s="173"/>
      <c r="D996" s="173" t="s">
        <v>3471</v>
      </c>
      <c r="E996" s="196"/>
      <c r="F996" s="185" t="s">
        <v>185</v>
      </c>
      <c r="G996" s="240" t="s">
        <v>3472</v>
      </c>
      <c r="H996" s="237">
        <v>69.17</v>
      </c>
      <c r="I996" s="196" t="s">
        <v>3473</v>
      </c>
      <c r="J996" s="196" t="s">
        <v>3473</v>
      </c>
      <c r="K996" s="240" t="s">
        <v>3473</v>
      </c>
      <c r="L996" s="185"/>
      <c r="M996" s="196" t="s">
        <v>749</v>
      </c>
      <c r="N996" s="185"/>
      <c r="O996" s="238"/>
      <c r="P996" s="239" t="s">
        <v>1771</v>
      </c>
      <c r="Q996" s="239" t="s">
        <v>1764</v>
      </c>
      <c r="R996" s="196" t="s">
        <v>3427</v>
      </c>
      <c r="S996" s="196"/>
      <c r="T996" s="196"/>
    </row>
    <row r="997" hidden="1">
      <c r="A997" s="182" t="s">
        <v>3474</v>
      </c>
      <c r="B997" s="203" t="s">
        <v>66</v>
      </c>
      <c r="C997" s="173"/>
      <c r="D997" s="173" t="s">
        <v>3475</v>
      </c>
      <c r="E997" s="196"/>
      <c r="F997" s="185" t="s">
        <v>185</v>
      </c>
      <c r="G997" s="240" t="s">
        <v>3472</v>
      </c>
      <c r="H997" s="237">
        <v>939.12</v>
      </c>
      <c r="I997" s="196" t="s">
        <v>3473</v>
      </c>
      <c r="J997" s="240" t="s">
        <v>3473</v>
      </c>
      <c r="K997" s="240" t="s">
        <v>3473</v>
      </c>
      <c r="L997" s="185"/>
      <c r="M997" s="196" t="s">
        <v>749</v>
      </c>
      <c r="N997" s="185"/>
      <c r="O997" s="238"/>
      <c r="P997" s="239" t="s">
        <v>1771</v>
      </c>
      <c r="Q997" s="239" t="s">
        <v>1764</v>
      </c>
      <c r="R997" s="196" t="s">
        <v>3427</v>
      </c>
      <c r="S997" s="196"/>
      <c r="T997" s="196"/>
    </row>
    <row r="998" hidden="1">
      <c r="A998" s="182" t="s">
        <v>3476</v>
      </c>
      <c r="B998" s="203" t="s">
        <v>66</v>
      </c>
      <c r="C998" s="173"/>
      <c r="D998" s="173" t="s">
        <v>3477</v>
      </c>
      <c r="E998" s="196"/>
      <c r="F998" s="185" t="s">
        <v>185</v>
      </c>
      <c r="G998" s="240" t="s">
        <v>3472</v>
      </c>
      <c r="H998" s="237">
        <v>656.76</v>
      </c>
      <c r="I998" s="196" t="s">
        <v>3473</v>
      </c>
      <c r="J998" s="240" t="s">
        <v>3473</v>
      </c>
      <c r="K998" s="240" t="s">
        <v>3473</v>
      </c>
      <c r="L998" s="185"/>
      <c r="M998" s="196" t="s">
        <v>749</v>
      </c>
      <c r="N998" s="185"/>
      <c r="O998" s="238"/>
      <c r="P998" s="239" t="s">
        <v>1771</v>
      </c>
      <c r="Q998" s="239" t="s">
        <v>1764</v>
      </c>
      <c r="R998" s="196" t="s">
        <v>3427</v>
      </c>
      <c r="S998" s="196"/>
      <c r="T998" s="196"/>
    </row>
    <row r="999" hidden="1">
      <c r="A999" s="182" t="s">
        <v>3478</v>
      </c>
      <c r="B999" s="203" t="s">
        <v>66</v>
      </c>
      <c r="C999" s="173"/>
      <c r="D999" s="173" t="s">
        <v>3479</v>
      </c>
      <c r="E999" s="196"/>
      <c r="F999" s="185" t="s">
        <v>185</v>
      </c>
      <c r="G999" s="240" t="s">
        <v>3472</v>
      </c>
      <c r="H999" s="237">
        <v>848.54</v>
      </c>
      <c r="I999" s="196" t="s">
        <v>3473</v>
      </c>
      <c r="J999" s="240" t="s">
        <v>3473</v>
      </c>
      <c r="K999" s="240" t="s">
        <v>3473</v>
      </c>
      <c r="L999" s="185"/>
      <c r="M999" s="196" t="s">
        <v>749</v>
      </c>
      <c r="N999" s="185"/>
      <c r="O999" s="238"/>
      <c r="P999" s="239" t="s">
        <v>1771</v>
      </c>
      <c r="Q999" s="239" t="s">
        <v>1764</v>
      </c>
      <c r="R999" s="196" t="s">
        <v>3427</v>
      </c>
      <c r="S999" s="196"/>
      <c r="T999" s="196"/>
    </row>
    <row r="1000" hidden="1">
      <c r="A1000" s="182" t="s">
        <v>3480</v>
      </c>
      <c r="B1000" s="203" t="s">
        <v>66</v>
      </c>
      <c r="C1000" s="173"/>
      <c r="D1000" s="173" t="s">
        <v>3481</v>
      </c>
      <c r="E1000" s="196"/>
      <c r="F1000" s="185" t="s">
        <v>185</v>
      </c>
      <c r="G1000" s="240" t="s">
        <v>3472</v>
      </c>
      <c r="H1000" s="237">
        <v>341.86</v>
      </c>
      <c r="I1000" s="196" t="s">
        <v>3473</v>
      </c>
      <c r="J1000" s="240" t="s">
        <v>3473</v>
      </c>
      <c r="K1000" s="240" t="s">
        <v>3473</v>
      </c>
      <c r="L1000" s="185"/>
      <c r="M1000" s="196" t="s">
        <v>749</v>
      </c>
      <c r="N1000" s="185"/>
      <c r="O1000" s="238"/>
      <c r="P1000" s="239" t="s">
        <v>1771</v>
      </c>
      <c r="Q1000" s="239" t="s">
        <v>1764</v>
      </c>
      <c r="R1000" s="196" t="s">
        <v>3427</v>
      </c>
      <c r="S1000" s="196"/>
      <c r="T1000" s="196"/>
    </row>
    <row r="1001" hidden="1">
      <c r="A1001" s="182" t="s">
        <v>3482</v>
      </c>
      <c r="B1001" s="203" t="s">
        <v>66</v>
      </c>
      <c r="C1001" s="173"/>
      <c r="D1001" s="173" t="s">
        <v>3483</v>
      </c>
      <c r="E1001" s="196"/>
      <c r="F1001" s="185" t="s">
        <v>185</v>
      </c>
      <c r="G1001" s="240" t="s">
        <v>3472</v>
      </c>
      <c r="H1001" s="237">
        <v>509.98</v>
      </c>
      <c r="I1001" s="196" t="s">
        <v>3473</v>
      </c>
      <c r="J1001" s="240" t="s">
        <v>3473</v>
      </c>
      <c r="K1001" s="240" t="s">
        <v>3473</v>
      </c>
      <c r="L1001" s="185"/>
      <c r="M1001" s="196" t="s">
        <v>749</v>
      </c>
      <c r="N1001" s="185"/>
      <c r="O1001" s="238"/>
      <c r="P1001" s="239" t="s">
        <v>1771</v>
      </c>
      <c r="Q1001" s="239" t="s">
        <v>1764</v>
      </c>
      <c r="R1001" s="196" t="s">
        <v>3427</v>
      </c>
      <c r="S1001" s="196"/>
      <c r="T1001" s="196"/>
    </row>
    <row r="1002" hidden="1">
      <c r="A1002" s="182" t="s">
        <v>3484</v>
      </c>
      <c r="B1002" s="203" t="s">
        <v>66</v>
      </c>
      <c r="C1002" s="173"/>
      <c r="D1002" s="173" t="s">
        <v>3485</v>
      </c>
      <c r="E1002" s="196"/>
      <c r="F1002" s="185" t="s">
        <v>185</v>
      </c>
      <c r="G1002" s="240" t="s">
        <v>3472</v>
      </c>
      <c r="H1002" s="237">
        <v>202.77</v>
      </c>
      <c r="I1002" s="196" t="s">
        <v>3473</v>
      </c>
      <c r="J1002" s="240" t="s">
        <v>3473</v>
      </c>
      <c r="K1002" s="240" t="s">
        <v>3473</v>
      </c>
      <c r="L1002" s="185"/>
      <c r="M1002" s="196" t="s">
        <v>749</v>
      </c>
      <c r="N1002" s="185"/>
      <c r="O1002" s="238"/>
      <c r="P1002" s="239" t="s">
        <v>1771</v>
      </c>
      <c r="Q1002" s="239" t="s">
        <v>1764</v>
      </c>
      <c r="R1002" s="196" t="s">
        <v>3427</v>
      </c>
      <c r="S1002" s="196"/>
      <c r="T1002" s="196"/>
    </row>
    <row r="1003" hidden="1">
      <c r="A1003" s="182" t="s">
        <v>3486</v>
      </c>
      <c r="B1003" s="203" t="s">
        <v>66</v>
      </c>
      <c r="C1003" s="173"/>
      <c r="D1003" s="173" t="s">
        <v>3487</v>
      </c>
      <c r="E1003" s="196"/>
      <c r="F1003" s="185" t="s">
        <v>185</v>
      </c>
      <c r="G1003" s="240" t="s">
        <v>3472</v>
      </c>
      <c r="H1003" s="237">
        <v>138.54</v>
      </c>
      <c r="I1003" s="196" t="s">
        <v>3473</v>
      </c>
      <c r="J1003" s="240" t="s">
        <v>3473</v>
      </c>
      <c r="K1003" s="240" t="s">
        <v>3473</v>
      </c>
      <c r="L1003" s="185"/>
      <c r="M1003" s="196" t="s">
        <v>749</v>
      </c>
      <c r="N1003" s="185"/>
      <c r="O1003" s="238"/>
      <c r="P1003" s="239" t="s">
        <v>1771</v>
      </c>
      <c r="Q1003" s="239" t="s">
        <v>1764</v>
      </c>
      <c r="R1003" s="196" t="s">
        <v>3427</v>
      </c>
      <c r="S1003" s="196"/>
      <c r="T1003" s="196"/>
    </row>
    <row r="1004" hidden="1">
      <c r="A1004" s="182" t="s">
        <v>3488</v>
      </c>
      <c r="B1004" s="203" t="s">
        <v>66</v>
      </c>
      <c r="C1004" s="173"/>
      <c r="D1004" s="173" t="s">
        <v>3489</v>
      </c>
      <c r="E1004" s="196"/>
      <c r="F1004" s="185" t="s">
        <v>185</v>
      </c>
      <c r="G1004" s="240" t="s">
        <v>3472</v>
      </c>
      <c r="H1004" s="237">
        <v>609.97</v>
      </c>
      <c r="I1004" s="196" t="s">
        <v>3473</v>
      </c>
      <c r="J1004" s="240" t="s">
        <v>3473</v>
      </c>
      <c r="K1004" s="240" t="s">
        <v>3473</v>
      </c>
      <c r="L1004" s="185"/>
      <c r="M1004" s="196" t="s">
        <v>749</v>
      </c>
      <c r="N1004" s="185"/>
      <c r="O1004" s="238"/>
      <c r="P1004" s="239" t="s">
        <v>1771</v>
      </c>
      <c r="Q1004" s="239" t="s">
        <v>1764</v>
      </c>
      <c r="R1004" s="196" t="s">
        <v>3427</v>
      </c>
      <c r="S1004" s="196"/>
      <c r="T1004" s="196"/>
    </row>
    <row r="1005" hidden="1">
      <c r="A1005" s="182" t="s">
        <v>3490</v>
      </c>
      <c r="B1005" s="203" t="s">
        <v>66</v>
      </c>
      <c r="C1005" s="173"/>
      <c r="D1005" s="173" t="s">
        <v>3491</v>
      </c>
      <c r="E1005" s="196"/>
      <c r="F1005" s="185" t="s">
        <v>185</v>
      </c>
      <c r="G1005" s="240" t="s">
        <v>3472</v>
      </c>
      <c r="H1005" s="237">
        <v>407.69</v>
      </c>
      <c r="I1005" s="196" t="s">
        <v>3473</v>
      </c>
      <c r="J1005" s="240" t="s">
        <v>3473</v>
      </c>
      <c r="K1005" s="240" t="s">
        <v>3473</v>
      </c>
      <c r="L1005" s="185"/>
      <c r="M1005" s="196" t="s">
        <v>749</v>
      </c>
      <c r="N1005" s="185"/>
      <c r="O1005" s="238"/>
      <c r="P1005" s="239" t="s">
        <v>1771</v>
      </c>
      <c r="Q1005" s="239" t="s">
        <v>1764</v>
      </c>
      <c r="R1005" s="196" t="s">
        <v>3427</v>
      </c>
      <c r="S1005" s="196"/>
      <c r="T1005" s="196"/>
    </row>
    <row r="1006" hidden="1">
      <c r="A1006" s="182" t="s">
        <v>3492</v>
      </c>
      <c r="B1006" s="203" t="s">
        <v>66</v>
      </c>
      <c r="C1006" s="173"/>
      <c r="D1006" s="173" t="s">
        <v>3493</v>
      </c>
      <c r="E1006" s="196"/>
      <c r="F1006" s="185" t="s">
        <v>185</v>
      </c>
      <c r="G1006" s="240" t="s">
        <v>3472</v>
      </c>
      <c r="H1006" s="237">
        <v>223.13</v>
      </c>
      <c r="I1006" s="196" t="s">
        <v>3473</v>
      </c>
      <c r="J1006" s="240" t="s">
        <v>3473</v>
      </c>
      <c r="K1006" s="240" t="s">
        <v>3473</v>
      </c>
      <c r="L1006" s="185"/>
      <c r="M1006" s="196" t="s">
        <v>749</v>
      </c>
      <c r="N1006" s="185"/>
      <c r="O1006" s="238"/>
      <c r="P1006" s="239" t="s">
        <v>1771</v>
      </c>
      <c r="Q1006" s="239" t="s">
        <v>1764</v>
      </c>
      <c r="R1006" s="196" t="s">
        <v>3427</v>
      </c>
      <c r="S1006" s="196"/>
      <c r="T1006" s="196"/>
    </row>
    <row r="1007" hidden="1">
      <c r="A1007" s="182" t="s">
        <v>3494</v>
      </c>
      <c r="B1007" s="203" t="s">
        <v>66</v>
      </c>
      <c r="C1007" s="173"/>
      <c r="D1007" s="173" t="s">
        <v>3495</v>
      </c>
      <c r="E1007" s="196"/>
      <c r="F1007" s="185" t="s">
        <v>185</v>
      </c>
      <c r="G1007" s="240" t="s">
        <v>3472</v>
      </c>
      <c r="H1007" s="237">
        <v>946.56</v>
      </c>
      <c r="I1007" s="196" t="s">
        <v>3473</v>
      </c>
      <c r="J1007" s="240" t="s">
        <v>3473</v>
      </c>
      <c r="K1007" s="240" t="s">
        <v>3473</v>
      </c>
      <c r="L1007" s="185"/>
      <c r="M1007" s="196" t="s">
        <v>749</v>
      </c>
      <c r="N1007" s="185"/>
      <c r="O1007" s="238"/>
      <c r="P1007" s="239" t="s">
        <v>1771</v>
      </c>
      <c r="Q1007" s="239" t="s">
        <v>1764</v>
      </c>
      <c r="R1007" s="196" t="s">
        <v>3427</v>
      </c>
      <c r="S1007" s="196"/>
      <c r="T1007" s="196"/>
    </row>
    <row r="1008" hidden="1">
      <c r="A1008" s="182" t="s">
        <v>3496</v>
      </c>
      <c r="B1008" s="203" t="s">
        <v>66</v>
      </c>
      <c r="C1008" s="173"/>
      <c r="D1008" s="173" t="s">
        <v>3497</v>
      </c>
      <c r="E1008" s="196"/>
      <c r="F1008" s="185" t="s">
        <v>185</v>
      </c>
      <c r="G1008" s="240" t="s">
        <v>3472</v>
      </c>
      <c r="H1008" s="237">
        <v>259.07</v>
      </c>
      <c r="I1008" s="196" t="s">
        <v>3473</v>
      </c>
      <c r="J1008" s="240" t="s">
        <v>3473</v>
      </c>
      <c r="K1008" s="240" t="s">
        <v>3473</v>
      </c>
      <c r="L1008" s="185"/>
      <c r="M1008" s="196" t="s">
        <v>749</v>
      </c>
      <c r="N1008" s="185"/>
      <c r="O1008" s="238"/>
      <c r="P1008" s="239" t="s">
        <v>1771</v>
      </c>
      <c r="Q1008" s="239" t="s">
        <v>1764</v>
      </c>
      <c r="R1008" s="196" t="s">
        <v>3427</v>
      </c>
      <c r="S1008" s="196"/>
      <c r="T1008" s="196"/>
    </row>
    <row r="1009" hidden="1">
      <c r="A1009" s="182" t="s">
        <v>3498</v>
      </c>
      <c r="B1009" s="203" t="s">
        <v>66</v>
      </c>
      <c r="C1009" s="173"/>
      <c r="D1009" s="173" t="s">
        <v>3499</v>
      </c>
      <c r="E1009" s="196"/>
      <c r="F1009" s="185" t="s">
        <v>185</v>
      </c>
      <c r="G1009" s="240" t="s">
        <v>3472</v>
      </c>
      <c r="H1009" s="237">
        <v>861.35</v>
      </c>
      <c r="I1009" s="196" t="s">
        <v>3473</v>
      </c>
      <c r="J1009" s="240" t="s">
        <v>3473</v>
      </c>
      <c r="K1009" s="240" t="s">
        <v>3473</v>
      </c>
      <c r="L1009" s="185"/>
      <c r="M1009" s="196" t="s">
        <v>749</v>
      </c>
      <c r="N1009" s="185"/>
      <c r="O1009" s="238"/>
      <c r="P1009" s="239" t="s">
        <v>1771</v>
      </c>
      <c r="Q1009" s="239" t="s">
        <v>1764</v>
      </c>
      <c r="R1009" s="196" t="s">
        <v>3427</v>
      </c>
      <c r="S1009" s="196"/>
      <c r="T1009" s="196"/>
    </row>
    <row r="1010" hidden="1">
      <c r="A1010" s="182" t="s">
        <v>3500</v>
      </c>
      <c r="B1010" s="203" t="s">
        <v>66</v>
      </c>
      <c r="C1010" s="173"/>
      <c r="D1010" s="173" t="s">
        <v>3501</v>
      </c>
      <c r="E1010" s="196"/>
      <c r="F1010" s="185" t="s">
        <v>185</v>
      </c>
      <c r="G1010" s="240" t="s">
        <v>3472</v>
      </c>
      <c r="H1010" s="237">
        <v>403.09</v>
      </c>
      <c r="I1010" s="196" t="s">
        <v>3473</v>
      </c>
      <c r="J1010" s="240" t="s">
        <v>3473</v>
      </c>
      <c r="K1010" s="240" t="s">
        <v>3473</v>
      </c>
      <c r="L1010" s="185"/>
      <c r="M1010" s="196" t="s">
        <v>749</v>
      </c>
      <c r="N1010" s="185"/>
      <c r="O1010" s="238"/>
      <c r="P1010" s="239" t="s">
        <v>1771</v>
      </c>
      <c r="Q1010" s="239" t="s">
        <v>1764</v>
      </c>
      <c r="R1010" s="196" t="s">
        <v>3427</v>
      </c>
      <c r="S1010" s="196"/>
      <c r="T1010" s="196"/>
    </row>
    <row r="1011" hidden="1">
      <c r="A1011" s="182" t="s">
        <v>3502</v>
      </c>
      <c r="B1011" s="203" t="s">
        <v>66</v>
      </c>
      <c r="C1011" s="173"/>
      <c r="D1011" s="173" t="s">
        <v>3503</v>
      </c>
      <c r="E1011" s="196"/>
      <c r="F1011" s="185" t="s">
        <v>185</v>
      </c>
      <c r="G1011" s="240" t="s">
        <v>3472</v>
      </c>
      <c r="H1011" s="237">
        <v>272.97</v>
      </c>
      <c r="I1011" s="196" t="s">
        <v>3473</v>
      </c>
      <c r="J1011" s="240" t="s">
        <v>3473</v>
      </c>
      <c r="K1011" s="240" t="s">
        <v>3473</v>
      </c>
      <c r="L1011" s="185"/>
      <c r="M1011" s="196" t="s">
        <v>749</v>
      </c>
      <c r="N1011" s="185"/>
      <c r="O1011" s="238"/>
      <c r="P1011" s="239" t="s">
        <v>1771</v>
      </c>
      <c r="Q1011" s="239" t="s">
        <v>1764</v>
      </c>
      <c r="R1011" s="196" t="s">
        <v>3427</v>
      </c>
      <c r="S1011" s="196"/>
      <c r="T1011" s="196"/>
    </row>
    <row r="1012" hidden="1">
      <c r="A1012" s="182" t="s">
        <v>3504</v>
      </c>
      <c r="B1012" s="203" t="s">
        <v>66</v>
      </c>
      <c r="C1012" s="173"/>
      <c r="D1012" s="173" t="s">
        <v>3505</v>
      </c>
      <c r="E1012" s="196"/>
      <c r="F1012" s="185" t="s">
        <v>185</v>
      </c>
      <c r="G1012" s="240" t="s">
        <v>3472</v>
      </c>
      <c r="H1012" s="237">
        <v>452.01</v>
      </c>
      <c r="I1012" s="196" t="s">
        <v>3473</v>
      </c>
      <c r="J1012" s="240" t="s">
        <v>3473</v>
      </c>
      <c r="K1012" s="240" t="s">
        <v>3473</v>
      </c>
      <c r="L1012" s="185"/>
      <c r="M1012" s="196" t="s">
        <v>749</v>
      </c>
      <c r="N1012" s="185"/>
      <c r="O1012" s="238"/>
      <c r="P1012" s="239" t="s">
        <v>1771</v>
      </c>
      <c r="Q1012" s="239" t="s">
        <v>1764</v>
      </c>
      <c r="R1012" s="196" t="s">
        <v>3427</v>
      </c>
      <c r="S1012" s="196"/>
      <c r="T1012" s="196"/>
    </row>
    <row r="1013" hidden="1">
      <c r="A1013" s="182" t="s">
        <v>3506</v>
      </c>
      <c r="B1013" s="203" t="s">
        <v>66</v>
      </c>
      <c r="C1013" s="173"/>
      <c r="D1013" s="173" t="s">
        <v>3507</v>
      </c>
      <c r="E1013" s="196"/>
      <c r="F1013" s="185" t="s">
        <v>185</v>
      </c>
      <c r="G1013" s="240" t="s">
        <v>3472</v>
      </c>
      <c r="H1013" s="237">
        <v>273.37</v>
      </c>
      <c r="I1013" s="196" t="s">
        <v>3473</v>
      </c>
      <c r="J1013" s="240" t="s">
        <v>3473</v>
      </c>
      <c r="K1013" s="240" t="s">
        <v>3473</v>
      </c>
      <c r="L1013" s="185"/>
      <c r="M1013" s="196" t="s">
        <v>749</v>
      </c>
      <c r="N1013" s="185"/>
      <c r="O1013" s="238"/>
      <c r="P1013" s="239" t="s">
        <v>1771</v>
      </c>
      <c r="Q1013" s="239" t="s">
        <v>1764</v>
      </c>
      <c r="R1013" s="196" t="s">
        <v>3427</v>
      </c>
      <c r="S1013" s="196"/>
      <c r="T1013" s="196"/>
    </row>
    <row r="1014" hidden="1">
      <c r="A1014" s="182" t="s">
        <v>3508</v>
      </c>
      <c r="B1014" s="203" t="s">
        <v>66</v>
      </c>
      <c r="C1014" s="173"/>
      <c r="D1014" s="173" t="s">
        <v>3509</v>
      </c>
      <c r="E1014" s="196"/>
      <c r="F1014" s="185" t="s">
        <v>185</v>
      </c>
      <c r="G1014" s="196" t="s">
        <v>3472</v>
      </c>
      <c r="H1014" s="237">
        <v>276.98</v>
      </c>
      <c r="I1014" s="196" t="s">
        <v>3473</v>
      </c>
      <c r="J1014" s="240" t="s">
        <v>3473</v>
      </c>
      <c r="K1014" s="240" t="s">
        <v>3473</v>
      </c>
      <c r="L1014" s="185"/>
      <c r="M1014" s="196" t="s">
        <v>749</v>
      </c>
      <c r="N1014" s="185"/>
      <c r="O1014" s="238"/>
      <c r="P1014" s="239" t="s">
        <v>1771</v>
      </c>
      <c r="Q1014" s="239" t="s">
        <v>1764</v>
      </c>
      <c r="R1014" s="196" t="s">
        <v>3427</v>
      </c>
      <c r="S1014" s="196"/>
      <c r="T1014" s="196"/>
    </row>
    <row r="1015" hidden="1">
      <c r="A1015" s="182" t="s">
        <v>3510</v>
      </c>
      <c r="B1015" s="203" t="s">
        <v>66</v>
      </c>
      <c r="C1015" s="173"/>
      <c r="D1015" s="173" t="s">
        <v>3511</v>
      </c>
      <c r="E1015" s="196"/>
      <c r="F1015" s="185" t="s">
        <v>185</v>
      </c>
      <c r="G1015" s="196" t="s">
        <v>3512</v>
      </c>
      <c r="H1015" s="237">
        <v>0.85717875</v>
      </c>
      <c r="I1015" s="196" t="s">
        <v>3473</v>
      </c>
      <c r="J1015" s="240" t="s">
        <v>3473</v>
      </c>
      <c r="K1015" s="240" t="s">
        <v>3473</v>
      </c>
      <c r="L1015" s="185"/>
      <c r="M1015" s="196" t="s">
        <v>749</v>
      </c>
      <c r="N1015" s="185"/>
      <c r="O1015" s="238"/>
      <c r="P1015" s="239" t="s">
        <v>1771</v>
      </c>
      <c r="Q1015" s="239" t="s">
        <v>1764</v>
      </c>
      <c r="R1015" s="196" t="s">
        <v>3427</v>
      </c>
      <c r="S1015" s="196"/>
      <c r="T1015" s="196"/>
    </row>
    <row r="1016" hidden="1">
      <c r="A1016" s="182" t="s">
        <v>3513</v>
      </c>
      <c r="B1016" s="203" t="s">
        <v>66</v>
      </c>
      <c r="C1016" s="173"/>
      <c r="D1016" s="173" t="s">
        <v>3514</v>
      </c>
      <c r="E1016" s="196"/>
      <c r="F1016" s="185" t="s">
        <v>185</v>
      </c>
      <c r="G1016" s="196" t="s">
        <v>3512</v>
      </c>
      <c r="H1016" s="237">
        <v>0.80088054</v>
      </c>
      <c r="I1016" s="196" t="s">
        <v>3473</v>
      </c>
      <c r="J1016" s="240" t="s">
        <v>3473</v>
      </c>
      <c r="K1016" s="240" t="s">
        <v>3473</v>
      </c>
      <c r="L1016" s="185"/>
      <c r="M1016" s="196" t="s">
        <v>749</v>
      </c>
      <c r="N1016" s="185"/>
      <c r="O1016" s="238"/>
      <c r="P1016" s="239" t="s">
        <v>1771</v>
      </c>
      <c r="Q1016" s="239" t="s">
        <v>1764</v>
      </c>
      <c r="R1016" s="196" t="s">
        <v>3427</v>
      </c>
      <c r="S1016" s="196"/>
      <c r="T1016" s="196"/>
    </row>
    <row r="1017" hidden="1">
      <c r="A1017" s="182" t="s">
        <v>3515</v>
      </c>
      <c r="B1017" s="203" t="s">
        <v>66</v>
      </c>
      <c r="C1017" s="173"/>
      <c r="D1017" s="173" t="s">
        <v>3516</v>
      </c>
      <c r="E1017" s="196"/>
      <c r="F1017" s="185" t="s">
        <v>185</v>
      </c>
      <c r="G1017" s="196" t="s">
        <v>3512</v>
      </c>
      <c r="H1017" s="237">
        <v>0.0519834</v>
      </c>
      <c r="I1017" s="196" t="s">
        <v>3473</v>
      </c>
      <c r="J1017" s="240" t="s">
        <v>3473</v>
      </c>
      <c r="K1017" s="240" t="s">
        <v>3473</v>
      </c>
      <c r="L1017" s="185"/>
      <c r="M1017" s="196" t="s">
        <v>749</v>
      </c>
      <c r="N1017" s="185"/>
      <c r="O1017" s="238"/>
      <c r="P1017" s="239" t="s">
        <v>1771</v>
      </c>
      <c r="Q1017" s="239" t="s">
        <v>1764</v>
      </c>
      <c r="R1017" s="196" t="s">
        <v>3427</v>
      </c>
      <c r="S1017" s="196"/>
      <c r="T1017" s="196"/>
    </row>
    <row r="1018" hidden="1">
      <c r="A1018" s="182" t="s">
        <v>3517</v>
      </c>
      <c r="B1018" s="203" t="s">
        <v>66</v>
      </c>
      <c r="C1018" s="173"/>
      <c r="D1018" s="173" t="s">
        <v>3518</v>
      </c>
      <c r="E1018" s="196"/>
      <c r="F1018" s="185" t="s">
        <v>185</v>
      </c>
      <c r="G1018" s="196" t="s">
        <v>3512</v>
      </c>
      <c r="H1018" s="237">
        <v>0.27980721</v>
      </c>
      <c r="I1018" s="196" t="s">
        <v>3473</v>
      </c>
      <c r="J1018" s="240" t="s">
        <v>3473</v>
      </c>
      <c r="K1018" s="240" t="s">
        <v>3473</v>
      </c>
      <c r="L1018" s="185"/>
      <c r="M1018" s="196" t="s">
        <v>749</v>
      </c>
      <c r="N1018" s="185"/>
      <c r="O1018" s="238"/>
      <c r="P1018" s="239" t="s">
        <v>1771</v>
      </c>
      <c r="Q1018" s="239" t="s">
        <v>1764</v>
      </c>
      <c r="R1018" s="196" t="s">
        <v>3427</v>
      </c>
      <c r="S1018" s="196"/>
      <c r="T1018" s="196"/>
    </row>
    <row r="1019" hidden="1">
      <c r="A1019" s="182" t="s">
        <v>3519</v>
      </c>
      <c r="B1019" s="203" t="s">
        <v>66</v>
      </c>
      <c r="C1019" s="173"/>
      <c r="D1019" s="173" t="s">
        <v>3520</v>
      </c>
      <c r="E1019" s="196"/>
      <c r="F1019" s="185" t="s">
        <v>185</v>
      </c>
      <c r="G1019" s="196" t="s">
        <v>3512</v>
      </c>
      <c r="H1019" s="237">
        <v>0.11615056</v>
      </c>
      <c r="I1019" s="196" t="s">
        <v>3473</v>
      </c>
      <c r="J1019" s="240" t="s">
        <v>3473</v>
      </c>
      <c r="K1019" s="240" t="s">
        <v>3473</v>
      </c>
      <c r="L1019" s="185"/>
      <c r="M1019" s="196" t="s">
        <v>749</v>
      </c>
      <c r="N1019" s="185"/>
      <c r="O1019" s="238"/>
      <c r="P1019" s="239" t="s">
        <v>1771</v>
      </c>
      <c r="Q1019" s="239" t="s">
        <v>1764</v>
      </c>
      <c r="R1019" s="196" t="s">
        <v>3427</v>
      </c>
      <c r="S1019" s="196"/>
      <c r="T1019" s="196"/>
    </row>
    <row r="1020" hidden="1">
      <c r="A1020" s="182" t="s">
        <v>3521</v>
      </c>
      <c r="B1020" s="203" t="s">
        <v>66</v>
      </c>
      <c r="C1020" s="173"/>
      <c r="D1020" s="173" t="s">
        <v>3522</v>
      </c>
      <c r="E1020" s="196"/>
      <c r="F1020" s="185" t="s">
        <v>185</v>
      </c>
      <c r="G1020" s="196" t="s">
        <v>3512</v>
      </c>
      <c r="H1020" s="237">
        <v>0.6480287</v>
      </c>
      <c r="I1020" s="196" t="s">
        <v>3473</v>
      </c>
      <c r="J1020" s="240" t="s">
        <v>3473</v>
      </c>
      <c r="K1020" s="240" t="s">
        <v>3473</v>
      </c>
      <c r="L1020" s="185"/>
      <c r="M1020" s="196" t="s">
        <v>749</v>
      </c>
      <c r="N1020" s="185"/>
      <c r="O1020" s="238"/>
      <c r="P1020" s="239" t="s">
        <v>1771</v>
      </c>
      <c r="Q1020" s="239" t="s">
        <v>1764</v>
      </c>
      <c r="R1020" s="196" t="s">
        <v>3427</v>
      </c>
      <c r="S1020" s="196"/>
      <c r="T1020" s="196"/>
    </row>
    <row r="1021" hidden="1">
      <c r="A1021" s="182" t="s">
        <v>3523</v>
      </c>
      <c r="B1021" s="203" t="s">
        <v>66</v>
      </c>
      <c r="C1021" s="173"/>
      <c r="D1021" s="173" t="s">
        <v>3524</v>
      </c>
      <c r="E1021" s="196"/>
      <c r="F1021" s="185" t="s">
        <v>185</v>
      </c>
      <c r="G1021" s="196" t="s">
        <v>3512</v>
      </c>
      <c r="H1021" s="237">
        <v>0.91311467</v>
      </c>
      <c r="I1021" s="196" t="s">
        <v>3473</v>
      </c>
      <c r="J1021" s="240" t="s">
        <v>3473</v>
      </c>
      <c r="K1021" s="240" t="s">
        <v>3473</v>
      </c>
      <c r="L1021" s="185"/>
      <c r="M1021" s="196" t="s">
        <v>749</v>
      </c>
      <c r="N1021" s="185"/>
      <c r="O1021" s="238"/>
      <c r="P1021" s="239" t="s">
        <v>1771</v>
      </c>
      <c r="Q1021" s="239" t="s">
        <v>1764</v>
      </c>
      <c r="R1021" s="196" t="s">
        <v>3427</v>
      </c>
      <c r="S1021" s="196"/>
      <c r="T1021" s="196"/>
    </row>
    <row r="1022" hidden="1">
      <c r="A1022" s="182" t="s">
        <v>3525</v>
      </c>
      <c r="B1022" s="203" t="s">
        <v>66</v>
      </c>
      <c r="C1022" s="173"/>
      <c r="D1022" s="173" t="s">
        <v>3526</v>
      </c>
      <c r="E1022" s="196"/>
      <c r="F1022" s="185" t="s">
        <v>185</v>
      </c>
      <c r="G1022" s="196" t="s">
        <v>3512</v>
      </c>
      <c r="H1022" s="237">
        <v>0.84472531</v>
      </c>
      <c r="I1022" s="196" t="s">
        <v>3473</v>
      </c>
      <c r="J1022" s="240" t="s">
        <v>3473</v>
      </c>
      <c r="K1022" s="240" t="s">
        <v>3473</v>
      </c>
      <c r="L1022" s="185"/>
      <c r="M1022" s="196" t="s">
        <v>749</v>
      </c>
      <c r="N1022" s="185"/>
      <c r="O1022" s="238"/>
      <c r="P1022" s="239" t="s">
        <v>1771</v>
      </c>
      <c r="Q1022" s="239" t="s">
        <v>1764</v>
      </c>
      <c r="R1022" s="196" t="s">
        <v>3427</v>
      </c>
      <c r="S1022" s="196"/>
      <c r="T1022" s="196"/>
    </row>
    <row r="1023" hidden="1">
      <c r="A1023" s="182" t="s">
        <v>3527</v>
      </c>
      <c r="B1023" s="203" t="s">
        <v>66</v>
      </c>
      <c r="C1023" s="173"/>
      <c r="D1023" s="173" t="s">
        <v>3528</v>
      </c>
      <c r="E1023" s="196"/>
      <c r="F1023" s="185" t="s">
        <v>185</v>
      </c>
      <c r="G1023" s="196" t="s">
        <v>3512</v>
      </c>
      <c r="H1023" s="237">
        <v>0.79277937</v>
      </c>
      <c r="I1023" s="196" t="s">
        <v>3473</v>
      </c>
      <c r="J1023" s="240" t="s">
        <v>3473</v>
      </c>
      <c r="K1023" s="240" t="s">
        <v>3473</v>
      </c>
      <c r="L1023" s="185"/>
      <c r="M1023" s="196" t="s">
        <v>749</v>
      </c>
      <c r="N1023" s="185"/>
      <c r="O1023" s="238"/>
      <c r="P1023" s="239" t="s">
        <v>1771</v>
      </c>
      <c r="Q1023" s="239" t="s">
        <v>1764</v>
      </c>
      <c r="R1023" s="196" t="s">
        <v>3427</v>
      </c>
      <c r="S1023" s="196"/>
      <c r="T1023" s="196"/>
    </row>
    <row r="1024" hidden="1">
      <c r="A1024" s="182" t="s">
        <v>3529</v>
      </c>
      <c r="B1024" s="203" t="s">
        <v>66</v>
      </c>
      <c r="C1024" s="173"/>
      <c r="D1024" s="173" t="s">
        <v>3530</v>
      </c>
      <c r="E1024" s="196"/>
      <c r="F1024" s="185" t="s">
        <v>185</v>
      </c>
      <c r="G1024" s="196" t="s">
        <v>3512</v>
      </c>
      <c r="H1024" s="237">
        <v>0.3100744</v>
      </c>
      <c r="I1024" s="196" t="s">
        <v>3473</v>
      </c>
      <c r="J1024" s="240" t="s">
        <v>3473</v>
      </c>
      <c r="K1024" s="240" t="s">
        <v>3473</v>
      </c>
      <c r="L1024" s="185"/>
      <c r="M1024" s="196" t="s">
        <v>749</v>
      </c>
      <c r="N1024" s="185"/>
      <c r="O1024" s="238"/>
      <c r="P1024" s="239" t="s">
        <v>1771</v>
      </c>
      <c r="Q1024" s="239" t="s">
        <v>1764</v>
      </c>
      <c r="R1024" s="196" t="s">
        <v>3427</v>
      </c>
      <c r="S1024" s="196"/>
      <c r="T1024" s="196"/>
    </row>
    <row r="1025" hidden="1">
      <c r="A1025" s="182" t="s">
        <v>3531</v>
      </c>
      <c r="B1025" s="203" t="s">
        <v>66</v>
      </c>
      <c r="C1025" s="173"/>
      <c r="D1025" s="173" t="s">
        <v>3532</v>
      </c>
      <c r="E1025" s="196"/>
      <c r="F1025" s="185" t="s">
        <v>185</v>
      </c>
      <c r="G1025" s="196" t="s">
        <v>3512</v>
      </c>
      <c r="H1025" s="237">
        <v>0.29454555</v>
      </c>
      <c r="I1025" s="196" t="s">
        <v>3473</v>
      </c>
      <c r="J1025" s="240" t="s">
        <v>3473</v>
      </c>
      <c r="K1025" s="240" t="s">
        <v>3473</v>
      </c>
      <c r="L1025" s="185"/>
      <c r="M1025" s="196" t="s">
        <v>749</v>
      </c>
      <c r="N1025" s="185"/>
      <c r="O1025" s="238"/>
      <c r="P1025" s="239" t="s">
        <v>1771</v>
      </c>
      <c r="Q1025" s="239" t="s">
        <v>1764</v>
      </c>
      <c r="R1025" s="196" t="s">
        <v>3427</v>
      </c>
      <c r="S1025" s="196"/>
      <c r="T1025" s="196"/>
    </row>
    <row r="1026" hidden="1">
      <c r="A1026" s="182" t="s">
        <v>3533</v>
      </c>
      <c r="B1026" s="203" t="s">
        <v>66</v>
      </c>
      <c r="C1026" s="173"/>
      <c r="D1026" s="173" t="s">
        <v>3534</v>
      </c>
      <c r="E1026" s="196"/>
      <c r="F1026" s="185" t="s">
        <v>185</v>
      </c>
      <c r="G1026" s="196" t="s">
        <v>3512</v>
      </c>
      <c r="H1026" s="237">
        <v>0.05279322</v>
      </c>
      <c r="I1026" s="196" t="s">
        <v>3473</v>
      </c>
      <c r="J1026" s="240" t="s">
        <v>3473</v>
      </c>
      <c r="K1026" s="240" t="s">
        <v>3473</v>
      </c>
      <c r="L1026" s="185"/>
      <c r="M1026" s="196" t="s">
        <v>749</v>
      </c>
      <c r="N1026" s="185"/>
      <c r="O1026" s="238"/>
      <c r="P1026" s="239" t="s">
        <v>1771</v>
      </c>
      <c r="Q1026" s="239" t="s">
        <v>1764</v>
      </c>
      <c r="R1026" s="196" t="s">
        <v>3427</v>
      </c>
      <c r="S1026" s="196"/>
      <c r="T1026" s="196"/>
    </row>
    <row r="1027" hidden="1">
      <c r="A1027" s="182" t="s">
        <v>3535</v>
      </c>
      <c r="B1027" s="203" t="s">
        <v>66</v>
      </c>
      <c r="C1027" s="173"/>
      <c r="D1027" s="173" t="s">
        <v>3536</v>
      </c>
      <c r="E1027" s="196"/>
      <c r="F1027" s="185" t="s">
        <v>185</v>
      </c>
      <c r="G1027" s="196" t="s">
        <v>3512</v>
      </c>
      <c r="H1027" s="237">
        <v>0.44344704</v>
      </c>
      <c r="I1027" s="196" t="s">
        <v>3473</v>
      </c>
      <c r="J1027" s="240" t="s">
        <v>3473</v>
      </c>
      <c r="K1027" s="240" t="s">
        <v>3473</v>
      </c>
      <c r="L1027" s="185"/>
      <c r="M1027" s="196" t="s">
        <v>749</v>
      </c>
      <c r="N1027" s="185"/>
      <c r="O1027" s="238"/>
      <c r="P1027" s="239" t="s">
        <v>1771</v>
      </c>
      <c r="Q1027" s="239" t="s">
        <v>1764</v>
      </c>
      <c r="R1027" s="196" t="s">
        <v>3427</v>
      </c>
      <c r="S1027" s="196"/>
      <c r="T1027" s="196"/>
    </row>
    <row r="1028" hidden="1">
      <c r="A1028" s="182" t="s">
        <v>3537</v>
      </c>
      <c r="B1028" s="203" t="s">
        <v>66</v>
      </c>
      <c r="C1028" s="173"/>
      <c r="D1028" s="173" t="s">
        <v>3538</v>
      </c>
      <c r="E1028" s="196"/>
      <c r="F1028" s="185" t="s">
        <v>185</v>
      </c>
      <c r="G1028" s="196" t="s">
        <v>3512</v>
      </c>
      <c r="H1028" s="237">
        <v>0.81865147</v>
      </c>
      <c r="I1028" s="196" t="s">
        <v>3473</v>
      </c>
      <c r="J1028" s="240" t="s">
        <v>3473</v>
      </c>
      <c r="K1028" s="240" t="s">
        <v>3473</v>
      </c>
      <c r="L1028" s="185"/>
      <c r="M1028" s="196" t="s">
        <v>749</v>
      </c>
      <c r="N1028" s="185"/>
      <c r="O1028" s="238"/>
      <c r="P1028" s="239" t="s">
        <v>1771</v>
      </c>
      <c r="Q1028" s="239" t="s">
        <v>1764</v>
      </c>
      <c r="R1028" s="196" t="s">
        <v>3427</v>
      </c>
      <c r="S1028" s="196"/>
      <c r="T1028" s="196"/>
    </row>
    <row r="1029" hidden="1">
      <c r="A1029" s="182" t="s">
        <v>3539</v>
      </c>
      <c r="B1029" s="203" t="s">
        <v>66</v>
      </c>
      <c r="C1029" s="173"/>
      <c r="D1029" s="173" t="s">
        <v>3540</v>
      </c>
      <c r="E1029" s="196"/>
      <c r="F1029" s="185" t="s">
        <v>185</v>
      </c>
      <c r="G1029" s="196" t="s">
        <v>3512</v>
      </c>
      <c r="H1029" s="237">
        <v>0.3500467</v>
      </c>
      <c r="I1029" s="196" t="s">
        <v>3473</v>
      </c>
      <c r="J1029" s="240" t="s">
        <v>3473</v>
      </c>
      <c r="K1029" s="240" t="s">
        <v>3473</v>
      </c>
      <c r="L1029" s="185"/>
      <c r="M1029" s="196" t="s">
        <v>749</v>
      </c>
      <c r="N1029" s="185"/>
      <c r="O1029" s="238"/>
      <c r="P1029" s="239" t="s">
        <v>1771</v>
      </c>
      <c r="Q1029" s="239" t="s">
        <v>1764</v>
      </c>
      <c r="R1029" s="196" t="s">
        <v>3427</v>
      </c>
      <c r="S1029" s="196"/>
      <c r="T1029" s="196"/>
    </row>
    <row r="1030" hidden="1">
      <c r="A1030" s="182" t="s">
        <v>3541</v>
      </c>
      <c r="B1030" s="203" t="s">
        <v>66</v>
      </c>
      <c r="C1030" s="173"/>
      <c r="D1030" s="173" t="s">
        <v>3542</v>
      </c>
      <c r="E1030" s="196"/>
      <c r="F1030" s="185" t="s">
        <v>185</v>
      </c>
      <c r="G1030" s="196" t="s">
        <v>3512</v>
      </c>
      <c r="H1030" s="237">
        <v>0.74910575</v>
      </c>
      <c r="I1030" s="196" t="s">
        <v>3473</v>
      </c>
      <c r="J1030" s="240" t="s">
        <v>3473</v>
      </c>
      <c r="K1030" s="240" t="s">
        <v>3473</v>
      </c>
      <c r="L1030" s="185"/>
      <c r="M1030" s="196" t="s">
        <v>749</v>
      </c>
      <c r="N1030" s="185"/>
      <c r="O1030" s="238"/>
      <c r="P1030" s="239" t="s">
        <v>1771</v>
      </c>
      <c r="Q1030" s="239" t="s">
        <v>1764</v>
      </c>
      <c r="R1030" s="196" t="s">
        <v>3427</v>
      </c>
      <c r="S1030" s="196"/>
      <c r="T1030" s="196"/>
    </row>
    <row r="1031" hidden="1">
      <c r="A1031" s="182" t="s">
        <v>3543</v>
      </c>
      <c r="B1031" s="203" t="s">
        <v>66</v>
      </c>
      <c r="C1031" s="173"/>
      <c r="D1031" s="173" t="s">
        <v>3544</v>
      </c>
      <c r="E1031" s="196"/>
      <c r="F1031" s="185" t="s">
        <v>185</v>
      </c>
      <c r="G1031" s="196" t="s">
        <v>3512</v>
      </c>
      <c r="H1031" s="237">
        <v>0.70367079</v>
      </c>
      <c r="I1031" s="196" t="s">
        <v>3473</v>
      </c>
      <c r="J1031" s="240" t="s">
        <v>3473</v>
      </c>
      <c r="K1031" s="240" t="s">
        <v>3473</v>
      </c>
      <c r="L1031" s="185"/>
      <c r="M1031" s="196" t="s">
        <v>749</v>
      </c>
      <c r="N1031" s="185"/>
      <c r="O1031" s="238"/>
      <c r="P1031" s="239" t="s">
        <v>1771</v>
      </c>
      <c r="Q1031" s="239" t="s">
        <v>1764</v>
      </c>
      <c r="R1031" s="196" t="s">
        <v>3427</v>
      </c>
      <c r="S1031" s="196"/>
      <c r="T1031" s="196"/>
    </row>
    <row r="1032" hidden="1">
      <c r="A1032" s="182" t="s">
        <v>3545</v>
      </c>
      <c r="B1032" s="203" t="s">
        <v>66</v>
      </c>
      <c r="C1032" s="173"/>
      <c r="D1032" s="173" t="s">
        <v>3546</v>
      </c>
      <c r="E1032" s="196"/>
      <c r="F1032" s="185" t="s">
        <v>185</v>
      </c>
      <c r="G1032" s="196" t="s">
        <v>3512</v>
      </c>
      <c r="H1032" s="237">
        <v>0.25519473</v>
      </c>
      <c r="I1032" s="196" t="s">
        <v>3473</v>
      </c>
      <c r="J1032" s="240" t="s">
        <v>3473</v>
      </c>
      <c r="K1032" s="240" t="s">
        <v>3473</v>
      </c>
      <c r="L1032" s="185"/>
      <c r="M1032" s="196" t="s">
        <v>749</v>
      </c>
      <c r="N1032" s="185"/>
      <c r="O1032" s="238"/>
      <c r="P1032" s="239" t="s">
        <v>1771</v>
      </c>
      <c r="Q1032" s="239" t="s">
        <v>1764</v>
      </c>
      <c r="R1032" s="196" t="s">
        <v>3427</v>
      </c>
      <c r="S1032" s="196"/>
      <c r="T1032" s="196"/>
    </row>
    <row r="1033" hidden="1">
      <c r="A1033" s="182" t="s">
        <v>3547</v>
      </c>
      <c r="B1033" s="203" t="s">
        <v>66</v>
      </c>
      <c r="C1033" s="173"/>
      <c r="D1033" s="173" t="s">
        <v>3548</v>
      </c>
      <c r="E1033" s="196"/>
      <c r="F1033" s="185" t="s">
        <v>185</v>
      </c>
      <c r="G1033" s="196" t="s">
        <v>3512</v>
      </c>
      <c r="H1033" s="237">
        <v>0.15415721</v>
      </c>
      <c r="I1033" s="196" t="s">
        <v>3473</v>
      </c>
      <c r="J1033" s="240" t="s">
        <v>3473</v>
      </c>
      <c r="K1033" s="240" t="s">
        <v>3473</v>
      </c>
      <c r="L1033" s="185"/>
      <c r="M1033" s="196" t="s">
        <v>749</v>
      </c>
      <c r="N1033" s="185"/>
      <c r="O1033" s="238"/>
      <c r="P1033" s="239" t="s">
        <v>1771</v>
      </c>
      <c r="Q1033" s="239" t="s">
        <v>1764</v>
      </c>
      <c r="R1033" s="196" t="s">
        <v>3427</v>
      </c>
      <c r="S1033" s="196"/>
      <c r="T1033" s="196"/>
    </row>
    <row r="1034" hidden="1">
      <c r="A1034" s="182" t="s">
        <v>3549</v>
      </c>
      <c r="B1034" s="203" t="s">
        <v>66</v>
      </c>
      <c r="C1034" s="173"/>
      <c r="D1034" s="173" t="s">
        <v>3550</v>
      </c>
      <c r="E1034" s="196"/>
      <c r="F1034" s="185" t="s">
        <v>185</v>
      </c>
      <c r="G1034" s="196" t="s">
        <v>3512</v>
      </c>
      <c r="H1034" s="237">
        <v>0.74966921</v>
      </c>
      <c r="I1034" s="196" t="s">
        <v>3473</v>
      </c>
      <c r="J1034" s="240" t="s">
        <v>3473</v>
      </c>
      <c r="K1034" s="240" t="s">
        <v>3473</v>
      </c>
      <c r="L1034" s="185"/>
      <c r="M1034" s="196" t="s">
        <v>749</v>
      </c>
      <c r="N1034" s="185"/>
      <c r="O1034" s="238"/>
      <c r="P1034" s="239" t="s">
        <v>1771</v>
      </c>
      <c r="Q1034" s="239" t="s">
        <v>1764</v>
      </c>
      <c r="R1034" s="196" t="s">
        <v>3427</v>
      </c>
      <c r="S1034" s="196"/>
      <c r="T1034" s="196"/>
    </row>
    <row r="1035" hidden="1">
      <c r="A1035" s="182" t="s">
        <v>3551</v>
      </c>
      <c r="B1035" s="203" t="s">
        <v>66</v>
      </c>
      <c r="C1035" s="173"/>
      <c r="D1035" s="173" t="s">
        <v>3552</v>
      </c>
      <c r="E1035" s="196"/>
      <c r="F1035" s="185" t="s">
        <v>185</v>
      </c>
      <c r="G1035" s="196" t="s">
        <v>3512</v>
      </c>
      <c r="H1035" s="237">
        <v>0.60819611</v>
      </c>
      <c r="I1035" s="196" t="s">
        <v>3473</v>
      </c>
      <c r="J1035" s="240" t="s">
        <v>3473</v>
      </c>
      <c r="K1035" s="240" t="s">
        <v>3473</v>
      </c>
      <c r="L1035" s="185"/>
      <c r="M1035" s="196" t="s">
        <v>749</v>
      </c>
      <c r="N1035" s="185"/>
      <c r="O1035" s="238"/>
      <c r="P1035" s="239" t="s">
        <v>1771</v>
      </c>
      <c r="Q1035" s="239" t="s">
        <v>1764</v>
      </c>
      <c r="R1035" s="196" t="s">
        <v>3427</v>
      </c>
      <c r="S1035" s="196"/>
      <c r="T1035" s="196"/>
    </row>
    <row r="1036" hidden="1">
      <c r="A1036" s="182" t="s">
        <v>3553</v>
      </c>
      <c r="B1036" s="203" t="s">
        <v>66</v>
      </c>
      <c r="C1036" s="173"/>
      <c r="D1036" s="173" t="s">
        <v>3554</v>
      </c>
      <c r="E1036" s="196"/>
      <c r="F1036" s="185" t="s">
        <v>185</v>
      </c>
      <c r="G1036" s="196" t="s">
        <v>3512</v>
      </c>
      <c r="H1036" s="237">
        <v>0.23645958</v>
      </c>
      <c r="I1036" s="196" t="s">
        <v>3473</v>
      </c>
      <c r="J1036" s="240" t="s">
        <v>3473</v>
      </c>
      <c r="K1036" s="240" t="s">
        <v>3473</v>
      </c>
      <c r="L1036" s="185"/>
      <c r="M1036" s="196" t="s">
        <v>749</v>
      </c>
      <c r="N1036" s="185"/>
      <c r="O1036" s="238"/>
      <c r="P1036" s="239" t="s">
        <v>1771</v>
      </c>
      <c r="Q1036" s="239" t="s">
        <v>1764</v>
      </c>
      <c r="R1036" s="196" t="s">
        <v>3427</v>
      </c>
      <c r="S1036" s="196"/>
      <c r="T1036" s="196"/>
    </row>
    <row r="1037" hidden="1">
      <c r="A1037" s="182" t="s">
        <v>3555</v>
      </c>
      <c r="B1037" s="203" t="s">
        <v>66</v>
      </c>
      <c r="C1037" s="173"/>
      <c r="D1037" s="173" t="s">
        <v>3556</v>
      </c>
      <c r="E1037" s="196"/>
      <c r="F1037" s="185" t="s">
        <v>185</v>
      </c>
      <c r="G1037" s="196" t="s">
        <v>3512</v>
      </c>
      <c r="H1037" s="237">
        <v>0.54930714</v>
      </c>
      <c r="I1037" s="196" t="s">
        <v>3473</v>
      </c>
      <c r="J1037" s="240" t="s">
        <v>3473</v>
      </c>
      <c r="K1037" s="240" t="s">
        <v>3473</v>
      </c>
      <c r="L1037" s="185"/>
      <c r="M1037" s="196" t="s">
        <v>749</v>
      </c>
      <c r="N1037" s="185"/>
      <c r="O1037" s="238"/>
      <c r="P1037" s="239" t="s">
        <v>1771</v>
      </c>
      <c r="Q1037" s="239" t="s">
        <v>1764</v>
      </c>
      <c r="R1037" s="196" t="s">
        <v>3427</v>
      </c>
      <c r="S1037" s="196"/>
      <c r="T1037" s="196"/>
    </row>
    <row r="1038" hidden="1">
      <c r="A1038" s="182" t="s">
        <v>3557</v>
      </c>
      <c r="B1038" s="203" t="s">
        <v>66</v>
      </c>
      <c r="C1038" s="173"/>
      <c r="D1038" s="173" t="s">
        <v>3558</v>
      </c>
      <c r="E1038" s="196"/>
      <c r="F1038" s="185" t="s">
        <v>185</v>
      </c>
      <c r="G1038" s="196" t="s">
        <v>3512</v>
      </c>
      <c r="H1038" s="237">
        <v>0.86057668</v>
      </c>
      <c r="I1038" s="196" t="s">
        <v>3473</v>
      </c>
      <c r="J1038" s="240" t="s">
        <v>3473</v>
      </c>
      <c r="K1038" s="240" t="s">
        <v>3473</v>
      </c>
      <c r="L1038" s="185"/>
      <c r="M1038" s="196" t="s">
        <v>749</v>
      </c>
      <c r="N1038" s="185"/>
      <c r="O1038" s="238"/>
      <c r="P1038" s="239" t="s">
        <v>1771</v>
      </c>
      <c r="Q1038" s="239" t="s">
        <v>1764</v>
      </c>
      <c r="R1038" s="196" t="s">
        <v>3427</v>
      </c>
      <c r="S1038" s="196"/>
      <c r="T1038" s="196"/>
    </row>
    <row r="1039" hidden="1">
      <c r="A1039" s="182" t="s">
        <v>3559</v>
      </c>
      <c r="B1039" s="203" t="s">
        <v>66</v>
      </c>
      <c r="C1039" s="173"/>
      <c r="D1039" s="173" t="s">
        <v>3560</v>
      </c>
      <c r="E1039" s="196"/>
      <c r="F1039" s="185" t="s">
        <v>185</v>
      </c>
      <c r="G1039" s="196" t="s">
        <v>3512</v>
      </c>
      <c r="H1039" s="237">
        <v>0.63040928</v>
      </c>
      <c r="I1039" s="196" t="s">
        <v>3473</v>
      </c>
      <c r="J1039" s="240" t="s">
        <v>3473</v>
      </c>
      <c r="K1039" s="240" t="s">
        <v>3473</v>
      </c>
      <c r="L1039" s="185"/>
      <c r="M1039" s="196" t="s">
        <v>749</v>
      </c>
      <c r="N1039" s="185"/>
      <c r="O1039" s="238"/>
      <c r="P1039" s="239" t="s">
        <v>1771</v>
      </c>
      <c r="Q1039" s="239" t="s">
        <v>1764</v>
      </c>
      <c r="R1039" s="196" t="s">
        <v>3427</v>
      </c>
      <c r="S1039" s="196"/>
      <c r="T1039" s="196"/>
    </row>
    <row r="1040" hidden="1">
      <c r="A1040" s="182" t="s">
        <v>3561</v>
      </c>
      <c r="B1040" s="203" t="s">
        <v>66</v>
      </c>
      <c r="C1040" s="173"/>
      <c r="D1040" s="173" t="s">
        <v>3562</v>
      </c>
      <c r="E1040" s="196"/>
      <c r="F1040" s="185" t="s">
        <v>185</v>
      </c>
      <c r="G1040" s="196" t="s">
        <v>3512</v>
      </c>
      <c r="H1040" s="237">
        <v>0.38609204</v>
      </c>
      <c r="I1040" s="196" t="s">
        <v>3473</v>
      </c>
      <c r="J1040" s="240" t="s">
        <v>3473</v>
      </c>
      <c r="K1040" s="240" t="s">
        <v>3473</v>
      </c>
      <c r="L1040" s="185"/>
      <c r="M1040" s="196" t="s">
        <v>749</v>
      </c>
      <c r="N1040" s="185"/>
      <c r="O1040" s="238"/>
      <c r="P1040" s="239" t="s">
        <v>1771</v>
      </c>
      <c r="Q1040" s="239" t="s">
        <v>1764</v>
      </c>
      <c r="R1040" s="196" t="s">
        <v>3427</v>
      </c>
      <c r="S1040" s="196"/>
      <c r="T1040" s="196"/>
    </row>
    <row r="1041" hidden="1">
      <c r="A1041" s="182" t="s">
        <v>3563</v>
      </c>
      <c r="B1041" s="203" t="s">
        <v>66</v>
      </c>
      <c r="C1041" s="173"/>
      <c r="D1041" s="173" t="s">
        <v>3564</v>
      </c>
      <c r="E1041" s="196"/>
      <c r="F1041" s="185" t="s">
        <v>185</v>
      </c>
      <c r="G1041" s="196" t="s">
        <v>3512</v>
      </c>
      <c r="H1041" s="237">
        <v>0.81780457</v>
      </c>
      <c r="I1041" s="196" t="s">
        <v>3473</v>
      </c>
      <c r="J1041" s="240" t="s">
        <v>3473</v>
      </c>
      <c r="K1041" s="240" t="s">
        <v>3473</v>
      </c>
      <c r="L1041" s="185"/>
      <c r="M1041" s="196" t="s">
        <v>749</v>
      </c>
      <c r="N1041" s="185"/>
      <c r="O1041" s="238"/>
      <c r="P1041" s="239" t="s">
        <v>1771</v>
      </c>
      <c r="Q1041" s="239" t="s">
        <v>1764</v>
      </c>
      <c r="R1041" s="196" t="s">
        <v>3427</v>
      </c>
      <c r="S1041" s="196"/>
      <c r="T1041" s="196"/>
    </row>
    <row r="1042" hidden="1">
      <c r="A1042" s="182" t="s">
        <v>3565</v>
      </c>
      <c r="B1042" s="203" t="s">
        <v>66</v>
      </c>
      <c r="C1042" s="173"/>
      <c r="D1042" s="173" t="s">
        <v>3566</v>
      </c>
      <c r="E1042" s="196"/>
      <c r="F1042" s="185" t="s">
        <v>185</v>
      </c>
      <c r="G1042" s="196" t="s">
        <v>3512</v>
      </c>
      <c r="H1042" s="237">
        <v>0.16077594</v>
      </c>
      <c r="I1042" s="196" t="s">
        <v>3473</v>
      </c>
      <c r="J1042" s="240" t="s">
        <v>3473</v>
      </c>
      <c r="K1042" s="240" t="s">
        <v>3473</v>
      </c>
      <c r="L1042" s="185"/>
      <c r="M1042" s="196" t="s">
        <v>749</v>
      </c>
      <c r="N1042" s="185"/>
      <c r="O1042" s="238"/>
      <c r="P1042" s="239" t="s">
        <v>1771</v>
      </c>
      <c r="Q1042" s="239" t="s">
        <v>1764</v>
      </c>
      <c r="R1042" s="196" t="s">
        <v>3427</v>
      </c>
      <c r="S1042" s="196"/>
      <c r="T1042" s="196"/>
    </row>
    <row r="1043" hidden="1">
      <c r="A1043" s="182" t="s">
        <v>3567</v>
      </c>
      <c r="B1043" s="203" t="s">
        <v>66</v>
      </c>
      <c r="C1043" s="173"/>
      <c r="D1043" s="173" t="s">
        <v>3568</v>
      </c>
      <c r="E1043" s="196"/>
      <c r="F1043" s="185" t="s">
        <v>185</v>
      </c>
      <c r="G1043" s="196" t="s">
        <v>3512</v>
      </c>
      <c r="H1043" s="237">
        <v>0.19634859</v>
      </c>
      <c r="I1043" s="196" t="s">
        <v>3473</v>
      </c>
      <c r="J1043" s="240" t="s">
        <v>3473</v>
      </c>
      <c r="K1043" s="240" t="s">
        <v>3473</v>
      </c>
      <c r="L1043" s="185"/>
      <c r="M1043" s="196" t="s">
        <v>749</v>
      </c>
      <c r="N1043" s="185"/>
      <c r="O1043" s="238"/>
      <c r="P1043" s="239" t="s">
        <v>1771</v>
      </c>
      <c r="Q1043" s="239" t="s">
        <v>1764</v>
      </c>
      <c r="R1043" s="196" t="s">
        <v>3427</v>
      </c>
      <c r="S1043" s="196"/>
      <c r="T1043" s="196"/>
    </row>
    <row r="1044" hidden="1">
      <c r="A1044" s="182" t="s">
        <v>3569</v>
      </c>
      <c r="B1044" s="203" t="s">
        <v>66</v>
      </c>
      <c r="C1044" s="173"/>
      <c r="D1044" s="173" t="s">
        <v>3570</v>
      </c>
      <c r="E1044" s="196"/>
      <c r="F1044" s="185" t="s">
        <v>185</v>
      </c>
      <c r="G1044" s="196" t="s">
        <v>3512</v>
      </c>
      <c r="H1044" s="237">
        <v>0.61222645</v>
      </c>
      <c r="I1044" s="196" t="s">
        <v>3473</v>
      </c>
      <c r="J1044" s="240" t="s">
        <v>3473</v>
      </c>
      <c r="K1044" s="240" t="s">
        <v>3473</v>
      </c>
      <c r="L1044" s="185"/>
      <c r="M1044" s="196" t="s">
        <v>749</v>
      </c>
      <c r="N1044" s="185"/>
      <c r="O1044" s="238"/>
      <c r="P1044" s="239" t="s">
        <v>1771</v>
      </c>
      <c r="Q1044" s="239" t="s">
        <v>1764</v>
      </c>
      <c r="R1044" s="196" t="s">
        <v>3427</v>
      </c>
      <c r="S1044" s="196"/>
      <c r="T1044" s="196"/>
    </row>
    <row r="1045" hidden="1">
      <c r="A1045" s="182" t="s">
        <v>3571</v>
      </c>
      <c r="B1045" s="203" t="s">
        <v>66</v>
      </c>
      <c r="C1045" s="173"/>
      <c r="D1045" s="173" t="s">
        <v>3572</v>
      </c>
      <c r="E1045" s="196"/>
      <c r="F1045" s="185" t="s">
        <v>185</v>
      </c>
      <c r="G1045" s="196" t="s">
        <v>3512</v>
      </c>
      <c r="H1045" s="237">
        <v>0.41687658</v>
      </c>
      <c r="I1045" s="196" t="s">
        <v>3473</v>
      </c>
      <c r="J1045" s="240" t="s">
        <v>3473</v>
      </c>
      <c r="K1045" s="240" t="s">
        <v>3473</v>
      </c>
      <c r="L1045" s="185"/>
      <c r="M1045" s="196" t="s">
        <v>749</v>
      </c>
      <c r="N1045" s="185"/>
      <c r="O1045" s="238"/>
      <c r="P1045" s="239" t="s">
        <v>1771</v>
      </c>
      <c r="Q1045" s="239" t="s">
        <v>1764</v>
      </c>
      <c r="R1045" s="196" t="s">
        <v>3427</v>
      </c>
      <c r="S1045" s="196"/>
      <c r="T1045" s="196"/>
    </row>
    <row r="1046" hidden="1">
      <c r="A1046" s="182" t="s">
        <v>3573</v>
      </c>
      <c r="B1046" s="203" t="s">
        <v>66</v>
      </c>
      <c r="C1046" s="173"/>
      <c r="D1046" s="173" t="s">
        <v>3574</v>
      </c>
      <c r="E1046" s="196"/>
      <c r="F1046" s="185" t="s">
        <v>185</v>
      </c>
      <c r="G1046" s="196" t="s">
        <v>3512</v>
      </c>
      <c r="H1046" s="237">
        <v>0.32397337</v>
      </c>
      <c r="I1046" s="196" t="s">
        <v>3473</v>
      </c>
      <c r="J1046" s="240" t="s">
        <v>3473</v>
      </c>
      <c r="K1046" s="240" t="s">
        <v>3473</v>
      </c>
      <c r="L1046" s="185"/>
      <c r="M1046" s="196" t="s">
        <v>749</v>
      </c>
      <c r="N1046" s="185"/>
      <c r="O1046" s="238"/>
      <c r="P1046" s="239" t="s">
        <v>1771</v>
      </c>
      <c r="Q1046" s="239" t="s">
        <v>1764</v>
      </c>
      <c r="R1046" s="196" t="s">
        <v>3427</v>
      </c>
      <c r="S1046" s="196"/>
      <c r="T1046" s="196"/>
    </row>
    <row r="1047" hidden="1">
      <c r="A1047" s="182" t="s">
        <v>3575</v>
      </c>
      <c r="B1047" s="203" t="s">
        <v>66</v>
      </c>
      <c r="C1047" s="173"/>
      <c r="D1047" s="173" t="s">
        <v>3576</v>
      </c>
      <c r="E1047" s="196"/>
      <c r="F1047" s="185" t="s">
        <v>185</v>
      </c>
      <c r="G1047" s="196" t="s">
        <v>3512</v>
      </c>
      <c r="H1047" s="237">
        <v>0.49597693</v>
      </c>
      <c r="I1047" s="196" t="s">
        <v>3473</v>
      </c>
      <c r="J1047" s="240" t="s">
        <v>3473</v>
      </c>
      <c r="K1047" s="240" t="s">
        <v>3473</v>
      </c>
      <c r="L1047" s="185"/>
      <c r="M1047" s="196" t="s">
        <v>749</v>
      </c>
      <c r="N1047" s="185"/>
      <c r="O1047" s="238"/>
      <c r="P1047" s="239" t="s">
        <v>1771</v>
      </c>
      <c r="Q1047" s="239" t="s">
        <v>1764</v>
      </c>
      <c r="R1047" s="196" t="s">
        <v>3427</v>
      </c>
      <c r="S1047" s="196"/>
      <c r="T1047" s="196"/>
    </row>
    <row r="1048" hidden="1">
      <c r="A1048" s="182" t="s">
        <v>3577</v>
      </c>
      <c r="B1048" s="203" t="s">
        <v>66</v>
      </c>
      <c r="C1048" s="173"/>
      <c r="D1048" s="173" t="s">
        <v>3578</v>
      </c>
      <c r="E1048" s="196"/>
      <c r="F1048" s="185" t="s">
        <v>185</v>
      </c>
      <c r="G1048" s="196" t="s">
        <v>3512</v>
      </c>
      <c r="H1048" s="237">
        <v>0.58628254</v>
      </c>
      <c r="I1048" s="196" t="s">
        <v>3473</v>
      </c>
      <c r="J1048" s="240" t="s">
        <v>3473</v>
      </c>
      <c r="K1048" s="240" t="s">
        <v>3473</v>
      </c>
      <c r="L1048" s="185"/>
      <c r="M1048" s="196" t="s">
        <v>749</v>
      </c>
      <c r="N1048" s="185"/>
      <c r="O1048" s="238"/>
      <c r="P1048" s="239" t="s">
        <v>1771</v>
      </c>
      <c r="Q1048" s="239" t="s">
        <v>1764</v>
      </c>
      <c r="R1048" s="196" t="s">
        <v>3427</v>
      </c>
      <c r="S1048" s="196"/>
      <c r="T1048" s="196"/>
    </row>
    <row r="1049" hidden="1">
      <c r="A1049" s="182" t="s">
        <v>3579</v>
      </c>
      <c r="B1049" s="203" t="s">
        <v>66</v>
      </c>
      <c r="C1049" s="173"/>
      <c r="D1049" s="173" t="s">
        <v>3580</v>
      </c>
      <c r="E1049" s="196"/>
      <c r="F1049" s="185" t="s">
        <v>185</v>
      </c>
      <c r="G1049" s="196" t="s">
        <v>3512</v>
      </c>
      <c r="H1049" s="237">
        <v>0.91046192</v>
      </c>
      <c r="I1049" s="196" t="s">
        <v>3473</v>
      </c>
      <c r="J1049" s="240" t="s">
        <v>3473</v>
      </c>
      <c r="K1049" s="240" t="s">
        <v>3473</v>
      </c>
      <c r="L1049" s="185"/>
      <c r="M1049" s="196" t="s">
        <v>749</v>
      </c>
      <c r="N1049" s="185"/>
      <c r="O1049" s="238"/>
      <c r="P1049" s="239" t="s">
        <v>1771</v>
      </c>
      <c r="Q1049" s="239" t="s">
        <v>1764</v>
      </c>
      <c r="R1049" s="196" t="s">
        <v>3427</v>
      </c>
      <c r="S1049" s="196"/>
      <c r="T1049" s="196"/>
    </row>
    <row r="1050" hidden="1">
      <c r="A1050" s="182" t="s">
        <v>3581</v>
      </c>
      <c r="B1050" s="203" t="s">
        <v>66</v>
      </c>
      <c r="C1050" s="173"/>
      <c r="D1050" s="173" t="s">
        <v>3582</v>
      </c>
      <c r="E1050" s="196"/>
      <c r="F1050" s="185" t="s">
        <v>185</v>
      </c>
      <c r="G1050" s="196" t="s">
        <v>3512</v>
      </c>
      <c r="H1050" s="237">
        <v>0.28353705</v>
      </c>
      <c r="I1050" s="196" t="s">
        <v>3473</v>
      </c>
      <c r="J1050" s="240" t="s">
        <v>3473</v>
      </c>
      <c r="K1050" s="240" t="s">
        <v>3473</v>
      </c>
      <c r="L1050" s="185"/>
      <c r="M1050" s="196" t="s">
        <v>749</v>
      </c>
      <c r="N1050" s="185"/>
      <c r="O1050" s="238"/>
      <c r="P1050" s="239" t="s">
        <v>1771</v>
      </c>
      <c r="Q1050" s="239" t="s">
        <v>1764</v>
      </c>
      <c r="R1050" s="196" t="s">
        <v>3427</v>
      </c>
      <c r="S1050" s="196"/>
      <c r="T1050" s="196"/>
    </row>
    <row r="1051">
      <c r="A1051" s="252"/>
      <c r="B1051" s="202"/>
      <c r="C1051" s="233"/>
      <c r="D1051" s="233"/>
      <c r="E1051" s="201"/>
      <c r="F1051" s="206"/>
      <c r="G1051" s="206"/>
      <c r="H1051" s="253"/>
      <c r="I1051" s="201"/>
      <c r="J1051" s="254"/>
      <c r="K1051" s="254"/>
      <c r="L1051" s="206"/>
      <c r="M1051" s="201"/>
      <c r="N1051" s="206"/>
      <c r="O1051" s="255"/>
      <c r="P1051" s="256"/>
      <c r="Q1051" s="256"/>
      <c r="R1051" s="201"/>
      <c r="S1051" s="201"/>
      <c r="T1051" s="201"/>
    </row>
    <row r="1052">
      <c r="A1052" s="252"/>
      <c r="B1052" s="202"/>
      <c r="C1052" s="233"/>
      <c r="D1052" s="233"/>
      <c r="E1052" s="201"/>
      <c r="F1052" s="206"/>
      <c r="G1052" s="206"/>
      <c r="H1052" s="253"/>
      <c r="I1052" s="201"/>
      <c r="J1052" s="254"/>
      <c r="K1052" s="254"/>
      <c r="L1052" s="206"/>
      <c r="M1052" s="201"/>
      <c r="N1052" s="206"/>
      <c r="O1052" s="255"/>
      <c r="P1052" s="256"/>
      <c r="Q1052" s="256"/>
      <c r="R1052" s="201"/>
      <c r="S1052" s="201"/>
      <c r="T1052" s="201"/>
    </row>
    <row r="1053">
      <c r="A1053" s="252"/>
      <c r="B1053" s="202"/>
      <c r="C1053" s="233"/>
      <c r="D1053" s="233"/>
      <c r="E1053" s="201"/>
      <c r="F1053" s="206"/>
      <c r="G1053" s="206"/>
      <c r="H1053" s="253"/>
      <c r="I1053" s="201"/>
      <c r="J1053" s="254"/>
      <c r="K1053" s="254"/>
      <c r="L1053" s="206"/>
      <c r="M1053" s="201"/>
      <c r="N1053" s="206"/>
      <c r="O1053" s="255"/>
      <c r="P1053" s="256"/>
      <c r="Q1053" s="256"/>
      <c r="R1053" s="201"/>
      <c r="S1053" s="201"/>
      <c r="T1053" s="201"/>
    </row>
    <row r="1054">
      <c r="A1054" s="252"/>
      <c r="B1054" s="202"/>
      <c r="C1054" s="233"/>
      <c r="D1054" s="233"/>
      <c r="E1054" s="201"/>
      <c r="F1054" s="206"/>
      <c r="G1054" s="206"/>
      <c r="H1054" s="253"/>
      <c r="I1054" s="201"/>
      <c r="J1054" s="254"/>
      <c r="K1054" s="254"/>
      <c r="L1054" s="206"/>
      <c r="M1054" s="201"/>
      <c r="N1054" s="206"/>
      <c r="O1054" s="255"/>
      <c r="P1054" s="256"/>
      <c r="Q1054" s="256"/>
      <c r="R1054" s="201"/>
      <c r="S1054" s="201"/>
      <c r="T1054" s="201"/>
    </row>
    <row r="1055">
      <c r="A1055" s="252"/>
      <c r="B1055" s="202"/>
      <c r="C1055" s="233"/>
      <c r="D1055" s="233"/>
      <c r="E1055" s="201"/>
      <c r="F1055" s="206"/>
      <c r="G1055" s="206"/>
      <c r="H1055" s="253"/>
      <c r="I1055" s="201"/>
      <c r="J1055" s="254"/>
      <c r="K1055" s="254"/>
      <c r="L1055" s="206"/>
      <c r="M1055" s="201"/>
      <c r="N1055" s="206"/>
      <c r="O1055" s="255"/>
      <c r="P1055" s="256"/>
      <c r="Q1055" s="256"/>
      <c r="R1055" s="201"/>
      <c r="S1055" s="201"/>
      <c r="T1055" s="201"/>
    </row>
    <row r="1056">
      <c r="A1056" s="252"/>
      <c r="B1056" s="202"/>
      <c r="C1056" s="233"/>
      <c r="D1056" s="233"/>
      <c r="E1056" s="201"/>
      <c r="F1056" s="206"/>
      <c r="G1056" s="206"/>
      <c r="H1056" s="253"/>
      <c r="I1056" s="201"/>
      <c r="J1056" s="254"/>
      <c r="K1056" s="254"/>
      <c r="L1056" s="206"/>
      <c r="M1056" s="201"/>
      <c r="N1056" s="206"/>
      <c r="O1056" s="255"/>
      <c r="P1056" s="256"/>
      <c r="Q1056" s="256"/>
      <c r="R1056" s="201"/>
      <c r="S1056" s="201"/>
      <c r="T1056" s="201"/>
    </row>
    <row r="1057">
      <c r="A1057" s="252"/>
      <c r="B1057" s="202"/>
      <c r="C1057" s="233"/>
      <c r="D1057" s="233"/>
      <c r="E1057" s="201"/>
      <c r="F1057" s="206"/>
      <c r="G1057" s="206"/>
      <c r="H1057" s="253"/>
      <c r="I1057" s="201"/>
      <c r="J1057" s="254"/>
      <c r="K1057" s="254"/>
      <c r="L1057" s="206"/>
      <c r="M1057" s="201"/>
      <c r="N1057" s="206"/>
      <c r="O1057" s="255"/>
      <c r="P1057" s="256"/>
      <c r="Q1057" s="256"/>
      <c r="R1057" s="201"/>
      <c r="S1057" s="201"/>
      <c r="T1057" s="201"/>
    </row>
    <row r="1058">
      <c r="A1058" s="252"/>
      <c r="B1058" s="202"/>
      <c r="C1058" s="233"/>
      <c r="D1058" s="233"/>
      <c r="E1058" s="201"/>
      <c r="F1058" s="206"/>
      <c r="G1058" s="206"/>
      <c r="H1058" s="253"/>
      <c r="I1058" s="201"/>
      <c r="J1058" s="254"/>
      <c r="K1058" s="254"/>
      <c r="L1058" s="206"/>
      <c r="M1058" s="201"/>
      <c r="N1058" s="206"/>
      <c r="O1058" s="255"/>
      <c r="P1058" s="256"/>
      <c r="Q1058" s="256"/>
      <c r="R1058" s="201"/>
      <c r="S1058" s="201"/>
      <c r="T1058" s="201"/>
    </row>
    <row r="1059">
      <c r="A1059" s="252"/>
      <c r="B1059" s="202"/>
      <c r="C1059" s="233"/>
      <c r="D1059" s="233"/>
      <c r="E1059" s="201"/>
      <c r="F1059" s="206"/>
      <c r="G1059" s="206"/>
      <c r="H1059" s="253"/>
      <c r="I1059" s="201"/>
      <c r="J1059" s="254"/>
      <c r="K1059" s="254"/>
      <c r="L1059" s="206"/>
      <c r="M1059" s="201"/>
      <c r="N1059" s="206"/>
      <c r="O1059" s="255"/>
      <c r="P1059" s="256"/>
      <c r="Q1059" s="256"/>
      <c r="R1059" s="201"/>
      <c r="S1059" s="201"/>
      <c r="T1059" s="201"/>
    </row>
    <row r="1060">
      <c r="A1060" s="252"/>
      <c r="B1060" s="202"/>
      <c r="C1060" s="233"/>
      <c r="D1060" s="233"/>
      <c r="E1060" s="201"/>
      <c r="F1060" s="206"/>
      <c r="G1060" s="206"/>
      <c r="H1060" s="253"/>
      <c r="I1060" s="201"/>
      <c r="J1060" s="254"/>
      <c r="K1060" s="254"/>
      <c r="L1060" s="206"/>
      <c r="M1060" s="201"/>
      <c r="N1060" s="206"/>
      <c r="O1060" s="255"/>
      <c r="P1060" s="256"/>
      <c r="Q1060" s="256"/>
      <c r="R1060" s="201"/>
      <c r="S1060" s="201"/>
      <c r="T1060" s="201"/>
    </row>
    <row r="1061">
      <c r="A1061" s="252"/>
      <c r="B1061" s="202"/>
      <c r="C1061" s="233"/>
      <c r="D1061" s="233"/>
      <c r="E1061" s="201"/>
      <c r="F1061" s="206"/>
      <c r="G1061" s="206"/>
      <c r="H1061" s="253"/>
      <c r="I1061" s="201"/>
      <c r="J1061" s="254"/>
      <c r="K1061" s="254"/>
      <c r="L1061" s="206"/>
      <c r="M1061" s="201"/>
      <c r="N1061" s="206"/>
      <c r="O1061" s="255"/>
      <c r="P1061" s="256"/>
      <c r="Q1061" s="256"/>
      <c r="R1061" s="201"/>
      <c r="S1061" s="201"/>
      <c r="T1061" s="201"/>
    </row>
    <row r="1062">
      <c r="A1062" s="252"/>
      <c r="B1062" s="202"/>
      <c r="C1062" s="233"/>
      <c r="D1062" s="233"/>
      <c r="E1062" s="201"/>
      <c r="F1062" s="206"/>
      <c r="G1062" s="206"/>
      <c r="H1062" s="253"/>
      <c r="I1062" s="201"/>
      <c r="J1062" s="254"/>
      <c r="K1062" s="254"/>
      <c r="L1062" s="206"/>
      <c r="M1062" s="201"/>
      <c r="N1062" s="206"/>
      <c r="O1062" s="255"/>
      <c r="P1062" s="256"/>
      <c r="Q1062" s="256"/>
      <c r="R1062" s="201"/>
      <c r="S1062" s="201"/>
      <c r="T1062" s="201"/>
    </row>
    <row r="1063">
      <c r="A1063" s="252"/>
      <c r="B1063" s="202"/>
      <c r="C1063" s="233"/>
      <c r="D1063" s="233"/>
      <c r="E1063" s="201"/>
      <c r="F1063" s="206"/>
      <c r="G1063" s="206"/>
      <c r="H1063" s="253"/>
      <c r="I1063" s="201"/>
      <c r="J1063" s="254"/>
      <c r="K1063" s="254"/>
      <c r="L1063" s="206"/>
      <c r="M1063" s="201"/>
      <c r="N1063" s="206"/>
      <c r="O1063" s="255"/>
      <c r="P1063" s="256"/>
      <c r="Q1063" s="256"/>
      <c r="R1063" s="201"/>
      <c r="S1063" s="201"/>
      <c r="T1063" s="201"/>
    </row>
    <row r="1064">
      <c r="A1064" s="252"/>
      <c r="B1064" s="202"/>
      <c r="C1064" s="233"/>
      <c r="D1064" s="233"/>
      <c r="E1064" s="201"/>
      <c r="F1064" s="206"/>
      <c r="G1064" s="206"/>
      <c r="H1064" s="253"/>
      <c r="I1064" s="201"/>
      <c r="J1064" s="254"/>
      <c r="K1064" s="254"/>
      <c r="L1064" s="206"/>
      <c r="M1064" s="201"/>
      <c r="N1064" s="206"/>
      <c r="O1064" s="255"/>
      <c r="P1064" s="256"/>
      <c r="Q1064" s="256"/>
      <c r="R1064" s="201"/>
      <c r="S1064" s="201"/>
      <c r="T1064" s="201"/>
    </row>
    <row r="1065">
      <c r="A1065" s="252"/>
      <c r="B1065" s="202"/>
      <c r="C1065" s="233"/>
      <c r="D1065" s="233"/>
      <c r="E1065" s="201"/>
      <c r="F1065" s="206"/>
      <c r="G1065" s="206"/>
      <c r="H1065" s="253"/>
      <c r="I1065" s="201"/>
      <c r="J1065" s="254"/>
      <c r="K1065" s="254"/>
      <c r="L1065" s="206"/>
      <c r="M1065" s="201"/>
      <c r="N1065" s="206"/>
      <c r="O1065" s="255"/>
      <c r="P1065" s="256"/>
      <c r="Q1065" s="256"/>
      <c r="R1065" s="201"/>
      <c r="S1065" s="201"/>
      <c r="T1065" s="201"/>
    </row>
    <row r="1066">
      <c r="A1066" s="252"/>
      <c r="B1066" s="202"/>
      <c r="C1066" s="233"/>
      <c r="D1066" s="233"/>
      <c r="E1066" s="201"/>
      <c r="F1066" s="206"/>
      <c r="G1066" s="206"/>
      <c r="H1066" s="253"/>
      <c r="I1066" s="201"/>
      <c r="J1066" s="254"/>
      <c r="K1066" s="254"/>
      <c r="L1066" s="206"/>
      <c r="M1066" s="201"/>
      <c r="N1066" s="206"/>
      <c r="O1066" s="255"/>
      <c r="P1066" s="256"/>
      <c r="Q1066" s="256"/>
      <c r="R1066" s="201"/>
      <c r="S1066" s="201"/>
      <c r="T1066" s="201"/>
    </row>
    <row r="1067">
      <c r="A1067" s="252"/>
      <c r="B1067" s="202"/>
      <c r="C1067" s="233"/>
      <c r="D1067" s="233"/>
      <c r="E1067" s="201"/>
      <c r="F1067" s="206"/>
      <c r="G1067" s="206"/>
      <c r="H1067" s="253"/>
      <c r="I1067" s="201"/>
      <c r="J1067" s="254"/>
      <c r="K1067" s="254"/>
      <c r="L1067" s="206"/>
      <c r="M1067" s="201"/>
      <c r="N1067" s="206"/>
      <c r="O1067" s="255"/>
      <c r="P1067" s="256"/>
      <c r="Q1067" s="256"/>
      <c r="R1067" s="201"/>
      <c r="S1067" s="201"/>
      <c r="T1067" s="201"/>
    </row>
    <row r="1068">
      <c r="A1068" s="252"/>
      <c r="B1068" s="202"/>
      <c r="C1068" s="233"/>
      <c r="D1068" s="233"/>
      <c r="E1068" s="201"/>
      <c r="F1068" s="206"/>
      <c r="G1068" s="206"/>
      <c r="H1068" s="253"/>
      <c r="I1068" s="201"/>
      <c r="J1068" s="254"/>
      <c r="K1068" s="254"/>
      <c r="L1068" s="206"/>
      <c r="M1068" s="201"/>
      <c r="N1068" s="206"/>
      <c r="O1068" s="255"/>
      <c r="P1068" s="256"/>
      <c r="Q1068" s="256"/>
      <c r="R1068" s="201"/>
      <c r="S1068" s="201"/>
      <c r="T1068" s="201"/>
    </row>
    <row r="1069">
      <c r="A1069" s="252"/>
      <c r="B1069" s="202"/>
      <c r="C1069" s="233"/>
      <c r="D1069" s="233"/>
      <c r="E1069" s="201"/>
      <c r="F1069" s="206"/>
      <c r="G1069" s="206"/>
      <c r="H1069" s="253"/>
      <c r="I1069" s="201"/>
      <c r="J1069" s="254"/>
      <c r="K1069" s="254"/>
      <c r="L1069" s="206"/>
      <c r="M1069" s="201"/>
      <c r="N1069" s="206"/>
      <c r="O1069" s="255"/>
      <c r="P1069" s="256"/>
      <c r="Q1069" s="256"/>
      <c r="R1069" s="201"/>
      <c r="S1069" s="201"/>
      <c r="T1069" s="201"/>
    </row>
    <row r="1070">
      <c r="A1070" s="252"/>
      <c r="B1070" s="202"/>
      <c r="C1070" s="233"/>
      <c r="D1070" s="233"/>
      <c r="E1070" s="201"/>
      <c r="F1070" s="206"/>
      <c r="G1070" s="206"/>
      <c r="H1070" s="253"/>
      <c r="I1070" s="201"/>
      <c r="J1070" s="254"/>
      <c r="K1070" s="254"/>
      <c r="L1070" s="206"/>
      <c r="M1070" s="201"/>
      <c r="N1070" s="206"/>
      <c r="O1070" s="255"/>
      <c r="P1070" s="256"/>
      <c r="Q1070" s="256"/>
      <c r="R1070" s="201"/>
      <c r="S1070" s="201"/>
      <c r="T1070" s="201"/>
    </row>
    <row r="1071">
      <c r="A1071" s="252"/>
      <c r="B1071" s="202"/>
      <c r="C1071" s="233"/>
      <c r="D1071" s="233"/>
      <c r="E1071" s="201"/>
      <c r="F1071" s="206"/>
      <c r="G1071" s="206"/>
      <c r="H1071" s="253"/>
      <c r="I1071" s="201"/>
      <c r="J1071" s="254"/>
      <c r="K1071" s="254"/>
      <c r="L1071" s="206"/>
      <c r="M1071" s="201"/>
      <c r="N1071" s="206"/>
      <c r="O1071" s="255"/>
      <c r="P1071" s="256"/>
      <c r="Q1071" s="256"/>
      <c r="R1071" s="201"/>
      <c r="S1071" s="201"/>
      <c r="T1071" s="201"/>
    </row>
    <row r="1072">
      <c r="A1072" s="252"/>
      <c r="B1072" s="202"/>
      <c r="C1072" s="233"/>
      <c r="D1072" s="233"/>
      <c r="E1072" s="201"/>
      <c r="F1072" s="206"/>
      <c r="G1072" s="206"/>
      <c r="H1072" s="253"/>
      <c r="I1072" s="201"/>
      <c r="J1072" s="254"/>
      <c r="K1072" s="254"/>
      <c r="L1072" s="206"/>
      <c r="M1072" s="201"/>
      <c r="N1072" s="206"/>
      <c r="O1072" s="255"/>
      <c r="P1072" s="256"/>
      <c r="Q1072" s="256"/>
      <c r="R1072" s="201"/>
      <c r="S1072" s="201"/>
      <c r="T1072" s="201"/>
    </row>
    <row r="1073">
      <c r="A1073" s="252"/>
      <c r="B1073" s="202"/>
      <c r="C1073" s="233"/>
      <c r="D1073" s="233"/>
      <c r="E1073" s="201"/>
      <c r="F1073" s="206"/>
      <c r="G1073" s="206"/>
      <c r="H1073" s="253"/>
      <c r="I1073" s="201"/>
      <c r="J1073" s="254"/>
      <c r="K1073" s="254"/>
      <c r="L1073" s="206"/>
      <c r="M1073" s="201"/>
      <c r="N1073" s="206"/>
      <c r="O1073" s="255"/>
      <c r="P1073" s="256"/>
      <c r="Q1073" s="256"/>
      <c r="R1073" s="201"/>
      <c r="S1073" s="201"/>
      <c r="T1073" s="201"/>
    </row>
    <row r="1074">
      <c r="A1074" s="252"/>
      <c r="B1074" s="202"/>
      <c r="C1074" s="233"/>
      <c r="D1074" s="233"/>
      <c r="E1074" s="201"/>
      <c r="F1074" s="206"/>
      <c r="G1074" s="206"/>
      <c r="H1074" s="253"/>
      <c r="I1074" s="201"/>
      <c r="J1074" s="254"/>
      <c r="K1074" s="254"/>
      <c r="L1074" s="206"/>
      <c r="M1074" s="201"/>
      <c r="N1074" s="206"/>
      <c r="O1074" s="255"/>
      <c r="P1074" s="256"/>
      <c r="Q1074" s="256"/>
      <c r="R1074" s="201"/>
      <c r="S1074" s="201"/>
      <c r="T1074" s="201"/>
    </row>
    <row r="1075">
      <c r="A1075" s="252"/>
      <c r="B1075" s="202"/>
      <c r="C1075" s="233"/>
      <c r="D1075" s="233"/>
      <c r="E1075" s="201"/>
      <c r="F1075" s="206"/>
      <c r="G1075" s="206"/>
      <c r="H1075" s="253"/>
      <c r="I1075" s="201"/>
      <c r="J1075" s="254"/>
      <c r="K1075" s="254"/>
      <c r="L1075" s="206"/>
      <c r="M1075" s="201"/>
      <c r="N1075" s="206"/>
      <c r="O1075" s="255"/>
      <c r="P1075" s="256"/>
      <c r="Q1075" s="256"/>
      <c r="R1075" s="201"/>
      <c r="S1075" s="201"/>
      <c r="T1075" s="201"/>
    </row>
    <row r="1076">
      <c r="A1076" s="252"/>
      <c r="B1076" s="202"/>
      <c r="C1076" s="233"/>
      <c r="D1076" s="233"/>
      <c r="E1076" s="201"/>
      <c r="F1076" s="206"/>
      <c r="G1076" s="206"/>
      <c r="H1076" s="253"/>
      <c r="I1076" s="201"/>
      <c r="J1076" s="254"/>
      <c r="K1076" s="254"/>
      <c r="L1076" s="206"/>
      <c r="M1076" s="201"/>
      <c r="N1076" s="206"/>
      <c r="O1076" s="255"/>
      <c r="P1076" s="256"/>
      <c r="Q1076" s="256"/>
      <c r="R1076" s="201"/>
      <c r="S1076" s="201"/>
      <c r="T1076" s="201"/>
    </row>
    <row r="1077">
      <c r="A1077" s="252"/>
      <c r="B1077" s="202"/>
      <c r="C1077" s="233"/>
      <c r="D1077" s="233"/>
      <c r="E1077" s="201"/>
      <c r="F1077" s="206"/>
      <c r="G1077" s="206"/>
      <c r="H1077" s="253"/>
      <c r="I1077" s="201"/>
      <c r="J1077" s="254"/>
      <c r="K1077" s="254"/>
      <c r="L1077" s="206"/>
      <c r="M1077" s="201"/>
      <c r="N1077" s="206"/>
      <c r="O1077" s="255"/>
      <c r="P1077" s="256"/>
      <c r="Q1077" s="256"/>
      <c r="R1077" s="201"/>
      <c r="S1077" s="201"/>
      <c r="T1077" s="201"/>
    </row>
    <row r="1078">
      <c r="A1078" s="252"/>
      <c r="B1078" s="202"/>
      <c r="C1078" s="233"/>
      <c r="D1078" s="233"/>
      <c r="E1078" s="201"/>
      <c r="F1078" s="206"/>
      <c r="G1078" s="206"/>
      <c r="H1078" s="253"/>
      <c r="I1078" s="201"/>
      <c r="J1078" s="254"/>
      <c r="K1078" s="254"/>
      <c r="L1078" s="206"/>
      <c r="M1078" s="201"/>
      <c r="N1078" s="206"/>
      <c r="O1078" s="255"/>
      <c r="P1078" s="256"/>
      <c r="Q1078" s="256"/>
      <c r="R1078" s="201"/>
      <c r="S1078" s="201"/>
      <c r="T1078" s="201"/>
    </row>
    <row r="1079">
      <c r="A1079" s="252"/>
      <c r="B1079" s="202"/>
      <c r="C1079" s="233"/>
      <c r="D1079" s="233"/>
      <c r="E1079" s="201"/>
      <c r="F1079" s="206"/>
      <c r="G1079" s="206"/>
      <c r="H1079" s="253"/>
      <c r="I1079" s="201"/>
      <c r="J1079" s="254"/>
      <c r="K1079" s="254"/>
      <c r="L1079" s="206"/>
      <c r="M1079" s="201"/>
      <c r="N1079" s="206"/>
      <c r="O1079" s="255"/>
      <c r="P1079" s="256"/>
      <c r="Q1079" s="256"/>
      <c r="R1079" s="201"/>
      <c r="S1079" s="201"/>
      <c r="T1079" s="201"/>
    </row>
    <row r="1080">
      <c r="A1080" s="252"/>
      <c r="B1080" s="202"/>
      <c r="C1080" s="233"/>
      <c r="D1080" s="233"/>
      <c r="E1080" s="201"/>
      <c r="F1080" s="206"/>
      <c r="G1080" s="206"/>
      <c r="H1080" s="253"/>
      <c r="I1080" s="201"/>
      <c r="J1080" s="254"/>
      <c r="K1080" s="254"/>
      <c r="L1080" s="206"/>
      <c r="M1080" s="201"/>
      <c r="N1080" s="206"/>
      <c r="O1080" s="255"/>
      <c r="P1080" s="256"/>
      <c r="Q1080" s="256"/>
      <c r="R1080" s="201"/>
      <c r="S1080" s="201"/>
      <c r="T1080" s="201"/>
    </row>
    <row r="1081">
      <c r="A1081" s="252"/>
      <c r="B1081" s="202"/>
      <c r="C1081" s="233"/>
      <c r="D1081" s="233"/>
      <c r="E1081" s="201"/>
      <c r="F1081" s="206"/>
      <c r="G1081" s="206"/>
      <c r="H1081" s="253"/>
      <c r="I1081" s="201"/>
      <c r="J1081" s="254"/>
      <c r="K1081" s="254"/>
      <c r="L1081" s="206"/>
      <c r="M1081" s="201"/>
      <c r="N1081" s="206"/>
      <c r="O1081" s="255"/>
      <c r="P1081" s="256"/>
      <c r="Q1081" s="256"/>
      <c r="R1081" s="201"/>
      <c r="S1081" s="201"/>
      <c r="T1081" s="201"/>
    </row>
    <row r="1082">
      <c r="A1082" s="252"/>
      <c r="B1082" s="202"/>
      <c r="C1082" s="233"/>
      <c r="D1082" s="233"/>
      <c r="E1082" s="201"/>
      <c r="F1082" s="206"/>
      <c r="G1082" s="206"/>
      <c r="H1082" s="253"/>
      <c r="I1082" s="201"/>
      <c r="J1082" s="254"/>
      <c r="K1082" s="254"/>
      <c r="L1082" s="206"/>
      <c r="M1082" s="201"/>
      <c r="N1082" s="206"/>
      <c r="O1082" s="255"/>
      <c r="P1082" s="256"/>
      <c r="Q1082" s="256"/>
      <c r="R1082" s="201"/>
      <c r="S1082" s="201"/>
      <c r="T1082" s="201"/>
    </row>
    <row r="1083">
      <c r="A1083" s="252"/>
      <c r="B1083" s="202"/>
      <c r="C1083" s="233"/>
      <c r="D1083" s="233"/>
      <c r="E1083" s="201"/>
      <c r="F1083" s="206"/>
      <c r="G1083" s="206"/>
      <c r="H1083" s="253"/>
      <c r="I1083" s="201"/>
      <c r="J1083" s="254"/>
      <c r="K1083" s="254"/>
      <c r="L1083" s="206"/>
      <c r="M1083" s="201"/>
      <c r="N1083" s="206"/>
      <c r="O1083" s="255"/>
      <c r="P1083" s="256"/>
      <c r="Q1083" s="256"/>
      <c r="R1083" s="201"/>
      <c r="S1083" s="201"/>
      <c r="T1083" s="201"/>
    </row>
    <row r="1084">
      <c r="A1084" s="252"/>
      <c r="B1084" s="202"/>
      <c r="C1084" s="233"/>
      <c r="D1084" s="233"/>
      <c r="E1084" s="201"/>
      <c r="F1084" s="206"/>
      <c r="G1084" s="206"/>
      <c r="H1084" s="253"/>
      <c r="I1084" s="201"/>
      <c r="J1084" s="254"/>
      <c r="K1084" s="254"/>
      <c r="L1084" s="206"/>
      <c r="M1084" s="201"/>
      <c r="N1084" s="206"/>
      <c r="O1084" s="255"/>
      <c r="P1084" s="256"/>
      <c r="Q1084" s="256"/>
      <c r="R1084" s="201"/>
      <c r="S1084" s="201"/>
      <c r="T1084" s="201"/>
    </row>
    <row r="1085">
      <c r="A1085" s="252"/>
      <c r="B1085" s="202"/>
      <c r="C1085" s="233"/>
      <c r="D1085" s="233"/>
      <c r="E1085" s="201"/>
      <c r="F1085" s="206"/>
      <c r="G1085" s="206"/>
      <c r="H1085" s="253"/>
      <c r="I1085" s="201"/>
      <c r="J1085" s="254"/>
      <c r="K1085" s="254"/>
      <c r="L1085" s="206"/>
      <c r="M1085" s="201"/>
      <c r="N1085" s="206"/>
      <c r="O1085" s="255"/>
      <c r="P1085" s="256"/>
      <c r="Q1085" s="256"/>
      <c r="R1085" s="201"/>
      <c r="S1085" s="201"/>
      <c r="T1085" s="201"/>
    </row>
    <row r="1086">
      <c r="A1086" s="252"/>
      <c r="B1086" s="202"/>
      <c r="C1086" s="233"/>
      <c r="D1086" s="233"/>
      <c r="E1086" s="201"/>
      <c r="F1086" s="206"/>
      <c r="G1086" s="206"/>
      <c r="H1086" s="253"/>
      <c r="I1086" s="201"/>
      <c r="J1086" s="254"/>
      <c r="K1086" s="254"/>
      <c r="L1086" s="206"/>
      <c r="M1086" s="201"/>
      <c r="N1086" s="206"/>
      <c r="O1086" s="255"/>
      <c r="P1086" s="256"/>
      <c r="Q1086" s="256"/>
      <c r="R1086" s="201"/>
      <c r="S1086" s="201"/>
      <c r="T1086" s="201"/>
    </row>
    <row r="1087">
      <c r="A1087" s="252"/>
      <c r="B1087" s="202"/>
      <c r="C1087" s="233"/>
      <c r="D1087" s="233"/>
      <c r="E1087" s="201"/>
      <c r="F1087" s="206"/>
      <c r="G1087" s="206"/>
      <c r="H1087" s="253"/>
      <c r="I1087" s="201"/>
      <c r="J1087" s="254"/>
      <c r="K1087" s="254"/>
      <c r="L1087" s="206"/>
      <c r="M1087" s="201"/>
      <c r="N1087" s="206"/>
      <c r="O1087" s="255"/>
      <c r="P1087" s="256"/>
      <c r="Q1087" s="256"/>
      <c r="R1087" s="201"/>
      <c r="S1087" s="201"/>
      <c r="T1087" s="201"/>
    </row>
    <row r="1088">
      <c r="A1088" s="252"/>
      <c r="B1088" s="202"/>
      <c r="C1088" s="233"/>
      <c r="D1088" s="233"/>
      <c r="E1088" s="201"/>
      <c r="F1088" s="206"/>
      <c r="G1088" s="206"/>
      <c r="H1088" s="253"/>
      <c r="I1088" s="201"/>
      <c r="J1088" s="254"/>
      <c r="K1088" s="254"/>
      <c r="L1088" s="206"/>
      <c r="M1088" s="201"/>
      <c r="N1088" s="206"/>
      <c r="O1088" s="255"/>
      <c r="P1088" s="256"/>
      <c r="Q1088" s="256"/>
      <c r="R1088" s="201"/>
      <c r="S1088" s="201"/>
      <c r="T1088" s="201"/>
    </row>
    <row r="1089">
      <c r="A1089" s="252"/>
      <c r="B1089" s="202"/>
      <c r="C1089" s="233"/>
      <c r="D1089" s="233"/>
      <c r="E1089" s="201"/>
      <c r="F1089" s="206"/>
      <c r="G1089" s="206"/>
      <c r="H1089" s="253"/>
      <c r="I1089" s="201"/>
      <c r="J1089" s="254"/>
      <c r="K1089" s="254"/>
      <c r="L1089" s="206"/>
      <c r="M1089" s="201"/>
      <c r="N1089" s="206"/>
      <c r="O1089" s="255"/>
      <c r="P1089" s="256"/>
      <c r="Q1089" s="256"/>
      <c r="R1089" s="201"/>
      <c r="S1089" s="201"/>
      <c r="T1089" s="201"/>
    </row>
    <row r="1090">
      <c r="A1090" s="252"/>
      <c r="B1090" s="202"/>
      <c r="C1090" s="233"/>
      <c r="D1090" s="233"/>
      <c r="E1090" s="201"/>
      <c r="F1090" s="206"/>
      <c r="G1090" s="206"/>
      <c r="H1090" s="253"/>
      <c r="I1090" s="201"/>
      <c r="J1090" s="254"/>
      <c r="K1090" s="254"/>
      <c r="L1090" s="206"/>
      <c r="M1090" s="201"/>
      <c r="N1090" s="206"/>
      <c r="O1090" s="255"/>
      <c r="P1090" s="256"/>
      <c r="Q1090" s="256"/>
      <c r="R1090" s="201"/>
      <c r="S1090" s="201"/>
      <c r="T1090" s="201"/>
    </row>
    <row r="1091">
      <c r="A1091" s="252"/>
      <c r="B1091" s="202"/>
      <c r="C1091" s="233"/>
      <c r="D1091" s="233"/>
      <c r="E1091" s="201"/>
      <c r="F1091" s="206"/>
      <c r="G1091" s="206"/>
      <c r="H1091" s="253"/>
      <c r="I1091" s="201"/>
      <c r="J1091" s="254"/>
      <c r="K1091" s="254"/>
      <c r="L1091" s="206"/>
      <c r="M1091" s="201"/>
      <c r="N1091" s="206"/>
      <c r="O1091" s="255"/>
      <c r="P1091" s="256"/>
      <c r="Q1091" s="256"/>
      <c r="R1091" s="201"/>
      <c r="S1091" s="201"/>
      <c r="T1091" s="201"/>
    </row>
    <row r="1092">
      <c r="A1092" s="252"/>
      <c r="B1092" s="202"/>
      <c r="C1092" s="233"/>
      <c r="D1092" s="233"/>
      <c r="E1092" s="201"/>
      <c r="F1092" s="206"/>
      <c r="G1092" s="206"/>
      <c r="H1092" s="253"/>
      <c r="I1092" s="201"/>
      <c r="J1092" s="254"/>
      <c r="K1092" s="254"/>
      <c r="L1092" s="206"/>
      <c r="M1092" s="201"/>
      <c r="N1092" s="206"/>
      <c r="O1092" s="255"/>
      <c r="P1092" s="256"/>
      <c r="Q1092" s="256"/>
      <c r="R1092" s="201"/>
      <c r="S1092" s="201"/>
      <c r="T1092" s="201"/>
    </row>
    <row r="1093">
      <c r="A1093" s="252"/>
      <c r="B1093" s="202"/>
      <c r="C1093" s="233"/>
      <c r="D1093" s="233"/>
      <c r="E1093" s="201"/>
      <c r="F1093" s="206"/>
      <c r="G1093" s="206"/>
      <c r="H1093" s="253"/>
      <c r="I1093" s="201"/>
      <c r="J1093" s="254"/>
      <c r="K1093" s="254"/>
      <c r="L1093" s="206"/>
      <c r="M1093" s="201"/>
      <c r="N1093" s="206"/>
      <c r="O1093" s="255"/>
      <c r="P1093" s="256"/>
      <c r="Q1093" s="256"/>
      <c r="R1093" s="201"/>
      <c r="S1093" s="201"/>
      <c r="T1093" s="201"/>
    </row>
    <row r="1094">
      <c r="A1094" s="252"/>
      <c r="B1094" s="202"/>
      <c r="C1094" s="233"/>
      <c r="D1094" s="233"/>
      <c r="E1094" s="201"/>
      <c r="F1094" s="206"/>
      <c r="G1094" s="206"/>
      <c r="H1094" s="253"/>
      <c r="I1094" s="201"/>
      <c r="J1094" s="254"/>
      <c r="K1094" s="254"/>
      <c r="L1094" s="206"/>
      <c r="M1094" s="201"/>
      <c r="N1094" s="206"/>
      <c r="O1094" s="255"/>
      <c r="P1094" s="256"/>
      <c r="Q1094" s="256"/>
      <c r="R1094" s="201"/>
      <c r="S1094" s="201"/>
      <c r="T1094" s="201"/>
    </row>
    <row r="1095">
      <c r="A1095" s="252"/>
      <c r="B1095" s="202"/>
      <c r="C1095" s="233"/>
      <c r="D1095" s="233"/>
      <c r="E1095" s="201"/>
      <c r="F1095" s="206"/>
      <c r="G1095" s="206"/>
      <c r="H1095" s="253"/>
      <c r="I1095" s="201"/>
      <c r="J1095" s="254"/>
      <c r="K1095" s="254"/>
      <c r="L1095" s="206"/>
      <c r="M1095" s="201"/>
      <c r="N1095" s="206"/>
      <c r="O1095" s="255"/>
      <c r="P1095" s="256"/>
      <c r="Q1095" s="256"/>
      <c r="R1095" s="201"/>
      <c r="S1095" s="201"/>
      <c r="T1095" s="201"/>
    </row>
    <row r="1096">
      <c r="A1096" s="252"/>
      <c r="B1096" s="202"/>
      <c r="C1096" s="233"/>
      <c r="D1096" s="233"/>
      <c r="E1096" s="201"/>
      <c r="F1096" s="206"/>
      <c r="G1096" s="206"/>
      <c r="H1096" s="253"/>
      <c r="I1096" s="201"/>
      <c r="J1096" s="254"/>
      <c r="K1096" s="254"/>
      <c r="L1096" s="206"/>
      <c r="M1096" s="201"/>
      <c r="N1096" s="206"/>
      <c r="O1096" s="255"/>
      <c r="P1096" s="256"/>
      <c r="Q1096" s="256"/>
      <c r="R1096" s="201"/>
      <c r="S1096" s="201"/>
      <c r="T1096" s="201"/>
    </row>
    <row r="1097">
      <c r="A1097" s="252"/>
      <c r="B1097" s="202"/>
      <c r="C1097" s="233"/>
      <c r="D1097" s="233"/>
      <c r="E1097" s="201"/>
      <c r="F1097" s="206"/>
      <c r="G1097" s="206"/>
      <c r="H1097" s="253"/>
      <c r="I1097" s="201"/>
      <c r="J1097" s="254"/>
      <c r="K1097" s="254"/>
      <c r="L1097" s="206"/>
      <c r="M1097" s="201"/>
      <c r="N1097" s="206"/>
      <c r="O1097" s="255"/>
      <c r="P1097" s="256"/>
      <c r="Q1097" s="256"/>
      <c r="R1097" s="201"/>
      <c r="S1097" s="201"/>
      <c r="T1097" s="201"/>
    </row>
    <row r="1098">
      <c r="A1098" s="252"/>
      <c r="B1098" s="202"/>
      <c r="C1098" s="233"/>
      <c r="D1098" s="233"/>
      <c r="E1098" s="201"/>
      <c r="F1098" s="206"/>
      <c r="G1098" s="206"/>
      <c r="H1098" s="253"/>
      <c r="I1098" s="201"/>
      <c r="J1098" s="254"/>
      <c r="K1098" s="254"/>
      <c r="L1098" s="206"/>
      <c r="M1098" s="201"/>
      <c r="N1098" s="206"/>
      <c r="O1098" s="255"/>
      <c r="P1098" s="256"/>
      <c r="Q1098" s="256"/>
      <c r="R1098" s="201"/>
      <c r="S1098" s="201"/>
      <c r="T1098" s="201"/>
    </row>
    <row r="1099">
      <c r="A1099" s="252"/>
      <c r="B1099" s="202"/>
      <c r="C1099" s="233"/>
      <c r="D1099" s="233"/>
      <c r="E1099" s="201"/>
      <c r="F1099" s="206"/>
      <c r="G1099" s="206"/>
      <c r="H1099" s="253"/>
      <c r="I1099" s="201"/>
      <c r="J1099" s="254"/>
      <c r="K1099" s="254"/>
      <c r="L1099" s="206"/>
      <c r="M1099" s="201"/>
      <c r="N1099" s="206"/>
      <c r="O1099" s="255"/>
      <c r="P1099" s="256"/>
      <c r="Q1099" s="256"/>
      <c r="R1099" s="201"/>
      <c r="S1099" s="201"/>
      <c r="T1099" s="201"/>
    </row>
    <row r="1100">
      <c r="A1100" s="252"/>
      <c r="B1100" s="202"/>
      <c r="C1100" s="233"/>
      <c r="D1100" s="233"/>
      <c r="E1100" s="201"/>
      <c r="F1100" s="206"/>
      <c r="G1100" s="206"/>
      <c r="H1100" s="253"/>
      <c r="I1100" s="201"/>
      <c r="J1100" s="254"/>
      <c r="K1100" s="254"/>
      <c r="L1100" s="206"/>
      <c r="M1100" s="201"/>
      <c r="N1100" s="206"/>
      <c r="O1100" s="255"/>
      <c r="P1100" s="256"/>
      <c r="Q1100" s="256"/>
      <c r="R1100" s="201"/>
      <c r="S1100" s="201"/>
      <c r="T1100" s="201"/>
    </row>
    <row r="1101">
      <c r="A1101" s="252"/>
      <c r="B1101" s="202"/>
      <c r="C1101" s="233"/>
      <c r="D1101" s="233"/>
      <c r="E1101" s="201"/>
      <c r="F1101" s="206"/>
      <c r="G1101" s="206"/>
      <c r="H1101" s="253"/>
      <c r="I1101" s="201"/>
      <c r="J1101" s="254"/>
      <c r="K1101" s="254"/>
      <c r="L1101" s="206"/>
      <c r="M1101" s="201"/>
      <c r="N1101" s="206"/>
      <c r="O1101" s="255"/>
      <c r="P1101" s="256"/>
      <c r="Q1101" s="256"/>
      <c r="R1101" s="201"/>
      <c r="S1101" s="201"/>
      <c r="T1101" s="201"/>
    </row>
    <row r="1102">
      <c r="A1102" s="252"/>
      <c r="B1102" s="202"/>
      <c r="C1102" s="233"/>
      <c r="D1102" s="233"/>
      <c r="E1102" s="201"/>
      <c r="F1102" s="206"/>
      <c r="G1102" s="206"/>
      <c r="H1102" s="253"/>
      <c r="I1102" s="201"/>
      <c r="J1102" s="254"/>
      <c r="K1102" s="254"/>
      <c r="L1102" s="206"/>
      <c r="M1102" s="201"/>
      <c r="N1102" s="206"/>
      <c r="O1102" s="255"/>
      <c r="P1102" s="256"/>
      <c r="Q1102" s="256"/>
      <c r="R1102" s="201"/>
      <c r="S1102" s="201"/>
      <c r="T1102" s="201"/>
    </row>
    <row r="1103">
      <c r="A1103" s="252"/>
      <c r="B1103" s="202"/>
      <c r="C1103" s="233"/>
      <c r="D1103" s="233"/>
      <c r="E1103" s="201"/>
      <c r="F1103" s="206"/>
      <c r="G1103" s="206"/>
      <c r="H1103" s="253"/>
      <c r="I1103" s="201"/>
      <c r="J1103" s="254"/>
      <c r="K1103" s="254"/>
      <c r="L1103" s="206"/>
      <c r="M1103" s="201"/>
      <c r="N1103" s="206"/>
      <c r="O1103" s="255"/>
      <c r="P1103" s="256"/>
      <c r="Q1103" s="256"/>
      <c r="R1103" s="201"/>
      <c r="S1103" s="201"/>
      <c r="T1103" s="201"/>
    </row>
    <row r="1104">
      <c r="A1104" s="252"/>
      <c r="B1104" s="202"/>
      <c r="C1104" s="233"/>
      <c r="D1104" s="233"/>
      <c r="E1104" s="201"/>
      <c r="F1104" s="206"/>
      <c r="G1104" s="206"/>
      <c r="H1104" s="253"/>
      <c r="I1104" s="201"/>
      <c r="J1104" s="254"/>
      <c r="K1104" s="254"/>
      <c r="L1104" s="206"/>
      <c r="M1104" s="201"/>
      <c r="N1104" s="206"/>
      <c r="O1104" s="255"/>
      <c r="P1104" s="256"/>
      <c r="Q1104" s="256"/>
      <c r="R1104" s="201"/>
      <c r="S1104" s="201"/>
      <c r="T1104" s="201"/>
    </row>
    <row r="1105">
      <c r="A1105" s="252"/>
      <c r="B1105" s="202"/>
      <c r="C1105" s="233"/>
      <c r="D1105" s="233"/>
      <c r="E1105" s="201"/>
      <c r="F1105" s="206"/>
      <c r="G1105" s="206"/>
      <c r="H1105" s="253"/>
      <c r="I1105" s="201"/>
      <c r="J1105" s="254"/>
      <c r="K1105" s="254"/>
      <c r="L1105" s="206"/>
      <c r="M1105" s="201"/>
      <c r="N1105" s="206"/>
      <c r="O1105" s="255"/>
      <c r="P1105" s="256"/>
      <c r="Q1105" s="256"/>
      <c r="R1105" s="201"/>
      <c r="S1105" s="201"/>
      <c r="T1105" s="201"/>
    </row>
    <row r="1106">
      <c r="A1106" s="252"/>
      <c r="B1106" s="202"/>
      <c r="C1106" s="233"/>
      <c r="D1106" s="233"/>
      <c r="E1106" s="201"/>
      <c r="F1106" s="206"/>
      <c r="G1106" s="206"/>
      <c r="H1106" s="253"/>
      <c r="I1106" s="201"/>
      <c r="J1106" s="254"/>
      <c r="K1106" s="254"/>
      <c r="L1106" s="206"/>
      <c r="M1106" s="201"/>
      <c r="N1106" s="206"/>
      <c r="O1106" s="255"/>
      <c r="P1106" s="256"/>
      <c r="Q1106" s="256"/>
      <c r="R1106" s="201"/>
      <c r="S1106" s="201"/>
      <c r="T1106" s="201"/>
    </row>
    <row r="1107">
      <c r="A1107" s="252"/>
      <c r="B1107" s="202"/>
      <c r="C1107" s="233"/>
      <c r="D1107" s="233"/>
      <c r="E1107" s="201"/>
      <c r="F1107" s="206"/>
      <c r="G1107" s="206"/>
      <c r="H1107" s="253"/>
      <c r="I1107" s="201"/>
      <c r="J1107" s="254"/>
      <c r="K1107" s="254"/>
      <c r="L1107" s="206"/>
      <c r="M1107" s="201"/>
      <c r="N1107" s="206"/>
      <c r="O1107" s="255"/>
      <c r="P1107" s="256"/>
      <c r="Q1107" s="256"/>
      <c r="R1107" s="201"/>
      <c r="S1107" s="201"/>
      <c r="T1107" s="201"/>
    </row>
    <row r="1108">
      <c r="A1108" s="252"/>
      <c r="B1108" s="202"/>
      <c r="C1108" s="233"/>
      <c r="D1108" s="233"/>
      <c r="E1108" s="201"/>
      <c r="F1108" s="206"/>
      <c r="G1108" s="206"/>
      <c r="H1108" s="253"/>
      <c r="I1108" s="201"/>
      <c r="J1108" s="254"/>
      <c r="K1108" s="254"/>
      <c r="L1108" s="206"/>
      <c r="M1108" s="201"/>
      <c r="N1108" s="206"/>
      <c r="O1108" s="255"/>
      <c r="P1108" s="256"/>
      <c r="Q1108" s="256"/>
      <c r="R1108" s="201"/>
      <c r="S1108" s="201"/>
      <c r="T1108" s="201"/>
    </row>
    <row r="1109">
      <c r="A1109" s="252"/>
      <c r="B1109" s="202"/>
      <c r="C1109" s="233"/>
      <c r="D1109" s="233"/>
      <c r="E1109" s="201"/>
      <c r="F1109" s="206"/>
      <c r="G1109" s="206"/>
      <c r="H1109" s="253"/>
      <c r="I1109" s="201"/>
      <c r="J1109" s="254"/>
      <c r="K1109" s="254"/>
      <c r="L1109" s="206"/>
      <c r="M1109" s="201"/>
      <c r="N1109" s="206"/>
      <c r="O1109" s="255"/>
      <c r="P1109" s="256"/>
      <c r="Q1109" s="256"/>
      <c r="R1109" s="201"/>
      <c r="S1109" s="201"/>
      <c r="T1109" s="201"/>
    </row>
    <row r="1110">
      <c r="A1110" s="252"/>
      <c r="B1110" s="202"/>
      <c r="C1110" s="233"/>
      <c r="D1110" s="233"/>
      <c r="E1110" s="201"/>
      <c r="F1110" s="206"/>
      <c r="G1110" s="206"/>
      <c r="H1110" s="253"/>
      <c r="I1110" s="201"/>
      <c r="J1110" s="254"/>
      <c r="K1110" s="254"/>
      <c r="L1110" s="206"/>
      <c r="M1110" s="201"/>
      <c r="N1110" s="206"/>
      <c r="O1110" s="255"/>
      <c r="P1110" s="256"/>
      <c r="Q1110" s="256"/>
      <c r="R1110" s="201"/>
      <c r="S1110" s="201"/>
      <c r="T1110" s="201"/>
    </row>
    <row r="1111">
      <c r="A1111" s="252"/>
      <c r="B1111" s="202"/>
      <c r="C1111" s="233"/>
      <c r="D1111" s="233"/>
      <c r="E1111" s="201"/>
      <c r="F1111" s="206"/>
      <c r="G1111" s="206"/>
      <c r="H1111" s="253"/>
      <c r="I1111" s="201"/>
      <c r="J1111" s="254"/>
      <c r="K1111" s="254"/>
      <c r="L1111" s="206"/>
      <c r="M1111" s="201"/>
      <c r="N1111" s="206"/>
      <c r="O1111" s="255"/>
      <c r="P1111" s="256"/>
      <c r="Q1111" s="256"/>
      <c r="R1111" s="201"/>
      <c r="S1111" s="201"/>
      <c r="T1111" s="201"/>
    </row>
    <row r="1112">
      <c r="A1112" s="252"/>
      <c r="B1112" s="202"/>
      <c r="C1112" s="233"/>
      <c r="D1112" s="233"/>
      <c r="E1112" s="201"/>
      <c r="F1112" s="206"/>
      <c r="G1112" s="206"/>
      <c r="H1112" s="253"/>
      <c r="I1112" s="201"/>
      <c r="J1112" s="254"/>
      <c r="K1112" s="254"/>
      <c r="L1112" s="206"/>
      <c r="M1112" s="201"/>
      <c r="N1112" s="206"/>
      <c r="O1112" s="255"/>
      <c r="P1112" s="256"/>
      <c r="Q1112" s="256"/>
      <c r="R1112" s="201"/>
      <c r="S1112" s="201"/>
      <c r="T1112" s="201"/>
    </row>
    <row r="1113">
      <c r="A1113" s="252"/>
      <c r="B1113" s="202"/>
      <c r="C1113" s="233"/>
      <c r="D1113" s="233"/>
      <c r="E1113" s="201"/>
      <c r="F1113" s="206"/>
      <c r="G1113" s="206"/>
      <c r="H1113" s="253"/>
      <c r="I1113" s="201"/>
      <c r="J1113" s="254"/>
      <c r="K1113" s="254"/>
      <c r="L1113" s="206"/>
      <c r="M1113" s="201"/>
      <c r="N1113" s="206"/>
      <c r="O1113" s="255"/>
      <c r="P1113" s="256"/>
      <c r="Q1113" s="256"/>
      <c r="R1113" s="201"/>
      <c r="S1113" s="201"/>
      <c r="T1113" s="201"/>
    </row>
    <row r="1114">
      <c r="A1114" s="252"/>
      <c r="B1114" s="202"/>
      <c r="C1114" s="233"/>
      <c r="D1114" s="233"/>
      <c r="E1114" s="201"/>
      <c r="F1114" s="206"/>
      <c r="G1114" s="206"/>
      <c r="H1114" s="253"/>
      <c r="I1114" s="201"/>
      <c r="J1114" s="254"/>
      <c r="K1114" s="254"/>
      <c r="L1114" s="206"/>
      <c r="M1114" s="201"/>
      <c r="N1114" s="206"/>
      <c r="O1114" s="255"/>
      <c r="P1114" s="256"/>
      <c r="Q1114" s="256"/>
      <c r="R1114" s="201"/>
      <c r="S1114" s="201"/>
      <c r="T1114" s="201"/>
    </row>
    <row r="1115">
      <c r="A1115" s="252"/>
      <c r="B1115" s="202"/>
      <c r="C1115" s="233"/>
      <c r="D1115" s="233"/>
      <c r="E1115" s="201"/>
      <c r="F1115" s="206"/>
      <c r="G1115" s="206"/>
      <c r="H1115" s="253"/>
      <c r="I1115" s="201"/>
      <c r="J1115" s="254"/>
      <c r="K1115" s="254"/>
      <c r="L1115" s="206"/>
      <c r="M1115" s="201"/>
      <c r="N1115" s="206"/>
      <c r="O1115" s="255"/>
      <c r="P1115" s="256"/>
      <c r="Q1115" s="256"/>
      <c r="R1115" s="201"/>
      <c r="S1115" s="201"/>
      <c r="T1115" s="201"/>
    </row>
    <row r="1116">
      <c r="A1116" s="252"/>
      <c r="B1116" s="202"/>
      <c r="C1116" s="233"/>
      <c r="D1116" s="233"/>
      <c r="E1116" s="201"/>
      <c r="F1116" s="206"/>
      <c r="G1116" s="206"/>
      <c r="H1116" s="253"/>
      <c r="I1116" s="201"/>
      <c r="J1116" s="254"/>
      <c r="K1116" s="254"/>
      <c r="L1116" s="206"/>
      <c r="M1116" s="201"/>
      <c r="N1116" s="206"/>
      <c r="O1116" s="255"/>
      <c r="P1116" s="256"/>
      <c r="Q1116" s="256"/>
      <c r="R1116" s="201"/>
      <c r="S1116" s="201"/>
      <c r="T1116" s="201"/>
    </row>
    <row r="1117">
      <c r="A1117" s="252"/>
      <c r="B1117" s="202"/>
      <c r="C1117" s="233"/>
      <c r="D1117" s="233"/>
      <c r="E1117" s="201"/>
      <c r="F1117" s="206"/>
      <c r="G1117" s="206"/>
      <c r="H1117" s="253"/>
      <c r="I1117" s="201"/>
      <c r="J1117" s="254"/>
      <c r="K1117" s="254"/>
      <c r="L1117" s="206"/>
      <c r="M1117" s="201"/>
      <c r="N1117" s="206"/>
      <c r="O1117" s="255"/>
      <c r="P1117" s="256"/>
      <c r="Q1117" s="256"/>
      <c r="R1117" s="201"/>
      <c r="S1117" s="201"/>
      <c r="T1117" s="201"/>
    </row>
    <row r="1118">
      <c r="A1118" s="252"/>
      <c r="B1118" s="202"/>
      <c r="C1118" s="233"/>
      <c r="D1118" s="233"/>
      <c r="E1118" s="201"/>
      <c r="F1118" s="206"/>
      <c r="G1118" s="206"/>
      <c r="H1118" s="253"/>
      <c r="I1118" s="201"/>
      <c r="J1118" s="254"/>
      <c r="K1118" s="254"/>
      <c r="L1118" s="206"/>
      <c r="M1118" s="201"/>
      <c r="N1118" s="206"/>
      <c r="O1118" s="255"/>
      <c r="P1118" s="256"/>
      <c r="Q1118" s="256"/>
      <c r="R1118" s="201"/>
      <c r="S1118" s="201"/>
      <c r="T1118" s="201"/>
    </row>
    <row r="1119">
      <c r="A1119" s="252"/>
      <c r="B1119" s="202"/>
      <c r="C1119" s="233"/>
      <c r="D1119" s="233"/>
      <c r="E1119" s="201"/>
      <c r="F1119" s="206"/>
      <c r="G1119" s="206"/>
      <c r="H1119" s="253"/>
      <c r="I1119" s="201"/>
      <c r="J1119" s="254"/>
      <c r="K1119" s="254"/>
      <c r="L1119" s="206"/>
      <c r="M1119" s="201"/>
      <c r="N1119" s="206"/>
      <c r="O1119" s="255"/>
      <c r="P1119" s="256"/>
      <c r="Q1119" s="256"/>
      <c r="R1119" s="201"/>
      <c r="S1119" s="201"/>
      <c r="T1119" s="201"/>
    </row>
    <row r="1120">
      <c r="A1120" s="252"/>
      <c r="B1120" s="202"/>
      <c r="C1120" s="233"/>
      <c r="D1120" s="233"/>
      <c r="E1120" s="201"/>
      <c r="F1120" s="206"/>
      <c r="G1120" s="206"/>
      <c r="H1120" s="253"/>
      <c r="I1120" s="201"/>
      <c r="J1120" s="254"/>
      <c r="K1120" s="254"/>
      <c r="L1120" s="206"/>
      <c r="M1120" s="201"/>
      <c r="N1120" s="206"/>
      <c r="O1120" s="255"/>
      <c r="P1120" s="256"/>
      <c r="Q1120" s="256"/>
      <c r="R1120" s="201"/>
      <c r="S1120" s="201"/>
      <c r="T1120" s="201"/>
    </row>
    <row r="1121">
      <c r="A1121" s="252"/>
      <c r="B1121" s="202"/>
      <c r="C1121" s="233"/>
      <c r="D1121" s="233"/>
      <c r="E1121" s="201"/>
      <c r="F1121" s="206"/>
      <c r="G1121" s="206"/>
      <c r="H1121" s="253"/>
      <c r="I1121" s="201"/>
      <c r="J1121" s="254"/>
      <c r="K1121" s="254"/>
      <c r="L1121" s="206"/>
      <c r="M1121" s="201"/>
      <c r="N1121" s="206"/>
      <c r="O1121" s="255"/>
      <c r="P1121" s="256"/>
      <c r="Q1121" s="256"/>
      <c r="R1121" s="201"/>
      <c r="S1121" s="201"/>
      <c r="T1121" s="201"/>
    </row>
    <row r="1122">
      <c r="A1122" s="252"/>
      <c r="B1122" s="202"/>
      <c r="C1122" s="233"/>
      <c r="D1122" s="233"/>
      <c r="E1122" s="201"/>
      <c r="F1122" s="206"/>
      <c r="G1122" s="206"/>
      <c r="H1122" s="253"/>
      <c r="I1122" s="201"/>
      <c r="J1122" s="254"/>
      <c r="K1122" s="254"/>
      <c r="L1122" s="206"/>
      <c r="M1122" s="201"/>
      <c r="N1122" s="206"/>
      <c r="O1122" s="255"/>
      <c r="P1122" s="256"/>
      <c r="Q1122" s="256"/>
      <c r="R1122" s="201"/>
      <c r="S1122" s="201"/>
      <c r="T1122" s="201"/>
    </row>
    <row r="1123">
      <c r="A1123" s="252"/>
      <c r="B1123" s="202"/>
      <c r="C1123" s="233"/>
      <c r="D1123" s="233"/>
      <c r="E1123" s="201"/>
      <c r="F1123" s="206"/>
      <c r="G1123" s="206"/>
      <c r="H1123" s="253"/>
      <c r="I1123" s="201"/>
      <c r="J1123" s="254"/>
      <c r="K1123" s="254"/>
      <c r="L1123" s="206"/>
      <c r="M1123" s="201"/>
      <c r="N1123" s="206"/>
      <c r="O1123" s="255"/>
      <c r="P1123" s="256"/>
      <c r="Q1123" s="256"/>
      <c r="R1123" s="201"/>
      <c r="S1123" s="201"/>
      <c r="T1123" s="201"/>
    </row>
    <row r="1124">
      <c r="A1124" s="252"/>
      <c r="B1124" s="202"/>
      <c r="C1124" s="233"/>
      <c r="D1124" s="233"/>
      <c r="E1124" s="201"/>
      <c r="F1124" s="206"/>
      <c r="G1124" s="206"/>
      <c r="H1124" s="253"/>
      <c r="I1124" s="201"/>
      <c r="J1124" s="254"/>
      <c r="K1124" s="254"/>
      <c r="L1124" s="206"/>
      <c r="M1124" s="201"/>
      <c r="N1124" s="206"/>
      <c r="O1124" s="255"/>
      <c r="P1124" s="256"/>
      <c r="Q1124" s="256"/>
      <c r="R1124" s="201"/>
      <c r="S1124" s="201"/>
      <c r="T1124" s="201"/>
    </row>
    <row r="1125">
      <c r="A1125" s="252"/>
      <c r="B1125" s="202"/>
      <c r="C1125" s="233"/>
      <c r="D1125" s="233"/>
      <c r="E1125" s="201"/>
      <c r="F1125" s="206"/>
      <c r="G1125" s="206"/>
      <c r="H1125" s="253"/>
      <c r="I1125" s="201"/>
      <c r="J1125" s="254"/>
      <c r="K1125" s="254"/>
      <c r="L1125" s="206"/>
      <c r="M1125" s="201"/>
      <c r="N1125" s="206"/>
      <c r="O1125" s="255"/>
      <c r="P1125" s="256"/>
      <c r="Q1125" s="256"/>
      <c r="R1125" s="201"/>
      <c r="S1125" s="201"/>
      <c r="T1125" s="201"/>
    </row>
    <row r="1126">
      <c r="A1126" s="252"/>
      <c r="B1126" s="202"/>
      <c r="C1126" s="233"/>
      <c r="D1126" s="233"/>
      <c r="E1126" s="201"/>
      <c r="F1126" s="206"/>
      <c r="G1126" s="206"/>
      <c r="H1126" s="253"/>
      <c r="I1126" s="201"/>
      <c r="J1126" s="254"/>
      <c r="K1126" s="254"/>
      <c r="L1126" s="206"/>
      <c r="M1126" s="201"/>
      <c r="N1126" s="206"/>
      <c r="O1126" s="255"/>
      <c r="P1126" s="256"/>
      <c r="Q1126" s="256"/>
      <c r="R1126" s="201"/>
      <c r="S1126" s="201"/>
      <c r="T1126" s="201"/>
    </row>
    <row r="1127">
      <c r="A1127" s="252"/>
      <c r="B1127" s="202"/>
      <c r="C1127" s="233"/>
      <c r="D1127" s="233"/>
      <c r="E1127" s="201"/>
      <c r="F1127" s="206"/>
      <c r="G1127" s="206"/>
      <c r="H1127" s="253"/>
      <c r="I1127" s="201"/>
      <c r="J1127" s="254"/>
      <c r="K1127" s="254"/>
      <c r="L1127" s="206"/>
      <c r="M1127" s="201"/>
      <c r="N1127" s="206"/>
      <c r="O1127" s="255"/>
      <c r="P1127" s="256"/>
      <c r="Q1127" s="256"/>
      <c r="R1127" s="201"/>
      <c r="S1127" s="201"/>
      <c r="T1127" s="201"/>
    </row>
    <row r="1128">
      <c r="A1128" s="252"/>
      <c r="B1128" s="202"/>
      <c r="C1128" s="233"/>
      <c r="D1128" s="233"/>
      <c r="E1128" s="201"/>
      <c r="F1128" s="206"/>
      <c r="G1128" s="206"/>
      <c r="H1128" s="253"/>
      <c r="I1128" s="201"/>
      <c r="J1128" s="254"/>
      <c r="K1128" s="254"/>
      <c r="L1128" s="206"/>
      <c r="M1128" s="201"/>
      <c r="N1128" s="206"/>
      <c r="O1128" s="255"/>
      <c r="P1128" s="256"/>
      <c r="Q1128" s="256"/>
      <c r="R1128" s="201"/>
      <c r="S1128" s="201"/>
      <c r="T1128" s="201"/>
    </row>
    <row r="1129">
      <c r="A1129" s="252"/>
      <c r="B1129" s="202"/>
      <c r="C1129" s="233"/>
      <c r="D1129" s="233"/>
      <c r="E1129" s="201"/>
      <c r="F1129" s="206"/>
      <c r="G1129" s="206"/>
      <c r="H1129" s="253"/>
      <c r="I1129" s="201"/>
      <c r="J1129" s="254"/>
      <c r="K1129" s="254"/>
      <c r="L1129" s="206"/>
      <c r="M1129" s="201"/>
      <c r="N1129" s="206"/>
      <c r="O1129" s="255"/>
      <c r="P1129" s="256"/>
      <c r="Q1129" s="256"/>
      <c r="R1129" s="201"/>
      <c r="S1129" s="201"/>
      <c r="T1129" s="201"/>
    </row>
    <row r="1130">
      <c r="A1130" s="252"/>
      <c r="B1130" s="202"/>
      <c r="C1130" s="233"/>
      <c r="D1130" s="233"/>
      <c r="E1130" s="201"/>
      <c r="F1130" s="206"/>
      <c r="G1130" s="206"/>
      <c r="H1130" s="253"/>
      <c r="I1130" s="201"/>
      <c r="J1130" s="254"/>
      <c r="K1130" s="254"/>
      <c r="L1130" s="206"/>
      <c r="M1130" s="201"/>
      <c r="N1130" s="206"/>
      <c r="O1130" s="255"/>
      <c r="P1130" s="256"/>
      <c r="Q1130" s="256"/>
      <c r="R1130" s="201"/>
      <c r="S1130" s="201"/>
      <c r="T1130" s="201"/>
    </row>
    <row r="1131">
      <c r="A1131" s="252"/>
      <c r="B1131" s="202"/>
      <c r="C1131" s="233"/>
      <c r="D1131" s="233"/>
      <c r="E1131" s="201"/>
      <c r="F1131" s="206"/>
      <c r="G1131" s="206"/>
      <c r="H1131" s="253"/>
      <c r="I1131" s="201"/>
      <c r="J1131" s="254"/>
      <c r="K1131" s="254"/>
      <c r="L1131" s="206"/>
      <c r="M1131" s="201"/>
      <c r="N1131" s="206"/>
      <c r="O1131" s="255"/>
      <c r="P1131" s="256"/>
      <c r="Q1131" s="256"/>
      <c r="R1131" s="201"/>
      <c r="S1131" s="201"/>
      <c r="T1131" s="201"/>
    </row>
    <row r="1132">
      <c r="A1132" s="252"/>
      <c r="B1132" s="202"/>
      <c r="C1132" s="233"/>
      <c r="D1132" s="233"/>
      <c r="E1132" s="201"/>
      <c r="F1132" s="206"/>
      <c r="G1132" s="206"/>
      <c r="H1132" s="253"/>
      <c r="I1132" s="201"/>
      <c r="J1132" s="254"/>
      <c r="K1132" s="254"/>
      <c r="L1132" s="206"/>
      <c r="M1132" s="201"/>
      <c r="N1132" s="206"/>
      <c r="O1132" s="255"/>
      <c r="P1132" s="256"/>
      <c r="Q1132" s="256"/>
      <c r="R1132" s="201"/>
      <c r="S1132" s="201"/>
      <c r="T1132" s="201"/>
    </row>
    <row r="1133">
      <c r="A1133" s="252"/>
      <c r="B1133" s="202"/>
      <c r="C1133" s="233"/>
      <c r="D1133" s="233"/>
      <c r="E1133" s="201"/>
      <c r="F1133" s="206"/>
      <c r="G1133" s="206"/>
      <c r="H1133" s="253"/>
      <c r="I1133" s="201"/>
      <c r="J1133" s="254"/>
      <c r="K1133" s="254"/>
      <c r="L1133" s="206"/>
      <c r="M1133" s="201"/>
      <c r="N1133" s="206"/>
      <c r="O1133" s="255"/>
      <c r="P1133" s="256"/>
      <c r="Q1133" s="256"/>
      <c r="R1133" s="201"/>
      <c r="S1133" s="201"/>
      <c r="T1133" s="201"/>
    </row>
    <row r="1134">
      <c r="A1134" s="252"/>
      <c r="B1134" s="202"/>
      <c r="C1134" s="233"/>
      <c r="D1134" s="233"/>
      <c r="E1134" s="201"/>
      <c r="F1134" s="206"/>
      <c r="G1134" s="206"/>
      <c r="H1134" s="253"/>
      <c r="I1134" s="201"/>
      <c r="J1134" s="254"/>
      <c r="K1134" s="254"/>
      <c r="L1134" s="206"/>
      <c r="M1134" s="201"/>
      <c r="N1134" s="206"/>
      <c r="O1134" s="255"/>
      <c r="P1134" s="256"/>
      <c r="Q1134" s="256"/>
      <c r="R1134" s="201"/>
      <c r="S1134" s="201"/>
      <c r="T1134" s="201"/>
    </row>
    <row r="1135">
      <c r="A1135" s="252"/>
      <c r="B1135" s="202"/>
      <c r="C1135" s="233"/>
      <c r="D1135" s="233"/>
      <c r="E1135" s="201"/>
      <c r="F1135" s="206"/>
      <c r="G1135" s="206"/>
      <c r="H1135" s="253"/>
      <c r="I1135" s="201"/>
      <c r="J1135" s="254"/>
      <c r="K1135" s="254"/>
      <c r="L1135" s="206"/>
      <c r="M1135" s="201"/>
      <c r="N1135" s="206"/>
      <c r="O1135" s="255"/>
      <c r="P1135" s="256"/>
      <c r="Q1135" s="256"/>
      <c r="R1135" s="201"/>
      <c r="S1135" s="201"/>
      <c r="T1135" s="201"/>
    </row>
    <row r="1136">
      <c r="A1136" s="252"/>
      <c r="B1136" s="202"/>
      <c r="C1136" s="233"/>
      <c r="D1136" s="233"/>
      <c r="E1136" s="201"/>
      <c r="F1136" s="206"/>
      <c r="G1136" s="206"/>
      <c r="H1136" s="253"/>
      <c r="I1136" s="201"/>
      <c r="J1136" s="254"/>
      <c r="K1136" s="254"/>
      <c r="L1136" s="206"/>
      <c r="M1136" s="201"/>
      <c r="N1136" s="206"/>
      <c r="O1136" s="255"/>
      <c r="P1136" s="256"/>
      <c r="Q1136" s="256"/>
      <c r="R1136" s="201"/>
      <c r="S1136" s="201"/>
      <c r="T1136" s="201"/>
    </row>
    <row r="1137">
      <c r="A1137" s="252"/>
      <c r="B1137" s="202"/>
      <c r="C1137" s="233"/>
      <c r="D1137" s="233"/>
      <c r="E1137" s="201"/>
      <c r="F1137" s="206"/>
      <c r="G1137" s="206"/>
      <c r="H1137" s="253"/>
      <c r="I1137" s="201"/>
      <c r="J1137" s="254"/>
      <c r="K1137" s="254"/>
      <c r="L1137" s="206"/>
      <c r="M1137" s="201"/>
      <c r="N1137" s="206"/>
      <c r="O1137" s="255"/>
      <c r="P1137" s="256"/>
      <c r="Q1137" s="256"/>
      <c r="R1137" s="201"/>
      <c r="S1137" s="201"/>
      <c r="T1137" s="201"/>
    </row>
    <row r="1138">
      <c r="A1138" s="252"/>
      <c r="B1138" s="202"/>
      <c r="C1138" s="233"/>
      <c r="D1138" s="233"/>
      <c r="E1138" s="201"/>
      <c r="F1138" s="206"/>
      <c r="G1138" s="206"/>
      <c r="H1138" s="253"/>
      <c r="I1138" s="201"/>
      <c r="J1138" s="254"/>
      <c r="K1138" s="254"/>
      <c r="L1138" s="206"/>
      <c r="M1138" s="201"/>
      <c r="N1138" s="206"/>
      <c r="O1138" s="255"/>
      <c r="P1138" s="256"/>
      <c r="Q1138" s="256"/>
      <c r="R1138" s="201"/>
      <c r="S1138" s="201"/>
      <c r="T1138" s="201"/>
    </row>
    <row r="1139">
      <c r="A1139" s="252"/>
      <c r="B1139" s="202"/>
      <c r="C1139" s="233"/>
      <c r="D1139" s="233"/>
      <c r="E1139" s="201"/>
      <c r="F1139" s="206"/>
      <c r="G1139" s="206"/>
      <c r="H1139" s="253"/>
      <c r="I1139" s="201"/>
      <c r="J1139" s="254"/>
      <c r="K1139" s="254"/>
      <c r="L1139" s="206"/>
      <c r="M1139" s="201"/>
      <c r="N1139" s="206"/>
      <c r="O1139" s="255"/>
      <c r="P1139" s="256"/>
      <c r="Q1139" s="256"/>
      <c r="R1139" s="201"/>
      <c r="S1139" s="201"/>
      <c r="T1139" s="201"/>
    </row>
    <row r="1140">
      <c r="A1140" s="252"/>
      <c r="B1140" s="202"/>
      <c r="C1140" s="233"/>
      <c r="D1140" s="233"/>
      <c r="E1140" s="201"/>
      <c r="F1140" s="206"/>
      <c r="G1140" s="206"/>
      <c r="H1140" s="253"/>
      <c r="I1140" s="201"/>
      <c r="J1140" s="254"/>
      <c r="K1140" s="254"/>
      <c r="L1140" s="206"/>
      <c r="M1140" s="201"/>
      <c r="N1140" s="206"/>
      <c r="O1140" s="255"/>
      <c r="P1140" s="256"/>
      <c r="Q1140" s="256"/>
      <c r="R1140" s="201"/>
      <c r="S1140" s="201"/>
      <c r="T1140" s="201"/>
    </row>
    <row r="1141">
      <c r="A1141" s="252"/>
      <c r="B1141" s="202"/>
      <c r="C1141" s="233"/>
      <c r="D1141" s="233"/>
      <c r="E1141" s="201"/>
      <c r="F1141" s="206"/>
      <c r="G1141" s="206"/>
      <c r="H1141" s="253"/>
      <c r="I1141" s="201"/>
      <c r="J1141" s="254"/>
      <c r="K1141" s="254"/>
      <c r="L1141" s="206"/>
      <c r="M1141" s="201"/>
      <c r="N1141" s="206"/>
      <c r="O1141" s="255"/>
      <c r="P1141" s="256"/>
      <c r="Q1141" s="256"/>
      <c r="R1141" s="201"/>
      <c r="S1141" s="201"/>
      <c r="T1141" s="201"/>
    </row>
    <row r="1142">
      <c r="A1142" s="252"/>
      <c r="B1142" s="202"/>
      <c r="C1142" s="233"/>
      <c r="D1142" s="233"/>
      <c r="E1142" s="201"/>
      <c r="F1142" s="206"/>
      <c r="G1142" s="206"/>
      <c r="H1142" s="253"/>
      <c r="I1142" s="201"/>
      <c r="J1142" s="254"/>
      <c r="K1142" s="254"/>
      <c r="L1142" s="206"/>
      <c r="M1142" s="201"/>
      <c r="N1142" s="206"/>
      <c r="O1142" s="255"/>
      <c r="P1142" s="256"/>
      <c r="Q1142" s="256"/>
      <c r="R1142" s="201"/>
      <c r="S1142" s="201"/>
      <c r="T1142" s="201"/>
    </row>
    <row r="1143">
      <c r="A1143" s="252"/>
      <c r="B1143" s="202"/>
      <c r="C1143" s="233"/>
      <c r="D1143" s="233"/>
      <c r="E1143" s="201"/>
      <c r="F1143" s="206"/>
      <c r="G1143" s="206"/>
      <c r="H1143" s="253"/>
      <c r="I1143" s="201"/>
      <c r="J1143" s="254"/>
      <c r="K1143" s="254"/>
      <c r="L1143" s="206"/>
      <c r="M1143" s="201"/>
      <c r="N1143" s="206"/>
      <c r="O1143" s="255"/>
      <c r="P1143" s="256"/>
      <c r="Q1143" s="256"/>
      <c r="R1143" s="201"/>
      <c r="S1143" s="201"/>
      <c r="T1143" s="201"/>
    </row>
    <row r="1144">
      <c r="A1144" s="252"/>
      <c r="B1144" s="202"/>
      <c r="C1144" s="233"/>
      <c r="D1144" s="233"/>
      <c r="E1144" s="201"/>
      <c r="F1144" s="206"/>
      <c r="G1144" s="206"/>
      <c r="H1144" s="253"/>
      <c r="I1144" s="201"/>
      <c r="J1144" s="254"/>
      <c r="K1144" s="254"/>
      <c r="L1144" s="206"/>
      <c r="M1144" s="201"/>
      <c r="N1144" s="206"/>
      <c r="O1144" s="255"/>
      <c r="P1144" s="256"/>
      <c r="Q1144" s="256"/>
      <c r="R1144" s="201"/>
      <c r="S1144" s="201"/>
      <c r="T1144" s="201"/>
    </row>
    <row r="1145">
      <c r="A1145" s="252"/>
      <c r="B1145" s="202"/>
      <c r="C1145" s="233"/>
      <c r="D1145" s="233"/>
      <c r="E1145" s="201"/>
      <c r="F1145" s="206"/>
      <c r="G1145" s="206"/>
      <c r="H1145" s="253"/>
      <c r="I1145" s="201"/>
      <c r="J1145" s="254"/>
      <c r="K1145" s="254"/>
      <c r="L1145" s="206"/>
      <c r="M1145" s="201"/>
      <c r="N1145" s="206"/>
      <c r="O1145" s="255"/>
      <c r="P1145" s="256"/>
      <c r="Q1145" s="256"/>
      <c r="R1145" s="201"/>
      <c r="S1145" s="201"/>
      <c r="T1145" s="201"/>
    </row>
    <row r="1146">
      <c r="A1146" s="252"/>
      <c r="B1146" s="202"/>
      <c r="C1146" s="233"/>
      <c r="D1146" s="233"/>
      <c r="E1146" s="201"/>
      <c r="F1146" s="206"/>
      <c r="G1146" s="206"/>
      <c r="H1146" s="253"/>
      <c r="I1146" s="201"/>
      <c r="J1146" s="254"/>
      <c r="K1146" s="254"/>
      <c r="L1146" s="206"/>
      <c r="M1146" s="201"/>
      <c r="N1146" s="206"/>
      <c r="O1146" s="255"/>
      <c r="P1146" s="256"/>
      <c r="Q1146" s="256"/>
      <c r="R1146" s="201"/>
      <c r="S1146" s="201"/>
      <c r="T1146" s="201"/>
    </row>
    <row r="1147">
      <c r="A1147" s="252"/>
      <c r="B1147" s="202"/>
      <c r="C1147" s="233"/>
      <c r="D1147" s="233"/>
      <c r="E1147" s="201"/>
      <c r="F1147" s="206"/>
      <c r="G1147" s="206"/>
      <c r="H1147" s="253"/>
      <c r="I1147" s="201"/>
      <c r="J1147" s="254"/>
      <c r="K1147" s="254"/>
      <c r="L1147" s="206"/>
      <c r="M1147" s="201"/>
      <c r="N1147" s="206"/>
      <c r="O1147" s="255"/>
      <c r="P1147" s="256"/>
      <c r="Q1147" s="256"/>
      <c r="R1147" s="201"/>
      <c r="S1147" s="201"/>
      <c r="T1147" s="201"/>
    </row>
    <row r="1148">
      <c r="A1148" s="252"/>
      <c r="B1148" s="202"/>
      <c r="C1148" s="233"/>
      <c r="D1148" s="233"/>
      <c r="E1148" s="201"/>
      <c r="F1148" s="206"/>
      <c r="G1148" s="206"/>
      <c r="H1148" s="253"/>
      <c r="I1148" s="201"/>
      <c r="J1148" s="254"/>
      <c r="K1148" s="254"/>
      <c r="L1148" s="206"/>
      <c r="M1148" s="201"/>
      <c r="N1148" s="206"/>
      <c r="O1148" s="255"/>
      <c r="P1148" s="256"/>
      <c r="Q1148" s="256"/>
      <c r="R1148" s="201"/>
      <c r="S1148" s="201"/>
      <c r="T1148" s="201"/>
    </row>
    <row r="1149">
      <c r="A1149" s="252"/>
      <c r="B1149" s="202"/>
      <c r="C1149" s="233"/>
      <c r="D1149" s="233"/>
      <c r="E1149" s="201"/>
      <c r="F1149" s="206"/>
      <c r="G1149" s="206"/>
      <c r="H1149" s="253"/>
      <c r="I1149" s="201"/>
      <c r="J1149" s="254"/>
      <c r="K1149" s="254"/>
      <c r="L1149" s="206"/>
      <c r="M1149" s="201"/>
      <c r="N1149" s="206"/>
      <c r="O1149" s="255"/>
      <c r="P1149" s="256"/>
      <c r="Q1149" s="256"/>
      <c r="R1149" s="201"/>
      <c r="S1149" s="201"/>
      <c r="T1149" s="201"/>
    </row>
    <row r="1150">
      <c r="A1150" s="252"/>
      <c r="B1150" s="202"/>
      <c r="C1150" s="233"/>
      <c r="D1150" s="233"/>
      <c r="E1150" s="201"/>
      <c r="F1150" s="206"/>
      <c r="G1150" s="206"/>
      <c r="H1150" s="253"/>
      <c r="I1150" s="201"/>
      <c r="J1150" s="254"/>
      <c r="K1150" s="254"/>
      <c r="L1150" s="206"/>
      <c r="M1150" s="201"/>
      <c r="N1150" s="206"/>
      <c r="O1150" s="255"/>
      <c r="P1150" s="256"/>
      <c r="Q1150" s="256"/>
      <c r="R1150" s="201"/>
      <c r="S1150" s="201"/>
      <c r="T1150" s="201"/>
    </row>
    <row r="1151">
      <c r="A1151" s="252"/>
      <c r="B1151" s="202"/>
      <c r="C1151" s="233"/>
      <c r="D1151" s="233"/>
      <c r="E1151" s="201"/>
      <c r="F1151" s="206"/>
      <c r="G1151" s="206"/>
      <c r="H1151" s="253"/>
      <c r="I1151" s="201"/>
      <c r="J1151" s="254"/>
      <c r="K1151" s="254"/>
      <c r="L1151" s="206"/>
      <c r="M1151" s="201"/>
      <c r="N1151" s="206"/>
      <c r="O1151" s="255"/>
      <c r="P1151" s="256"/>
      <c r="Q1151" s="256"/>
      <c r="R1151" s="201"/>
      <c r="S1151" s="201"/>
      <c r="T1151" s="201"/>
    </row>
    <row r="1152">
      <c r="A1152" s="252"/>
      <c r="B1152" s="202"/>
      <c r="C1152" s="233"/>
      <c r="D1152" s="233"/>
      <c r="E1152" s="201"/>
      <c r="F1152" s="206"/>
      <c r="G1152" s="206"/>
      <c r="H1152" s="253"/>
      <c r="I1152" s="201"/>
      <c r="J1152" s="254"/>
      <c r="K1152" s="254"/>
      <c r="L1152" s="206"/>
      <c r="M1152" s="201"/>
      <c r="N1152" s="206"/>
      <c r="O1152" s="255"/>
      <c r="P1152" s="256"/>
      <c r="Q1152" s="256"/>
      <c r="R1152" s="201"/>
      <c r="S1152" s="201"/>
      <c r="T1152" s="201"/>
    </row>
    <row r="1153">
      <c r="A1153" s="252"/>
      <c r="B1153" s="202"/>
      <c r="C1153" s="233"/>
      <c r="D1153" s="233"/>
      <c r="E1153" s="201"/>
      <c r="F1153" s="206"/>
      <c r="G1153" s="206"/>
      <c r="H1153" s="253"/>
      <c r="I1153" s="201"/>
      <c r="J1153" s="254"/>
      <c r="K1153" s="254"/>
      <c r="L1153" s="206"/>
      <c r="M1153" s="201"/>
      <c r="N1153" s="206"/>
      <c r="O1153" s="255"/>
      <c r="P1153" s="256"/>
      <c r="Q1153" s="256"/>
      <c r="R1153" s="201"/>
      <c r="S1153" s="201"/>
      <c r="T1153" s="201"/>
    </row>
    <row r="1154">
      <c r="A1154" s="252"/>
      <c r="B1154" s="202"/>
      <c r="C1154" s="233"/>
      <c r="D1154" s="233"/>
      <c r="E1154" s="201"/>
      <c r="F1154" s="206"/>
      <c r="G1154" s="206"/>
      <c r="H1154" s="253"/>
      <c r="I1154" s="201"/>
      <c r="J1154" s="254"/>
      <c r="K1154" s="254"/>
      <c r="L1154" s="206"/>
      <c r="M1154" s="201"/>
      <c r="N1154" s="206"/>
      <c r="O1154" s="255"/>
      <c r="P1154" s="256"/>
      <c r="Q1154" s="256"/>
      <c r="R1154" s="201"/>
      <c r="S1154" s="201"/>
      <c r="T1154" s="201"/>
    </row>
    <row r="1155">
      <c r="A1155" s="252"/>
      <c r="B1155" s="202"/>
      <c r="C1155" s="233"/>
      <c r="D1155" s="233"/>
      <c r="E1155" s="201"/>
      <c r="F1155" s="206"/>
      <c r="G1155" s="206"/>
      <c r="H1155" s="253"/>
      <c r="I1155" s="201"/>
      <c r="J1155" s="254"/>
      <c r="K1155" s="254"/>
      <c r="L1155" s="206"/>
      <c r="M1155" s="201"/>
      <c r="N1155" s="206"/>
      <c r="O1155" s="255"/>
      <c r="P1155" s="256"/>
      <c r="Q1155" s="256"/>
      <c r="R1155" s="201"/>
      <c r="S1155" s="201"/>
      <c r="T1155" s="201"/>
    </row>
    <row r="1156">
      <c r="A1156" s="252"/>
      <c r="B1156" s="202"/>
      <c r="C1156" s="233"/>
      <c r="D1156" s="233"/>
      <c r="E1156" s="201"/>
      <c r="F1156" s="206"/>
      <c r="G1156" s="206"/>
      <c r="H1156" s="253"/>
      <c r="I1156" s="201"/>
      <c r="J1156" s="254"/>
      <c r="K1156" s="254"/>
      <c r="L1156" s="206"/>
      <c r="M1156" s="201"/>
      <c r="N1156" s="206"/>
      <c r="O1156" s="255"/>
      <c r="P1156" s="256"/>
      <c r="Q1156" s="256"/>
      <c r="R1156" s="201"/>
      <c r="S1156" s="201"/>
      <c r="T1156" s="201"/>
    </row>
    <row r="1157">
      <c r="A1157" s="252"/>
      <c r="B1157" s="202"/>
      <c r="C1157" s="233"/>
      <c r="D1157" s="233"/>
      <c r="E1157" s="201"/>
      <c r="F1157" s="206"/>
      <c r="G1157" s="206"/>
      <c r="H1157" s="253"/>
      <c r="I1157" s="201"/>
      <c r="J1157" s="254"/>
      <c r="K1157" s="254"/>
      <c r="L1157" s="206"/>
      <c r="M1157" s="201"/>
      <c r="N1157" s="206"/>
      <c r="O1157" s="255"/>
      <c r="P1157" s="256"/>
      <c r="Q1157" s="256"/>
      <c r="R1157" s="201"/>
      <c r="S1157" s="201"/>
      <c r="T1157" s="201"/>
    </row>
    <row r="1158">
      <c r="A1158" s="252"/>
      <c r="B1158" s="202"/>
      <c r="C1158" s="233"/>
      <c r="D1158" s="233"/>
      <c r="E1158" s="201"/>
      <c r="F1158" s="206"/>
      <c r="G1158" s="206"/>
      <c r="H1158" s="253"/>
      <c r="I1158" s="201"/>
      <c r="J1158" s="254"/>
      <c r="K1158" s="254"/>
      <c r="L1158" s="206"/>
      <c r="M1158" s="201"/>
      <c r="N1158" s="206"/>
      <c r="O1158" s="255"/>
      <c r="P1158" s="256"/>
      <c r="Q1158" s="256"/>
      <c r="R1158" s="201"/>
      <c r="S1158" s="201"/>
      <c r="T1158" s="201"/>
    </row>
    <row r="1159">
      <c r="A1159" s="252"/>
      <c r="B1159" s="202"/>
      <c r="C1159" s="233"/>
      <c r="D1159" s="233"/>
      <c r="E1159" s="201"/>
      <c r="F1159" s="206"/>
      <c r="G1159" s="206"/>
      <c r="H1159" s="253"/>
      <c r="I1159" s="201"/>
      <c r="J1159" s="254"/>
      <c r="K1159" s="254"/>
      <c r="L1159" s="206"/>
      <c r="M1159" s="201"/>
      <c r="N1159" s="206"/>
      <c r="O1159" s="255"/>
      <c r="P1159" s="256"/>
      <c r="Q1159" s="256"/>
      <c r="R1159" s="201"/>
      <c r="S1159" s="201"/>
      <c r="T1159" s="201"/>
    </row>
    <row r="1160">
      <c r="A1160" s="252"/>
      <c r="B1160" s="202"/>
      <c r="C1160" s="233"/>
      <c r="D1160" s="233"/>
      <c r="E1160" s="201"/>
      <c r="F1160" s="206"/>
      <c r="G1160" s="206"/>
      <c r="H1160" s="253"/>
      <c r="I1160" s="201"/>
      <c r="J1160" s="254"/>
      <c r="K1160" s="254"/>
      <c r="L1160" s="206"/>
      <c r="M1160" s="201"/>
      <c r="N1160" s="206"/>
      <c r="O1160" s="255"/>
      <c r="P1160" s="256"/>
      <c r="Q1160" s="256"/>
      <c r="R1160" s="201"/>
      <c r="S1160" s="201"/>
      <c r="T1160" s="201"/>
    </row>
    <row r="1161">
      <c r="A1161" s="252"/>
      <c r="B1161" s="202"/>
      <c r="C1161" s="233"/>
      <c r="D1161" s="233"/>
      <c r="E1161" s="201"/>
      <c r="F1161" s="206"/>
      <c r="G1161" s="206"/>
      <c r="H1161" s="253"/>
      <c r="I1161" s="201"/>
      <c r="J1161" s="254"/>
      <c r="K1161" s="254"/>
      <c r="L1161" s="206"/>
      <c r="M1161" s="201"/>
      <c r="N1161" s="206"/>
      <c r="O1161" s="255"/>
      <c r="P1161" s="256"/>
      <c r="Q1161" s="256"/>
      <c r="R1161" s="201"/>
      <c r="S1161" s="201"/>
      <c r="T1161" s="201"/>
    </row>
    <row r="1162">
      <c r="A1162" s="252"/>
      <c r="B1162" s="202"/>
      <c r="C1162" s="233"/>
      <c r="D1162" s="233"/>
      <c r="E1162" s="201"/>
      <c r="F1162" s="206"/>
      <c r="G1162" s="206"/>
      <c r="H1162" s="253"/>
      <c r="I1162" s="201"/>
      <c r="J1162" s="254"/>
      <c r="K1162" s="254"/>
      <c r="L1162" s="206"/>
      <c r="M1162" s="201"/>
      <c r="N1162" s="206"/>
      <c r="O1162" s="255"/>
      <c r="P1162" s="256"/>
      <c r="Q1162" s="256"/>
      <c r="R1162" s="201"/>
      <c r="S1162" s="201"/>
      <c r="T1162" s="201"/>
    </row>
    <row r="1163">
      <c r="A1163" s="252"/>
      <c r="B1163" s="202"/>
      <c r="C1163" s="233"/>
      <c r="D1163" s="233"/>
      <c r="E1163" s="201"/>
      <c r="F1163" s="206"/>
      <c r="G1163" s="206"/>
      <c r="H1163" s="253"/>
      <c r="I1163" s="201"/>
      <c r="J1163" s="254"/>
      <c r="K1163" s="254"/>
      <c r="L1163" s="206"/>
      <c r="M1163" s="201"/>
      <c r="N1163" s="206"/>
      <c r="O1163" s="255"/>
      <c r="P1163" s="256"/>
      <c r="Q1163" s="256"/>
      <c r="R1163" s="201"/>
      <c r="S1163" s="201"/>
      <c r="T1163" s="201"/>
    </row>
    <row r="1164">
      <c r="A1164" s="252"/>
      <c r="B1164" s="202"/>
      <c r="C1164" s="233"/>
      <c r="D1164" s="233"/>
      <c r="E1164" s="201"/>
      <c r="F1164" s="206"/>
      <c r="G1164" s="206"/>
      <c r="H1164" s="253"/>
      <c r="I1164" s="201"/>
      <c r="J1164" s="254"/>
      <c r="K1164" s="254"/>
      <c r="L1164" s="206"/>
      <c r="M1164" s="201"/>
      <c r="N1164" s="206"/>
      <c r="O1164" s="255"/>
      <c r="P1164" s="256"/>
      <c r="Q1164" s="256"/>
      <c r="R1164" s="201"/>
      <c r="S1164" s="201"/>
      <c r="T1164" s="201"/>
    </row>
    <row r="1165">
      <c r="A1165" s="252"/>
      <c r="B1165" s="202"/>
      <c r="C1165" s="233"/>
      <c r="D1165" s="233"/>
      <c r="E1165" s="201"/>
      <c r="F1165" s="206"/>
      <c r="G1165" s="206"/>
      <c r="H1165" s="253"/>
      <c r="I1165" s="201"/>
      <c r="J1165" s="254"/>
      <c r="K1165" s="254"/>
      <c r="L1165" s="206"/>
      <c r="M1165" s="201"/>
      <c r="N1165" s="206"/>
      <c r="O1165" s="255"/>
      <c r="P1165" s="256"/>
      <c r="Q1165" s="256"/>
      <c r="R1165" s="201"/>
      <c r="S1165" s="201"/>
      <c r="T1165" s="201"/>
    </row>
    <row r="1166">
      <c r="A1166" s="252"/>
      <c r="B1166" s="202"/>
      <c r="C1166" s="233"/>
      <c r="D1166" s="233"/>
      <c r="E1166" s="201"/>
      <c r="F1166" s="206"/>
      <c r="G1166" s="206"/>
      <c r="H1166" s="253"/>
      <c r="I1166" s="201"/>
      <c r="J1166" s="254"/>
      <c r="K1166" s="254"/>
      <c r="L1166" s="206"/>
      <c r="M1166" s="201"/>
      <c r="N1166" s="206"/>
      <c r="O1166" s="255"/>
      <c r="P1166" s="256"/>
      <c r="Q1166" s="256"/>
      <c r="R1166" s="201"/>
      <c r="S1166" s="201"/>
      <c r="T1166" s="201"/>
    </row>
    <row r="1167">
      <c r="A1167" s="252"/>
      <c r="B1167" s="202"/>
      <c r="C1167" s="233"/>
      <c r="D1167" s="233"/>
      <c r="E1167" s="201"/>
      <c r="F1167" s="206"/>
      <c r="G1167" s="206"/>
      <c r="H1167" s="253"/>
      <c r="I1167" s="201"/>
      <c r="J1167" s="254"/>
      <c r="K1167" s="254"/>
      <c r="L1167" s="206"/>
      <c r="M1167" s="201"/>
      <c r="N1167" s="206"/>
      <c r="O1167" s="255"/>
      <c r="P1167" s="256"/>
      <c r="Q1167" s="256"/>
      <c r="R1167" s="201"/>
      <c r="S1167" s="201"/>
      <c r="T1167" s="201"/>
    </row>
    <row r="1168">
      <c r="A1168" s="252"/>
      <c r="B1168" s="202"/>
      <c r="C1168" s="233"/>
      <c r="D1168" s="233"/>
      <c r="E1168" s="201"/>
      <c r="F1168" s="206"/>
      <c r="G1168" s="206"/>
      <c r="H1168" s="253"/>
      <c r="I1168" s="201"/>
      <c r="J1168" s="254"/>
      <c r="K1168" s="254"/>
      <c r="L1168" s="206"/>
      <c r="M1168" s="201"/>
      <c r="N1168" s="206"/>
      <c r="O1168" s="255"/>
      <c r="P1168" s="256"/>
      <c r="Q1168" s="256"/>
      <c r="R1168" s="201"/>
      <c r="S1168" s="201"/>
      <c r="T1168" s="201"/>
    </row>
    <row r="1169">
      <c r="A1169" s="252"/>
      <c r="B1169" s="202"/>
      <c r="C1169" s="233"/>
      <c r="D1169" s="233"/>
      <c r="E1169" s="201"/>
      <c r="F1169" s="206"/>
      <c r="G1169" s="206"/>
      <c r="H1169" s="253"/>
      <c r="I1169" s="201"/>
      <c r="J1169" s="254"/>
      <c r="K1169" s="254"/>
      <c r="L1169" s="206"/>
      <c r="M1169" s="201"/>
      <c r="N1169" s="206"/>
      <c r="O1169" s="255"/>
      <c r="P1169" s="256"/>
      <c r="Q1169" s="256"/>
      <c r="R1169" s="201"/>
      <c r="S1169" s="201"/>
      <c r="T1169" s="201"/>
    </row>
    <row r="1170">
      <c r="A1170" s="252"/>
      <c r="B1170" s="202"/>
      <c r="C1170" s="233"/>
      <c r="D1170" s="233"/>
      <c r="E1170" s="201"/>
      <c r="F1170" s="206"/>
      <c r="G1170" s="206"/>
      <c r="H1170" s="253"/>
      <c r="I1170" s="201"/>
      <c r="J1170" s="254"/>
      <c r="K1170" s="254"/>
      <c r="L1170" s="206"/>
      <c r="M1170" s="201"/>
      <c r="N1170" s="206"/>
      <c r="O1170" s="255"/>
      <c r="P1170" s="256"/>
      <c r="Q1170" s="256"/>
      <c r="R1170" s="201"/>
      <c r="S1170" s="201"/>
      <c r="T1170" s="201"/>
    </row>
    <row r="1171">
      <c r="A1171" s="252"/>
      <c r="B1171" s="202"/>
      <c r="C1171" s="233"/>
      <c r="D1171" s="233"/>
      <c r="E1171" s="201"/>
      <c r="F1171" s="206"/>
      <c r="G1171" s="206"/>
      <c r="H1171" s="253"/>
      <c r="I1171" s="201"/>
      <c r="J1171" s="254"/>
      <c r="K1171" s="254"/>
      <c r="L1171" s="206"/>
      <c r="M1171" s="201"/>
      <c r="N1171" s="206"/>
      <c r="O1171" s="255"/>
      <c r="P1171" s="256"/>
      <c r="Q1171" s="256"/>
      <c r="R1171" s="201"/>
      <c r="S1171" s="201"/>
      <c r="T1171" s="201"/>
    </row>
    <row r="1172">
      <c r="A1172" s="252"/>
      <c r="B1172" s="202"/>
      <c r="C1172" s="233"/>
      <c r="D1172" s="233"/>
      <c r="E1172" s="201"/>
      <c r="F1172" s="206"/>
      <c r="G1172" s="206"/>
      <c r="H1172" s="253"/>
      <c r="I1172" s="201"/>
      <c r="J1172" s="254"/>
      <c r="K1172" s="254"/>
      <c r="L1172" s="206"/>
      <c r="M1172" s="201"/>
      <c r="N1172" s="206"/>
      <c r="O1172" s="255"/>
      <c r="P1172" s="256"/>
      <c r="Q1172" s="256"/>
      <c r="R1172" s="201"/>
      <c r="S1172" s="201"/>
      <c r="T1172" s="201"/>
    </row>
    <row r="1173">
      <c r="A1173" s="252"/>
      <c r="B1173" s="202"/>
      <c r="C1173" s="233"/>
      <c r="D1173" s="233"/>
      <c r="E1173" s="201"/>
      <c r="F1173" s="206"/>
      <c r="G1173" s="206"/>
      <c r="H1173" s="253"/>
      <c r="I1173" s="201"/>
      <c r="J1173" s="254"/>
      <c r="K1173" s="254"/>
      <c r="L1173" s="206"/>
      <c r="M1173" s="201"/>
      <c r="N1173" s="206"/>
      <c r="O1173" s="255"/>
      <c r="P1173" s="256"/>
      <c r="Q1173" s="256"/>
      <c r="R1173" s="201"/>
      <c r="S1173" s="201"/>
      <c r="T1173" s="201"/>
    </row>
    <row r="1174">
      <c r="A1174" s="252"/>
      <c r="B1174" s="202"/>
      <c r="C1174" s="233"/>
      <c r="D1174" s="233"/>
      <c r="E1174" s="201"/>
      <c r="F1174" s="206"/>
      <c r="G1174" s="206"/>
      <c r="H1174" s="253"/>
      <c r="I1174" s="201"/>
      <c r="J1174" s="254"/>
      <c r="K1174" s="254"/>
      <c r="L1174" s="206"/>
      <c r="M1174" s="201"/>
      <c r="N1174" s="206"/>
      <c r="O1174" s="255"/>
      <c r="P1174" s="256"/>
      <c r="Q1174" s="256"/>
      <c r="R1174" s="201"/>
      <c r="S1174" s="201"/>
      <c r="T1174" s="201"/>
    </row>
    <row r="1175">
      <c r="A1175" s="252"/>
      <c r="B1175" s="202"/>
      <c r="C1175" s="233"/>
      <c r="D1175" s="233"/>
      <c r="E1175" s="201"/>
      <c r="F1175" s="206"/>
      <c r="G1175" s="206"/>
      <c r="H1175" s="253"/>
      <c r="I1175" s="201"/>
      <c r="J1175" s="254"/>
      <c r="K1175" s="254"/>
      <c r="L1175" s="206"/>
      <c r="M1175" s="201"/>
      <c r="N1175" s="206"/>
      <c r="O1175" s="255"/>
      <c r="P1175" s="256"/>
      <c r="Q1175" s="256"/>
      <c r="R1175" s="201"/>
      <c r="S1175" s="201"/>
      <c r="T1175" s="201"/>
    </row>
    <row r="1176">
      <c r="A1176" s="252"/>
      <c r="B1176" s="202"/>
      <c r="C1176" s="233"/>
      <c r="D1176" s="233"/>
      <c r="E1176" s="201"/>
      <c r="F1176" s="206"/>
      <c r="G1176" s="206"/>
      <c r="H1176" s="253"/>
      <c r="I1176" s="201"/>
      <c r="J1176" s="254"/>
      <c r="K1176" s="254"/>
      <c r="L1176" s="206"/>
      <c r="M1176" s="201"/>
      <c r="N1176" s="206"/>
      <c r="O1176" s="255"/>
      <c r="P1176" s="256"/>
      <c r="Q1176" s="256"/>
      <c r="R1176" s="201"/>
      <c r="S1176" s="201"/>
      <c r="T1176" s="201"/>
    </row>
    <row r="1177">
      <c r="A1177" s="252"/>
      <c r="B1177" s="202"/>
      <c r="C1177" s="233"/>
      <c r="D1177" s="233"/>
      <c r="E1177" s="201"/>
      <c r="F1177" s="206"/>
      <c r="G1177" s="206"/>
      <c r="H1177" s="253"/>
      <c r="I1177" s="201"/>
      <c r="J1177" s="254"/>
      <c r="K1177" s="254"/>
      <c r="L1177" s="206"/>
      <c r="M1177" s="201"/>
      <c r="N1177" s="206"/>
      <c r="O1177" s="255"/>
      <c r="P1177" s="256"/>
      <c r="Q1177" s="256"/>
      <c r="R1177" s="201"/>
      <c r="S1177" s="201"/>
      <c r="T1177" s="201"/>
    </row>
    <row r="1178">
      <c r="A1178" s="252"/>
      <c r="B1178" s="202"/>
      <c r="C1178" s="233"/>
      <c r="D1178" s="233"/>
      <c r="E1178" s="201"/>
      <c r="F1178" s="206"/>
      <c r="G1178" s="206"/>
      <c r="H1178" s="253"/>
      <c r="I1178" s="201"/>
      <c r="J1178" s="254"/>
      <c r="K1178" s="254"/>
      <c r="L1178" s="206"/>
      <c r="M1178" s="201"/>
      <c r="N1178" s="206"/>
      <c r="O1178" s="255"/>
      <c r="P1178" s="256"/>
      <c r="Q1178" s="256"/>
      <c r="R1178" s="201"/>
      <c r="S1178" s="201"/>
      <c r="T1178" s="201"/>
    </row>
    <row r="1179">
      <c r="A1179" s="252"/>
      <c r="B1179" s="202"/>
      <c r="C1179" s="233"/>
      <c r="D1179" s="233"/>
      <c r="E1179" s="201"/>
      <c r="F1179" s="206"/>
      <c r="G1179" s="206"/>
      <c r="H1179" s="253"/>
      <c r="I1179" s="201"/>
      <c r="J1179" s="254"/>
      <c r="K1179" s="254"/>
      <c r="L1179" s="206"/>
      <c r="M1179" s="201"/>
      <c r="N1179" s="206"/>
      <c r="O1179" s="255"/>
      <c r="P1179" s="256"/>
      <c r="Q1179" s="256"/>
      <c r="R1179" s="201"/>
      <c r="S1179" s="201"/>
      <c r="T1179" s="201"/>
    </row>
    <row r="1180">
      <c r="A1180" s="252"/>
      <c r="B1180" s="202"/>
      <c r="C1180" s="233"/>
      <c r="D1180" s="233"/>
      <c r="E1180" s="201"/>
      <c r="F1180" s="206"/>
      <c r="G1180" s="206"/>
      <c r="H1180" s="253"/>
      <c r="I1180" s="201"/>
      <c r="J1180" s="254"/>
      <c r="K1180" s="254"/>
      <c r="L1180" s="206"/>
      <c r="M1180" s="201"/>
      <c r="N1180" s="206"/>
      <c r="O1180" s="255"/>
      <c r="P1180" s="256"/>
      <c r="Q1180" s="256"/>
      <c r="R1180" s="201"/>
      <c r="S1180" s="201"/>
      <c r="T1180" s="201"/>
    </row>
    <row r="1181">
      <c r="A1181" s="252"/>
      <c r="B1181" s="202"/>
      <c r="C1181" s="233"/>
      <c r="D1181" s="233"/>
      <c r="E1181" s="201"/>
      <c r="F1181" s="206"/>
      <c r="G1181" s="206"/>
      <c r="H1181" s="253"/>
      <c r="I1181" s="201"/>
      <c r="J1181" s="254"/>
      <c r="K1181" s="254"/>
      <c r="L1181" s="206"/>
      <c r="M1181" s="201"/>
      <c r="N1181" s="206"/>
      <c r="O1181" s="255"/>
      <c r="P1181" s="256"/>
      <c r="Q1181" s="256"/>
      <c r="R1181" s="201"/>
      <c r="S1181" s="201"/>
      <c r="T1181" s="201"/>
    </row>
    <row r="1182">
      <c r="A1182" s="252"/>
      <c r="B1182" s="202"/>
      <c r="C1182" s="233"/>
      <c r="D1182" s="233"/>
      <c r="E1182" s="201"/>
      <c r="F1182" s="206"/>
      <c r="G1182" s="206"/>
      <c r="H1182" s="253"/>
      <c r="I1182" s="201"/>
      <c r="J1182" s="254"/>
      <c r="K1182" s="254"/>
      <c r="L1182" s="206"/>
      <c r="M1182" s="201"/>
      <c r="N1182" s="206"/>
      <c r="O1182" s="255"/>
      <c r="P1182" s="256"/>
      <c r="Q1182" s="256"/>
      <c r="R1182" s="201"/>
      <c r="S1182" s="201"/>
      <c r="T1182" s="201"/>
    </row>
    <row r="1183">
      <c r="A1183" s="252"/>
      <c r="B1183" s="202"/>
      <c r="C1183" s="233"/>
      <c r="D1183" s="233"/>
      <c r="E1183" s="201"/>
      <c r="F1183" s="206"/>
      <c r="G1183" s="206"/>
      <c r="H1183" s="253"/>
      <c r="I1183" s="201"/>
      <c r="J1183" s="254"/>
      <c r="K1183" s="254"/>
      <c r="L1183" s="206"/>
      <c r="M1183" s="201"/>
      <c r="N1183" s="206"/>
      <c r="O1183" s="255"/>
      <c r="P1183" s="256"/>
      <c r="Q1183" s="256"/>
      <c r="R1183" s="201"/>
      <c r="S1183" s="201"/>
      <c r="T1183" s="201"/>
    </row>
    <row r="1184">
      <c r="A1184" s="252"/>
      <c r="B1184" s="202"/>
      <c r="C1184" s="233"/>
      <c r="D1184" s="233"/>
      <c r="E1184" s="201"/>
      <c r="F1184" s="206"/>
      <c r="G1184" s="206"/>
      <c r="H1184" s="253"/>
      <c r="I1184" s="201"/>
      <c r="J1184" s="254"/>
      <c r="K1184" s="254"/>
      <c r="L1184" s="206"/>
      <c r="M1184" s="201"/>
      <c r="N1184" s="206"/>
      <c r="O1184" s="255"/>
      <c r="P1184" s="256"/>
      <c r="Q1184" s="256"/>
      <c r="R1184" s="201"/>
      <c r="S1184" s="201"/>
      <c r="T1184" s="201"/>
    </row>
    <row r="1185">
      <c r="A1185" s="252"/>
      <c r="B1185" s="202"/>
      <c r="C1185" s="233"/>
      <c r="D1185" s="233"/>
      <c r="E1185" s="201"/>
      <c r="F1185" s="206"/>
      <c r="G1185" s="206"/>
      <c r="H1185" s="253"/>
      <c r="I1185" s="201"/>
      <c r="J1185" s="254"/>
      <c r="K1185" s="254"/>
      <c r="L1185" s="206"/>
      <c r="M1185" s="201"/>
      <c r="N1185" s="206"/>
      <c r="O1185" s="255"/>
      <c r="P1185" s="256"/>
      <c r="Q1185" s="256"/>
      <c r="R1185" s="201"/>
      <c r="S1185" s="201"/>
      <c r="T1185" s="201"/>
    </row>
    <row r="1186">
      <c r="A1186" s="252"/>
      <c r="B1186" s="202"/>
      <c r="C1186" s="233"/>
      <c r="D1186" s="233"/>
      <c r="E1186" s="201"/>
      <c r="F1186" s="206"/>
      <c r="G1186" s="206"/>
      <c r="H1186" s="253"/>
      <c r="I1186" s="201"/>
      <c r="J1186" s="254"/>
      <c r="K1186" s="254"/>
      <c r="L1186" s="206"/>
      <c r="M1186" s="201"/>
      <c r="N1186" s="206"/>
      <c r="O1186" s="255"/>
      <c r="P1186" s="256"/>
      <c r="Q1186" s="256"/>
      <c r="R1186" s="201"/>
      <c r="S1186" s="201"/>
      <c r="T1186" s="201"/>
    </row>
    <row r="1187">
      <c r="A1187" s="252"/>
      <c r="B1187" s="202"/>
      <c r="C1187" s="233"/>
      <c r="D1187" s="233"/>
      <c r="E1187" s="201"/>
      <c r="F1187" s="206"/>
      <c r="G1187" s="206"/>
      <c r="H1187" s="253"/>
      <c r="I1187" s="201"/>
      <c r="J1187" s="254"/>
      <c r="K1187" s="254"/>
      <c r="L1187" s="206"/>
      <c r="M1187" s="201"/>
      <c r="N1187" s="206"/>
      <c r="O1187" s="255"/>
      <c r="P1187" s="256"/>
      <c r="Q1187" s="256"/>
      <c r="R1187" s="201"/>
      <c r="S1187" s="201"/>
      <c r="T1187" s="201"/>
    </row>
    <row r="1188">
      <c r="A1188" s="252"/>
      <c r="B1188" s="202"/>
      <c r="C1188" s="233"/>
      <c r="D1188" s="233"/>
      <c r="E1188" s="201"/>
      <c r="F1188" s="206"/>
      <c r="G1188" s="206"/>
      <c r="H1188" s="253"/>
      <c r="I1188" s="201"/>
      <c r="J1188" s="254"/>
      <c r="K1188" s="254"/>
      <c r="L1188" s="206"/>
      <c r="M1188" s="201"/>
      <c r="N1188" s="206"/>
      <c r="O1188" s="255"/>
      <c r="P1188" s="256"/>
      <c r="Q1188" s="256"/>
      <c r="R1188" s="201"/>
      <c r="S1188" s="201"/>
      <c r="T1188" s="201"/>
    </row>
    <row r="1189">
      <c r="A1189" s="252"/>
      <c r="B1189" s="202"/>
      <c r="C1189" s="233"/>
      <c r="D1189" s="233"/>
      <c r="E1189" s="201"/>
      <c r="F1189" s="206"/>
      <c r="G1189" s="206"/>
      <c r="H1189" s="253"/>
      <c r="I1189" s="201"/>
      <c r="J1189" s="254"/>
      <c r="K1189" s="254"/>
      <c r="L1189" s="206"/>
      <c r="M1189" s="201"/>
      <c r="N1189" s="206"/>
      <c r="O1189" s="255"/>
      <c r="P1189" s="256"/>
      <c r="Q1189" s="256"/>
      <c r="R1189" s="201"/>
      <c r="S1189" s="201"/>
      <c r="T1189" s="201"/>
    </row>
    <row r="1190">
      <c r="A1190" s="252"/>
      <c r="B1190" s="202"/>
      <c r="C1190" s="233"/>
      <c r="D1190" s="233"/>
      <c r="E1190" s="201"/>
      <c r="F1190" s="206"/>
      <c r="G1190" s="206"/>
      <c r="H1190" s="253"/>
      <c r="I1190" s="201"/>
      <c r="J1190" s="254"/>
      <c r="K1190" s="254"/>
      <c r="L1190" s="206"/>
      <c r="M1190" s="201"/>
      <c r="N1190" s="206"/>
      <c r="O1190" s="255"/>
      <c r="P1190" s="256"/>
      <c r="Q1190" s="256"/>
      <c r="R1190" s="201"/>
      <c r="S1190" s="201"/>
      <c r="T1190" s="201"/>
    </row>
    <row r="1191">
      <c r="A1191" s="252"/>
      <c r="B1191" s="202"/>
      <c r="C1191" s="233"/>
      <c r="D1191" s="233"/>
      <c r="E1191" s="201"/>
      <c r="F1191" s="206"/>
      <c r="G1191" s="206"/>
      <c r="H1191" s="253"/>
      <c r="I1191" s="201"/>
      <c r="J1191" s="254"/>
      <c r="K1191" s="254"/>
      <c r="L1191" s="206"/>
      <c r="M1191" s="201"/>
      <c r="N1191" s="206"/>
      <c r="O1191" s="255"/>
      <c r="P1191" s="256"/>
      <c r="Q1191" s="256"/>
      <c r="R1191" s="201"/>
      <c r="S1191" s="201"/>
      <c r="T1191" s="201"/>
    </row>
    <row r="1192">
      <c r="A1192" s="252"/>
      <c r="B1192" s="202"/>
      <c r="C1192" s="233"/>
      <c r="D1192" s="233"/>
      <c r="E1192" s="201"/>
      <c r="F1192" s="206"/>
      <c r="G1192" s="206"/>
      <c r="H1192" s="253"/>
      <c r="I1192" s="201"/>
      <c r="J1192" s="254"/>
      <c r="K1192" s="254"/>
      <c r="L1192" s="206"/>
      <c r="M1192" s="201"/>
      <c r="N1192" s="206"/>
      <c r="O1192" s="255"/>
      <c r="P1192" s="256"/>
      <c r="Q1192" s="256"/>
      <c r="R1192" s="201"/>
      <c r="S1192" s="201"/>
      <c r="T1192" s="201"/>
    </row>
    <row r="1193">
      <c r="A1193" s="252"/>
      <c r="B1193" s="202"/>
      <c r="C1193" s="233"/>
      <c r="D1193" s="233"/>
      <c r="E1193" s="201"/>
      <c r="F1193" s="206"/>
      <c r="G1193" s="206"/>
      <c r="H1193" s="253"/>
      <c r="I1193" s="201"/>
      <c r="J1193" s="254"/>
      <c r="K1193" s="254"/>
      <c r="L1193" s="206"/>
      <c r="M1193" s="201"/>
      <c r="N1193" s="206"/>
      <c r="O1193" s="255"/>
      <c r="P1193" s="256"/>
      <c r="Q1193" s="256"/>
      <c r="R1193" s="201"/>
      <c r="S1193" s="201"/>
      <c r="T1193" s="201"/>
    </row>
    <row r="1194">
      <c r="A1194" s="252"/>
      <c r="B1194" s="202"/>
      <c r="C1194" s="233"/>
      <c r="D1194" s="233"/>
      <c r="E1194" s="201"/>
      <c r="F1194" s="206"/>
      <c r="G1194" s="206"/>
      <c r="H1194" s="253"/>
      <c r="I1194" s="201"/>
      <c r="J1194" s="254"/>
      <c r="K1194" s="254"/>
      <c r="L1194" s="206"/>
      <c r="M1194" s="201"/>
      <c r="N1194" s="206"/>
      <c r="O1194" s="255"/>
      <c r="P1194" s="256"/>
      <c r="Q1194" s="256"/>
      <c r="R1194" s="201"/>
      <c r="S1194" s="201"/>
      <c r="T1194" s="201"/>
    </row>
    <row r="1195">
      <c r="A1195" s="252"/>
      <c r="B1195" s="202"/>
      <c r="C1195" s="233"/>
      <c r="D1195" s="233"/>
      <c r="E1195" s="201"/>
      <c r="F1195" s="206"/>
      <c r="G1195" s="206"/>
      <c r="H1195" s="253"/>
      <c r="I1195" s="201"/>
      <c r="J1195" s="254"/>
      <c r="K1195" s="254"/>
      <c r="L1195" s="206"/>
      <c r="M1195" s="201"/>
      <c r="N1195" s="206"/>
      <c r="O1195" s="255"/>
      <c r="P1195" s="256"/>
      <c r="Q1195" s="256"/>
      <c r="R1195" s="201"/>
      <c r="S1195" s="201"/>
      <c r="T1195" s="201"/>
    </row>
    <row r="1196">
      <c r="A1196" s="252"/>
      <c r="B1196" s="202"/>
      <c r="C1196" s="233"/>
      <c r="D1196" s="233"/>
      <c r="E1196" s="201"/>
      <c r="F1196" s="206"/>
      <c r="G1196" s="206"/>
      <c r="H1196" s="253"/>
      <c r="I1196" s="201"/>
      <c r="J1196" s="254"/>
      <c r="K1196" s="254"/>
      <c r="L1196" s="206"/>
      <c r="M1196" s="201"/>
      <c r="N1196" s="206"/>
      <c r="O1196" s="255"/>
      <c r="P1196" s="256"/>
      <c r="Q1196" s="256"/>
      <c r="R1196" s="201"/>
      <c r="S1196" s="201"/>
      <c r="T1196" s="201"/>
    </row>
    <row r="1197">
      <c r="A1197" s="252"/>
      <c r="B1197" s="202"/>
      <c r="C1197" s="233"/>
      <c r="D1197" s="233"/>
      <c r="E1197" s="201"/>
      <c r="F1197" s="206"/>
      <c r="G1197" s="206"/>
      <c r="H1197" s="253"/>
      <c r="I1197" s="201"/>
      <c r="J1197" s="254"/>
      <c r="K1197" s="254"/>
      <c r="L1197" s="206"/>
      <c r="M1197" s="201"/>
      <c r="N1197" s="206"/>
      <c r="O1197" s="255"/>
      <c r="P1197" s="256"/>
      <c r="Q1197" s="256"/>
      <c r="R1197" s="201"/>
      <c r="S1197" s="201"/>
      <c r="T1197" s="201"/>
    </row>
    <row r="1198">
      <c r="A1198" s="252"/>
      <c r="B1198" s="202"/>
      <c r="C1198" s="233"/>
      <c r="D1198" s="233"/>
      <c r="E1198" s="201"/>
      <c r="F1198" s="206"/>
      <c r="G1198" s="206"/>
      <c r="H1198" s="253"/>
      <c r="I1198" s="201"/>
      <c r="J1198" s="254"/>
      <c r="K1198" s="254"/>
      <c r="L1198" s="206"/>
      <c r="M1198" s="201"/>
      <c r="N1198" s="206"/>
      <c r="O1198" s="255"/>
      <c r="P1198" s="256"/>
      <c r="Q1198" s="256"/>
      <c r="R1198" s="201"/>
      <c r="S1198" s="201"/>
      <c r="T1198" s="201"/>
    </row>
    <row r="1199">
      <c r="A1199" s="252"/>
      <c r="B1199" s="202"/>
      <c r="C1199" s="233"/>
      <c r="D1199" s="233"/>
      <c r="E1199" s="201"/>
      <c r="F1199" s="206"/>
      <c r="G1199" s="206"/>
      <c r="H1199" s="253"/>
      <c r="I1199" s="201"/>
      <c r="J1199" s="254"/>
      <c r="K1199" s="254"/>
      <c r="L1199" s="206"/>
      <c r="M1199" s="201"/>
      <c r="N1199" s="206"/>
      <c r="O1199" s="255"/>
      <c r="P1199" s="256"/>
      <c r="Q1199" s="256"/>
      <c r="R1199" s="201"/>
      <c r="S1199" s="201"/>
      <c r="T1199" s="201"/>
    </row>
    <row r="1200">
      <c r="A1200" s="252"/>
      <c r="B1200" s="202"/>
      <c r="C1200" s="233"/>
      <c r="D1200" s="233"/>
      <c r="E1200" s="201"/>
      <c r="F1200" s="206"/>
      <c r="G1200" s="206"/>
      <c r="H1200" s="253"/>
      <c r="I1200" s="201"/>
      <c r="J1200" s="254"/>
      <c r="K1200" s="254"/>
      <c r="L1200" s="206"/>
      <c r="M1200" s="201"/>
      <c r="N1200" s="206"/>
      <c r="O1200" s="255"/>
      <c r="P1200" s="256"/>
      <c r="Q1200" s="256"/>
      <c r="R1200" s="201"/>
      <c r="S1200" s="201"/>
      <c r="T1200" s="201"/>
    </row>
    <row r="1201">
      <c r="A1201" s="252"/>
      <c r="B1201" s="202"/>
      <c r="C1201" s="233"/>
      <c r="D1201" s="233"/>
      <c r="E1201" s="201"/>
      <c r="F1201" s="206"/>
      <c r="G1201" s="206"/>
      <c r="H1201" s="253"/>
      <c r="I1201" s="201"/>
      <c r="J1201" s="254"/>
      <c r="K1201" s="254"/>
      <c r="L1201" s="206"/>
      <c r="M1201" s="201"/>
      <c r="N1201" s="206"/>
      <c r="O1201" s="255"/>
      <c r="P1201" s="256"/>
      <c r="Q1201" s="256"/>
      <c r="R1201" s="201"/>
      <c r="S1201" s="201"/>
      <c r="T1201" s="201"/>
    </row>
    <row r="1202">
      <c r="A1202" s="252"/>
      <c r="B1202" s="202"/>
      <c r="C1202" s="233"/>
      <c r="D1202" s="233"/>
      <c r="E1202" s="201"/>
      <c r="F1202" s="206"/>
      <c r="G1202" s="206"/>
      <c r="H1202" s="253"/>
      <c r="I1202" s="201"/>
      <c r="J1202" s="254"/>
      <c r="K1202" s="254"/>
      <c r="L1202" s="206"/>
      <c r="M1202" s="201"/>
      <c r="N1202" s="206"/>
      <c r="O1202" s="255"/>
      <c r="P1202" s="256"/>
      <c r="Q1202" s="256"/>
      <c r="R1202" s="201"/>
      <c r="S1202" s="201"/>
      <c r="T1202" s="201"/>
    </row>
    <row r="1203">
      <c r="A1203" s="252"/>
      <c r="B1203" s="202"/>
      <c r="C1203" s="233"/>
      <c r="D1203" s="233"/>
      <c r="E1203" s="201"/>
      <c r="F1203" s="206"/>
      <c r="G1203" s="206"/>
      <c r="H1203" s="253"/>
      <c r="I1203" s="201"/>
      <c r="J1203" s="254"/>
      <c r="K1203" s="254"/>
      <c r="L1203" s="206"/>
      <c r="M1203" s="201"/>
      <c r="N1203" s="206"/>
      <c r="O1203" s="255"/>
      <c r="P1203" s="256"/>
      <c r="Q1203" s="256"/>
      <c r="R1203" s="201"/>
      <c r="S1203" s="201"/>
      <c r="T1203" s="201"/>
    </row>
    <row r="1204">
      <c r="A1204" s="252"/>
      <c r="B1204" s="202"/>
      <c r="C1204" s="233"/>
      <c r="D1204" s="233"/>
      <c r="E1204" s="201"/>
      <c r="F1204" s="206"/>
      <c r="G1204" s="206"/>
      <c r="H1204" s="253"/>
      <c r="I1204" s="201"/>
      <c r="J1204" s="254"/>
      <c r="K1204" s="254"/>
      <c r="L1204" s="206"/>
      <c r="M1204" s="201"/>
      <c r="N1204" s="206"/>
      <c r="O1204" s="255"/>
      <c r="P1204" s="256"/>
      <c r="Q1204" s="256"/>
      <c r="R1204" s="201"/>
      <c r="S1204" s="201"/>
      <c r="T1204" s="201"/>
    </row>
    <row r="1205">
      <c r="A1205" s="252"/>
      <c r="B1205" s="202"/>
      <c r="C1205" s="233"/>
      <c r="D1205" s="233"/>
      <c r="E1205" s="201"/>
      <c r="F1205" s="206"/>
      <c r="G1205" s="206"/>
      <c r="H1205" s="253"/>
      <c r="I1205" s="201"/>
      <c r="J1205" s="254"/>
      <c r="K1205" s="254"/>
      <c r="L1205" s="206"/>
      <c r="M1205" s="201"/>
      <c r="N1205" s="206"/>
      <c r="O1205" s="255"/>
      <c r="P1205" s="256"/>
      <c r="Q1205" s="256"/>
      <c r="R1205" s="201"/>
      <c r="S1205" s="201"/>
      <c r="T1205" s="201"/>
    </row>
    <row r="1206">
      <c r="A1206" s="252"/>
      <c r="B1206" s="202"/>
      <c r="C1206" s="233"/>
      <c r="D1206" s="233"/>
      <c r="E1206" s="201"/>
      <c r="F1206" s="206"/>
      <c r="G1206" s="206"/>
      <c r="H1206" s="253"/>
      <c r="I1206" s="201"/>
      <c r="J1206" s="254"/>
      <c r="K1206" s="254"/>
      <c r="L1206" s="206"/>
      <c r="M1206" s="201"/>
      <c r="N1206" s="206"/>
      <c r="O1206" s="255"/>
      <c r="P1206" s="256"/>
      <c r="Q1206" s="256"/>
      <c r="R1206" s="201"/>
      <c r="S1206" s="201"/>
      <c r="T1206" s="201"/>
    </row>
    <row r="1207">
      <c r="A1207" s="252"/>
      <c r="B1207" s="202"/>
      <c r="C1207" s="233"/>
      <c r="D1207" s="233"/>
      <c r="E1207" s="201"/>
      <c r="F1207" s="206"/>
      <c r="G1207" s="206"/>
      <c r="H1207" s="253"/>
      <c r="I1207" s="201"/>
      <c r="J1207" s="254"/>
      <c r="K1207" s="254"/>
      <c r="L1207" s="206"/>
      <c r="M1207" s="201"/>
      <c r="N1207" s="206"/>
      <c r="O1207" s="255"/>
      <c r="P1207" s="256"/>
      <c r="Q1207" s="256"/>
      <c r="R1207" s="201"/>
      <c r="S1207" s="201"/>
      <c r="T1207" s="201"/>
    </row>
    <row r="1208">
      <c r="A1208" s="252"/>
      <c r="B1208" s="202"/>
      <c r="C1208" s="233"/>
      <c r="D1208" s="233"/>
      <c r="E1208" s="201"/>
      <c r="F1208" s="206"/>
      <c r="G1208" s="206"/>
      <c r="H1208" s="253"/>
      <c r="I1208" s="201"/>
      <c r="J1208" s="254"/>
      <c r="K1208" s="254"/>
      <c r="L1208" s="206"/>
      <c r="M1208" s="201"/>
      <c r="N1208" s="206"/>
      <c r="O1208" s="255"/>
      <c r="P1208" s="256"/>
      <c r="Q1208" s="256"/>
      <c r="R1208" s="201"/>
      <c r="S1208" s="201"/>
      <c r="T1208" s="201"/>
    </row>
    <row r="1209">
      <c r="A1209" s="252"/>
      <c r="B1209" s="202"/>
      <c r="C1209" s="233"/>
      <c r="D1209" s="233"/>
      <c r="E1209" s="201"/>
      <c r="F1209" s="206"/>
      <c r="G1209" s="206"/>
      <c r="H1209" s="253"/>
      <c r="I1209" s="201"/>
      <c r="J1209" s="254"/>
      <c r="K1209" s="254"/>
      <c r="L1209" s="206"/>
      <c r="M1209" s="201"/>
      <c r="N1209" s="206"/>
      <c r="O1209" s="255"/>
      <c r="P1209" s="256"/>
      <c r="Q1209" s="256"/>
      <c r="R1209" s="201"/>
      <c r="S1209" s="201"/>
      <c r="T1209" s="201"/>
    </row>
    <row r="1210">
      <c r="A1210" s="252"/>
      <c r="B1210" s="202"/>
      <c r="C1210" s="233"/>
      <c r="D1210" s="233"/>
      <c r="E1210" s="201"/>
      <c r="F1210" s="206"/>
      <c r="G1210" s="206"/>
      <c r="H1210" s="253"/>
      <c r="I1210" s="201"/>
      <c r="J1210" s="254"/>
      <c r="K1210" s="254"/>
      <c r="L1210" s="206"/>
      <c r="M1210" s="201"/>
      <c r="N1210" s="206"/>
      <c r="O1210" s="255"/>
      <c r="P1210" s="256"/>
      <c r="Q1210" s="256"/>
      <c r="R1210" s="201"/>
      <c r="S1210" s="201"/>
      <c r="T1210" s="201"/>
    </row>
    <row r="1211">
      <c r="A1211" s="252"/>
      <c r="B1211" s="202"/>
      <c r="C1211" s="233"/>
      <c r="D1211" s="233"/>
      <c r="E1211" s="201"/>
      <c r="F1211" s="206"/>
      <c r="G1211" s="206"/>
      <c r="H1211" s="253"/>
      <c r="I1211" s="201"/>
      <c r="J1211" s="254"/>
      <c r="K1211" s="254"/>
      <c r="L1211" s="206"/>
      <c r="M1211" s="201"/>
      <c r="N1211" s="206"/>
      <c r="O1211" s="255"/>
      <c r="P1211" s="256"/>
      <c r="Q1211" s="256"/>
      <c r="R1211" s="201"/>
      <c r="S1211" s="201"/>
      <c r="T1211" s="201"/>
    </row>
    <row r="1212">
      <c r="A1212" s="252"/>
      <c r="B1212" s="202"/>
      <c r="C1212" s="233"/>
      <c r="D1212" s="233"/>
      <c r="E1212" s="201"/>
      <c r="F1212" s="206"/>
      <c r="G1212" s="206"/>
      <c r="H1212" s="253"/>
      <c r="I1212" s="201"/>
      <c r="J1212" s="254"/>
      <c r="K1212" s="254"/>
      <c r="L1212" s="206"/>
      <c r="M1212" s="201"/>
      <c r="N1212" s="206"/>
      <c r="O1212" s="255"/>
      <c r="P1212" s="256"/>
      <c r="Q1212" s="256"/>
      <c r="R1212" s="201"/>
      <c r="S1212" s="201"/>
      <c r="T1212" s="201"/>
    </row>
    <row r="1213">
      <c r="A1213" s="252"/>
      <c r="B1213" s="202"/>
      <c r="C1213" s="233"/>
      <c r="D1213" s="233"/>
      <c r="E1213" s="201"/>
      <c r="F1213" s="206"/>
      <c r="G1213" s="206"/>
      <c r="H1213" s="253"/>
      <c r="I1213" s="201"/>
      <c r="J1213" s="254"/>
      <c r="K1213" s="254"/>
      <c r="L1213" s="206"/>
      <c r="M1213" s="201"/>
      <c r="N1213" s="206"/>
      <c r="O1213" s="255"/>
      <c r="P1213" s="256"/>
      <c r="Q1213" s="256"/>
      <c r="R1213" s="201"/>
      <c r="S1213" s="201"/>
      <c r="T1213" s="201"/>
    </row>
    <row r="1214">
      <c r="A1214" s="252"/>
      <c r="B1214" s="202"/>
      <c r="C1214" s="233"/>
      <c r="D1214" s="233"/>
      <c r="E1214" s="201"/>
      <c r="F1214" s="206"/>
      <c r="G1214" s="206"/>
      <c r="H1214" s="253"/>
      <c r="I1214" s="201"/>
      <c r="J1214" s="254"/>
      <c r="K1214" s="254"/>
      <c r="L1214" s="206"/>
      <c r="M1214" s="201"/>
      <c r="N1214" s="206"/>
      <c r="O1214" s="255"/>
      <c r="P1214" s="256"/>
      <c r="Q1214" s="256"/>
      <c r="R1214" s="201"/>
      <c r="S1214" s="201"/>
      <c r="T1214" s="201"/>
    </row>
    <row r="1215">
      <c r="A1215" s="252"/>
      <c r="B1215" s="202"/>
      <c r="C1215" s="233"/>
      <c r="D1215" s="233"/>
      <c r="E1215" s="201"/>
      <c r="F1215" s="206"/>
      <c r="G1215" s="206"/>
      <c r="H1215" s="253"/>
      <c r="I1215" s="201"/>
      <c r="J1215" s="254"/>
      <c r="K1215" s="254"/>
      <c r="L1215" s="206"/>
      <c r="M1215" s="201"/>
      <c r="N1215" s="206"/>
      <c r="O1215" s="255"/>
      <c r="P1215" s="256"/>
      <c r="Q1215" s="256"/>
      <c r="R1215" s="201"/>
      <c r="S1215" s="201"/>
      <c r="T1215" s="201"/>
    </row>
    <row r="1216">
      <c r="A1216" s="252"/>
      <c r="B1216" s="202"/>
      <c r="C1216" s="233"/>
      <c r="D1216" s="233"/>
      <c r="E1216" s="201"/>
      <c r="F1216" s="206"/>
      <c r="G1216" s="206"/>
      <c r="H1216" s="253"/>
      <c r="I1216" s="201"/>
      <c r="J1216" s="254"/>
      <c r="K1216" s="254"/>
      <c r="L1216" s="206"/>
      <c r="M1216" s="201"/>
      <c r="N1216" s="206"/>
      <c r="O1216" s="255"/>
      <c r="P1216" s="256"/>
      <c r="Q1216" s="256"/>
      <c r="R1216" s="201"/>
      <c r="S1216" s="201"/>
      <c r="T1216" s="201"/>
    </row>
    <row r="1217">
      <c r="A1217" s="252"/>
      <c r="B1217" s="202"/>
      <c r="C1217" s="233"/>
      <c r="D1217" s="233"/>
      <c r="E1217" s="201"/>
      <c r="F1217" s="206"/>
      <c r="G1217" s="206"/>
      <c r="H1217" s="253"/>
      <c r="I1217" s="201"/>
      <c r="J1217" s="254"/>
      <c r="K1217" s="254"/>
      <c r="L1217" s="206"/>
      <c r="M1217" s="201"/>
      <c r="N1217" s="206"/>
      <c r="O1217" s="255"/>
      <c r="P1217" s="256"/>
      <c r="Q1217" s="256"/>
      <c r="R1217" s="201"/>
      <c r="S1217" s="201"/>
      <c r="T1217" s="201"/>
    </row>
    <row r="1218">
      <c r="A1218" s="252"/>
      <c r="B1218" s="202"/>
      <c r="C1218" s="233"/>
      <c r="D1218" s="233"/>
      <c r="E1218" s="201"/>
      <c r="F1218" s="206"/>
      <c r="G1218" s="206"/>
      <c r="H1218" s="253"/>
      <c r="I1218" s="201"/>
      <c r="J1218" s="254"/>
      <c r="K1218" s="254"/>
      <c r="L1218" s="206"/>
      <c r="M1218" s="201"/>
      <c r="N1218" s="206"/>
      <c r="O1218" s="255"/>
      <c r="P1218" s="256"/>
      <c r="Q1218" s="256"/>
      <c r="R1218" s="201"/>
      <c r="S1218" s="201"/>
      <c r="T1218" s="201"/>
    </row>
    <row r="1219">
      <c r="A1219" s="252"/>
      <c r="B1219" s="202"/>
      <c r="C1219" s="233"/>
      <c r="D1219" s="233"/>
      <c r="E1219" s="201"/>
      <c r="F1219" s="206"/>
      <c r="G1219" s="206"/>
      <c r="H1219" s="253"/>
      <c r="I1219" s="201"/>
      <c r="J1219" s="254"/>
      <c r="K1219" s="254"/>
      <c r="L1219" s="206"/>
      <c r="M1219" s="201"/>
      <c r="N1219" s="206"/>
      <c r="O1219" s="255"/>
      <c r="P1219" s="256"/>
      <c r="Q1219" s="256"/>
      <c r="R1219" s="201"/>
      <c r="S1219" s="201"/>
      <c r="T1219" s="201"/>
    </row>
    <row r="1220">
      <c r="A1220" s="252"/>
      <c r="B1220" s="202"/>
      <c r="C1220" s="233"/>
      <c r="D1220" s="233"/>
      <c r="E1220" s="201"/>
      <c r="F1220" s="206"/>
      <c r="G1220" s="206"/>
      <c r="H1220" s="253"/>
      <c r="I1220" s="201"/>
      <c r="J1220" s="254"/>
      <c r="K1220" s="254"/>
      <c r="L1220" s="206"/>
      <c r="M1220" s="201"/>
      <c r="N1220" s="206"/>
      <c r="O1220" s="255"/>
      <c r="P1220" s="256"/>
      <c r="Q1220" s="256"/>
      <c r="R1220" s="201"/>
      <c r="S1220" s="201"/>
      <c r="T1220" s="201"/>
    </row>
    <row r="1221">
      <c r="A1221" s="252"/>
      <c r="B1221" s="202"/>
      <c r="C1221" s="233"/>
      <c r="D1221" s="233"/>
      <c r="E1221" s="201"/>
      <c r="F1221" s="206"/>
      <c r="G1221" s="206"/>
      <c r="H1221" s="253"/>
      <c r="I1221" s="201"/>
      <c r="J1221" s="254"/>
      <c r="K1221" s="254"/>
      <c r="L1221" s="206"/>
      <c r="M1221" s="201"/>
      <c r="N1221" s="206"/>
      <c r="O1221" s="255"/>
      <c r="P1221" s="256"/>
      <c r="Q1221" s="256"/>
      <c r="R1221" s="201"/>
      <c r="S1221" s="201"/>
      <c r="T1221" s="201"/>
    </row>
    <row r="1222">
      <c r="A1222" s="252"/>
      <c r="B1222" s="202"/>
      <c r="C1222" s="233"/>
      <c r="D1222" s="233"/>
      <c r="E1222" s="201"/>
      <c r="F1222" s="206"/>
      <c r="G1222" s="206"/>
      <c r="H1222" s="253"/>
      <c r="I1222" s="201"/>
      <c r="J1222" s="254"/>
      <c r="K1222" s="254"/>
      <c r="L1222" s="206"/>
      <c r="M1222" s="201"/>
      <c r="N1222" s="206"/>
      <c r="O1222" s="255"/>
      <c r="P1222" s="256"/>
      <c r="Q1222" s="256"/>
      <c r="R1222" s="201"/>
      <c r="S1222" s="201"/>
      <c r="T1222" s="201"/>
    </row>
    <row r="1223">
      <c r="A1223" s="252"/>
      <c r="B1223" s="202"/>
      <c r="C1223" s="233"/>
      <c r="D1223" s="233"/>
      <c r="E1223" s="201"/>
      <c r="F1223" s="206"/>
      <c r="G1223" s="206"/>
      <c r="H1223" s="253"/>
      <c r="I1223" s="201"/>
      <c r="J1223" s="254"/>
      <c r="K1223" s="254"/>
      <c r="L1223" s="206"/>
      <c r="M1223" s="201"/>
      <c r="N1223" s="206"/>
      <c r="O1223" s="255"/>
      <c r="P1223" s="256"/>
      <c r="Q1223" s="256"/>
      <c r="R1223" s="201"/>
      <c r="S1223" s="201"/>
      <c r="T1223" s="201"/>
    </row>
    <row r="1224">
      <c r="A1224" s="252"/>
      <c r="B1224" s="202"/>
      <c r="C1224" s="233"/>
      <c r="D1224" s="233"/>
      <c r="E1224" s="201"/>
      <c r="F1224" s="206"/>
      <c r="G1224" s="206"/>
      <c r="H1224" s="253"/>
      <c r="I1224" s="201"/>
      <c r="J1224" s="254"/>
      <c r="K1224" s="254"/>
      <c r="L1224" s="206"/>
      <c r="M1224" s="201"/>
      <c r="N1224" s="206"/>
      <c r="O1224" s="255"/>
      <c r="P1224" s="256"/>
      <c r="Q1224" s="256"/>
      <c r="R1224" s="201"/>
      <c r="S1224" s="201"/>
      <c r="T1224" s="201"/>
    </row>
    <row r="1225">
      <c r="A1225" s="252"/>
      <c r="B1225" s="202"/>
      <c r="C1225" s="233"/>
      <c r="D1225" s="233"/>
      <c r="E1225" s="201"/>
      <c r="F1225" s="206"/>
      <c r="G1225" s="206"/>
      <c r="H1225" s="253"/>
      <c r="I1225" s="201"/>
      <c r="J1225" s="254"/>
      <c r="K1225" s="254"/>
      <c r="L1225" s="206"/>
      <c r="M1225" s="201"/>
      <c r="N1225" s="206"/>
      <c r="O1225" s="255"/>
      <c r="P1225" s="256"/>
      <c r="Q1225" s="256"/>
      <c r="R1225" s="201"/>
      <c r="S1225" s="201"/>
      <c r="T1225" s="201"/>
    </row>
    <row r="1226">
      <c r="A1226" s="252"/>
      <c r="B1226" s="202"/>
      <c r="C1226" s="233"/>
      <c r="D1226" s="233"/>
      <c r="E1226" s="201"/>
      <c r="F1226" s="206"/>
      <c r="G1226" s="206"/>
      <c r="H1226" s="253"/>
      <c r="I1226" s="201"/>
      <c r="J1226" s="254"/>
      <c r="K1226" s="254"/>
      <c r="L1226" s="206"/>
      <c r="M1226" s="201"/>
      <c r="N1226" s="206"/>
      <c r="O1226" s="255"/>
      <c r="P1226" s="256"/>
      <c r="Q1226" s="256"/>
      <c r="R1226" s="201"/>
      <c r="S1226" s="201"/>
      <c r="T1226" s="201"/>
    </row>
    <row r="1227">
      <c r="A1227" s="252"/>
      <c r="B1227" s="202"/>
      <c r="C1227" s="233"/>
      <c r="D1227" s="233"/>
      <c r="E1227" s="201"/>
      <c r="F1227" s="206"/>
      <c r="G1227" s="206"/>
      <c r="H1227" s="253"/>
      <c r="I1227" s="201"/>
      <c r="J1227" s="254"/>
      <c r="K1227" s="254"/>
      <c r="L1227" s="206"/>
      <c r="M1227" s="201"/>
      <c r="N1227" s="206"/>
      <c r="O1227" s="255"/>
      <c r="P1227" s="256"/>
      <c r="Q1227" s="256"/>
      <c r="R1227" s="201"/>
      <c r="S1227" s="201"/>
      <c r="T1227" s="201"/>
    </row>
    <row r="1228">
      <c r="A1228" s="252"/>
      <c r="B1228" s="202"/>
      <c r="C1228" s="233"/>
      <c r="D1228" s="233"/>
      <c r="E1228" s="201"/>
      <c r="F1228" s="206"/>
      <c r="G1228" s="206"/>
      <c r="H1228" s="253"/>
      <c r="I1228" s="201"/>
      <c r="J1228" s="254"/>
      <c r="K1228" s="254"/>
      <c r="L1228" s="206"/>
      <c r="M1228" s="201"/>
      <c r="N1228" s="206"/>
      <c r="O1228" s="255"/>
      <c r="P1228" s="256"/>
      <c r="Q1228" s="256"/>
      <c r="R1228" s="201"/>
      <c r="S1228" s="201"/>
      <c r="T1228" s="201"/>
    </row>
    <row r="1229">
      <c r="A1229" s="252"/>
      <c r="B1229" s="202"/>
      <c r="C1229" s="233"/>
      <c r="D1229" s="233"/>
      <c r="E1229" s="201"/>
      <c r="F1229" s="206"/>
      <c r="G1229" s="206"/>
      <c r="H1229" s="253"/>
      <c r="I1229" s="201"/>
      <c r="J1229" s="254"/>
      <c r="K1229" s="254"/>
      <c r="L1229" s="206"/>
      <c r="M1229" s="201"/>
      <c r="N1229" s="206"/>
      <c r="O1229" s="255"/>
      <c r="P1229" s="256"/>
      <c r="Q1229" s="256"/>
      <c r="R1229" s="201"/>
      <c r="S1229" s="201"/>
      <c r="T1229" s="201"/>
    </row>
    <row r="1230">
      <c r="A1230" s="252"/>
      <c r="B1230" s="202"/>
      <c r="C1230" s="233"/>
      <c r="D1230" s="233"/>
      <c r="E1230" s="201"/>
      <c r="F1230" s="206"/>
      <c r="G1230" s="206"/>
      <c r="H1230" s="253"/>
      <c r="I1230" s="201"/>
      <c r="J1230" s="254"/>
      <c r="K1230" s="254"/>
      <c r="L1230" s="206"/>
      <c r="M1230" s="201"/>
      <c r="N1230" s="206"/>
      <c r="O1230" s="255"/>
      <c r="P1230" s="256"/>
      <c r="Q1230" s="256"/>
      <c r="R1230" s="201"/>
      <c r="S1230" s="201"/>
      <c r="T1230" s="201"/>
    </row>
    <row r="1231">
      <c r="A1231" s="252"/>
      <c r="B1231" s="202"/>
      <c r="C1231" s="233"/>
      <c r="D1231" s="233"/>
      <c r="E1231" s="201"/>
      <c r="F1231" s="206"/>
      <c r="G1231" s="206"/>
      <c r="H1231" s="253"/>
      <c r="I1231" s="201"/>
      <c r="J1231" s="254"/>
      <c r="K1231" s="254"/>
      <c r="L1231" s="206"/>
      <c r="M1231" s="201"/>
      <c r="N1231" s="206"/>
      <c r="O1231" s="255"/>
      <c r="P1231" s="256"/>
      <c r="Q1231" s="256"/>
      <c r="R1231" s="201"/>
      <c r="S1231" s="201"/>
      <c r="T1231" s="201"/>
    </row>
    <row r="1232">
      <c r="A1232" s="252"/>
      <c r="B1232" s="202"/>
      <c r="C1232" s="233"/>
      <c r="D1232" s="233"/>
      <c r="E1232" s="201"/>
      <c r="F1232" s="206"/>
      <c r="G1232" s="206"/>
      <c r="H1232" s="253"/>
      <c r="I1232" s="201"/>
      <c r="J1232" s="254"/>
      <c r="K1232" s="254"/>
      <c r="L1232" s="206"/>
      <c r="M1232" s="201"/>
      <c r="N1232" s="206"/>
      <c r="O1232" s="255"/>
      <c r="P1232" s="256"/>
      <c r="Q1232" s="256"/>
      <c r="R1232" s="201"/>
      <c r="S1232" s="201"/>
      <c r="T1232" s="201"/>
    </row>
    <row r="1233">
      <c r="A1233" s="252"/>
      <c r="B1233" s="202"/>
      <c r="C1233" s="233"/>
      <c r="D1233" s="233"/>
      <c r="E1233" s="201"/>
      <c r="F1233" s="206"/>
      <c r="G1233" s="206"/>
      <c r="H1233" s="253"/>
      <c r="I1233" s="201"/>
      <c r="J1233" s="254"/>
      <c r="K1233" s="254"/>
      <c r="L1233" s="206"/>
      <c r="M1233" s="201"/>
      <c r="N1233" s="206"/>
      <c r="O1233" s="255"/>
      <c r="P1233" s="256"/>
      <c r="Q1233" s="256"/>
      <c r="R1233" s="201"/>
      <c r="S1233" s="201"/>
      <c r="T1233" s="201"/>
    </row>
    <row r="1234">
      <c r="A1234" s="252"/>
      <c r="B1234" s="202"/>
      <c r="C1234" s="233"/>
      <c r="D1234" s="233"/>
      <c r="E1234" s="201"/>
      <c r="F1234" s="206"/>
      <c r="G1234" s="206"/>
      <c r="H1234" s="253"/>
      <c r="I1234" s="201"/>
      <c r="J1234" s="254"/>
      <c r="K1234" s="254"/>
      <c r="L1234" s="206"/>
      <c r="M1234" s="201"/>
      <c r="N1234" s="206"/>
      <c r="O1234" s="255"/>
      <c r="P1234" s="256"/>
      <c r="Q1234" s="256"/>
      <c r="R1234" s="201"/>
      <c r="S1234" s="201"/>
      <c r="T1234" s="201"/>
    </row>
    <row r="1235">
      <c r="A1235" s="252"/>
      <c r="B1235" s="202"/>
      <c r="C1235" s="233"/>
      <c r="D1235" s="233"/>
      <c r="E1235" s="201"/>
      <c r="F1235" s="206"/>
      <c r="G1235" s="206"/>
      <c r="H1235" s="253"/>
      <c r="I1235" s="201"/>
      <c r="J1235" s="254"/>
      <c r="K1235" s="254"/>
      <c r="L1235" s="206"/>
      <c r="M1235" s="201"/>
      <c r="N1235" s="206"/>
      <c r="O1235" s="255"/>
      <c r="P1235" s="256"/>
      <c r="Q1235" s="256"/>
      <c r="R1235" s="201"/>
      <c r="S1235" s="201"/>
      <c r="T1235" s="201"/>
    </row>
    <row r="1236">
      <c r="A1236" s="252"/>
      <c r="B1236" s="202"/>
      <c r="C1236" s="233"/>
      <c r="D1236" s="233"/>
      <c r="E1236" s="201"/>
      <c r="F1236" s="206"/>
      <c r="G1236" s="206"/>
      <c r="H1236" s="253"/>
      <c r="I1236" s="201"/>
      <c r="J1236" s="254"/>
      <c r="K1236" s="254"/>
      <c r="L1236" s="206"/>
      <c r="M1236" s="201"/>
      <c r="N1236" s="206"/>
      <c r="O1236" s="255"/>
      <c r="P1236" s="256"/>
      <c r="Q1236" s="256"/>
      <c r="R1236" s="201"/>
      <c r="S1236" s="201"/>
      <c r="T1236" s="201"/>
    </row>
    <row r="1237">
      <c r="A1237" s="252"/>
      <c r="B1237" s="202"/>
      <c r="C1237" s="233"/>
      <c r="D1237" s="233"/>
      <c r="E1237" s="201"/>
      <c r="F1237" s="206"/>
      <c r="G1237" s="206"/>
      <c r="H1237" s="253"/>
      <c r="I1237" s="201"/>
      <c r="J1237" s="254"/>
      <c r="K1237" s="254"/>
      <c r="L1237" s="206"/>
      <c r="M1237" s="201"/>
      <c r="N1237" s="206"/>
      <c r="O1237" s="255"/>
      <c r="P1237" s="256"/>
      <c r="Q1237" s="256"/>
      <c r="R1237" s="201"/>
      <c r="S1237" s="201"/>
      <c r="T1237" s="201"/>
    </row>
    <row r="1238">
      <c r="A1238" s="252"/>
      <c r="B1238" s="202"/>
      <c r="C1238" s="233"/>
      <c r="D1238" s="233"/>
      <c r="E1238" s="201"/>
      <c r="F1238" s="206"/>
      <c r="G1238" s="206"/>
      <c r="H1238" s="253"/>
      <c r="I1238" s="201"/>
      <c r="J1238" s="254"/>
      <c r="K1238" s="254"/>
      <c r="L1238" s="206"/>
      <c r="M1238" s="201"/>
      <c r="N1238" s="206"/>
      <c r="O1238" s="255"/>
      <c r="P1238" s="256"/>
      <c r="Q1238" s="256"/>
      <c r="R1238" s="201"/>
      <c r="S1238" s="201"/>
      <c r="T1238" s="201"/>
    </row>
    <row r="1239">
      <c r="A1239" s="252"/>
      <c r="B1239" s="202"/>
      <c r="C1239" s="233"/>
      <c r="D1239" s="233"/>
      <c r="E1239" s="201"/>
      <c r="F1239" s="206"/>
      <c r="G1239" s="206"/>
      <c r="H1239" s="253"/>
      <c r="I1239" s="201"/>
      <c r="J1239" s="254"/>
      <c r="K1239" s="254"/>
      <c r="L1239" s="206"/>
      <c r="M1239" s="201"/>
      <c r="N1239" s="206"/>
      <c r="O1239" s="255"/>
      <c r="P1239" s="256"/>
      <c r="Q1239" s="256"/>
      <c r="R1239" s="201"/>
      <c r="S1239" s="201"/>
      <c r="T1239" s="201"/>
    </row>
    <row r="1240">
      <c r="A1240" s="252"/>
      <c r="B1240" s="202"/>
      <c r="C1240" s="233"/>
      <c r="D1240" s="233"/>
      <c r="E1240" s="201"/>
      <c r="F1240" s="206"/>
      <c r="G1240" s="206"/>
      <c r="H1240" s="253"/>
      <c r="I1240" s="201"/>
      <c r="J1240" s="254"/>
      <c r="K1240" s="254"/>
      <c r="L1240" s="206"/>
      <c r="M1240" s="201"/>
      <c r="N1240" s="206"/>
      <c r="O1240" s="255"/>
      <c r="P1240" s="256"/>
      <c r="Q1240" s="256"/>
      <c r="R1240" s="201"/>
      <c r="S1240" s="201"/>
      <c r="T1240" s="201"/>
    </row>
    <row r="1241">
      <c r="A1241" s="252"/>
      <c r="B1241" s="202"/>
      <c r="C1241" s="233"/>
      <c r="D1241" s="233"/>
      <c r="E1241" s="201"/>
      <c r="F1241" s="206"/>
      <c r="G1241" s="206"/>
      <c r="H1241" s="253"/>
      <c r="I1241" s="201"/>
      <c r="J1241" s="254"/>
      <c r="K1241" s="254"/>
      <c r="L1241" s="206"/>
      <c r="M1241" s="201"/>
      <c r="N1241" s="206"/>
      <c r="O1241" s="255"/>
      <c r="P1241" s="256"/>
      <c r="Q1241" s="256"/>
      <c r="R1241" s="201"/>
      <c r="S1241" s="201"/>
      <c r="T1241" s="201"/>
    </row>
    <row r="1242">
      <c r="A1242" s="252"/>
      <c r="B1242" s="202"/>
      <c r="C1242" s="233"/>
      <c r="D1242" s="233"/>
      <c r="E1242" s="201"/>
      <c r="F1242" s="206"/>
      <c r="G1242" s="206"/>
      <c r="H1242" s="253"/>
      <c r="I1242" s="201"/>
      <c r="J1242" s="254"/>
      <c r="K1242" s="254"/>
      <c r="L1242" s="206"/>
      <c r="M1242" s="201"/>
      <c r="N1242" s="206"/>
      <c r="O1242" s="255"/>
      <c r="P1242" s="256"/>
      <c r="Q1242" s="256"/>
      <c r="R1242" s="201"/>
      <c r="S1242" s="201"/>
      <c r="T1242" s="201"/>
    </row>
    <row r="1243">
      <c r="A1243" s="252"/>
      <c r="B1243" s="202"/>
      <c r="C1243" s="233"/>
      <c r="D1243" s="233"/>
      <c r="E1243" s="201"/>
      <c r="F1243" s="206"/>
      <c r="G1243" s="206"/>
      <c r="H1243" s="253"/>
      <c r="I1243" s="201"/>
      <c r="J1243" s="254"/>
      <c r="K1243" s="254"/>
      <c r="L1243" s="206"/>
      <c r="M1243" s="201"/>
      <c r="N1243" s="206"/>
      <c r="O1243" s="255"/>
      <c r="P1243" s="256"/>
      <c r="Q1243" s="256"/>
      <c r="R1243" s="201"/>
      <c r="S1243" s="201"/>
      <c r="T1243" s="201"/>
    </row>
    <row r="1244">
      <c r="A1244" s="252"/>
      <c r="B1244" s="202"/>
      <c r="C1244" s="233"/>
      <c r="D1244" s="233"/>
      <c r="E1244" s="201"/>
      <c r="F1244" s="206"/>
      <c r="G1244" s="206"/>
      <c r="H1244" s="253"/>
      <c r="I1244" s="201"/>
      <c r="J1244" s="254"/>
      <c r="K1244" s="254"/>
      <c r="L1244" s="206"/>
      <c r="M1244" s="201"/>
      <c r="N1244" s="206"/>
      <c r="O1244" s="255"/>
      <c r="P1244" s="256"/>
      <c r="Q1244" s="256"/>
      <c r="R1244" s="201"/>
      <c r="S1244" s="201"/>
      <c r="T1244" s="201"/>
    </row>
    <row r="1245">
      <c r="A1245" s="252"/>
      <c r="B1245" s="202"/>
      <c r="C1245" s="233"/>
      <c r="D1245" s="233"/>
      <c r="E1245" s="201"/>
      <c r="F1245" s="206"/>
      <c r="G1245" s="206"/>
      <c r="H1245" s="253"/>
      <c r="I1245" s="201"/>
      <c r="J1245" s="254"/>
      <c r="K1245" s="254"/>
      <c r="L1245" s="206"/>
      <c r="M1245" s="201"/>
      <c r="N1245" s="206"/>
      <c r="O1245" s="255"/>
      <c r="P1245" s="256"/>
      <c r="Q1245" s="256"/>
      <c r="R1245" s="201"/>
      <c r="S1245" s="201"/>
      <c r="T1245" s="201"/>
    </row>
    <row r="1246">
      <c r="A1246" s="252"/>
      <c r="B1246" s="202"/>
      <c r="C1246" s="233"/>
      <c r="D1246" s="233"/>
      <c r="E1246" s="201"/>
      <c r="F1246" s="206"/>
      <c r="G1246" s="206"/>
      <c r="H1246" s="253"/>
      <c r="I1246" s="201"/>
      <c r="J1246" s="254"/>
      <c r="K1246" s="254"/>
      <c r="L1246" s="206"/>
      <c r="M1246" s="201"/>
      <c r="N1246" s="206"/>
      <c r="O1246" s="255"/>
      <c r="P1246" s="256"/>
      <c r="Q1246" s="256"/>
      <c r="R1246" s="201"/>
      <c r="S1246" s="201"/>
      <c r="T1246" s="201"/>
    </row>
    <row r="1247">
      <c r="A1247" s="252"/>
      <c r="B1247" s="202"/>
      <c r="C1247" s="233"/>
      <c r="D1247" s="233"/>
      <c r="E1247" s="201"/>
      <c r="F1247" s="206"/>
      <c r="G1247" s="206"/>
      <c r="H1247" s="253"/>
      <c r="I1247" s="201"/>
      <c r="J1247" s="254"/>
      <c r="K1247" s="254"/>
      <c r="L1247" s="206"/>
      <c r="M1247" s="201"/>
      <c r="N1247" s="206"/>
      <c r="O1247" s="255"/>
      <c r="P1247" s="256"/>
      <c r="Q1247" s="256"/>
      <c r="R1247" s="201"/>
      <c r="S1247" s="201"/>
      <c r="T1247" s="201"/>
    </row>
    <row r="1248">
      <c r="A1248" s="252"/>
      <c r="B1248" s="202"/>
      <c r="C1248" s="233"/>
      <c r="D1248" s="233"/>
      <c r="E1248" s="201"/>
      <c r="F1248" s="206"/>
      <c r="G1248" s="206"/>
      <c r="H1248" s="253"/>
      <c r="I1248" s="201"/>
      <c r="J1248" s="254"/>
      <c r="K1248" s="254"/>
      <c r="L1248" s="206"/>
      <c r="M1248" s="201"/>
      <c r="N1248" s="206"/>
      <c r="O1248" s="255"/>
      <c r="P1248" s="256"/>
      <c r="Q1248" s="256"/>
      <c r="R1248" s="201"/>
      <c r="S1248" s="201"/>
      <c r="T1248" s="201"/>
    </row>
    <row r="1249">
      <c r="A1249" s="252"/>
      <c r="B1249" s="202"/>
      <c r="C1249" s="233"/>
      <c r="D1249" s="233"/>
      <c r="E1249" s="201"/>
      <c r="F1249" s="206"/>
      <c r="G1249" s="206"/>
      <c r="H1249" s="253"/>
      <c r="I1249" s="201"/>
      <c r="J1249" s="254"/>
      <c r="K1249" s="254"/>
      <c r="L1249" s="206"/>
      <c r="M1249" s="201"/>
      <c r="N1249" s="206"/>
      <c r="O1249" s="255"/>
      <c r="P1249" s="256"/>
      <c r="Q1249" s="256"/>
      <c r="R1249" s="201"/>
      <c r="S1249" s="201"/>
      <c r="T1249" s="201"/>
    </row>
    <row r="1250">
      <c r="A1250" s="252"/>
      <c r="B1250" s="202"/>
      <c r="C1250" s="233"/>
      <c r="D1250" s="233"/>
      <c r="E1250" s="201"/>
      <c r="F1250" s="206"/>
      <c r="G1250" s="206"/>
      <c r="H1250" s="253"/>
      <c r="I1250" s="201"/>
      <c r="J1250" s="254"/>
      <c r="K1250" s="254"/>
      <c r="L1250" s="206"/>
      <c r="M1250" s="201"/>
      <c r="N1250" s="206"/>
      <c r="O1250" s="255"/>
      <c r="P1250" s="256"/>
      <c r="Q1250" s="256"/>
      <c r="R1250" s="201"/>
      <c r="S1250" s="201"/>
      <c r="T1250" s="201"/>
    </row>
    <row r="1251">
      <c r="A1251" s="252"/>
      <c r="B1251" s="202"/>
      <c r="C1251" s="233"/>
      <c r="D1251" s="233"/>
      <c r="E1251" s="201"/>
      <c r="F1251" s="206"/>
      <c r="G1251" s="206"/>
      <c r="H1251" s="253"/>
      <c r="I1251" s="201"/>
      <c r="J1251" s="254"/>
      <c r="K1251" s="254"/>
      <c r="L1251" s="206"/>
      <c r="M1251" s="201"/>
      <c r="N1251" s="206"/>
      <c r="O1251" s="255"/>
      <c r="P1251" s="256"/>
      <c r="Q1251" s="256"/>
      <c r="R1251" s="201"/>
      <c r="S1251" s="201"/>
      <c r="T1251" s="201"/>
    </row>
    <row r="1252">
      <c r="A1252" s="252"/>
      <c r="B1252" s="202"/>
      <c r="C1252" s="233"/>
      <c r="D1252" s="233"/>
      <c r="E1252" s="201"/>
      <c r="F1252" s="206"/>
      <c r="G1252" s="206"/>
      <c r="H1252" s="253"/>
      <c r="I1252" s="201"/>
      <c r="J1252" s="254"/>
      <c r="K1252" s="254"/>
      <c r="L1252" s="206"/>
      <c r="M1252" s="201"/>
      <c r="N1252" s="206"/>
      <c r="O1252" s="255"/>
      <c r="P1252" s="256"/>
      <c r="Q1252" s="256"/>
      <c r="R1252" s="201"/>
      <c r="S1252" s="201"/>
      <c r="T1252" s="201"/>
    </row>
    <row r="1253">
      <c r="A1253" s="252"/>
      <c r="B1253" s="202"/>
      <c r="C1253" s="233"/>
      <c r="D1253" s="233"/>
      <c r="E1253" s="201"/>
      <c r="F1253" s="206"/>
      <c r="G1253" s="206"/>
      <c r="H1253" s="253"/>
      <c r="I1253" s="201"/>
      <c r="J1253" s="254"/>
      <c r="K1253" s="254"/>
      <c r="L1253" s="206"/>
      <c r="M1253" s="201"/>
      <c r="N1253" s="206"/>
      <c r="O1253" s="255"/>
      <c r="P1253" s="256"/>
      <c r="Q1253" s="256"/>
      <c r="R1253" s="201"/>
      <c r="S1253" s="201"/>
      <c r="T1253" s="201"/>
    </row>
    <row r="1254">
      <c r="A1254" s="252"/>
      <c r="B1254" s="202"/>
      <c r="C1254" s="233"/>
      <c r="D1254" s="233"/>
      <c r="E1254" s="201"/>
      <c r="F1254" s="206"/>
      <c r="G1254" s="206"/>
      <c r="H1254" s="253"/>
      <c r="I1254" s="201"/>
      <c r="J1254" s="254"/>
      <c r="K1254" s="254"/>
      <c r="L1254" s="206"/>
      <c r="M1254" s="201"/>
      <c r="N1254" s="206"/>
      <c r="O1254" s="255"/>
      <c r="P1254" s="256"/>
      <c r="Q1254" s="256"/>
      <c r="R1254" s="201"/>
      <c r="S1254" s="201"/>
      <c r="T1254" s="201"/>
    </row>
    <row r="1255">
      <c r="A1255" s="252"/>
      <c r="B1255" s="202"/>
      <c r="C1255" s="233"/>
      <c r="D1255" s="233"/>
      <c r="E1255" s="201"/>
      <c r="F1255" s="206"/>
      <c r="G1255" s="206"/>
      <c r="H1255" s="253"/>
      <c r="I1255" s="201"/>
      <c r="J1255" s="254"/>
      <c r="K1255" s="254"/>
      <c r="L1255" s="206"/>
      <c r="M1255" s="201"/>
      <c r="N1255" s="206"/>
      <c r="O1255" s="255"/>
      <c r="P1255" s="256"/>
      <c r="Q1255" s="256"/>
      <c r="R1255" s="201"/>
      <c r="S1255" s="201"/>
      <c r="T1255" s="201"/>
    </row>
    <row r="1256">
      <c r="A1256" s="252"/>
      <c r="B1256" s="202"/>
      <c r="C1256" s="233"/>
      <c r="D1256" s="233"/>
      <c r="E1256" s="201"/>
      <c r="F1256" s="206"/>
      <c r="G1256" s="206"/>
      <c r="H1256" s="253"/>
      <c r="I1256" s="201"/>
      <c r="J1256" s="254"/>
      <c r="K1256" s="254"/>
      <c r="L1256" s="206"/>
      <c r="M1256" s="201"/>
      <c r="N1256" s="206"/>
      <c r="O1256" s="255"/>
      <c r="P1256" s="256"/>
      <c r="Q1256" s="256"/>
      <c r="R1256" s="201"/>
      <c r="S1256" s="201"/>
      <c r="T1256" s="201"/>
    </row>
    <row r="1257">
      <c r="A1257" s="252"/>
      <c r="B1257" s="202"/>
      <c r="C1257" s="233"/>
      <c r="D1257" s="233"/>
      <c r="E1257" s="201"/>
      <c r="F1257" s="206"/>
      <c r="G1257" s="206"/>
      <c r="H1257" s="253"/>
      <c r="I1257" s="201"/>
      <c r="J1257" s="254"/>
      <c r="K1257" s="254"/>
      <c r="L1257" s="206"/>
      <c r="M1257" s="201"/>
      <c r="N1257" s="206"/>
      <c r="O1257" s="255"/>
      <c r="P1257" s="256"/>
      <c r="Q1257" s="256"/>
      <c r="R1257" s="201"/>
      <c r="S1257" s="201"/>
      <c r="T1257" s="201"/>
    </row>
    <row r="1258">
      <c r="A1258" s="252"/>
      <c r="B1258" s="202"/>
      <c r="C1258" s="233"/>
      <c r="D1258" s="233"/>
      <c r="E1258" s="201"/>
      <c r="F1258" s="206"/>
      <c r="G1258" s="206"/>
      <c r="H1258" s="253"/>
      <c r="I1258" s="201"/>
      <c r="J1258" s="254"/>
      <c r="K1258" s="254"/>
      <c r="L1258" s="206"/>
      <c r="M1258" s="201"/>
      <c r="N1258" s="206"/>
      <c r="O1258" s="255"/>
      <c r="P1258" s="256"/>
      <c r="Q1258" s="256"/>
      <c r="R1258" s="201"/>
      <c r="S1258" s="201"/>
      <c r="T1258" s="201"/>
    </row>
    <row r="1259">
      <c r="A1259" s="252"/>
      <c r="B1259" s="202"/>
      <c r="C1259" s="233"/>
      <c r="D1259" s="233"/>
      <c r="E1259" s="201"/>
      <c r="F1259" s="206"/>
      <c r="G1259" s="206"/>
      <c r="H1259" s="253"/>
      <c r="I1259" s="201"/>
      <c r="J1259" s="254"/>
      <c r="K1259" s="254"/>
      <c r="L1259" s="206"/>
      <c r="M1259" s="201"/>
      <c r="N1259" s="206"/>
      <c r="O1259" s="255"/>
      <c r="P1259" s="256"/>
      <c r="Q1259" s="256"/>
      <c r="R1259" s="201"/>
      <c r="S1259" s="201"/>
      <c r="T1259" s="201"/>
    </row>
    <row r="1260">
      <c r="A1260" s="252"/>
      <c r="B1260" s="202"/>
      <c r="C1260" s="233"/>
      <c r="D1260" s="233"/>
      <c r="E1260" s="201"/>
      <c r="F1260" s="206"/>
      <c r="G1260" s="206"/>
      <c r="H1260" s="253"/>
      <c r="I1260" s="201"/>
      <c r="J1260" s="254"/>
      <c r="K1260" s="254"/>
      <c r="L1260" s="206"/>
      <c r="M1260" s="201"/>
      <c r="N1260" s="206"/>
      <c r="O1260" s="255"/>
      <c r="P1260" s="256"/>
      <c r="Q1260" s="256"/>
      <c r="R1260" s="201"/>
      <c r="S1260" s="201"/>
      <c r="T1260" s="201"/>
    </row>
    <row r="1261">
      <c r="A1261" s="252"/>
      <c r="B1261" s="202"/>
      <c r="C1261" s="233"/>
      <c r="D1261" s="233"/>
      <c r="E1261" s="201"/>
      <c r="F1261" s="206"/>
      <c r="G1261" s="206"/>
      <c r="H1261" s="253"/>
      <c r="I1261" s="201"/>
      <c r="J1261" s="254"/>
      <c r="K1261" s="254"/>
      <c r="L1261" s="206"/>
      <c r="M1261" s="201"/>
      <c r="N1261" s="206"/>
      <c r="O1261" s="255"/>
      <c r="P1261" s="256"/>
      <c r="Q1261" s="256"/>
      <c r="R1261" s="201"/>
      <c r="S1261" s="201"/>
      <c r="T1261" s="201"/>
    </row>
    <row r="1262">
      <c r="A1262" s="252"/>
      <c r="B1262" s="202"/>
      <c r="C1262" s="233"/>
      <c r="D1262" s="233"/>
      <c r="E1262" s="201"/>
      <c r="F1262" s="206"/>
      <c r="G1262" s="206"/>
      <c r="H1262" s="253"/>
      <c r="I1262" s="201"/>
      <c r="J1262" s="254"/>
      <c r="K1262" s="254"/>
      <c r="L1262" s="206"/>
      <c r="M1262" s="201"/>
      <c r="N1262" s="206"/>
      <c r="O1262" s="255"/>
      <c r="P1262" s="256"/>
      <c r="Q1262" s="256"/>
      <c r="R1262" s="201"/>
      <c r="S1262" s="201"/>
      <c r="T1262" s="201"/>
    </row>
    <row r="1263">
      <c r="A1263" s="252"/>
      <c r="B1263" s="202"/>
      <c r="C1263" s="233"/>
      <c r="D1263" s="233"/>
      <c r="E1263" s="201"/>
      <c r="F1263" s="206"/>
      <c r="G1263" s="206"/>
      <c r="H1263" s="253"/>
      <c r="I1263" s="201"/>
      <c r="J1263" s="254"/>
      <c r="K1263" s="254"/>
      <c r="L1263" s="206"/>
      <c r="M1263" s="201"/>
      <c r="N1263" s="206"/>
      <c r="O1263" s="255"/>
      <c r="P1263" s="256"/>
      <c r="Q1263" s="256"/>
      <c r="R1263" s="201"/>
      <c r="S1263" s="201"/>
      <c r="T1263" s="201"/>
    </row>
    <row r="1264">
      <c r="A1264" s="252"/>
      <c r="B1264" s="202"/>
      <c r="C1264" s="233"/>
      <c r="D1264" s="233"/>
      <c r="E1264" s="201"/>
      <c r="F1264" s="206"/>
      <c r="G1264" s="206"/>
      <c r="H1264" s="253"/>
      <c r="I1264" s="201"/>
      <c r="J1264" s="254"/>
      <c r="K1264" s="254"/>
      <c r="L1264" s="206"/>
      <c r="M1264" s="201"/>
      <c r="N1264" s="206"/>
      <c r="O1264" s="255"/>
      <c r="P1264" s="256"/>
      <c r="Q1264" s="256"/>
      <c r="R1264" s="201"/>
      <c r="S1264" s="201"/>
      <c r="T1264" s="201"/>
    </row>
    <row r="1265">
      <c r="A1265" s="252"/>
      <c r="B1265" s="202"/>
      <c r="C1265" s="233"/>
      <c r="D1265" s="233"/>
      <c r="E1265" s="201"/>
      <c r="F1265" s="206"/>
      <c r="G1265" s="206"/>
      <c r="H1265" s="253"/>
      <c r="I1265" s="201"/>
      <c r="J1265" s="254"/>
      <c r="K1265" s="254"/>
      <c r="L1265" s="206"/>
      <c r="M1265" s="201"/>
      <c r="N1265" s="206"/>
      <c r="O1265" s="255"/>
      <c r="P1265" s="256"/>
      <c r="Q1265" s="256"/>
      <c r="R1265" s="201"/>
      <c r="S1265" s="201"/>
      <c r="T1265" s="201"/>
    </row>
    <row r="1266">
      <c r="A1266" s="252"/>
      <c r="B1266" s="202"/>
      <c r="C1266" s="233"/>
      <c r="D1266" s="233"/>
      <c r="E1266" s="201"/>
      <c r="F1266" s="206"/>
      <c r="G1266" s="206"/>
      <c r="H1266" s="253"/>
      <c r="I1266" s="201"/>
      <c r="J1266" s="254"/>
      <c r="K1266" s="254"/>
      <c r="L1266" s="206"/>
      <c r="M1266" s="201"/>
      <c r="N1266" s="206"/>
      <c r="O1266" s="255"/>
      <c r="P1266" s="256"/>
      <c r="Q1266" s="256"/>
      <c r="R1266" s="201"/>
      <c r="S1266" s="201"/>
      <c r="T1266" s="201"/>
    </row>
    <row r="1267">
      <c r="A1267" s="252"/>
      <c r="B1267" s="202"/>
      <c r="C1267" s="233"/>
      <c r="D1267" s="233"/>
      <c r="E1267" s="201"/>
      <c r="F1267" s="206"/>
      <c r="G1267" s="206"/>
      <c r="H1267" s="253"/>
      <c r="I1267" s="201"/>
      <c r="J1267" s="254"/>
      <c r="K1267" s="254"/>
      <c r="L1267" s="206"/>
      <c r="M1267" s="201"/>
      <c r="N1267" s="206"/>
      <c r="O1267" s="255"/>
      <c r="P1267" s="256"/>
      <c r="Q1267" s="256"/>
      <c r="R1267" s="201"/>
      <c r="S1267" s="201"/>
      <c r="T1267" s="201"/>
    </row>
    <row r="1268">
      <c r="A1268" s="252"/>
      <c r="B1268" s="202"/>
      <c r="C1268" s="233"/>
      <c r="D1268" s="233"/>
      <c r="E1268" s="201"/>
      <c r="F1268" s="206"/>
      <c r="G1268" s="206"/>
      <c r="H1268" s="253"/>
      <c r="I1268" s="201"/>
      <c r="J1268" s="254"/>
      <c r="K1268" s="254"/>
      <c r="L1268" s="206"/>
      <c r="M1268" s="201"/>
      <c r="N1268" s="206"/>
      <c r="O1268" s="255"/>
      <c r="P1268" s="256"/>
      <c r="Q1268" s="256"/>
      <c r="R1268" s="201"/>
      <c r="S1268" s="201"/>
      <c r="T1268" s="201"/>
    </row>
    <row r="1269">
      <c r="A1269" s="252"/>
      <c r="B1269" s="202"/>
      <c r="C1269" s="233"/>
      <c r="D1269" s="233"/>
      <c r="E1269" s="201"/>
      <c r="F1269" s="206"/>
      <c r="G1269" s="206"/>
      <c r="H1269" s="253"/>
      <c r="I1269" s="201"/>
      <c r="J1269" s="254"/>
      <c r="K1269" s="254"/>
      <c r="L1269" s="206"/>
      <c r="M1269" s="201"/>
      <c r="N1269" s="206"/>
      <c r="O1269" s="255"/>
      <c r="P1269" s="256"/>
      <c r="Q1269" s="256"/>
      <c r="R1269" s="201"/>
      <c r="S1269" s="201"/>
      <c r="T1269" s="201"/>
    </row>
    <row r="1270">
      <c r="A1270" s="252"/>
      <c r="B1270" s="202"/>
      <c r="C1270" s="233"/>
      <c r="D1270" s="233"/>
      <c r="E1270" s="201"/>
      <c r="F1270" s="206"/>
      <c r="G1270" s="206"/>
      <c r="H1270" s="253"/>
      <c r="I1270" s="201"/>
      <c r="J1270" s="254"/>
      <c r="K1270" s="254"/>
      <c r="L1270" s="206"/>
      <c r="M1270" s="201"/>
      <c r="N1270" s="206"/>
      <c r="O1270" s="255"/>
      <c r="P1270" s="256"/>
      <c r="Q1270" s="256"/>
      <c r="R1270" s="201"/>
      <c r="S1270" s="201"/>
      <c r="T1270" s="201"/>
    </row>
    <row r="1271">
      <c r="A1271" s="252"/>
      <c r="B1271" s="202"/>
      <c r="C1271" s="233"/>
      <c r="D1271" s="233"/>
      <c r="E1271" s="201"/>
      <c r="F1271" s="206"/>
      <c r="G1271" s="206"/>
      <c r="H1271" s="253"/>
      <c r="I1271" s="201"/>
      <c r="J1271" s="254"/>
      <c r="K1271" s="254"/>
      <c r="L1271" s="206"/>
      <c r="M1271" s="201"/>
      <c r="N1271" s="206"/>
      <c r="O1271" s="255"/>
      <c r="P1271" s="256"/>
      <c r="Q1271" s="256"/>
      <c r="R1271" s="201"/>
      <c r="S1271" s="201"/>
      <c r="T1271" s="201"/>
    </row>
    <row r="1272">
      <c r="A1272" s="252"/>
      <c r="B1272" s="202"/>
      <c r="C1272" s="233"/>
      <c r="D1272" s="233"/>
      <c r="E1272" s="201"/>
      <c r="F1272" s="206"/>
      <c r="G1272" s="206"/>
      <c r="H1272" s="253"/>
      <c r="I1272" s="201"/>
      <c r="J1272" s="254"/>
      <c r="K1272" s="254"/>
      <c r="L1272" s="206"/>
      <c r="M1272" s="201"/>
      <c r="N1272" s="206"/>
      <c r="O1272" s="255"/>
      <c r="P1272" s="256"/>
      <c r="Q1272" s="256"/>
      <c r="R1272" s="201"/>
      <c r="S1272" s="201"/>
      <c r="T1272" s="201"/>
    </row>
    <row r="1273">
      <c r="A1273" s="252"/>
      <c r="B1273" s="202"/>
      <c r="C1273" s="233"/>
      <c r="D1273" s="233"/>
      <c r="E1273" s="201"/>
      <c r="F1273" s="206"/>
      <c r="G1273" s="206"/>
      <c r="H1273" s="253"/>
      <c r="I1273" s="201"/>
      <c r="J1273" s="254"/>
      <c r="K1273" s="254"/>
      <c r="L1273" s="206"/>
      <c r="M1273" s="201"/>
      <c r="N1273" s="206"/>
      <c r="O1273" s="255"/>
      <c r="P1273" s="256"/>
      <c r="Q1273" s="256"/>
      <c r="R1273" s="201"/>
      <c r="S1273" s="201"/>
      <c r="T1273" s="201"/>
    </row>
    <row r="1274">
      <c r="A1274" s="252"/>
      <c r="B1274" s="202"/>
      <c r="C1274" s="233"/>
      <c r="D1274" s="233"/>
      <c r="E1274" s="201"/>
      <c r="F1274" s="206"/>
      <c r="G1274" s="206"/>
      <c r="H1274" s="253"/>
      <c r="I1274" s="201"/>
      <c r="J1274" s="254"/>
      <c r="K1274" s="254"/>
      <c r="L1274" s="206"/>
      <c r="M1274" s="201"/>
      <c r="N1274" s="206"/>
      <c r="O1274" s="255"/>
      <c r="P1274" s="256"/>
      <c r="Q1274" s="256"/>
      <c r="R1274" s="201"/>
      <c r="S1274" s="201"/>
      <c r="T1274" s="201"/>
    </row>
    <row r="1275">
      <c r="A1275" s="252"/>
      <c r="B1275" s="202"/>
      <c r="C1275" s="233"/>
      <c r="D1275" s="233"/>
      <c r="E1275" s="201"/>
      <c r="F1275" s="206"/>
      <c r="G1275" s="206"/>
      <c r="H1275" s="253"/>
      <c r="I1275" s="201"/>
      <c r="J1275" s="254"/>
      <c r="K1275" s="254"/>
      <c r="L1275" s="206"/>
      <c r="M1275" s="201"/>
      <c r="N1275" s="206"/>
      <c r="O1275" s="255"/>
      <c r="P1275" s="256"/>
      <c r="Q1275" s="256"/>
      <c r="R1275" s="201"/>
      <c r="S1275" s="201"/>
      <c r="T1275" s="201"/>
    </row>
    <row r="1276">
      <c r="A1276" s="252"/>
      <c r="B1276" s="202"/>
      <c r="C1276" s="233"/>
      <c r="D1276" s="233"/>
      <c r="E1276" s="201"/>
      <c r="F1276" s="206"/>
      <c r="G1276" s="206"/>
      <c r="H1276" s="253"/>
      <c r="I1276" s="201"/>
      <c r="J1276" s="254"/>
      <c r="K1276" s="254"/>
      <c r="L1276" s="206"/>
      <c r="M1276" s="201"/>
      <c r="N1276" s="206"/>
      <c r="O1276" s="255"/>
      <c r="P1276" s="256"/>
      <c r="Q1276" s="256"/>
      <c r="R1276" s="201"/>
      <c r="S1276" s="201"/>
      <c r="T1276" s="201"/>
    </row>
    <row r="1277">
      <c r="A1277" s="252"/>
      <c r="B1277" s="202"/>
      <c r="C1277" s="233"/>
      <c r="D1277" s="233"/>
      <c r="E1277" s="201"/>
      <c r="F1277" s="206"/>
      <c r="G1277" s="206"/>
      <c r="H1277" s="253"/>
      <c r="I1277" s="201"/>
      <c r="J1277" s="254"/>
      <c r="K1277" s="254"/>
      <c r="L1277" s="206"/>
      <c r="M1277" s="201"/>
      <c r="N1277" s="206"/>
      <c r="O1277" s="255"/>
      <c r="P1277" s="256"/>
      <c r="Q1277" s="256"/>
      <c r="R1277" s="201"/>
      <c r="S1277" s="201"/>
      <c r="T1277" s="201"/>
    </row>
    <row r="1278">
      <c r="A1278" s="252"/>
      <c r="B1278" s="202"/>
      <c r="C1278" s="233"/>
      <c r="D1278" s="233"/>
      <c r="E1278" s="201"/>
      <c r="F1278" s="206"/>
      <c r="G1278" s="206"/>
      <c r="H1278" s="253"/>
      <c r="I1278" s="201"/>
      <c r="J1278" s="254"/>
      <c r="K1278" s="254"/>
      <c r="L1278" s="206"/>
      <c r="M1278" s="201"/>
      <c r="N1278" s="206"/>
      <c r="O1278" s="255"/>
      <c r="P1278" s="256"/>
      <c r="Q1278" s="256"/>
      <c r="R1278" s="201"/>
      <c r="S1278" s="201"/>
      <c r="T1278" s="201"/>
    </row>
    <row r="1279">
      <c r="A1279" s="252"/>
      <c r="B1279" s="202"/>
      <c r="C1279" s="233"/>
      <c r="D1279" s="233"/>
      <c r="E1279" s="201"/>
      <c r="F1279" s="206"/>
      <c r="G1279" s="206"/>
      <c r="H1279" s="253"/>
      <c r="I1279" s="201"/>
      <c r="J1279" s="254"/>
      <c r="K1279" s="254"/>
      <c r="L1279" s="206"/>
      <c r="M1279" s="201"/>
      <c r="N1279" s="206"/>
      <c r="O1279" s="255"/>
      <c r="P1279" s="256"/>
      <c r="Q1279" s="256"/>
      <c r="R1279" s="201"/>
      <c r="S1279" s="201"/>
      <c r="T1279" s="201"/>
    </row>
    <row r="1280">
      <c r="A1280" s="252"/>
      <c r="B1280" s="202"/>
      <c r="C1280" s="233"/>
      <c r="D1280" s="233"/>
      <c r="E1280" s="201"/>
      <c r="F1280" s="206"/>
      <c r="G1280" s="206"/>
      <c r="H1280" s="253"/>
      <c r="I1280" s="201"/>
      <c r="J1280" s="254"/>
      <c r="K1280" s="254"/>
      <c r="L1280" s="206"/>
      <c r="M1280" s="201"/>
      <c r="N1280" s="206"/>
      <c r="O1280" s="255"/>
      <c r="P1280" s="256"/>
      <c r="Q1280" s="256"/>
      <c r="R1280" s="201"/>
      <c r="S1280" s="201"/>
      <c r="T1280" s="201"/>
    </row>
    <row r="1281">
      <c r="A1281" s="252"/>
      <c r="B1281" s="202"/>
      <c r="C1281" s="233"/>
      <c r="D1281" s="233"/>
      <c r="E1281" s="201"/>
      <c r="F1281" s="206"/>
      <c r="G1281" s="206"/>
      <c r="H1281" s="253"/>
      <c r="I1281" s="201"/>
      <c r="J1281" s="254"/>
      <c r="K1281" s="254"/>
      <c r="L1281" s="206"/>
      <c r="M1281" s="201"/>
      <c r="N1281" s="206"/>
      <c r="O1281" s="255"/>
      <c r="P1281" s="256"/>
      <c r="Q1281" s="256"/>
      <c r="R1281" s="201"/>
      <c r="S1281" s="201"/>
      <c r="T1281" s="201"/>
    </row>
    <row r="1282">
      <c r="A1282" s="252"/>
      <c r="B1282" s="202"/>
      <c r="C1282" s="233"/>
      <c r="D1282" s="233"/>
      <c r="E1282" s="201"/>
      <c r="F1282" s="206"/>
      <c r="G1282" s="206"/>
      <c r="H1282" s="253"/>
      <c r="I1282" s="201"/>
      <c r="J1282" s="254"/>
      <c r="K1282" s="254"/>
      <c r="L1282" s="206"/>
      <c r="M1282" s="201"/>
      <c r="N1282" s="206"/>
      <c r="O1282" s="255"/>
      <c r="P1282" s="256"/>
      <c r="Q1282" s="256"/>
      <c r="R1282" s="201"/>
      <c r="S1282" s="201"/>
      <c r="T1282" s="201"/>
    </row>
    <row r="1283">
      <c r="A1283" s="252"/>
      <c r="B1283" s="202"/>
      <c r="C1283" s="233"/>
      <c r="D1283" s="233"/>
      <c r="E1283" s="201"/>
      <c r="F1283" s="206"/>
      <c r="G1283" s="206"/>
      <c r="H1283" s="253"/>
      <c r="I1283" s="201"/>
      <c r="J1283" s="254"/>
      <c r="K1283" s="254"/>
      <c r="L1283" s="206"/>
      <c r="M1283" s="201"/>
      <c r="N1283" s="206"/>
      <c r="O1283" s="255"/>
      <c r="P1283" s="256"/>
      <c r="Q1283" s="256"/>
      <c r="R1283" s="201"/>
      <c r="S1283" s="201"/>
      <c r="T1283" s="201"/>
    </row>
    <row r="1284">
      <c r="A1284" s="252"/>
      <c r="B1284" s="202"/>
      <c r="C1284" s="233"/>
      <c r="D1284" s="233"/>
      <c r="E1284" s="201"/>
      <c r="F1284" s="206"/>
      <c r="G1284" s="206"/>
      <c r="H1284" s="253"/>
      <c r="I1284" s="201"/>
      <c r="J1284" s="254"/>
      <c r="K1284" s="254"/>
      <c r="L1284" s="206"/>
      <c r="M1284" s="201"/>
      <c r="N1284" s="206"/>
      <c r="O1284" s="255"/>
      <c r="P1284" s="256"/>
      <c r="Q1284" s="256"/>
      <c r="R1284" s="201"/>
      <c r="S1284" s="201"/>
      <c r="T1284" s="201"/>
    </row>
    <row r="1285">
      <c r="A1285" s="252"/>
      <c r="B1285" s="202"/>
      <c r="C1285" s="233"/>
      <c r="D1285" s="233"/>
      <c r="E1285" s="201"/>
      <c r="F1285" s="206"/>
      <c r="G1285" s="206"/>
      <c r="H1285" s="253"/>
      <c r="I1285" s="201"/>
      <c r="J1285" s="254"/>
      <c r="K1285" s="254"/>
      <c r="L1285" s="206"/>
      <c r="M1285" s="201"/>
      <c r="N1285" s="206"/>
      <c r="O1285" s="255"/>
      <c r="P1285" s="256"/>
      <c r="Q1285" s="256"/>
      <c r="R1285" s="201"/>
      <c r="S1285" s="201"/>
      <c r="T1285" s="201"/>
    </row>
    <row r="1286">
      <c r="A1286" s="252"/>
      <c r="B1286" s="202"/>
      <c r="C1286" s="233"/>
      <c r="D1286" s="233"/>
      <c r="E1286" s="201"/>
      <c r="F1286" s="206"/>
      <c r="G1286" s="206"/>
      <c r="H1286" s="253"/>
      <c r="I1286" s="201"/>
      <c r="J1286" s="254"/>
      <c r="K1286" s="254"/>
      <c r="L1286" s="206"/>
      <c r="M1286" s="201"/>
      <c r="N1286" s="206"/>
      <c r="O1286" s="255"/>
      <c r="P1286" s="256"/>
      <c r="Q1286" s="256"/>
      <c r="R1286" s="201"/>
      <c r="S1286" s="201"/>
      <c r="T1286" s="201"/>
    </row>
    <row r="1287">
      <c r="A1287" s="252"/>
      <c r="B1287" s="202"/>
      <c r="C1287" s="233"/>
      <c r="D1287" s="233"/>
      <c r="E1287" s="201"/>
      <c r="F1287" s="206"/>
      <c r="G1287" s="206"/>
      <c r="H1287" s="253"/>
      <c r="I1287" s="201"/>
      <c r="J1287" s="254"/>
      <c r="K1287" s="254"/>
      <c r="L1287" s="206"/>
      <c r="M1287" s="201"/>
      <c r="N1287" s="206"/>
      <c r="O1287" s="255"/>
      <c r="P1287" s="256"/>
      <c r="Q1287" s="256"/>
      <c r="R1287" s="201"/>
      <c r="S1287" s="201"/>
      <c r="T1287" s="201"/>
    </row>
    <row r="1288">
      <c r="A1288" s="252"/>
      <c r="B1288" s="202"/>
      <c r="C1288" s="233"/>
      <c r="D1288" s="233"/>
      <c r="E1288" s="201"/>
      <c r="F1288" s="206"/>
      <c r="G1288" s="206"/>
      <c r="H1288" s="253"/>
      <c r="I1288" s="201"/>
      <c r="J1288" s="254"/>
      <c r="K1288" s="254"/>
      <c r="L1288" s="206"/>
      <c r="M1288" s="201"/>
      <c r="N1288" s="206"/>
      <c r="O1288" s="255"/>
      <c r="P1288" s="256"/>
      <c r="Q1288" s="256"/>
      <c r="R1288" s="201"/>
      <c r="S1288" s="201"/>
      <c r="T1288" s="201"/>
    </row>
    <row r="1289">
      <c r="A1289" s="252"/>
      <c r="B1289" s="202"/>
      <c r="C1289" s="233"/>
      <c r="D1289" s="233"/>
      <c r="E1289" s="201"/>
      <c r="F1289" s="206"/>
      <c r="G1289" s="206"/>
      <c r="H1289" s="253"/>
      <c r="I1289" s="201"/>
      <c r="J1289" s="254"/>
      <c r="K1289" s="254"/>
      <c r="L1289" s="206"/>
      <c r="M1289" s="201"/>
      <c r="N1289" s="206"/>
      <c r="O1289" s="255"/>
      <c r="P1289" s="256"/>
      <c r="Q1289" s="256"/>
      <c r="R1289" s="201"/>
      <c r="S1289" s="201"/>
      <c r="T1289" s="201"/>
    </row>
    <row r="1290">
      <c r="A1290" s="252"/>
      <c r="B1290" s="202"/>
      <c r="C1290" s="233"/>
      <c r="D1290" s="233"/>
      <c r="E1290" s="201"/>
      <c r="F1290" s="206"/>
      <c r="G1290" s="206"/>
      <c r="H1290" s="253"/>
      <c r="I1290" s="201"/>
      <c r="J1290" s="254"/>
      <c r="K1290" s="254"/>
      <c r="L1290" s="206"/>
      <c r="M1290" s="201"/>
      <c r="N1290" s="206"/>
      <c r="O1290" s="255"/>
      <c r="P1290" s="256"/>
      <c r="Q1290" s="256"/>
      <c r="R1290" s="201"/>
      <c r="S1290" s="201"/>
      <c r="T1290" s="201"/>
    </row>
    <row r="1291">
      <c r="A1291" s="252"/>
      <c r="B1291" s="202"/>
      <c r="C1291" s="233"/>
      <c r="D1291" s="233"/>
      <c r="E1291" s="201"/>
      <c r="F1291" s="206"/>
      <c r="G1291" s="206"/>
      <c r="H1291" s="253"/>
      <c r="I1291" s="201"/>
      <c r="J1291" s="254"/>
      <c r="K1291" s="254"/>
      <c r="L1291" s="206"/>
      <c r="M1291" s="201"/>
      <c r="N1291" s="206"/>
      <c r="O1291" s="255"/>
      <c r="P1291" s="256"/>
      <c r="Q1291" s="256"/>
      <c r="R1291" s="201"/>
      <c r="S1291" s="201"/>
      <c r="T1291" s="201"/>
    </row>
    <row r="1292">
      <c r="A1292" s="252"/>
      <c r="B1292" s="202"/>
      <c r="C1292" s="233"/>
      <c r="D1292" s="233"/>
      <c r="E1292" s="201"/>
      <c r="F1292" s="206"/>
      <c r="G1292" s="206"/>
      <c r="H1292" s="253"/>
      <c r="I1292" s="201"/>
      <c r="J1292" s="254"/>
      <c r="K1292" s="254"/>
      <c r="L1292" s="206"/>
      <c r="M1292" s="201"/>
      <c r="N1292" s="206"/>
      <c r="O1292" s="255"/>
      <c r="P1292" s="256"/>
      <c r="Q1292" s="256"/>
      <c r="R1292" s="201"/>
      <c r="S1292" s="201"/>
      <c r="T1292" s="201"/>
    </row>
    <row r="1293">
      <c r="A1293" s="252"/>
      <c r="B1293" s="202"/>
      <c r="C1293" s="233"/>
      <c r="D1293" s="233"/>
      <c r="E1293" s="201"/>
      <c r="F1293" s="206"/>
      <c r="G1293" s="206"/>
      <c r="H1293" s="253"/>
      <c r="I1293" s="201"/>
      <c r="J1293" s="254"/>
      <c r="K1293" s="254"/>
      <c r="L1293" s="206"/>
      <c r="M1293" s="201"/>
      <c r="N1293" s="206"/>
      <c r="O1293" s="255"/>
      <c r="P1293" s="256"/>
      <c r="Q1293" s="256"/>
      <c r="R1293" s="201"/>
      <c r="S1293" s="201"/>
      <c r="T1293" s="201"/>
    </row>
    <row r="1294">
      <c r="A1294" s="252"/>
      <c r="B1294" s="202"/>
      <c r="C1294" s="233"/>
      <c r="D1294" s="233"/>
      <c r="E1294" s="201"/>
      <c r="F1294" s="206"/>
      <c r="G1294" s="206"/>
      <c r="H1294" s="253"/>
      <c r="I1294" s="201"/>
      <c r="J1294" s="254"/>
      <c r="K1294" s="254"/>
      <c r="L1294" s="206"/>
      <c r="M1294" s="201"/>
      <c r="N1294" s="206"/>
      <c r="O1294" s="255"/>
      <c r="P1294" s="256"/>
      <c r="Q1294" s="256"/>
      <c r="R1294" s="201"/>
      <c r="S1294" s="201"/>
      <c r="T1294" s="201"/>
    </row>
    <row r="1295">
      <c r="A1295" s="252"/>
      <c r="B1295" s="202"/>
      <c r="C1295" s="233"/>
      <c r="D1295" s="233"/>
      <c r="E1295" s="201"/>
      <c r="F1295" s="206"/>
      <c r="G1295" s="206"/>
      <c r="H1295" s="253"/>
      <c r="I1295" s="201"/>
      <c r="J1295" s="254"/>
      <c r="K1295" s="254"/>
      <c r="L1295" s="206"/>
      <c r="M1295" s="201"/>
      <c r="N1295" s="206"/>
      <c r="O1295" s="255"/>
      <c r="P1295" s="256"/>
      <c r="Q1295" s="256"/>
      <c r="R1295" s="201"/>
      <c r="S1295" s="201"/>
      <c r="T1295" s="201"/>
    </row>
    <row r="1296">
      <c r="A1296" s="252"/>
      <c r="B1296" s="202"/>
      <c r="C1296" s="233"/>
      <c r="D1296" s="233"/>
      <c r="E1296" s="201"/>
      <c r="F1296" s="206"/>
      <c r="G1296" s="206"/>
      <c r="H1296" s="253"/>
      <c r="I1296" s="201"/>
      <c r="J1296" s="254"/>
      <c r="K1296" s="254"/>
      <c r="L1296" s="206"/>
      <c r="M1296" s="201"/>
      <c r="N1296" s="206"/>
      <c r="O1296" s="255"/>
      <c r="P1296" s="256"/>
      <c r="Q1296" s="256"/>
      <c r="R1296" s="201"/>
      <c r="S1296" s="201"/>
      <c r="T1296" s="201"/>
    </row>
    <row r="1297">
      <c r="A1297" s="252"/>
      <c r="B1297" s="202"/>
      <c r="C1297" s="233"/>
      <c r="D1297" s="233"/>
      <c r="E1297" s="201"/>
      <c r="F1297" s="206"/>
      <c r="G1297" s="206"/>
      <c r="H1297" s="253"/>
      <c r="I1297" s="201"/>
      <c r="J1297" s="254"/>
      <c r="K1297" s="254"/>
      <c r="L1297" s="206"/>
      <c r="M1297" s="201"/>
      <c r="N1297" s="206"/>
      <c r="O1297" s="255"/>
      <c r="P1297" s="256"/>
      <c r="Q1297" s="256"/>
      <c r="R1297" s="201"/>
      <c r="S1297" s="201"/>
      <c r="T1297" s="201"/>
    </row>
    <row r="1298">
      <c r="A1298" s="252"/>
      <c r="B1298" s="202"/>
      <c r="C1298" s="233"/>
      <c r="D1298" s="233"/>
      <c r="E1298" s="201"/>
      <c r="F1298" s="206"/>
      <c r="G1298" s="206"/>
      <c r="H1298" s="253"/>
      <c r="I1298" s="201"/>
      <c r="J1298" s="254"/>
      <c r="K1298" s="254"/>
      <c r="L1298" s="206"/>
      <c r="M1298" s="201"/>
      <c r="N1298" s="206"/>
      <c r="O1298" s="255"/>
      <c r="P1298" s="256"/>
      <c r="Q1298" s="256"/>
      <c r="R1298" s="201"/>
      <c r="S1298" s="201"/>
      <c r="T1298" s="201"/>
    </row>
    <row r="1299">
      <c r="A1299" s="252"/>
      <c r="B1299" s="202"/>
      <c r="C1299" s="233"/>
      <c r="D1299" s="233"/>
      <c r="E1299" s="201"/>
      <c r="F1299" s="206"/>
      <c r="G1299" s="206"/>
      <c r="H1299" s="253"/>
      <c r="I1299" s="201"/>
      <c r="J1299" s="254"/>
      <c r="K1299" s="254"/>
      <c r="L1299" s="206"/>
      <c r="M1299" s="201"/>
      <c r="N1299" s="206"/>
      <c r="O1299" s="255"/>
      <c r="P1299" s="256"/>
      <c r="Q1299" s="256"/>
      <c r="R1299" s="201"/>
      <c r="S1299" s="201"/>
      <c r="T1299" s="201"/>
    </row>
    <row r="1300">
      <c r="A1300" s="252"/>
      <c r="B1300" s="202"/>
      <c r="C1300" s="233"/>
      <c r="D1300" s="233"/>
      <c r="E1300" s="201"/>
      <c r="F1300" s="206"/>
      <c r="G1300" s="206"/>
      <c r="H1300" s="253"/>
      <c r="I1300" s="201"/>
      <c r="J1300" s="254"/>
      <c r="K1300" s="254"/>
      <c r="L1300" s="206"/>
      <c r="M1300" s="201"/>
      <c r="N1300" s="206"/>
      <c r="O1300" s="255"/>
      <c r="P1300" s="256"/>
      <c r="Q1300" s="256"/>
      <c r="R1300" s="201"/>
      <c r="S1300" s="201"/>
      <c r="T1300" s="201"/>
    </row>
    <row r="1301">
      <c r="A1301" s="252"/>
      <c r="B1301" s="202"/>
      <c r="C1301" s="233"/>
      <c r="D1301" s="233"/>
      <c r="E1301" s="201"/>
      <c r="F1301" s="206"/>
      <c r="G1301" s="206"/>
      <c r="H1301" s="253"/>
      <c r="I1301" s="201"/>
      <c r="J1301" s="254"/>
      <c r="K1301" s="254"/>
      <c r="L1301" s="206"/>
      <c r="M1301" s="201"/>
      <c r="N1301" s="206"/>
      <c r="O1301" s="255"/>
      <c r="P1301" s="256"/>
      <c r="Q1301" s="256"/>
      <c r="R1301" s="201"/>
      <c r="S1301" s="201"/>
      <c r="T1301" s="201"/>
    </row>
    <row r="1302">
      <c r="A1302" s="252"/>
      <c r="B1302" s="202"/>
      <c r="C1302" s="233"/>
      <c r="D1302" s="233"/>
      <c r="E1302" s="201"/>
      <c r="F1302" s="206"/>
      <c r="G1302" s="206"/>
      <c r="H1302" s="253"/>
      <c r="I1302" s="201"/>
      <c r="J1302" s="254"/>
      <c r="K1302" s="254"/>
      <c r="L1302" s="206"/>
      <c r="M1302" s="201"/>
      <c r="N1302" s="206"/>
      <c r="O1302" s="255"/>
      <c r="P1302" s="256"/>
      <c r="Q1302" s="256"/>
      <c r="R1302" s="201"/>
      <c r="S1302" s="201"/>
      <c r="T1302" s="201"/>
    </row>
    <row r="1303">
      <c r="A1303" s="252"/>
      <c r="B1303" s="202"/>
      <c r="C1303" s="233"/>
      <c r="D1303" s="233"/>
      <c r="E1303" s="201"/>
      <c r="F1303" s="206"/>
      <c r="G1303" s="206"/>
      <c r="H1303" s="253"/>
      <c r="I1303" s="201"/>
      <c r="J1303" s="254"/>
      <c r="K1303" s="254"/>
      <c r="L1303" s="206"/>
      <c r="M1303" s="201"/>
      <c r="N1303" s="206"/>
      <c r="O1303" s="255"/>
      <c r="P1303" s="256"/>
      <c r="Q1303" s="256"/>
      <c r="R1303" s="201"/>
      <c r="S1303" s="201"/>
      <c r="T1303" s="201"/>
    </row>
    <row r="1304">
      <c r="A1304" s="252"/>
      <c r="B1304" s="202"/>
      <c r="C1304" s="233"/>
      <c r="D1304" s="233"/>
      <c r="E1304" s="201"/>
      <c r="F1304" s="206"/>
      <c r="G1304" s="206"/>
      <c r="H1304" s="253"/>
      <c r="I1304" s="201"/>
      <c r="J1304" s="254"/>
      <c r="K1304" s="254"/>
      <c r="L1304" s="206"/>
      <c r="M1304" s="201"/>
      <c r="N1304" s="206"/>
      <c r="O1304" s="255"/>
      <c r="P1304" s="256"/>
      <c r="Q1304" s="256"/>
      <c r="R1304" s="201"/>
      <c r="S1304" s="201"/>
      <c r="T1304" s="201"/>
    </row>
    <row r="1305">
      <c r="A1305" s="252"/>
      <c r="B1305" s="202"/>
      <c r="C1305" s="233"/>
      <c r="D1305" s="233"/>
      <c r="E1305" s="201"/>
      <c r="F1305" s="206"/>
      <c r="G1305" s="206"/>
      <c r="H1305" s="253"/>
      <c r="I1305" s="201"/>
      <c r="J1305" s="254"/>
      <c r="K1305" s="254"/>
      <c r="L1305" s="206"/>
      <c r="M1305" s="201"/>
      <c r="N1305" s="206"/>
      <c r="O1305" s="255"/>
      <c r="P1305" s="256"/>
      <c r="Q1305" s="256"/>
      <c r="R1305" s="201"/>
      <c r="S1305" s="201"/>
      <c r="T1305" s="201"/>
    </row>
    <row r="1306">
      <c r="A1306" s="252"/>
      <c r="B1306" s="202"/>
      <c r="C1306" s="233"/>
      <c r="D1306" s="233"/>
      <c r="E1306" s="201"/>
      <c r="F1306" s="206"/>
      <c r="G1306" s="206"/>
      <c r="H1306" s="253"/>
      <c r="I1306" s="201"/>
      <c r="J1306" s="254"/>
      <c r="K1306" s="254"/>
      <c r="L1306" s="206"/>
      <c r="M1306" s="201"/>
      <c r="N1306" s="206"/>
      <c r="O1306" s="255"/>
      <c r="P1306" s="256"/>
      <c r="Q1306" s="256"/>
      <c r="R1306" s="201"/>
      <c r="S1306" s="201"/>
      <c r="T1306" s="201"/>
    </row>
    <row r="1307">
      <c r="A1307" s="252"/>
      <c r="B1307" s="202"/>
      <c r="C1307" s="233"/>
      <c r="D1307" s="233"/>
      <c r="E1307" s="201"/>
      <c r="F1307" s="206"/>
      <c r="G1307" s="206"/>
      <c r="H1307" s="253"/>
      <c r="I1307" s="201"/>
      <c r="J1307" s="254"/>
      <c r="K1307" s="254"/>
      <c r="L1307" s="206"/>
      <c r="M1307" s="201"/>
      <c r="N1307" s="206"/>
      <c r="O1307" s="255"/>
      <c r="P1307" s="256"/>
      <c r="Q1307" s="256"/>
      <c r="R1307" s="201"/>
      <c r="S1307" s="201"/>
      <c r="T1307" s="201"/>
    </row>
    <row r="1308">
      <c r="A1308" s="252"/>
      <c r="B1308" s="202"/>
      <c r="C1308" s="233"/>
      <c r="D1308" s="233"/>
      <c r="E1308" s="201"/>
      <c r="F1308" s="206"/>
      <c r="G1308" s="206"/>
      <c r="H1308" s="253"/>
      <c r="I1308" s="201"/>
      <c r="J1308" s="254"/>
      <c r="K1308" s="254"/>
      <c r="L1308" s="206"/>
      <c r="M1308" s="201"/>
      <c r="N1308" s="206"/>
      <c r="O1308" s="255"/>
      <c r="P1308" s="256"/>
      <c r="Q1308" s="256"/>
      <c r="R1308" s="201"/>
      <c r="S1308" s="201"/>
      <c r="T1308" s="201"/>
    </row>
    <row r="1309">
      <c r="A1309" s="252"/>
      <c r="B1309" s="202"/>
      <c r="C1309" s="233"/>
      <c r="D1309" s="233"/>
      <c r="E1309" s="201"/>
      <c r="F1309" s="206"/>
      <c r="G1309" s="206"/>
      <c r="H1309" s="253"/>
      <c r="I1309" s="201"/>
      <c r="J1309" s="254"/>
      <c r="K1309" s="254"/>
      <c r="L1309" s="206"/>
      <c r="M1309" s="201"/>
      <c r="N1309" s="206"/>
      <c r="O1309" s="255"/>
      <c r="P1309" s="256"/>
      <c r="Q1309" s="256"/>
      <c r="R1309" s="201"/>
      <c r="S1309" s="201"/>
      <c r="T1309" s="201"/>
    </row>
    <row r="1310">
      <c r="A1310" s="252"/>
      <c r="B1310" s="202"/>
      <c r="C1310" s="233"/>
      <c r="D1310" s="233"/>
      <c r="E1310" s="201"/>
      <c r="F1310" s="206"/>
      <c r="G1310" s="206"/>
      <c r="H1310" s="253"/>
      <c r="I1310" s="201"/>
      <c r="J1310" s="254"/>
      <c r="K1310" s="254"/>
      <c r="L1310" s="206"/>
      <c r="M1310" s="201"/>
      <c r="N1310" s="206"/>
      <c r="O1310" s="255"/>
      <c r="P1310" s="256"/>
      <c r="Q1310" s="256"/>
      <c r="R1310" s="201"/>
      <c r="S1310" s="201"/>
      <c r="T1310" s="201"/>
    </row>
    <row r="1311">
      <c r="A1311" s="252"/>
      <c r="B1311" s="202"/>
      <c r="C1311" s="233"/>
      <c r="D1311" s="233"/>
      <c r="E1311" s="201"/>
      <c r="F1311" s="206"/>
      <c r="G1311" s="206"/>
      <c r="H1311" s="253"/>
      <c r="I1311" s="201"/>
      <c r="J1311" s="254"/>
      <c r="K1311" s="254"/>
      <c r="L1311" s="206"/>
      <c r="M1311" s="201"/>
      <c r="N1311" s="206"/>
      <c r="O1311" s="255"/>
      <c r="P1311" s="256"/>
      <c r="Q1311" s="256"/>
      <c r="R1311" s="201"/>
      <c r="S1311" s="201"/>
      <c r="T1311" s="201"/>
    </row>
    <row r="1312">
      <c r="A1312" s="252"/>
      <c r="B1312" s="202"/>
      <c r="C1312" s="233"/>
      <c r="D1312" s="233"/>
      <c r="E1312" s="201"/>
      <c r="F1312" s="206"/>
      <c r="G1312" s="206"/>
      <c r="H1312" s="253"/>
      <c r="I1312" s="201"/>
      <c r="J1312" s="254"/>
      <c r="K1312" s="254"/>
      <c r="L1312" s="206"/>
      <c r="M1312" s="201"/>
      <c r="N1312" s="206"/>
      <c r="O1312" s="255"/>
      <c r="P1312" s="256"/>
      <c r="Q1312" s="256"/>
      <c r="R1312" s="201"/>
      <c r="S1312" s="201"/>
      <c r="T1312" s="201"/>
    </row>
    <row r="1313">
      <c r="A1313" s="252"/>
      <c r="B1313" s="202"/>
      <c r="C1313" s="233"/>
      <c r="D1313" s="233"/>
      <c r="E1313" s="201"/>
      <c r="F1313" s="206"/>
      <c r="G1313" s="206"/>
      <c r="H1313" s="253"/>
      <c r="I1313" s="201"/>
      <c r="J1313" s="254"/>
      <c r="K1313" s="254"/>
      <c r="L1313" s="206"/>
      <c r="M1313" s="201"/>
      <c r="N1313" s="206"/>
      <c r="O1313" s="255"/>
      <c r="P1313" s="256"/>
      <c r="Q1313" s="256"/>
      <c r="R1313" s="201"/>
      <c r="S1313" s="201"/>
      <c r="T1313" s="201"/>
    </row>
    <row r="1314">
      <c r="A1314" s="252"/>
      <c r="B1314" s="202"/>
      <c r="C1314" s="233"/>
      <c r="D1314" s="233"/>
      <c r="E1314" s="201"/>
      <c r="F1314" s="206"/>
      <c r="G1314" s="206"/>
      <c r="H1314" s="253"/>
      <c r="I1314" s="201"/>
      <c r="J1314" s="254"/>
      <c r="K1314" s="254"/>
      <c r="L1314" s="206"/>
      <c r="M1314" s="201"/>
      <c r="N1314" s="206"/>
      <c r="O1314" s="255"/>
      <c r="P1314" s="256"/>
      <c r="Q1314" s="256"/>
      <c r="R1314" s="201"/>
      <c r="S1314" s="201"/>
      <c r="T1314" s="201"/>
    </row>
    <row r="1315">
      <c r="A1315" s="252"/>
      <c r="B1315" s="202"/>
      <c r="C1315" s="233"/>
      <c r="D1315" s="233"/>
      <c r="E1315" s="201"/>
      <c r="F1315" s="206"/>
      <c r="G1315" s="206"/>
      <c r="H1315" s="253"/>
      <c r="I1315" s="201"/>
      <c r="J1315" s="254"/>
      <c r="K1315" s="254"/>
      <c r="L1315" s="206"/>
      <c r="M1315" s="201"/>
      <c r="N1315" s="206"/>
      <c r="O1315" s="255"/>
      <c r="P1315" s="256"/>
      <c r="Q1315" s="256"/>
      <c r="R1315" s="201"/>
      <c r="S1315" s="201"/>
      <c r="T1315" s="201"/>
    </row>
    <row r="1316">
      <c r="A1316" s="252"/>
      <c r="B1316" s="202"/>
      <c r="C1316" s="233"/>
      <c r="D1316" s="233"/>
      <c r="E1316" s="201"/>
      <c r="F1316" s="206"/>
      <c r="G1316" s="206"/>
      <c r="H1316" s="253"/>
      <c r="I1316" s="201"/>
      <c r="J1316" s="254"/>
      <c r="K1316" s="254"/>
      <c r="L1316" s="206"/>
      <c r="M1316" s="201"/>
      <c r="N1316" s="206"/>
      <c r="O1316" s="255"/>
      <c r="P1316" s="256"/>
      <c r="Q1316" s="256"/>
      <c r="R1316" s="201"/>
      <c r="S1316" s="201"/>
      <c r="T1316" s="201"/>
    </row>
    <row r="1317">
      <c r="A1317" s="252"/>
      <c r="B1317" s="202"/>
      <c r="C1317" s="233"/>
      <c r="D1317" s="233"/>
      <c r="E1317" s="201"/>
      <c r="F1317" s="206"/>
      <c r="G1317" s="206"/>
      <c r="H1317" s="253"/>
      <c r="I1317" s="201"/>
      <c r="J1317" s="254"/>
      <c r="K1317" s="254"/>
      <c r="L1317" s="206"/>
      <c r="M1317" s="201"/>
      <c r="N1317" s="206"/>
      <c r="O1317" s="255"/>
      <c r="P1317" s="256"/>
      <c r="Q1317" s="256"/>
      <c r="R1317" s="201"/>
      <c r="S1317" s="201"/>
      <c r="T1317" s="201"/>
    </row>
    <row r="1318">
      <c r="A1318" s="252"/>
      <c r="B1318" s="202"/>
      <c r="C1318" s="233"/>
      <c r="D1318" s="233"/>
      <c r="E1318" s="201"/>
      <c r="F1318" s="206"/>
      <c r="G1318" s="206"/>
      <c r="H1318" s="253"/>
      <c r="I1318" s="201"/>
      <c r="J1318" s="254"/>
      <c r="K1318" s="254"/>
      <c r="L1318" s="206"/>
      <c r="M1318" s="201"/>
      <c r="N1318" s="206"/>
      <c r="O1318" s="255"/>
      <c r="P1318" s="256"/>
      <c r="Q1318" s="256"/>
      <c r="R1318" s="201"/>
      <c r="S1318" s="201"/>
      <c r="T1318" s="201"/>
    </row>
    <row r="1319">
      <c r="A1319" s="252"/>
      <c r="B1319" s="202"/>
      <c r="C1319" s="233"/>
      <c r="D1319" s="233"/>
      <c r="E1319" s="201"/>
      <c r="F1319" s="206"/>
      <c r="G1319" s="206"/>
      <c r="H1319" s="253"/>
      <c r="I1319" s="201"/>
      <c r="J1319" s="254"/>
      <c r="K1319" s="254"/>
      <c r="L1319" s="206"/>
      <c r="M1319" s="201"/>
      <c r="N1319" s="206"/>
      <c r="O1319" s="255"/>
      <c r="P1319" s="256"/>
      <c r="Q1319" s="256"/>
      <c r="R1319" s="201"/>
      <c r="S1319" s="201"/>
      <c r="T1319" s="201"/>
    </row>
    <row r="1320">
      <c r="A1320" s="252"/>
      <c r="B1320" s="202"/>
      <c r="C1320" s="233"/>
      <c r="D1320" s="233"/>
      <c r="E1320" s="201"/>
      <c r="F1320" s="206"/>
      <c r="G1320" s="206"/>
      <c r="H1320" s="253"/>
      <c r="I1320" s="201"/>
      <c r="J1320" s="254"/>
      <c r="K1320" s="254"/>
      <c r="L1320" s="206"/>
      <c r="M1320" s="201"/>
      <c r="N1320" s="206"/>
      <c r="O1320" s="255"/>
      <c r="P1320" s="256"/>
      <c r="Q1320" s="256"/>
      <c r="R1320" s="201"/>
      <c r="S1320" s="201"/>
      <c r="T1320" s="201"/>
    </row>
    <row r="1321">
      <c r="A1321" s="252"/>
      <c r="B1321" s="202"/>
      <c r="C1321" s="233"/>
      <c r="D1321" s="233"/>
      <c r="E1321" s="201"/>
      <c r="F1321" s="206"/>
      <c r="G1321" s="206"/>
      <c r="H1321" s="253"/>
      <c r="I1321" s="201"/>
      <c r="J1321" s="254"/>
      <c r="K1321" s="254"/>
      <c r="L1321" s="206"/>
      <c r="M1321" s="201"/>
      <c r="N1321" s="206"/>
      <c r="O1321" s="255"/>
      <c r="P1321" s="256"/>
      <c r="Q1321" s="256"/>
      <c r="R1321" s="201"/>
      <c r="S1321" s="201"/>
      <c r="T1321" s="201"/>
    </row>
    <row r="1322">
      <c r="A1322" s="252"/>
      <c r="B1322" s="202"/>
      <c r="C1322" s="233"/>
      <c r="D1322" s="233"/>
      <c r="E1322" s="201"/>
      <c r="F1322" s="206"/>
      <c r="G1322" s="206"/>
      <c r="H1322" s="253"/>
      <c r="I1322" s="201"/>
      <c r="J1322" s="254"/>
      <c r="K1322" s="254"/>
      <c r="L1322" s="206"/>
      <c r="M1322" s="201"/>
      <c r="N1322" s="206"/>
      <c r="O1322" s="255"/>
      <c r="P1322" s="256"/>
      <c r="Q1322" s="256"/>
      <c r="R1322" s="201"/>
      <c r="S1322" s="201"/>
      <c r="T1322" s="201"/>
    </row>
    <row r="1323">
      <c r="A1323" s="252"/>
      <c r="B1323" s="202"/>
      <c r="C1323" s="233"/>
      <c r="D1323" s="233"/>
      <c r="E1323" s="201"/>
      <c r="F1323" s="206"/>
      <c r="G1323" s="206"/>
      <c r="H1323" s="253"/>
      <c r="I1323" s="201"/>
      <c r="J1323" s="254"/>
      <c r="K1323" s="254"/>
      <c r="L1323" s="206"/>
      <c r="M1323" s="201"/>
      <c r="N1323" s="206"/>
      <c r="O1323" s="255"/>
      <c r="P1323" s="256"/>
      <c r="Q1323" s="256"/>
      <c r="R1323" s="201"/>
      <c r="S1323" s="201"/>
      <c r="T1323" s="201"/>
    </row>
    <row r="1324">
      <c r="A1324" s="252"/>
      <c r="B1324" s="202"/>
      <c r="C1324" s="233"/>
      <c r="D1324" s="233"/>
      <c r="E1324" s="201"/>
      <c r="F1324" s="206"/>
      <c r="G1324" s="206"/>
      <c r="H1324" s="253"/>
      <c r="I1324" s="201"/>
      <c r="J1324" s="254"/>
      <c r="K1324" s="254"/>
      <c r="L1324" s="206"/>
      <c r="M1324" s="201"/>
      <c r="N1324" s="206"/>
      <c r="O1324" s="255"/>
      <c r="P1324" s="256"/>
      <c r="Q1324" s="256"/>
      <c r="R1324" s="201"/>
      <c r="S1324" s="201"/>
      <c r="T1324" s="201"/>
    </row>
    <row r="1325">
      <c r="A1325" s="252"/>
      <c r="B1325" s="202"/>
      <c r="C1325" s="233"/>
      <c r="D1325" s="233"/>
      <c r="E1325" s="201"/>
      <c r="F1325" s="206"/>
      <c r="G1325" s="206"/>
      <c r="H1325" s="253"/>
      <c r="I1325" s="201"/>
      <c r="J1325" s="254"/>
      <c r="K1325" s="254"/>
      <c r="L1325" s="206"/>
      <c r="M1325" s="201"/>
      <c r="N1325" s="206"/>
      <c r="O1325" s="255"/>
      <c r="P1325" s="256"/>
      <c r="Q1325" s="256"/>
      <c r="R1325" s="201"/>
      <c r="S1325" s="201"/>
      <c r="T1325" s="201"/>
    </row>
    <row r="1326">
      <c r="A1326" s="252"/>
      <c r="B1326" s="202"/>
      <c r="C1326" s="233"/>
      <c r="D1326" s="233"/>
      <c r="E1326" s="201"/>
      <c r="F1326" s="206"/>
      <c r="G1326" s="206"/>
      <c r="H1326" s="253"/>
      <c r="I1326" s="201"/>
      <c r="J1326" s="254"/>
      <c r="K1326" s="254"/>
      <c r="L1326" s="206"/>
      <c r="M1326" s="201"/>
      <c r="N1326" s="206"/>
      <c r="O1326" s="255"/>
      <c r="P1326" s="256"/>
      <c r="Q1326" s="256"/>
      <c r="R1326" s="201"/>
      <c r="S1326" s="201"/>
      <c r="T1326" s="201"/>
    </row>
    <row r="1327">
      <c r="A1327" s="252"/>
      <c r="B1327" s="202"/>
      <c r="C1327" s="233"/>
      <c r="D1327" s="233"/>
      <c r="E1327" s="201"/>
      <c r="F1327" s="206"/>
      <c r="G1327" s="206"/>
      <c r="H1327" s="253"/>
      <c r="I1327" s="201"/>
      <c r="J1327" s="254"/>
      <c r="K1327" s="254"/>
      <c r="L1327" s="206"/>
      <c r="M1327" s="201"/>
      <c r="N1327" s="206"/>
      <c r="O1327" s="255"/>
      <c r="P1327" s="256"/>
      <c r="Q1327" s="256"/>
      <c r="R1327" s="201"/>
      <c r="S1327" s="201"/>
      <c r="T1327" s="201"/>
    </row>
    <row r="1328">
      <c r="A1328" s="252"/>
      <c r="B1328" s="202"/>
      <c r="C1328" s="233"/>
      <c r="D1328" s="233"/>
      <c r="E1328" s="201"/>
      <c r="F1328" s="206"/>
      <c r="G1328" s="206"/>
      <c r="H1328" s="253"/>
      <c r="I1328" s="201"/>
      <c r="J1328" s="254"/>
      <c r="K1328" s="254"/>
      <c r="L1328" s="206"/>
      <c r="M1328" s="201"/>
      <c r="N1328" s="206"/>
      <c r="O1328" s="255"/>
      <c r="P1328" s="256"/>
      <c r="Q1328" s="256"/>
      <c r="R1328" s="201"/>
      <c r="S1328" s="201"/>
      <c r="T1328" s="201"/>
    </row>
    <row r="1329">
      <c r="A1329" s="252"/>
      <c r="B1329" s="202"/>
      <c r="C1329" s="233"/>
      <c r="D1329" s="233"/>
      <c r="E1329" s="201"/>
      <c r="F1329" s="206"/>
      <c r="G1329" s="206"/>
      <c r="H1329" s="253"/>
      <c r="I1329" s="201"/>
      <c r="J1329" s="254"/>
      <c r="K1329" s="254"/>
      <c r="L1329" s="206"/>
      <c r="M1329" s="201"/>
      <c r="N1329" s="206"/>
      <c r="O1329" s="255"/>
      <c r="P1329" s="256"/>
      <c r="Q1329" s="256"/>
      <c r="R1329" s="201"/>
      <c r="S1329" s="201"/>
      <c r="T1329" s="201"/>
    </row>
    <row r="1330">
      <c r="A1330" s="252"/>
      <c r="B1330" s="202"/>
      <c r="C1330" s="233"/>
      <c r="D1330" s="233"/>
      <c r="E1330" s="201"/>
      <c r="F1330" s="206"/>
      <c r="G1330" s="206"/>
      <c r="H1330" s="253"/>
      <c r="I1330" s="201"/>
      <c r="J1330" s="254"/>
      <c r="K1330" s="254"/>
      <c r="L1330" s="206"/>
      <c r="M1330" s="201"/>
      <c r="N1330" s="206"/>
      <c r="O1330" s="255"/>
      <c r="P1330" s="256"/>
      <c r="Q1330" s="256"/>
      <c r="R1330" s="201"/>
      <c r="S1330" s="201"/>
      <c r="T1330" s="201"/>
    </row>
    <row r="1331">
      <c r="A1331" s="252"/>
      <c r="B1331" s="202"/>
      <c r="C1331" s="233"/>
      <c r="D1331" s="233"/>
      <c r="E1331" s="201"/>
      <c r="F1331" s="206"/>
      <c r="G1331" s="206"/>
      <c r="H1331" s="253"/>
      <c r="I1331" s="201"/>
      <c r="J1331" s="254"/>
      <c r="K1331" s="254"/>
      <c r="L1331" s="206"/>
      <c r="M1331" s="201"/>
      <c r="N1331" s="206"/>
      <c r="O1331" s="255"/>
      <c r="P1331" s="256"/>
      <c r="Q1331" s="256"/>
      <c r="R1331" s="201"/>
      <c r="S1331" s="201"/>
      <c r="T1331" s="201"/>
    </row>
    <row r="1332">
      <c r="A1332" s="252"/>
      <c r="B1332" s="202"/>
      <c r="C1332" s="233"/>
      <c r="D1332" s="233"/>
      <c r="E1332" s="201"/>
      <c r="F1332" s="206"/>
      <c r="G1332" s="206"/>
      <c r="H1332" s="253"/>
      <c r="I1332" s="201"/>
      <c r="J1332" s="254"/>
      <c r="K1332" s="254"/>
      <c r="L1332" s="206"/>
      <c r="M1332" s="201"/>
      <c r="N1332" s="206"/>
      <c r="O1332" s="255"/>
      <c r="P1332" s="256"/>
      <c r="Q1332" s="256"/>
      <c r="R1332" s="201"/>
      <c r="S1332" s="201"/>
      <c r="T1332" s="201"/>
    </row>
    <row r="1333">
      <c r="A1333" s="252"/>
      <c r="B1333" s="202"/>
      <c r="C1333" s="233"/>
      <c r="D1333" s="233"/>
      <c r="E1333" s="201"/>
      <c r="F1333" s="206"/>
      <c r="G1333" s="206"/>
      <c r="H1333" s="253"/>
      <c r="I1333" s="201"/>
      <c r="J1333" s="254"/>
      <c r="K1333" s="254"/>
      <c r="L1333" s="206"/>
      <c r="M1333" s="201"/>
      <c r="N1333" s="206"/>
      <c r="O1333" s="255"/>
      <c r="P1333" s="256"/>
      <c r="Q1333" s="256"/>
      <c r="R1333" s="201"/>
      <c r="S1333" s="201"/>
      <c r="T1333" s="201"/>
    </row>
    <row r="1334">
      <c r="A1334" s="252"/>
      <c r="B1334" s="202"/>
      <c r="C1334" s="233"/>
      <c r="D1334" s="233"/>
      <c r="E1334" s="201"/>
      <c r="F1334" s="206"/>
      <c r="G1334" s="206"/>
      <c r="H1334" s="253"/>
      <c r="I1334" s="201"/>
      <c r="J1334" s="254"/>
      <c r="K1334" s="254"/>
      <c r="L1334" s="206"/>
      <c r="M1334" s="201"/>
      <c r="N1334" s="206"/>
      <c r="O1334" s="255"/>
      <c r="P1334" s="256"/>
      <c r="Q1334" s="256"/>
      <c r="R1334" s="201"/>
      <c r="S1334" s="201"/>
      <c r="T1334" s="201"/>
    </row>
    <row r="1335">
      <c r="A1335" s="252"/>
      <c r="B1335" s="202"/>
      <c r="C1335" s="233"/>
      <c r="D1335" s="233"/>
      <c r="E1335" s="201"/>
      <c r="F1335" s="206"/>
      <c r="G1335" s="206"/>
      <c r="H1335" s="253"/>
      <c r="I1335" s="201"/>
      <c r="J1335" s="254"/>
      <c r="K1335" s="254"/>
      <c r="L1335" s="206"/>
      <c r="M1335" s="201"/>
      <c r="N1335" s="206"/>
      <c r="O1335" s="255"/>
      <c r="P1335" s="256"/>
      <c r="Q1335" s="256"/>
      <c r="R1335" s="201"/>
      <c r="S1335" s="201"/>
      <c r="T1335" s="201"/>
    </row>
    <row r="1336">
      <c r="A1336" s="252"/>
      <c r="B1336" s="202"/>
      <c r="C1336" s="233"/>
      <c r="D1336" s="233"/>
      <c r="E1336" s="201"/>
      <c r="F1336" s="206"/>
      <c r="G1336" s="206"/>
      <c r="H1336" s="253"/>
      <c r="I1336" s="201"/>
      <c r="J1336" s="254"/>
      <c r="K1336" s="254"/>
      <c r="L1336" s="206"/>
      <c r="M1336" s="201"/>
      <c r="N1336" s="206"/>
      <c r="O1336" s="255"/>
      <c r="P1336" s="256"/>
      <c r="Q1336" s="256"/>
      <c r="R1336" s="201"/>
      <c r="S1336" s="201"/>
      <c r="T1336" s="201"/>
    </row>
    <row r="1337">
      <c r="A1337" s="252"/>
      <c r="B1337" s="202"/>
      <c r="C1337" s="233"/>
      <c r="D1337" s="233"/>
      <c r="E1337" s="201"/>
      <c r="F1337" s="206"/>
      <c r="G1337" s="206"/>
      <c r="H1337" s="253"/>
      <c r="I1337" s="201"/>
      <c r="J1337" s="254"/>
      <c r="K1337" s="254"/>
      <c r="L1337" s="206"/>
      <c r="M1337" s="201"/>
      <c r="N1337" s="206"/>
      <c r="O1337" s="255"/>
      <c r="P1337" s="256"/>
      <c r="Q1337" s="256"/>
      <c r="R1337" s="201"/>
      <c r="S1337" s="201"/>
      <c r="T1337" s="201"/>
    </row>
    <row r="1338">
      <c r="A1338" s="252"/>
      <c r="B1338" s="202"/>
      <c r="C1338" s="233"/>
      <c r="D1338" s="233"/>
      <c r="E1338" s="201"/>
      <c r="F1338" s="206"/>
      <c r="G1338" s="206"/>
      <c r="H1338" s="253"/>
      <c r="I1338" s="201"/>
      <c r="J1338" s="254"/>
      <c r="K1338" s="254"/>
      <c r="L1338" s="206"/>
      <c r="M1338" s="201"/>
      <c r="N1338" s="206"/>
      <c r="O1338" s="255"/>
      <c r="P1338" s="256"/>
      <c r="Q1338" s="256"/>
      <c r="R1338" s="201"/>
      <c r="S1338" s="201"/>
      <c r="T1338" s="201"/>
    </row>
    <row r="1339">
      <c r="A1339" s="252"/>
      <c r="B1339" s="202"/>
      <c r="C1339" s="233"/>
      <c r="D1339" s="233"/>
      <c r="E1339" s="201"/>
      <c r="F1339" s="206"/>
      <c r="G1339" s="206"/>
      <c r="H1339" s="253"/>
      <c r="I1339" s="201"/>
      <c r="J1339" s="254"/>
      <c r="K1339" s="254"/>
      <c r="L1339" s="206"/>
      <c r="M1339" s="201"/>
      <c r="N1339" s="206"/>
      <c r="O1339" s="255"/>
      <c r="P1339" s="256"/>
      <c r="Q1339" s="256"/>
      <c r="R1339" s="201"/>
      <c r="S1339" s="201"/>
      <c r="T1339" s="201"/>
    </row>
    <row r="1340">
      <c r="A1340" s="252"/>
      <c r="B1340" s="202"/>
      <c r="C1340" s="233"/>
      <c r="D1340" s="233"/>
      <c r="E1340" s="201"/>
      <c r="F1340" s="206"/>
      <c r="G1340" s="206"/>
      <c r="H1340" s="253"/>
      <c r="I1340" s="201"/>
      <c r="J1340" s="254"/>
      <c r="K1340" s="254"/>
      <c r="L1340" s="206"/>
      <c r="M1340" s="201"/>
      <c r="N1340" s="206"/>
      <c r="O1340" s="255"/>
      <c r="P1340" s="256"/>
      <c r="Q1340" s="256"/>
      <c r="R1340" s="201"/>
      <c r="S1340" s="201"/>
      <c r="T1340" s="201"/>
    </row>
    <row r="1341">
      <c r="A1341" s="252"/>
      <c r="B1341" s="202"/>
      <c r="C1341" s="233"/>
      <c r="D1341" s="233"/>
      <c r="E1341" s="201"/>
      <c r="F1341" s="206"/>
      <c r="G1341" s="206"/>
      <c r="H1341" s="253"/>
      <c r="I1341" s="201"/>
      <c r="J1341" s="254"/>
      <c r="K1341" s="254"/>
      <c r="L1341" s="206"/>
      <c r="M1341" s="201"/>
      <c r="N1341" s="206"/>
      <c r="O1341" s="255"/>
      <c r="P1341" s="256"/>
      <c r="Q1341" s="256"/>
      <c r="R1341" s="201"/>
      <c r="S1341" s="201"/>
      <c r="T1341" s="201"/>
    </row>
    <row r="1342">
      <c r="A1342" s="252"/>
      <c r="B1342" s="202"/>
      <c r="C1342" s="233"/>
      <c r="D1342" s="233"/>
      <c r="E1342" s="201"/>
      <c r="F1342" s="206"/>
      <c r="G1342" s="206"/>
      <c r="H1342" s="253"/>
      <c r="I1342" s="201"/>
      <c r="J1342" s="254"/>
      <c r="K1342" s="254"/>
      <c r="L1342" s="206"/>
      <c r="M1342" s="201"/>
      <c r="N1342" s="206"/>
      <c r="O1342" s="255"/>
      <c r="P1342" s="256"/>
      <c r="Q1342" s="256"/>
      <c r="R1342" s="201"/>
      <c r="S1342" s="201"/>
      <c r="T1342" s="201"/>
    </row>
    <row r="1343">
      <c r="A1343" s="252"/>
      <c r="B1343" s="202"/>
      <c r="C1343" s="233"/>
      <c r="D1343" s="233"/>
      <c r="E1343" s="201"/>
      <c r="F1343" s="206"/>
      <c r="G1343" s="206"/>
      <c r="H1343" s="253"/>
      <c r="I1343" s="201"/>
      <c r="J1343" s="254"/>
      <c r="K1343" s="254"/>
      <c r="L1343" s="206"/>
      <c r="M1343" s="201"/>
      <c r="N1343" s="206"/>
      <c r="O1343" s="255"/>
      <c r="P1343" s="256"/>
      <c r="Q1343" s="256"/>
      <c r="R1343" s="201"/>
      <c r="S1343" s="201"/>
      <c r="T1343" s="201"/>
    </row>
    <row r="1344">
      <c r="A1344" s="252"/>
      <c r="B1344" s="202"/>
      <c r="C1344" s="233"/>
      <c r="D1344" s="233"/>
      <c r="E1344" s="201"/>
      <c r="F1344" s="206"/>
      <c r="G1344" s="206"/>
      <c r="H1344" s="253"/>
      <c r="I1344" s="201"/>
      <c r="J1344" s="254"/>
      <c r="K1344" s="254"/>
      <c r="L1344" s="206"/>
      <c r="M1344" s="201"/>
      <c r="N1344" s="206"/>
      <c r="O1344" s="255"/>
      <c r="P1344" s="256"/>
      <c r="Q1344" s="256"/>
      <c r="R1344" s="201"/>
      <c r="S1344" s="201"/>
      <c r="T1344" s="201"/>
    </row>
    <row r="1345">
      <c r="A1345" s="252"/>
      <c r="B1345" s="202"/>
      <c r="C1345" s="233"/>
      <c r="D1345" s="233"/>
      <c r="E1345" s="201"/>
      <c r="F1345" s="206"/>
      <c r="G1345" s="206"/>
      <c r="H1345" s="253"/>
      <c r="I1345" s="201"/>
      <c r="J1345" s="254"/>
      <c r="K1345" s="254"/>
      <c r="L1345" s="206"/>
      <c r="M1345" s="201"/>
      <c r="N1345" s="206"/>
      <c r="O1345" s="255"/>
      <c r="P1345" s="256"/>
      <c r="Q1345" s="256"/>
      <c r="R1345" s="201"/>
      <c r="S1345" s="201"/>
      <c r="T1345" s="201"/>
    </row>
    <row r="1346">
      <c r="A1346" s="252"/>
      <c r="B1346" s="202"/>
      <c r="C1346" s="233"/>
      <c r="D1346" s="233"/>
      <c r="E1346" s="201"/>
      <c r="F1346" s="206"/>
      <c r="G1346" s="206"/>
      <c r="H1346" s="253"/>
      <c r="I1346" s="201"/>
      <c r="J1346" s="254"/>
      <c r="K1346" s="254"/>
      <c r="L1346" s="206"/>
      <c r="M1346" s="201"/>
      <c r="N1346" s="206"/>
      <c r="O1346" s="255"/>
      <c r="P1346" s="256"/>
      <c r="Q1346" s="256"/>
      <c r="R1346" s="201"/>
      <c r="S1346" s="201"/>
      <c r="T1346" s="201"/>
    </row>
    <row r="1347">
      <c r="A1347" s="252"/>
      <c r="B1347" s="202"/>
      <c r="C1347" s="233"/>
      <c r="D1347" s="233"/>
      <c r="E1347" s="201"/>
      <c r="F1347" s="206"/>
      <c r="G1347" s="206"/>
      <c r="H1347" s="253"/>
      <c r="I1347" s="201"/>
      <c r="J1347" s="254"/>
      <c r="K1347" s="254"/>
      <c r="L1347" s="206"/>
      <c r="M1347" s="201"/>
      <c r="N1347" s="206"/>
      <c r="O1347" s="255"/>
      <c r="P1347" s="256"/>
      <c r="Q1347" s="256"/>
      <c r="R1347" s="201"/>
      <c r="S1347" s="201"/>
      <c r="T1347" s="201"/>
    </row>
    <row r="1348">
      <c r="A1348" s="252"/>
      <c r="B1348" s="202"/>
      <c r="C1348" s="233"/>
      <c r="D1348" s="233"/>
      <c r="E1348" s="201"/>
      <c r="F1348" s="206"/>
      <c r="G1348" s="206"/>
      <c r="H1348" s="253"/>
      <c r="I1348" s="201"/>
      <c r="J1348" s="254"/>
      <c r="K1348" s="254"/>
      <c r="L1348" s="206"/>
      <c r="M1348" s="201"/>
      <c r="N1348" s="206"/>
      <c r="O1348" s="255"/>
      <c r="P1348" s="256"/>
      <c r="Q1348" s="256"/>
      <c r="R1348" s="201"/>
      <c r="S1348" s="201"/>
      <c r="T1348" s="201"/>
    </row>
    <row r="1349">
      <c r="A1349" s="252"/>
      <c r="B1349" s="202"/>
      <c r="C1349" s="233"/>
      <c r="D1349" s="233"/>
      <c r="E1349" s="201"/>
      <c r="F1349" s="206"/>
      <c r="G1349" s="206"/>
      <c r="H1349" s="253"/>
      <c r="I1349" s="201"/>
      <c r="J1349" s="254"/>
      <c r="K1349" s="254"/>
      <c r="L1349" s="206"/>
      <c r="M1349" s="201"/>
      <c r="N1349" s="206"/>
      <c r="O1349" s="255"/>
      <c r="P1349" s="256"/>
      <c r="Q1349" s="256"/>
      <c r="R1349" s="201"/>
      <c r="S1349" s="201"/>
      <c r="T1349" s="201"/>
    </row>
    <row r="1350">
      <c r="A1350" s="252"/>
      <c r="B1350" s="202"/>
      <c r="C1350" s="233"/>
      <c r="D1350" s="233"/>
      <c r="E1350" s="201"/>
      <c r="F1350" s="206"/>
      <c r="G1350" s="206"/>
      <c r="H1350" s="253"/>
      <c r="I1350" s="201"/>
      <c r="J1350" s="254"/>
      <c r="K1350" s="254"/>
      <c r="L1350" s="206"/>
      <c r="M1350" s="201"/>
      <c r="N1350" s="206"/>
      <c r="O1350" s="255"/>
      <c r="P1350" s="256"/>
      <c r="Q1350" s="256"/>
      <c r="R1350" s="201"/>
      <c r="S1350" s="201"/>
      <c r="T1350" s="201"/>
    </row>
    <row r="1351">
      <c r="A1351" s="252"/>
      <c r="B1351" s="202"/>
      <c r="C1351" s="233"/>
      <c r="D1351" s="233"/>
      <c r="E1351" s="201"/>
      <c r="F1351" s="206"/>
      <c r="G1351" s="206"/>
      <c r="H1351" s="253"/>
      <c r="I1351" s="201"/>
      <c r="J1351" s="254"/>
      <c r="K1351" s="254"/>
      <c r="L1351" s="206"/>
      <c r="M1351" s="201"/>
      <c r="N1351" s="206"/>
      <c r="O1351" s="255"/>
      <c r="P1351" s="256"/>
      <c r="Q1351" s="256"/>
      <c r="R1351" s="201"/>
      <c r="S1351" s="201"/>
      <c r="T1351" s="201"/>
    </row>
    <row r="1352">
      <c r="A1352" s="252"/>
      <c r="B1352" s="202"/>
      <c r="C1352" s="233"/>
      <c r="D1352" s="233"/>
      <c r="E1352" s="201"/>
      <c r="F1352" s="206"/>
      <c r="G1352" s="206"/>
      <c r="H1352" s="253"/>
      <c r="I1352" s="201"/>
      <c r="J1352" s="254"/>
      <c r="K1352" s="254"/>
      <c r="L1352" s="206"/>
      <c r="M1352" s="201"/>
      <c r="N1352" s="206"/>
      <c r="O1352" s="255"/>
      <c r="P1352" s="256"/>
      <c r="Q1352" s="256"/>
      <c r="R1352" s="201"/>
      <c r="S1352" s="201"/>
      <c r="T1352" s="201"/>
    </row>
    <row r="1353">
      <c r="A1353" s="252"/>
      <c r="B1353" s="202"/>
      <c r="C1353" s="233"/>
      <c r="D1353" s="233"/>
      <c r="E1353" s="201"/>
      <c r="F1353" s="206"/>
      <c r="G1353" s="206"/>
      <c r="H1353" s="253"/>
      <c r="I1353" s="201"/>
      <c r="J1353" s="254"/>
      <c r="K1353" s="254"/>
      <c r="L1353" s="206"/>
      <c r="M1353" s="201"/>
      <c r="N1353" s="206"/>
      <c r="O1353" s="255"/>
      <c r="P1353" s="256"/>
      <c r="Q1353" s="256"/>
      <c r="R1353" s="201"/>
      <c r="S1353" s="201"/>
      <c r="T1353" s="201"/>
    </row>
    <row r="1354">
      <c r="A1354" s="252"/>
      <c r="B1354" s="202"/>
      <c r="C1354" s="233"/>
      <c r="D1354" s="233"/>
      <c r="E1354" s="201"/>
      <c r="F1354" s="206"/>
      <c r="G1354" s="206"/>
      <c r="H1354" s="253"/>
      <c r="I1354" s="201"/>
      <c r="J1354" s="254"/>
      <c r="K1354" s="254"/>
      <c r="L1354" s="206"/>
      <c r="M1354" s="201"/>
      <c r="N1354" s="206"/>
      <c r="O1354" s="255"/>
      <c r="P1354" s="256"/>
      <c r="Q1354" s="256"/>
      <c r="R1354" s="201"/>
      <c r="S1354" s="201"/>
      <c r="T1354" s="201"/>
    </row>
    <row r="1355">
      <c r="A1355" s="252"/>
      <c r="B1355" s="202"/>
      <c r="C1355" s="233"/>
      <c r="D1355" s="233"/>
      <c r="E1355" s="201"/>
      <c r="F1355" s="206"/>
      <c r="G1355" s="206"/>
      <c r="H1355" s="253"/>
      <c r="I1355" s="201"/>
      <c r="J1355" s="254"/>
      <c r="K1355" s="254"/>
      <c r="L1355" s="206"/>
      <c r="M1355" s="201"/>
      <c r="N1355" s="206"/>
      <c r="O1355" s="255"/>
      <c r="P1355" s="256"/>
      <c r="Q1355" s="256"/>
      <c r="R1355" s="201"/>
      <c r="S1355" s="201"/>
      <c r="T1355" s="201"/>
    </row>
    <row r="1356">
      <c r="A1356" s="252"/>
      <c r="B1356" s="202"/>
      <c r="C1356" s="233"/>
      <c r="D1356" s="233"/>
      <c r="E1356" s="201"/>
      <c r="F1356" s="206"/>
      <c r="G1356" s="206"/>
      <c r="H1356" s="253"/>
      <c r="I1356" s="201"/>
      <c r="J1356" s="254"/>
      <c r="K1356" s="254"/>
      <c r="L1356" s="206"/>
      <c r="M1356" s="201"/>
      <c r="N1356" s="206"/>
      <c r="O1356" s="255"/>
      <c r="P1356" s="256"/>
      <c r="Q1356" s="256"/>
      <c r="R1356" s="201"/>
      <c r="S1356" s="201"/>
      <c r="T1356" s="201"/>
    </row>
    <row r="1357">
      <c r="A1357" s="252"/>
      <c r="B1357" s="202"/>
      <c r="C1357" s="233"/>
      <c r="D1357" s="233"/>
      <c r="E1357" s="201"/>
      <c r="F1357" s="206"/>
      <c r="G1357" s="206"/>
      <c r="H1357" s="253"/>
      <c r="I1357" s="201"/>
      <c r="J1357" s="254"/>
      <c r="K1357" s="254"/>
      <c r="L1357" s="206"/>
      <c r="M1357" s="201"/>
      <c r="N1357" s="206"/>
      <c r="O1357" s="255"/>
      <c r="P1357" s="256"/>
      <c r="Q1357" s="256"/>
      <c r="R1357" s="201"/>
      <c r="S1357" s="201"/>
      <c r="T1357" s="201"/>
    </row>
    <row r="1358">
      <c r="A1358" s="252"/>
      <c r="B1358" s="202"/>
      <c r="C1358" s="233"/>
      <c r="D1358" s="233"/>
      <c r="E1358" s="201"/>
      <c r="F1358" s="206"/>
      <c r="G1358" s="206"/>
      <c r="H1358" s="253"/>
      <c r="I1358" s="201"/>
      <c r="J1358" s="254"/>
      <c r="K1358" s="254"/>
      <c r="L1358" s="206"/>
      <c r="M1358" s="201"/>
      <c r="N1358" s="206"/>
      <c r="O1358" s="255"/>
      <c r="P1358" s="256"/>
      <c r="Q1358" s="256"/>
      <c r="R1358" s="201"/>
      <c r="S1358" s="201"/>
      <c r="T1358" s="201"/>
    </row>
    <row r="1359">
      <c r="A1359" s="252"/>
      <c r="B1359" s="202"/>
      <c r="C1359" s="233"/>
      <c r="D1359" s="233"/>
      <c r="E1359" s="201"/>
      <c r="F1359" s="206"/>
      <c r="G1359" s="206"/>
      <c r="H1359" s="253"/>
      <c r="I1359" s="201"/>
      <c r="J1359" s="254"/>
      <c r="K1359" s="254"/>
      <c r="L1359" s="206"/>
      <c r="M1359" s="201"/>
      <c r="N1359" s="206"/>
      <c r="O1359" s="255"/>
      <c r="P1359" s="256"/>
      <c r="Q1359" s="256"/>
      <c r="R1359" s="201"/>
      <c r="S1359" s="201"/>
      <c r="T1359" s="201"/>
    </row>
    <row r="1360">
      <c r="A1360" s="252"/>
      <c r="B1360" s="202"/>
      <c r="C1360" s="233"/>
      <c r="D1360" s="233"/>
      <c r="E1360" s="201"/>
      <c r="F1360" s="206"/>
      <c r="G1360" s="206"/>
      <c r="H1360" s="253"/>
      <c r="I1360" s="201"/>
      <c r="J1360" s="254"/>
      <c r="K1360" s="254"/>
      <c r="L1360" s="206"/>
      <c r="M1360" s="201"/>
      <c r="N1360" s="206"/>
      <c r="O1360" s="255"/>
      <c r="P1360" s="256"/>
      <c r="Q1360" s="256"/>
      <c r="R1360" s="201"/>
      <c r="S1360" s="201"/>
      <c r="T1360" s="201"/>
    </row>
    <row r="1361">
      <c r="A1361" s="252"/>
      <c r="B1361" s="202"/>
      <c r="C1361" s="233"/>
      <c r="D1361" s="233"/>
      <c r="E1361" s="201"/>
      <c r="F1361" s="206"/>
      <c r="G1361" s="206"/>
      <c r="H1361" s="253"/>
      <c r="I1361" s="201"/>
      <c r="J1361" s="254"/>
      <c r="K1361" s="254"/>
      <c r="L1361" s="206"/>
      <c r="M1361" s="201"/>
      <c r="N1361" s="206"/>
      <c r="O1361" s="255"/>
      <c r="P1361" s="256"/>
      <c r="Q1361" s="256"/>
      <c r="R1361" s="201"/>
      <c r="S1361" s="201"/>
      <c r="T1361" s="201"/>
    </row>
    <row r="1362">
      <c r="A1362" s="252"/>
      <c r="B1362" s="202"/>
      <c r="C1362" s="233"/>
      <c r="D1362" s="233"/>
      <c r="E1362" s="201"/>
      <c r="F1362" s="206"/>
      <c r="G1362" s="206"/>
      <c r="H1362" s="253"/>
      <c r="I1362" s="201"/>
      <c r="J1362" s="254"/>
      <c r="K1362" s="254"/>
      <c r="L1362" s="206"/>
      <c r="M1362" s="201"/>
      <c r="N1362" s="206"/>
      <c r="O1362" s="255"/>
      <c r="P1362" s="256"/>
      <c r="Q1362" s="256"/>
      <c r="R1362" s="201"/>
      <c r="S1362" s="201"/>
      <c r="T1362" s="201"/>
    </row>
    <row r="1363">
      <c r="A1363" s="252"/>
      <c r="B1363" s="202"/>
      <c r="C1363" s="233"/>
      <c r="D1363" s="233"/>
      <c r="E1363" s="201"/>
      <c r="F1363" s="206"/>
      <c r="G1363" s="206"/>
      <c r="H1363" s="253"/>
      <c r="I1363" s="201"/>
      <c r="J1363" s="254"/>
      <c r="K1363" s="254"/>
      <c r="L1363" s="206"/>
      <c r="M1363" s="201"/>
      <c r="N1363" s="206"/>
      <c r="O1363" s="255"/>
      <c r="P1363" s="256"/>
      <c r="Q1363" s="256"/>
      <c r="R1363" s="201"/>
      <c r="S1363" s="201"/>
      <c r="T1363" s="201"/>
    </row>
    <row r="1364">
      <c r="A1364" s="252"/>
      <c r="B1364" s="202"/>
      <c r="C1364" s="233"/>
      <c r="D1364" s="233"/>
      <c r="E1364" s="201"/>
      <c r="F1364" s="206"/>
      <c r="G1364" s="206"/>
      <c r="H1364" s="253"/>
      <c r="I1364" s="201"/>
      <c r="J1364" s="254"/>
      <c r="K1364" s="254"/>
      <c r="L1364" s="206"/>
      <c r="M1364" s="201"/>
      <c r="N1364" s="206"/>
      <c r="O1364" s="255"/>
      <c r="P1364" s="256"/>
      <c r="Q1364" s="256"/>
      <c r="R1364" s="201"/>
      <c r="S1364" s="201"/>
      <c r="T1364" s="201"/>
    </row>
    <row r="1365">
      <c r="A1365" s="252"/>
      <c r="B1365" s="202"/>
      <c r="C1365" s="233"/>
      <c r="D1365" s="233"/>
      <c r="E1365" s="201"/>
      <c r="F1365" s="206"/>
      <c r="G1365" s="206"/>
      <c r="H1365" s="253"/>
      <c r="I1365" s="201"/>
      <c r="J1365" s="254"/>
      <c r="K1365" s="254"/>
      <c r="L1365" s="206"/>
      <c r="M1365" s="201"/>
      <c r="N1365" s="206"/>
      <c r="O1365" s="255"/>
      <c r="P1365" s="256"/>
      <c r="Q1365" s="256"/>
      <c r="R1365" s="201"/>
      <c r="S1365" s="201"/>
      <c r="T1365" s="201"/>
    </row>
    <row r="1366">
      <c r="A1366" s="252"/>
      <c r="B1366" s="202"/>
      <c r="C1366" s="233"/>
      <c r="D1366" s="233"/>
      <c r="E1366" s="201"/>
      <c r="F1366" s="206"/>
      <c r="G1366" s="206"/>
      <c r="H1366" s="253"/>
      <c r="I1366" s="201"/>
      <c r="J1366" s="254"/>
      <c r="K1366" s="254"/>
      <c r="L1366" s="206"/>
      <c r="M1366" s="201"/>
      <c r="N1366" s="206"/>
      <c r="O1366" s="255"/>
      <c r="P1366" s="256"/>
      <c r="Q1366" s="256"/>
      <c r="R1366" s="201"/>
      <c r="S1366" s="201"/>
      <c r="T1366" s="201"/>
    </row>
    <row r="1367">
      <c r="A1367" s="252"/>
      <c r="B1367" s="202"/>
      <c r="C1367" s="233"/>
      <c r="D1367" s="233"/>
      <c r="E1367" s="201"/>
      <c r="F1367" s="206"/>
      <c r="G1367" s="206"/>
      <c r="H1367" s="253"/>
      <c r="I1367" s="201"/>
      <c r="J1367" s="254"/>
      <c r="K1367" s="254"/>
      <c r="L1367" s="206"/>
      <c r="M1367" s="201"/>
      <c r="N1367" s="206"/>
      <c r="O1367" s="255"/>
      <c r="P1367" s="256"/>
      <c r="Q1367" s="256"/>
      <c r="R1367" s="201"/>
      <c r="S1367" s="201"/>
      <c r="T1367" s="201"/>
    </row>
    <row r="1368">
      <c r="A1368" s="252"/>
      <c r="B1368" s="202"/>
      <c r="C1368" s="233"/>
      <c r="D1368" s="233"/>
      <c r="E1368" s="201"/>
      <c r="F1368" s="206"/>
      <c r="G1368" s="206"/>
      <c r="H1368" s="253"/>
      <c r="I1368" s="201"/>
      <c r="J1368" s="254"/>
      <c r="K1368" s="254"/>
      <c r="L1368" s="206"/>
      <c r="M1368" s="201"/>
      <c r="N1368" s="206"/>
      <c r="O1368" s="255"/>
      <c r="P1368" s="256"/>
      <c r="Q1368" s="256"/>
      <c r="R1368" s="201"/>
      <c r="S1368" s="201"/>
      <c r="T1368" s="201"/>
    </row>
    <row r="1369">
      <c r="A1369" s="252"/>
      <c r="B1369" s="202"/>
      <c r="C1369" s="233"/>
      <c r="D1369" s="233"/>
      <c r="E1369" s="201"/>
      <c r="F1369" s="206"/>
      <c r="G1369" s="206"/>
      <c r="H1369" s="253"/>
      <c r="I1369" s="201"/>
      <c r="J1369" s="254"/>
      <c r="K1369" s="254"/>
      <c r="L1369" s="206"/>
      <c r="M1369" s="201"/>
      <c r="N1369" s="206"/>
      <c r="O1369" s="255"/>
      <c r="P1369" s="256"/>
      <c r="Q1369" s="256"/>
      <c r="R1369" s="201"/>
      <c r="S1369" s="201"/>
      <c r="T1369" s="201"/>
    </row>
    <row r="1370">
      <c r="A1370" s="252"/>
      <c r="B1370" s="202"/>
      <c r="C1370" s="233"/>
      <c r="D1370" s="233"/>
      <c r="E1370" s="201"/>
      <c r="F1370" s="206"/>
      <c r="G1370" s="206"/>
      <c r="H1370" s="253"/>
      <c r="I1370" s="201"/>
      <c r="J1370" s="254"/>
      <c r="K1370" s="254"/>
      <c r="L1370" s="206"/>
      <c r="M1370" s="201"/>
      <c r="N1370" s="206"/>
      <c r="O1370" s="255"/>
      <c r="P1370" s="256"/>
      <c r="Q1370" s="256"/>
      <c r="R1370" s="201"/>
      <c r="S1370" s="201"/>
      <c r="T1370" s="201"/>
    </row>
    <row r="1371">
      <c r="A1371" s="252"/>
      <c r="B1371" s="202"/>
      <c r="C1371" s="233"/>
      <c r="D1371" s="233"/>
      <c r="E1371" s="201"/>
      <c r="F1371" s="206"/>
      <c r="G1371" s="206"/>
      <c r="H1371" s="253"/>
      <c r="I1371" s="201"/>
      <c r="J1371" s="254"/>
      <c r="K1371" s="254"/>
      <c r="L1371" s="206"/>
      <c r="M1371" s="201"/>
      <c r="N1371" s="206"/>
      <c r="O1371" s="255"/>
      <c r="P1371" s="256"/>
      <c r="Q1371" s="256"/>
      <c r="R1371" s="201"/>
      <c r="S1371" s="201"/>
      <c r="T1371" s="201"/>
    </row>
    <row r="1372">
      <c r="A1372" s="252"/>
      <c r="B1372" s="202"/>
      <c r="C1372" s="233"/>
      <c r="D1372" s="233"/>
      <c r="E1372" s="201"/>
      <c r="F1372" s="206"/>
      <c r="G1372" s="206"/>
      <c r="H1372" s="253"/>
      <c r="I1372" s="201"/>
      <c r="J1372" s="254"/>
      <c r="K1372" s="254"/>
      <c r="L1372" s="206"/>
      <c r="M1372" s="201"/>
      <c r="N1372" s="206"/>
      <c r="O1372" s="255"/>
      <c r="P1372" s="256"/>
      <c r="Q1372" s="256"/>
      <c r="R1372" s="201"/>
      <c r="S1372" s="201"/>
      <c r="T1372" s="201"/>
    </row>
    <row r="1373">
      <c r="A1373" s="252"/>
      <c r="B1373" s="202"/>
      <c r="C1373" s="233"/>
      <c r="D1373" s="233"/>
      <c r="E1373" s="201"/>
      <c r="F1373" s="206"/>
      <c r="G1373" s="206"/>
      <c r="H1373" s="253"/>
      <c r="I1373" s="201"/>
      <c r="J1373" s="254"/>
      <c r="K1373" s="254"/>
      <c r="L1373" s="206"/>
      <c r="M1373" s="201"/>
      <c r="N1373" s="206"/>
      <c r="O1373" s="255"/>
      <c r="P1373" s="256"/>
      <c r="Q1373" s="256"/>
      <c r="R1373" s="201"/>
      <c r="S1373" s="201"/>
      <c r="T1373" s="201"/>
    </row>
    <row r="1374">
      <c r="A1374" s="252"/>
      <c r="B1374" s="202"/>
      <c r="C1374" s="233"/>
      <c r="D1374" s="233"/>
      <c r="E1374" s="201"/>
      <c r="F1374" s="206"/>
      <c r="G1374" s="206"/>
      <c r="H1374" s="253"/>
      <c r="I1374" s="201"/>
      <c r="J1374" s="254"/>
      <c r="K1374" s="254"/>
      <c r="L1374" s="206"/>
      <c r="M1374" s="201"/>
      <c r="N1374" s="206"/>
      <c r="O1374" s="255"/>
      <c r="P1374" s="256"/>
      <c r="Q1374" s="256"/>
      <c r="R1374" s="201"/>
      <c r="S1374" s="201"/>
      <c r="T1374" s="201"/>
    </row>
    <row r="1375">
      <c r="A1375" s="252"/>
      <c r="B1375" s="202"/>
      <c r="C1375" s="233"/>
      <c r="D1375" s="233"/>
      <c r="E1375" s="201"/>
      <c r="F1375" s="206"/>
      <c r="G1375" s="206"/>
      <c r="H1375" s="253"/>
      <c r="I1375" s="201"/>
      <c r="J1375" s="254"/>
      <c r="K1375" s="254"/>
      <c r="L1375" s="206"/>
      <c r="M1375" s="201"/>
      <c r="N1375" s="206"/>
      <c r="O1375" s="255"/>
      <c r="P1375" s="256"/>
      <c r="Q1375" s="256"/>
      <c r="R1375" s="201"/>
      <c r="S1375" s="201"/>
      <c r="T1375" s="201"/>
    </row>
    <row r="1376">
      <c r="A1376" s="252"/>
      <c r="B1376" s="202"/>
      <c r="C1376" s="233"/>
      <c r="D1376" s="233"/>
      <c r="E1376" s="201"/>
      <c r="F1376" s="206"/>
      <c r="G1376" s="206"/>
      <c r="H1376" s="253"/>
      <c r="I1376" s="201"/>
      <c r="J1376" s="254"/>
      <c r="K1376" s="254"/>
      <c r="L1376" s="206"/>
      <c r="M1376" s="201"/>
      <c r="N1376" s="206"/>
      <c r="O1376" s="255"/>
      <c r="P1376" s="256"/>
      <c r="Q1376" s="256"/>
      <c r="R1376" s="201"/>
      <c r="S1376" s="201"/>
      <c r="T1376" s="201"/>
    </row>
    <row r="1377">
      <c r="A1377" s="252"/>
      <c r="B1377" s="202"/>
      <c r="C1377" s="233"/>
      <c r="D1377" s="233"/>
      <c r="E1377" s="201"/>
      <c r="F1377" s="206"/>
      <c r="G1377" s="206"/>
      <c r="H1377" s="253"/>
      <c r="I1377" s="201"/>
      <c r="J1377" s="254"/>
      <c r="K1377" s="254"/>
      <c r="L1377" s="206"/>
      <c r="M1377" s="201"/>
      <c r="N1377" s="206"/>
      <c r="O1377" s="255"/>
      <c r="P1377" s="256"/>
      <c r="Q1377" s="256"/>
      <c r="R1377" s="201"/>
      <c r="S1377" s="201"/>
      <c r="T1377" s="201"/>
    </row>
    <row r="1378">
      <c r="A1378" s="252"/>
      <c r="B1378" s="202"/>
      <c r="C1378" s="233"/>
      <c r="D1378" s="233"/>
      <c r="E1378" s="201"/>
      <c r="F1378" s="206"/>
      <c r="G1378" s="206"/>
      <c r="H1378" s="253"/>
      <c r="I1378" s="201"/>
      <c r="J1378" s="254"/>
      <c r="K1378" s="254"/>
      <c r="L1378" s="206"/>
      <c r="M1378" s="201"/>
      <c r="N1378" s="206"/>
      <c r="O1378" s="255"/>
      <c r="P1378" s="256"/>
      <c r="Q1378" s="256"/>
      <c r="R1378" s="201"/>
      <c r="S1378" s="201"/>
      <c r="T1378" s="201"/>
    </row>
    <row r="1379">
      <c r="A1379" s="252"/>
      <c r="B1379" s="202"/>
      <c r="C1379" s="233"/>
      <c r="D1379" s="233"/>
      <c r="E1379" s="201"/>
      <c r="F1379" s="206"/>
      <c r="G1379" s="206"/>
      <c r="H1379" s="253"/>
      <c r="I1379" s="201"/>
      <c r="J1379" s="254"/>
      <c r="K1379" s="254"/>
      <c r="L1379" s="206"/>
      <c r="M1379" s="201"/>
      <c r="N1379" s="206"/>
      <c r="O1379" s="255"/>
      <c r="P1379" s="256"/>
      <c r="Q1379" s="256"/>
      <c r="R1379" s="201"/>
      <c r="S1379" s="201"/>
      <c r="T1379" s="201"/>
    </row>
    <row r="1380">
      <c r="A1380" s="252"/>
      <c r="B1380" s="202"/>
      <c r="C1380" s="233"/>
      <c r="D1380" s="233"/>
      <c r="E1380" s="201"/>
      <c r="F1380" s="206"/>
      <c r="G1380" s="206"/>
      <c r="H1380" s="253"/>
      <c r="I1380" s="201"/>
      <c r="J1380" s="254"/>
      <c r="K1380" s="254"/>
      <c r="L1380" s="206"/>
      <c r="M1380" s="201"/>
      <c r="N1380" s="206"/>
      <c r="O1380" s="255"/>
      <c r="P1380" s="256"/>
      <c r="Q1380" s="256"/>
      <c r="R1380" s="201"/>
      <c r="S1380" s="201"/>
      <c r="T1380" s="201"/>
    </row>
    <row r="1381">
      <c r="A1381" s="252"/>
      <c r="B1381" s="202"/>
      <c r="C1381" s="233"/>
      <c r="D1381" s="233"/>
      <c r="E1381" s="201"/>
      <c r="F1381" s="206"/>
      <c r="G1381" s="206"/>
      <c r="H1381" s="253"/>
      <c r="I1381" s="201"/>
      <c r="J1381" s="254"/>
      <c r="K1381" s="254"/>
      <c r="L1381" s="206"/>
      <c r="M1381" s="201"/>
      <c r="N1381" s="206"/>
      <c r="O1381" s="255"/>
      <c r="P1381" s="256"/>
      <c r="Q1381" s="256"/>
      <c r="R1381" s="201"/>
      <c r="S1381" s="201"/>
      <c r="T1381" s="201"/>
    </row>
    <row r="1382">
      <c r="A1382" s="252"/>
      <c r="B1382" s="202"/>
      <c r="C1382" s="233"/>
      <c r="D1382" s="233"/>
      <c r="E1382" s="201"/>
      <c r="F1382" s="206"/>
      <c r="G1382" s="206"/>
      <c r="H1382" s="253"/>
      <c r="I1382" s="201"/>
      <c r="J1382" s="254"/>
      <c r="K1382" s="254"/>
      <c r="L1382" s="206"/>
      <c r="M1382" s="201"/>
      <c r="N1382" s="206"/>
      <c r="O1382" s="255"/>
      <c r="P1382" s="256"/>
      <c r="Q1382" s="256"/>
      <c r="R1382" s="201"/>
      <c r="S1382" s="201"/>
      <c r="T1382" s="201"/>
    </row>
    <row r="1383">
      <c r="A1383" s="252"/>
      <c r="B1383" s="202"/>
      <c r="C1383" s="233"/>
      <c r="D1383" s="233"/>
      <c r="E1383" s="201"/>
      <c r="F1383" s="206"/>
      <c r="G1383" s="206"/>
      <c r="H1383" s="253"/>
      <c r="I1383" s="201"/>
      <c r="J1383" s="254"/>
      <c r="K1383" s="254"/>
      <c r="L1383" s="206"/>
      <c r="M1383" s="201"/>
      <c r="N1383" s="206"/>
      <c r="O1383" s="255"/>
      <c r="P1383" s="256"/>
      <c r="Q1383" s="256"/>
      <c r="R1383" s="201"/>
      <c r="S1383" s="201"/>
      <c r="T1383" s="201"/>
    </row>
    <row r="1384">
      <c r="A1384" s="252"/>
      <c r="B1384" s="202"/>
      <c r="C1384" s="233"/>
      <c r="D1384" s="233"/>
      <c r="E1384" s="201"/>
      <c r="F1384" s="206"/>
      <c r="G1384" s="206"/>
      <c r="H1384" s="253"/>
      <c r="I1384" s="201"/>
      <c r="J1384" s="254"/>
      <c r="K1384" s="254"/>
      <c r="L1384" s="206"/>
      <c r="M1384" s="201"/>
      <c r="N1384" s="206"/>
      <c r="O1384" s="255"/>
      <c r="P1384" s="256"/>
      <c r="Q1384" s="256"/>
      <c r="R1384" s="201"/>
      <c r="S1384" s="201"/>
      <c r="T1384" s="201"/>
    </row>
    <row r="1385">
      <c r="A1385" s="252"/>
      <c r="B1385" s="202"/>
      <c r="C1385" s="233"/>
      <c r="D1385" s="233"/>
      <c r="E1385" s="201"/>
      <c r="F1385" s="206"/>
      <c r="G1385" s="206"/>
      <c r="H1385" s="253"/>
      <c r="I1385" s="201"/>
      <c r="J1385" s="254"/>
      <c r="K1385" s="254"/>
      <c r="L1385" s="206"/>
      <c r="M1385" s="201"/>
      <c r="N1385" s="206"/>
      <c r="O1385" s="255"/>
      <c r="P1385" s="256"/>
      <c r="Q1385" s="256"/>
      <c r="R1385" s="201"/>
      <c r="S1385" s="201"/>
      <c r="T1385" s="201"/>
    </row>
    <row r="1386">
      <c r="A1386" s="252"/>
      <c r="B1386" s="202"/>
      <c r="C1386" s="233"/>
      <c r="D1386" s="233"/>
      <c r="E1386" s="201"/>
      <c r="F1386" s="206"/>
      <c r="G1386" s="206"/>
      <c r="H1386" s="253"/>
      <c r="I1386" s="201"/>
      <c r="J1386" s="254"/>
      <c r="K1386" s="254"/>
      <c r="L1386" s="206"/>
      <c r="M1386" s="201"/>
      <c r="N1386" s="206"/>
      <c r="O1386" s="255"/>
      <c r="P1386" s="256"/>
      <c r="Q1386" s="256"/>
      <c r="R1386" s="201"/>
      <c r="S1386" s="201"/>
      <c r="T1386" s="201"/>
    </row>
    <row r="1387">
      <c r="A1387" s="252"/>
      <c r="B1387" s="202"/>
      <c r="C1387" s="233"/>
      <c r="D1387" s="233"/>
      <c r="E1387" s="201"/>
      <c r="F1387" s="206"/>
      <c r="G1387" s="206"/>
      <c r="H1387" s="253"/>
      <c r="I1387" s="201"/>
      <c r="J1387" s="254"/>
      <c r="K1387" s="254"/>
      <c r="L1387" s="206"/>
      <c r="M1387" s="201"/>
      <c r="N1387" s="206"/>
      <c r="O1387" s="255"/>
      <c r="P1387" s="256"/>
      <c r="Q1387" s="256"/>
      <c r="R1387" s="201"/>
      <c r="S1387" s="201"/>
      <c r="T1387" s="201"/>
    </row>
    <row r="1388">
      <c r="A1388" s="252"/>
      <c r="B1388" s="202"/>
      <c r="C1388" s="233"/>
      <c r="D1388" s="233"/>
      <c r="E1388" s="201"/>
      <c r="F1388" s="206"/>
      <c r="G1388" s="206"/>
      <c r="H1388" s="253"/>
      <c r="I1388" s="201"/>
      <c r="J1388" s="254"/>
      <c r="K1388" s="254"/>
      <c r="L1388" s="206"/>
      <c r="M1388" s="201"/>
      <c r="N1388" s="206"/>
      <c r="O1388" s="255"/>
      <c r="P1388" s="256"/>
      <c r="Q1388" s="256"/>
      <c r="R1388" s="201"/>
      <c r="S1388" s="201"/>
      <c r="T1388" s="201"/>
    </row>
    <row r="1389">
      <c r="A1389" s="252"/>
      <c r="B1389" s="202"/>
      <c r="C1389" s="233"/>
      <c r="D1389" s="233"/>
      <c r="E1389" s="201"/>
      <c r="F1389" s="206"/>
      <c r="G1389" s="206"/>
      <c r="H1389" s="253"/>
      <c r="I1389" s="201"/>
      <c r="J1389" s="254"/>
      <c r="K1389" s="254"/>
      <c r="L1389" s="206"/>
      <c r="M1389" s="201"/>
      <c r="N1389" s="206"/>
      <c r="O1389" s="255"/>
      <c r="P1389" s="256"/>
      <c r="Q1389" s="256"/>
      <c r="R1389" s="201"/>
      <c r="S1389" s="201"/>
      <c r="T1389" s="201"/>
    </row>
    <row r="1390">
      <c r="A1390" s="252"/>
      <c r="B1390" s="202"/>
      <c r="C1390" s="233"/>
      <c r="D1390" s="233"/>
      <c r="E1390" s="201"/>
      <c r="F1390" s="206"/>
      <c r="G1390" s="206"/>
      <c r="H1390" s="253"/>
      <c r="I1390" s="201"/>
      <c r="J1390" s="254"/>
      <c r="K1390" s="254"/>
      <c r="L1390" s="206"/>
      <c r="M1390" s="201"/>
      <c r="N1390" s="206"/>
      <c r="O1390" s="255"/>
      <c r="P1390" s="256"/>
      <c r="Q1390" s="256"/>
      <c r="R1390" s="201"/>
      <c r="S1390" s="201"/>
      <c r="T1390" s="201"/>
    </row>
    <row r="1391">
      <c r="A1391" s="252"/>
      <c r="B1391" s="202"/>
      <c r="C1391" s="233"/>
      <c r="D1391" s="233"/>
      <c r="E1391" s="201"/>
      <c r="F1391" s="206"/>
      <c r="G1391" s="206"/>
      <c r="H1391" s="253"/>
      <c r="I1391" s="201"/>
      <c r="J1391" s="254"/>
      <c r="K1391" s="254"/>
      <c r="L1391" s="206"/>
      <c r="M1391" s="201"/>
      <c r="N1391" s="206"/>
      <c r="O1391" s="255"/>
      <c r="P1391" s="256"/>
      <c r="Q1391" s="256"/>
      <c r="R1391" s="201"/>
      <c r="S1391" s="201"/>
      <c r="T1391" s="201"/>
    </row>
    <row r="1392">
      <c r="A1392" s="252"/>
      <c r="B1392" s="202"/>
      <c r="C1392" s="233"/>
      <c r="D1392" s="233"/>
      <c r="E1392" s="201"/>
      <c r="F1392" s="206"/>
      <c r="G1392" s="206"/>
      <c r="H1392" s="253"/>
      <c r="I1392" s="201"/>
      <c r="J1392" s="254"/>
      <c r="K1392" s="254"/>
      <c r="L1392" s="206"/>
      <c r="M1392" s="201"/>
      <c r="N1392" s="206"/>
      <c r="O1392" s="255"/>
      <c r="P1392" s="256"/>
      <c r="Q1392" s="256"/>
      <c r="R1392" s="201"/>
      <c r="S1392" s="201"/>
      <c r="T1392" s="201"/>
    </row>
    <row r="1393">
      <c r="A1393" s="252"/>
      <c r="B1393" s="202"/>
      <c r="C1393" s="233"/>
      <c r="D1393" s="233"/>
      <c r="E1393" s="201"/>
      <c r="F1393" s="206"/>
      <c r="G1393" s="206"/>
      <c r="H1393" s="253"/>
      <c r="I1393" s="201"/>
      <c r="J1393" s="254"/>
      <c r="K1393" s="254"/>
      <c r="L1393" s="206"/>
      <c r="M1393" s="201"/>
      <c r="N1393" s="206"/>
      <c r="O1393" s="255"/>
      <c r="P1393" s="256"/>
      <c r="Q1393" s="256"/>
      <c r="R1393" s="201"/>
      <c r="S1393" s="201"/>
      <c r="T1393" s="201"/>
    </row>
    <row r="1394">
      <c r="A1394" s="252"/>
      <c r="B1394" s="202"/>
      <c r="C1394" s="233"/>
      <c r="D1394" s="233"/>
      <c r="E1394" s="201"/>
      <c r="F1394" s="206"/>
      <c r="G1394" s="206"/>
      <c r="H1394" s="253"/>
      <c r="I1394" s="201"/>
      <c r="J1394" s="254"/>
      <c r="K1394" s="254"/>
      <c r="L1394" s="206"/>
      <c r="M1394" s="201"/>
      <c r="N1394" s="206"/>
      <c r="O1394" s="255"/>
      <c r="P1394" s="256"/>
      <c r="Q1394" s="256"/>
      <c r="R1394" s="201"/>
      <c r="S1394" s="201"/>
      <c r="T1394" s="201"/>
    </row>
    <row r="1395">
      <c r="A1395" s="252"/>
      <c r="B1395" s="202"/>
      <c r="C1395" s="233"/>
      <c r="D1395" s="233"/>
      <c r="E1395" s="201"/>
      <c r="F1395" s="206"/>
      <c r="G1395" s="206"/>
      <c r="H1395" s="253"/>
      <c r="I1395" s="201"/>
      <c r="J1395" s="254"/>
      <c r="K1395" s="254"/>
      <c r="L1395" s="206"/>
      <c r="M1395" s="201"/>
      <c r="N1395" s="206"/>
      <c r="O1395" s="255"/>
      <c r="P1395" s="256"/>
      <c r="Q1395" s="256"/>
      <c r="R1395" s="201"/>
      <c r="S1395" s="201"/>
      <c r="T1395" s="201"/>
    </row>
    <row r="1396">
      <c r="A1396" s="252"/>
      <c r="B1396" s="202"/>
      <c r="C1396" s="233"/>
      <c r="D1396" s="233"/>
      <c r="E1396" s="201"/>
      <c r="F1396" s="206"/>
      <c r="G1396" s="206"/>
      <c r="H1396" s="253"/>
      <c r="I1396" s="201"/>
      <c r="J1396" s="254"/>
      <c r="K1396" s="254"/>
      <c r="L1396" s="206"/>
      <c r="M1396" s="201"/>
      <c r="N1396" s="206"/>
      <c r="O1396" s="255"/>
      <c r="P1396" s="256"/>
      <c r="Q1396" s="256"/>
      <c r="R1396" s="201"/>
      <c r="S1396" s="201"/>
      <c r="T1396" s="201"/>
    </row>
    <row r="1397">
      <c r="A1397" s="252"/>
      <c r="B1397" s="202"/>
      <c r="C1397" s="233"/>
      <c r="D1397" s="233"/>
      <c r="E1397" s="201"/>
      <c r="F1397" s="206"/>
      <c r="G1397" s="206"/>
      <c r="H1397" s="253"/>
      <c r="I1397" s="201"/>
      <c r="J1397" s="254"/>
      <c r="K1397" s="254"/>
      <c r="L1397" s="206"/>
      <c r="M1397" s="201"/>
      <c r="N1397" s="206"/>
      <c r="O1397" s="255"/>
      <c r="P1397" s="256"/>
      <c r="Q1397" s="256"/>
      <c r="R1397" s="201"/>
      <c r="S1397" s="201"/>
      <c r="T1397" s="201"/>
    </row>
    <row r="1398">
      <c r="A1398" s="252"/>
      <c r="B1398" s="202"/>
      <c r="C1398" s="233"/>
      <c r="D1398" s="233"/>
      <c r="E1398" s="201"/>
      <c r="F1398" s="206"/>
      <c r="G1398" s="206"/>
      <c r="H1398" s="253"/>
      <c r="I1398" s="201"/>
      <c r="J1398" s="254"/>
      <c r="K1398" s="254"/>
      <c r="L1398" s="206"/>
      <c r="M1398" s="201"/>
      <c r="N1398" s="206"/>
      <c r="O1398" s="255"/>
      <c r="P1398" s="256"/>
      <c r="Q1398" s="256"/>
      <c r="R1398" s="201"/>
      <c r="S1398" s="201"/>
      <c r="T1398" s="201"/>
    </row>
    <row r="1399">
      <c r="A1399" s="252"/>
      <c r="B1399" s="202"/>
      <c r="C1399" s="233"/>
      <c r="D1399" s="233"/>
      <c r="E1399" s="201"/>
      <c r="F1399" s="206"/>
      <c r="G1399" s="206"/>
      <c r="H1399" s="253"/>
      <c r="I1399" s="201"/>
      <c r="J1399" s="254"/>
      <c r="K1399" s="254"/>
      <c r="L1399" s="206"/>
      <c r="M1399" s="201"/>
      <c r="N1399" s="206"/>
      <c r="O1399" s="255"/>
      <c r="P1399" s="256"/>
      <c r="Q1399" s="256"/>
      <c r="R1399" s="201"/>
      <c r="S1399" s="201"/>
      <c r="T1399" s="201"/>
    </row>
    <row r="1400">
      <c r="A1400" s="252"/>
      <c r="B1400" s="202"/>
      <c r="C1400" s="233"/>
      <c r="D1400" s="233"/>
      <c r="E1400" s="201"/>
      <c r="F1400" s="206"/>
      <c r="G1400" s="206"/>
      <c r="H1400" s="253"/>
      <c r="I1400" s="201"/>
      <c r="J1400" s="254"/>
      <c r="K1400" s="254"/>
      <c r="L1400" s="206"/>
      <c r="M1400" s="201"/>
      <c r="N1400" s="206"/>
      <c r="O1400" s="255"/>
      <c r="P1400" s="256"/>
      <c r="Q1400" s="256"/>
      <c r="R1400" s="201"/>
      <c r="S1400" s="201"/>
      <c r="T1400" s="201"/>
    </row>
    <row r="1401">
      <c r="A1401" s="252"/>
      <c r="B1401" s="202"/>
      <c r="C1401" s="233"/>
      <c r="D1401" s="233"/>
      <c r="E1401" s="201"/>
      <c r="F1401" s="206"/>
      <c r="G1401" s="206"/>
      <c r="H1401" s="253"/>
      <c r="I1401" s="201"/>
      <c r="J1401" s="254"/>
      <c r="K1401" s="254"/>
      <c r="L1401" s="206"/>
      <c r="M1401" s="201"/>
      <c r="N1401" s="206"/>
      <c r="O1401" s="255"/>
      <c r="P1401" s="256"/>
      <c r="Q1401" s="256"/>
      <c r="R1401" s="201"/>
      <c r="S1401" s="201"/>
      <c r="T1401" s="201"/>
    </row>
    <row r="1402">
      <c r="A1402" s="252"/>
      <c r="B1402" s="202"/>
      <c r="C1402" s="233"/>
      <c r="D1402" s="233"/>
      <c r="E1402" s="201"/>
      <c r="F1402" s="206"/>
      <c r="G1402" s="206"/>
      <c r="H1402" s="253"/>
      <c r="I1402" s="201"/>
      <c r="J1402" s="254"/>
      <c r="K1402" s="254"/>
      <c r="L1402" s="206"/>
      <c r="M1402" s="201"/>
      <c r="N1402" s="206"/>
      <c r="O1402" s="255"/>
      <c r="P1402" s="256"/>
      <c r="Q1402" s="256"/>
      <c r="R1402" s="201"/>
      <c r="S1402" s="201"/>
      <c r="T1402" s="201"/>
    </row>
    <row r="1403">
      <c r="A1403" s="252"/>
      <c r="B1403" s="202"/>
      <c r="C1403" s="233"/>
      <c r="D1403" s="233"/>
      <c r="E1403" s="201"/>
      <c r="F1403" s="206"/>
      <c r="G1403" s="206"/>
      <c r="H1403" s="253"/>
      <c r="I1403" s="201"/>
      <c r="J1403" s="254"/>
      <c r="K1403" s="254"/>
      <c r="L1403" s="206"/>
      <c r="M1403" s="201"/>
      <c r="N1403" s="206"/>
      <c r="O1403" s="255"/>
      <c r="P1403" s="256"/>
      <c r="Q1403" s="256"/>
      <c r="R1403" s="201"/>
      <c r="S1403" s="201"/>
      <c r="T1403" s="201"/>
    </row>
    <row r="1404">
      <c r="A1404" s="252"/>
      <c r="B1404" s="202"/>
      <c r="C1404" s="233"/>
      <c r="D1404" s="233"/>
      <c r="E1404" s="201"/>
      <c r="F1404" s="206"/>
      <c r="G1404" s="206"/>
      <c r="H1404" s="253"/>
      <c r="I1404" s="201"/>
      <c r="J1404" s="254"/>
      <c r="K1404" s="254"/>
      <c r="L1404" s="206"/>
      <c r="M1404" s="201"/>
      <c r="N1404" s="206"/>
      <c r="O1404" s="255"/>
      <c r="P1404" s="256"/>
      <c r="Q1404" s="256"/>
      <c r="R1404" s="201"/>
      <c r="S1404" s="201"/>
      <c r="T1404" s="201"/>
    </row>
    <row r="1405">
      <c r="A1405" s="252"/>
      <c r="B1405" s="202"/>
      <c r="C1405" s="233"/>
      <c r="D1405" s="233"/>
      <c r="E1405" s="201"/>
      <c r="F1405" s="206"/>
      <c r="G1405" s="206"/>
      <c r="H1405" s="253"/>
      <c r="I1405" s="201"/>
      <c r="J1405" s="254"/>
      <c r="K1405" s="254"/>
      <c r="L1405" s="206"/>
      <c r="M1405" s="201"/>
      <c r="N1405" s="206"/>
      <c r="O1405" s="255"/>
      <c r="P1405" s="256"/>
      <c r="Q1405" s="256"/>
      <c r="R1405" s="201"/>
      <c r="S1405" s="201"/>
      <c r="T1405" s="201"/>
    </row>
    <row r="1406">
      <c r="A1406" s="252"/>
      <c r="B1406" s="202"/>
      <c r="C1406" s="233"/>
      <c r="D1406" s="233"/>
      <c r="E1406" s="201"/>
      <c r="F1406" s="206"/>
      <c r="G1406" s="206"/>
      <c r="H1406" s="253"/>
      <c r="I1406" s="201"/>
      <c r="J1406" s="254"/>
      <c r="K1406" s="254"/>
      <c r="L1406" s="206"/>
      <c r="M1406" s="201"/>
      <c r="N1406" s="206"/>
      <c r="O1406" s="255"/>
      <c r="P1406" s="256"/>
      <c r="Q1406" s="256"/>
      <c r="R1406" s="201"/>
      <c r="S1406" s="201"/>
      <c r="T1406" s="201"/>
    </row>
    <row r="1407">
      <c r="A1407" s="252"/>
      <c r="B1407" s="202"/>
      <c r="C1407" s="233"/>
      <c r="D1407" s="233"/>
      <c r="E1407" s="201"/>
      <c r="F1407" s="206"/>
      <c r="G1407" s="206"/>
      <c r="H1407" s="253"/>
      <c r="I1407" s="201"/>
      <c r="J1407" s="254"/>
      <c r="K1407" s="254"/>
      <c r="L1407" s="206"/>
      <c r="M1407" s="201"/>
      <c r="N1407" s="206"/>
      <c r="O1407" s="255"/>
      <c r="P1407" s="256"/>
      <c r="Q1407" s="256"/>
      <c r="R1407" s="201"/>
      <c r="S1407" s="201"/>
      <c r="T1407" s="201"/>
    </row>
    <row r="1408">
      <c r="A1408" s="252"/>
      <c r="B1408" s="202"/>
      <c r="C1408" s="233"/>
      <c r="D1408" s="233"/>
      <c r="E1408" s="201"/>
      <c r="F1408" s="206"/>
      <c r="G1408" s="206"/>
      <c r="H1408" s="253"/>
      <c r="I1408" s="201"/>
      <c r="J1408" s="254"/>
      <c r="K1408" s="254"/>
      <c r="L1408" s="206"/>
      <c r="M1408" s="201"/>
      <c r="N1408" s="206"/>
      <c r="O1408" s="255"/>
      <c r="P1408" s="256"/>
      <c r="Q1408" s="256"/>
      <c r="R1408" s="201"/>
      <c r="S1408" s="201"/>
      <c r="T1408" s="201"/>
    </row>
    <row r="1409">
      <c r="A1409" s="252"/>
      <c r="B1409" s="202"/>
      <c r="C1409" s="233"/>
      <c r="D1409" s="233"/>
      <c r="E1409" s="201"/>
      <c r="F1409" s="206"/>
      <c r="G1409" s="206"/>
      <c r="H1409" s="253"/>
      <c r="I1409" s="201"/>
      <c r="J1409" s="254"/>
      <c r="K1409" s="254"/>
      <c r="L1409" s="206"/>
      <c r="M1409" s="201"/>
      <c r="N1409" s="206"/>
      <c r="O1409" s="255"/>
      <c r="P1409" s="256"/>
      <c r="Q1409" s="256"/>
      <c r="R1409" s="201"/>
      <c r="S1409" s="201"/>
      <c r="T1409" s="201"/>
    </row>
    <row r="1410">
      <c r="A1410" s="252"/>
      <c r="B1410" s="202"/>
      <c r="C1410" s="233"/>
      <c r="D1410" s="233"/>
      <c r="E1410" s="201"/>
      <c r="F1410" s="206"/>
      <c r="G1410" s="206"/>
      <c r="H1410" s="253"/>
      <c r="I1410" s="201"/>
      <c r="J1410" s="254"/>
      <c r="K1410" s="254"/>
      <c r="L1410" s="206"/>
      <c r="M1410" s="201"/>
      <c r="N1410" s="206"/>
      <c r="O1410" s="255"/>
      <c r="P1410" s="256"/>
      <c r="Q1410" s="256"/>
      <c r="R1410" s="201"/>
      <c r="S1410" s="201"/>
      <c r="T1410" s="201"/>
    </row>
    <row r="1411">
      <c r="A1411" s="252"/>
      <c r="B1411" s="202"/>
      <c r="C1411" s="233"/>
      <c r="D1411" s="233"/>
      <c r="E1411" s="201"/>
      <c r="F1411" s="206"/>
      <c r="G1411" s="206"/>
      <c r="H1411" s="253"/>
      <c r="I1411" s="201"/>
      <c r="J1411" s="254"/>
      <c r="K1411" s="254"/>
      <c r="L1411" s="206"/>
      <c r="M1411" s="201"/>
      <c r="N1411" s="206"/>
      <c r="O1411" s="255"/>
      <c r="P1411" s="256"/>
      <c r="Q1411" s="256"/>
      <c r="R1411" s="201"/>
      <c r="S1411" s="201"/>
      <c r="T1411" s="201"/>
    </row>
    <row r="1412">
      <c r="A1412" s="252"/>
      <c r="B1412" s="202"/>
      <c r="C1412" s="233"/>
      <c r="D1412" s="233"/>
      <c r="E1412" s="201"/>
      <c r="F1412" s="206"/>
      <c r="G1412" s="206"/>
      <c r="H1412" s="253"/>
      <c r="I1412" s="201"/>
      <c r="J1412" s="254"/>
      <c r="K1412" s="254"/>
      <c r="L1412" s="206"/>
      <c r="M1412" s="201"/>
      <c r="N1412" s="206"/>
      <c r="O1412" s="255"/>
      <c r="P1412" s="256"/>
      <c r="Q1412" s="256"/>
      <c r="R1412" s="201"/>
      <c r="S1412" s="201"/>
      <c r="T1412" s="201"/>
    </row>
    <row r="1413">
      <c r="A1413" s="252"/>
      <c r="B1413" s="202"/>
      <c r="C1413" s="233"/>
      <c r="D1413" s="233"/>
      <c r="E1413" s="201"/>
      <c r="F1413" s="206"/>
      <c r="G1413" s="206"/>
      <c r="H1413" s="253"/>
      <c r="I1413" s="201"/>
      <c r="J1413" s="254"/>
      <c r="K1413" s="254"/>
      <c r="L1413" s="206"/>
      <c r="M1413" s="201"/>
      <c r="N1413" s="206"/>
      <c r="O1413" s="255"/>
      <c r="P1413" s="256"/>
      <c r="Q1413" s="256"/>
      <c r="R1413" s="201"/>
      <c r="S1413" s="201"/>
      <c r="T1413" s="201"/>
    </row>
    <row r="1414">
      <c r="A1414" s="252"/>
      <c r="B1414" s="202"/>
      <c r="C1414" s="233"/>
      <c r="D1414" s="233"/>
      <c r="E1414" s="201"/>
      <c r="F1414" s="206"/>
      <c r="G1414" s="206"/>
      <c r="H1414" s="253"/>
      <c r="I1414" s="201"/>
      <c r="J1414" s="254"/>
      <c r="K1414" s="254"/>
      <c r="L1414" s="206"/>
      <c r="M1414" s="201"/>
      <c r="N1414" s="206"/>
      <c r="O1414" s="255"/>
      <c r="P1414" s="256"/>
      <c r="Q1414" s="256"/>
      <c r="R1414" s="201"/>
      <c r="S1414" s="201"/>
      <c r="T1414" s="201"/>
    </row>
    <row r="1415">
      <c r="A1415" s="252"/>
      <c r="B1415" s="202"/>
      <c r="C1415" s="233"/>
      <c r="D1415" s="233"/>
      <c r="E1415" s="201"/>
      <c r="F1415" s="206"/>
      <c r="G1415" s="206"/>
      <c r="H1415" s="253"/>
      <c r="I1415" s="201"/>
      <c r="J1415" s="254"/>
      <c r="K1415" s="254"/>
      <c r="L1415" s="206"/>
      <c r="M1415" s="201"/>
      <c r="N1415" s="206"/>
      <c r="O1415" s="255"/>
      <c r="P1415" s="256"/>
      <c r="Q1415" s="256"/>
      <c r="R1415" s="201"/>
      <c r="S1415" s="201"/>
      <c r="T1415" s="201"/>
    </row>
    <row r="1416">
      <c r="A1416" s="252"/>
      <c r="B1416" s="202"/>
      <c r="C1416" s="233"/>
      <c r="D1416" s="233"/>
      <c r="E1416" s="201"/>
      <c r="F1416" s="206"/>
      <c r="G1416" s="206"/>
      <c r="H1416" s="253"/>
      <c r="I1416" s="201"/>
      <c r="J1416" s="254"/>
      <c r="K1416" s="254"/>
      <c r="L1416" s="206"/>
      <c r="M1416" s="201"/>
      <c r="N1416" s="206"/>
      <c r="O1416" s="255"/>
      <c r="P1416" s="256"/>
      <c r="Q1416" s="256"/>
      <c r="R1416" s="201"/>
      <c r="S1416" s="201"/>
      <c r="T1416" s="201"/>
    </row>
    <row r="1417">
      <c r="A1417" s="252"/>
      <c r="B1417" s="202"/>
      <c r="C1417" s="233"/>
      <c r="D1417" s="233"/>
      <c r="E1417" s="201"/>
      <c r="F1417" s="206"/>
      <c r="G1417" s="206"/>
      <c r="H1417" s="253"/>
      <c r="I1417" s="201"/>
      <c r="J1417" s="254"/>
      <c r="K1417" s="254"/>
      <c r="L1417" s="206"/>
      <c r="M1417" s="201"/>
      <c r="N1417" s="206"/>
      <c r="O1417" s="255"/>
      <c r="P1417" s="256"/>
      <c r="Q1417" s="256"/>
      <c r="R1417" s="201"/>
      <c r="S1417" s="201"/>
      <c r="T1417" s="201"/>
    </row>
    <row r="1418">
      <c r="A1418" s="252"/>
      <c r="B1418" s="202"/>
      <c r="C1418" s="233"/>
      <c r="D1418" s="233"/>
      <c r="E1418" s="201"/>
      <c r="F1418" s="206"/>
      <c r="G1418" s="206"/>
      <c r="H1418" s="253"/>
      <c r="I1418" s="201"/>
      <c r="J1418" s="254"/>
      <c r="K1418" s="254"/>
      <c r="L1418" s="206"/>
      <c r="M1418" s="201"/>
      <c r="N1418" s="206"/>
      <c r="O1418" s="255"/>
      <c r="P1418" s="256"/>
      <c r="Q1418" s="256"/>
      <c r="R1418" s="201"/>
      <c r="S1418" s="201"/>
      <c r="T1418" s="201"/>
    </row>
    <row r="1419">
      <c r="A1419" s="252"/>
      <c r="B1419" s="202"/>
      <c r="C1419" s="233"/>
      <c r="D1419" s="233"/>
      <c r="E1419" s="201"/>
      <c r="F1419" s="206"/>
      <c r="G1419" s="206"/>
      <c r="H1419" s="253"/>
      <c r="I1419" s="201"/>
      <c r="J1419" s="254"/>
      <c r="K1419" s="254"/>
      <c r="L1419" s="206"/>
      <c r="M1419" s="201"/>
      <c r="N1419" s="206"/>
      <c r="O1419" s="255"/>
      <c r="P1419" s="256"/>
      <c r="Q1419" s="256"/>
      <c r="R1419" s="201"/>
      <c r="S1419" s="201"/>
      <c r="T1419" s="201"/>
    </row>
    <row r="1420">
      <c r="A1420" s="252"/>
      <c r="B1420" s="202"/>
      <c r="C1420" s="233"/>
      <c r="D1420" s="233"/>
      <c r="E1420" s="201"/>
      <c r="F1420" s="206"/>
      <c r="G1420" s="206"/>
      <c r="H1420" s="253"/>
      <c r="I1420" s="201"/>
      <c r="J1420" s="254"/>
      <c r="K1420" s="254"/>
      <c r="L1420" s="206"/>
      <c r="M1420" s="201"/>
      <c r="N1420" s="206"/>
      <c r="O1420" s="255"/>
      <c r="P1420" s="256"/>
      <c r="Q1420" s="256"/>
      <c r="R1420" s="201"/>
      <c r="S1420" s="201"/>
      <c r="T1420" s="201"/>
    </row>
    <row r="1421">
      <c r="A1421" s="252"/>
      <c r="B1421" s="202"/>
      <c r="C1421" s="233"/>
      <c r="D1421" s="233"/>
      <c r="E1421" s="201"/>
      <c r="F1421" s="206"/>
      <c r="G1421" s="206"/>
      <c r="H1421" s="253"/>
      <c r="I1421" s="201"/>
      <c r="J1421" s="254"/>
      <c r="K1421" s="254"/>
      <c r="L1421" s="206"/>
      <c r="M1421" s="201"/>
      <c r="N1421" s="206"/>
      <c r="O1421" s="255"/>
      <c r="P1421" s="256"/>
      <c r="Q1421" s="256"/>
      <c r="R1421" s="201"/>
      <c r="S1421" s="201"/>
      <c r="T1421" s="201"/>
    </row>
    <row r="1422">
      <c r="A1422" s="252"/>
      <c r="B1422" s="202"/>
      <c r="C1422" s="233"/>
      <c r="D1422" s="233"/>
      <c r="E1422" s="201"/>
      <c r="F1422" s="206"/>
      <c r="G1422" s="206"/>
      <c r="H1422" s="253"/>
      <c r="I1422" s="201"/>
      <c r="J1422" s="254"/>
      <c r="K1422" s="254"/>
      <c r="L1422" s="206"/>
      <c r="M1422" s="201"/>
      <c r="N1422" s="206"/>
      <c r="O1422" s="255"/>
      <c r="P1422" s="256"/>
      <c r="Q1422" s="256"/>
      <c r="R1422" s="201"/>
      <c r="S1422" s="201"/>
      <c r="T1422" s="201"/>
    </row>
    <row r="1423">
      <c r="A1423" s="252"/>
      <c r="B1423" s="202"/>
      <c r="C1423" s="233"/>
      <c r="D1423" s="233"/>
      <c r="E1423" s="201"/>
      <c r="F1423" s="206"/>
      <c r="G1423" s="206"/>
      <c r="H1423" s="253"/>
      <c r="I1423" s="201"/>
      <c r="J1423" s="254"/>
      <c r="K1423" s="254"/>
      <c r="L1423" s="206"/>
      <c r="M1423" s="201"/>
      <c r="N1423" s="206"/>
      <c r="O1423" s="255"/>
      <c r="P1423" s="256"/>
      <c r="Q1423" s="256"/>
      <c r="R1423" s="201"/>
      <c r="S1423" s="201"/>
      <c r="T1423" s="201"/>
    </row>
    <row r="1424">
      <c r="A1424" s="252"/>
      <c r="B1424" s="202"/>
      <c r="C1424" s="233"/>
      <c r="D1424" s="233"/>
      <c r="E1424" s="201"/>
      <c r="F1424" s="206"/>
      <c r="G1424" s="206"/>
      <c r="H1424" s="253"/>
      <c r="I1424" s="201"/>
      <c r="J1424" s="254"/>
      <c r="K1424" s="254"/>
      <c r="L1424" s="206"/>
      <c r="M1424" s="201"/>
      <c r="N1424" s="206"/>
      <c r="O1424" s="255"/>
      <c r="P1424" s="256"/>
      <c r="Q1424" s="256"/>
      <c r="R1424" s="201"/>
      <c r="S1424" s="201"/>
      <c r="T1424" s="201"/>
    </row>
    <row r="1425">
      <c r="A1425" s="252"/>
      <c r="B1425" s="202"/>
      <c r="C1425" s="233"/>
      <c r="D1425" s="233"/>
      <c r="E1425" s="201"/>
      <c r="F1425" s="206"/>
      <c r="G1425" s="206"/>
      <c r="H1425" s="253"/>
      <c r="I1425" s="201"/>
      <c r="J1425" s="254"/>
      <c r="K1425" s="254"/>
      <c r="L1425" s="206"/>
      <c r="M1425" s="201"/>
      <c r="N1425" s="206"/>
      <c r="O1425" s="255"/>
      <c r="P1425" s="256"/>
      <c r="Q1425" s="256"/>
      <c r="R1425" s="201"/>
      <c r="S1425" s="201"/>
      <c r="T1425" s="201"/>
    </row>
    <row r="1426">
      <c r="A1426" s="252"/>
      <c r="B1426" s="202"/>
      <c r="C1426" s="233"/>
      <c r="D1426" s="233"/>
      <c r="E1426" s="201"/>
      <c r="F1426" s="206"/>
      <c r="G1426" s="206"/>
      <c r="H1426" s="253"/>
      <c r="I1426" s="201"/>
      <c r="J1426" s="254"/>
      <c r="K1426" s="254"/>
      <c r="L1426" s="206"/>
      <c r="M1426" s="201"/>
      <c r="N1426" s="206"/>
      <c r="O1426" s="255"/>
      <c r="P1426" s="256"/>
      <c r="Q1426" s="256"/>
      <c r="R1426" s="201"/>
      <c r="S1426" s="201"/>
      <c r="T1426" s="201"/>
    </row>
    <row r="1427">
      <c r="A1427" s="252"/>
      <c r="B1427" s="202"/>
      <c r="C1427" s="233"/>
      <c r="D1427" s="233"/>
      <c r="E1427" s="201"/>
      <c r="F1427" s="206"/>
      <c r="G1427" s="206"/>
      <c r="H1427" s="253"/>
      <c r="I1427" s="201"/>
      <c r="J1427" s="254"/>
      <c r="K1427" s="254"/>
      <c r="L1427" s="206"/>
      <c r="M1427" s="201"/>
      <c r="N1427" s="206"/>
      <c r="O1427" s="255"/>
      <c r="P1427" s="256"/>
      <c r="Q1427" s="256"/>
      <c r="R1427" s="201"/>
      <c r="S1427" s="201"/>
      <c r="T1427" s="201"/>
    </row>
    <row r="1428">
      <c r="A1428" s="252"/>
      <c r="B1428" s="202"/>
      <c r="C1428" s="233"/>
      <c r="D1428" s="233"/>
      <c r="E1428" s="201"/>
      <c r="F1428" s="206"/>
      <c r="G1428" s="206"/>
      <c r="H1428" s="253"/>
      <c r="I1428" s="201"/>
      <c r="J1428" s="254"/>
      <c r="K1428" s="254"/>
      <c r="L1428" s="206"/>
      <c r="M1428" s="201"/>
      <c r="N1428" s="206"/>
      <c r="O1428" s="255"/>
      <c r="P1428" s="256"/>
      <c r="Q1428" s="256"/>
      <c r="R1428" s="201"/>
      <c r="S1428" s="201"/>
      <c r="T1428" s="201"/>
    </row>
    <row r="1429">
      <c r="A1429" s="252"/>
      <c r="B1429" s="202"/>
      <c r="C1429" s="233"/>
      <c r="D1429" s="233"/>
      <c r="E1429" s="201"/>
      <c r="F1429" s="206"/>
      <c r="G1429" s="206"/>
      <c r="H1429" s="253"/>
      <c r="I1429" s="201"/>
      <c r="J1429" s="254"/>
      <c r="K1429" s="254"/>
      <c r="L1429" s="206"/>
      <c r="M1429" s="201"/>
      <c r="N1429" s="206"/>
      <c r="O1429" s="255"/>
      <c r="P1429" s="256"/>
      <c r="Q1429" s="256"/>
      <c r="R1429" s="201"/>
      <c r="S1429" s="201"/>
      <c r="T1429" s="201"/>
    </row>
    <row r="1430">
      <c r="A1430" s="252"/>
      <c r="B1430" s="202"/>
      <c r="C1430" s="233"/>
      <c r="D1430" s="233"/>
      <c r="E1430" s="201"/>
      <c r="F1430" s="206"/>
      <c r="G1430" s="206"/>
      <c r="H1430" s="253"/>
      <c r="I1430" s="201"/>
      <c r="J1430" s="254"/>
      <c r="K1430" s="254"/>
      <c r="L1430" s="206"/>
      <c r="M1430" s="201"/>
      <c r="N1430" s="206"/>
      <c r="O1430" s="255"/>
      <c r="P1430" s="256"/>
      <c r="Q1430" s="256"/>
      <c r="R1430" s="201"/>
      <c r="S1430" s="201"/>
      <c r="T1430" s="201"/>
    </row>
    <row r="1431">
      <c r="A1431" s="252"/>
      <c r="B1431" s="202"/>
      <c r="C1431" s="233"/>
      <c r="D1431" s="233"/>
      <c r="E1431" s="201"/>
      <c r="F1431" s="206"/>
      <c r="G1431" s="206"/>
      <c r="H1431" s="253"/>
      <c r="I1431" s="201"/>
      <c r="J1431" s="254"/>
      <c r="K1431" s="254"/>
      <c r="L1431" s="206"/>
      <c r="M1431" s="201"/>
      <c r="N1431" s="206"/>
      <c r="O1431" s="255"/>
      <c r="P1431" s="256"/>
      <c r="Q1431" s="256"/>
      <c r="R1431" s="201"/>
      <c r="S1431" s="201"/>
      <c r="T1431" s="201"/>
    </row>
    <row r="1432">
      <c r="A1432" s="252"/>
      <c r="B1432" s="202"/>
      <c r="C1432" s="233"/>
      <c r="D1432" s="233"/>
      <c r="E1432" s="201"/>
      <c r="F1432" s="206"/>
      <c r="G1432" s="206"/>
      <c r="H1432" s="253"/>
      <c r="I1432" s="201"/>
      <c r="J1432" s="254"/>
      <c r="K1432" s="254"/>
      <c r="L1432" s="206"/>
      <c r="M1432" s="201"/>
      <c r="N1432" s="206"/>
      <c r="O1432" s="255"/>
      <c r="P1432" s="256"/>
      <c r="Q1432" s="256"/>
      <c r="R1432" s="201"/>
      <c r="S1432" s="201"/>
      <c r="T1432" s="201"/>
    </row>
    <row r="1433">
      <c r="A1433" s="252"/>
      <c r="B1433" s="202"/>
      <c r="C1433" s="233"/>
      <c r="D1433" s="233"/>
      <c r="E1433" s="201"/>
      <c r="F1433" s="206"/>
      <c r="G1433" s="206"/>
      <c r="H1433" s="253"/>
      <c r="I1433" s="201"/>
      <c r="J1433" s="254"/>
      <c r="K1433" s="254"/>
      <c r="L1433" s="206"/>
      <c r="M1433" s="201"/>
      <c r="N1433" s="206"/>
      <c r="O1433" s="255"/>
      <c r="P1433" s="256"/>
      <c r="Q1433" s="256"/>
      <c r="R1433" s="201"/>
      <c r="S1433" s="201"/>
      <c r="T1433" s="201"/>
    </row>
    <row r="1434">
      <c r="A1434" s="252"/>
      <c r="B1434" s="202"/>
      <c r="C1434" s="233"/>
      <c r="D1434" s="233"/>
      <c r="E1434" s="201"/>
      <c r="F1434" s="206"/>
      <c r="G1434" s="206"/>
      <c r="H1434" s="253"/>
      <c r="I1434" s="201"/>
      <c r="J1434" s="254"/>
      <c r="K1434" s="254"/>
      <c r="L1434" s="206"/>
      <c r="M1434" s="201"/>
      <c r="N1434" s="206"/>
      <c r="O1434" s="255"/>
      <c r="P1434" s="256"/>
      <c r="Q1434" s="256"/>
      <c r="R1434" s="201"/>
      <c r="S1434" s="201"/>
      <c r="T1434" s="201"/>
    </row>
    <row r="1435">
      <c r="A1435" s="252"/>
      <c r="B1435" s="202"/>
      <c r="C1435" s="233"/>
      <c r="D1435" s="233"/>
      <c r="E1435" s="201"/>
      <c r="F1435" s="206"/>
      <c r="G1435" s="206"/>
      <c r="H1435" s="253"/>
      <c r="I1435" s="201"/>
      <c r="J1435" s="254"/>
      <c r="K1435" s="254"/>
      <c r="L1435" s="206"/>
      <c r="M1435" s="201"/>
      <c r="N1435" s="206"/>
      <c r="O1435" s="255"/>
      <c r="P1435" s="256"/>
      <c r="Q1435" s="256"/>
      <c r="R1435" s="201"/>
      <c r="S1435" s="201"/>
      <c r="T1435" s="201"/>
    </row>
    <row r="1436">
      <c r="A1436" s="252"/>
      <c r="B1436" s="202"/>
      <c r="C1436" s="233"/>
      <c r="D1436" s="233"/>
      <c r="E1436" s="201"/>
      <c r="F1436" s="206"/>
      <c r="G1436" s="206"/>
      <c r="H1436" s="253"/>
      <c r="I1436" s="201"/>
      <c r="J1436" s="254"/>
      <c r="K1436" s="254"/>
      <c r="L1436" s="206"/>
      <c r="M1436" s="201"/>
      <c r="N1436" s="206"/>
      <c r="O1436" s="255"/>
      <c r="P1436" s="256"/>
      <c r="Q1436" s="256"/>
      <c r="R1436" s="201"/>
      <c r="S1436" s="201"/>
      <c r="T1436" s="201"/>
    </row>
    <row r="1437">
      <c r="A1437" s="252"/>
      <c r="B1437" s="202"/>
      <c r="C1437" s="233"/>
      <c r="D1437" s="233"/>
      <c r="E1437" s="201"/>
      <c r="F1437" s="206"/>
      <c r="G1437" s="206"/>
      <c r="H1437" s="253"/>
      <c r="I1437" s="201"/>
      <c r="J1437" s="254"/>
      <c r="K1437" s="254"/>
      <c r="L1437" s="206"/>
      <c r="M1437" s="201"/>
      <c r="N1437" s="206"/>
      <c r="O1437" s="255"/>
      <c r="P1437" s="256"/>
      <c r="Q1437" s="256"/>
      <c r="R1437" s="201"/>
      <c r="S1437" s="201"/>
      <c r="T1437" s="201"/>
    </row>
    <row r="1438">
      <c r="A1438" s="252"/>
      <c r="B1438" s="202"/>
      <c r="C1438" s="233"/>
      <c r="D1438" s="233"/>
      <c r="E1438" s="201"/>
      <c r="F1438" s="206"/>
      <c r="G1438" s="206"/>
      <c r="H1438" s="253"/>
      <c r="I1438" s="201"/>
      <c r="J1438" s="254"/>
      <c r="K1438" s="254"/>
      <c r="L1438" s="206"/>
      <c r="M1438" s="201"/>
      <c r="N1438" s="206"/>
      <c r="O1438" s="255"/>
      <c r="P1438" s="256"/>
      <c r="Q1438" s="256"/>
      <c r="R1438" s="201"/>
      <c r="S1438" s="201"/>
      <c r="T1438" s="201"/>
    </row>
    <row r="1439">
      <c r="A1439" s="252"/>
      <c r="B1439" s="202"/>
      <c r="C1439" s="233"/>
      <c r="D1439" s="233"/>
      <c r="E1439" s="201"/>
      <c r="F1439" s="206"/>
      <c r="G1439" s="206"/>
      <c r="H1439" s="253"/>
      <c r="I1439" s="201"/>
      <c r="J1439" s="254"/>
      <c r="K1439" s="254"/>
      <c r="L1439" s="206"/>
      <c r="M1439" s="201"/>
      <c r="N1439" s="206"/>
      <c r="O1439" s="255"/>
      <c r="P1439" s="256"/>
      <c r="Q1439" s="256"/>
      <c r="R1439" s="201"/>
      <c r="S1439" s="201"/>
      <c r="T1439" s="201"/>
    </row>
    <row r="1440">
      <c r="A1440" s="252"/>
      <c r="B1440" s="202"/>
      <c r="C1440" s="233"/>
      <c r="D1440" s="233"/>
      <c r="E1440" s="201"/>
      <c r="F1440" s="206"/>
      <c r="G1440" s="206"/>
      <c r="H1440" s="253"/>
      <c r="I1440" s="201"/>
      <c r="J1440" s="254"/>
      <c r="K1440" s="254"/>
      <c r="L1440" s="206"/>
      <c r="M1440" s="201"/>
      <c r="N1440" s="206"/>
      <c r="O1440" s="255"/>
      <c r="P1440" s="256"/>
      <c r="Q1440" s="256"/>
      <c r="R1440" s="201"/>
      <c r="S1440" s="201"/>
      <c r="T1440" s="201"/>
    </row>
    <row r="1441">
      <c r="A1441" s="252"/>
      <c r="B1441" s="202"/>
      <c r="C1441" s="233"/>
      <c r="D1441" s="233"/>
      <c r="E1441" s="201"/>
      <c r="F1441" s="206"/>
      <c r="G1441" s="206"/>
      <c r="H1441" s="253"/>
      <c r="I1441" s="201"/>
      <c r="J1441" s="254"/>
      <c r="K1441" s="254"/>
      <c r="L1441" s="206"/>
      <c r="M1441" s="201"/>
      <c r="N1441" s="206"/>
      <c r="O1441" s="255"/>
      <c r="P1441" s="256"/>
      <c r="Q1441" s="256"/>
      <c r="R1441" s="201"/>
      <c r="S1441" s="201"/>
      <c r="T1441" s="201"/>
    </row>
    <row r="1442">
      <c r="A1442" s="252"/>
      <c r="B1442" s="202"/>
      <c r="C1442" s="233"/>
      <c r="D1442" s="233"/>
      <c r="E1442" s="201"/>
      <c r="F1442" s="206"/>
      <c r="G1442" s="206"/>
      <c r="H1442" s="253"/>
      <c r="I1442" s="201"/>
      <c r="J1442" s="254"/>
      <c r="K1442" s="254"/>
      <c r="L1442" s="206"/>
      <c r="M1442" s="201"/>
      <c r="N1442" s="206"/>
      <c r="O1442" s="255"/>
      <c r="P1442" s="256"/>
      <c r="Q1442" s="256"/>
      <c r="R1442" s="201"/>
      <c r="S1442" s="201"/>
      <c r="T1442" s="201"/>
    </row>
    <row r="1443">
      <c r="A1443" s="252"/>
      <c r="B1443" s="202"/>
      <c r="C1443" s="233"/>
      <c r="D1443" s="233"/>
      <c r="E1443" s="201"/>
      <c r="F1443" s="206"/>
      <c r="G1443" s="206"/>
      <c r="H1443" s="253"/>
      <c r="I1443" s="201"/>
      <c r="J1443" s="254"/>
      <c r="K1443" s="254"/>
      <c r="L1443" s="206"/>
      <c r="M1443" s="201"/>
      <c r="N1443" s="206"/>
      <c r="O1443" s="255"/>
      <c r="P1443" s="256"/>
      <c r="Q1443" s="256"/>
      <c r="R1443" s="201"/>
      <c r="S1443" s="201"/>
      <c r="T1443" s="201"/>
    </row>
    <row r="1444">
      <c r="A1444" s="252"/>
      <c r="B1444" s="202"/>
      <c r="C1444" s="233"/>
      <c r="D1444" s="233"/>
      <c r="E1444" s="201"/>
      <c r="F1444" s="206"/>
      <c r="G1444" s="206"/>
      <c r="H1444" s="253"/>
      <c r="I1444" s="201"/>
      <c r="J1444" s="254"/>
      <c r="K1444" s="254"/>
      <c r="L1444" s="206"/>
      <c r="M1444" s="201"/>
      <c r="N1444" s="206"/>
      <c r="O1444" s="255"/>
      <c r="P1444" s="256"/>
      <c r="Q1444" s="256"/>
      <c r="R1444" s="201"/>
      <c r="S1444" s="201"/>
      <c r="T1444" s="201"/>
    </row>
    <row r="1445">
      <c r="A1445" s="252"/>
      <c r="B1445" s="202"/>
      <c r="C1445" s="233"/>
      <c r="D1445" s="233"/>
      <c r="E1445" s="201"/>
      <c r="F1445" s="206"/>
      <c r="G1445" s="206"/>
      <c r="H1445" s="253"/>
      <c r="I1445" s="201"/>
      <c r="J1445" s="254"/>
      <c r="K1445" s="254"/>
      <c r="L1445" s="206"/>
      <c r="M1445" s="201"/>
      <c r="N1445" s="206"/>
      <c r="O1445" s="255"/>
      <c r="P1445" s="256"/>
      <c r="Q1445" s="256"/>
      <c r="R1445" s="201"/>
      <c r="S1445" s="201"/>
      <c r="T1445" s="201"/>
    </row>
    <row r="1446">
      <c r="A1446" s="252"/>
      <c r="B1446" s="202"/>
      <c r="C1446" s="233"/>
      <c r="D1446" s="233"/>
      <c r="E1446" s="201"/>
      <c r="F1446" s="206"/>
      <c r="G1446" s="206"/>
      <c r="H1446" s="253"/>
      <c r="I1446" s="201"/>
      <c r="J1446" s="254"/>
      <c r="K1446" s="254"/>
      <c r="L1446" s="206"/>
      <c r="M1446" s="201"/>
      <c r="N1446" s="206"/>
      <c r="O1446" s="255"/>
      <c r="P1446" s="256"/>
      <c r="Q1446" s="256"/>
      <c r="R1446" s="201"/>
      <c r="S1446" s="201"/>
      <c r="T1446" s="201"/>
    </row>
    <row r="1447">
      <c r="A1447" s="252"/>
      <c r="B1447" s="202"/>
      <c r="C1447" s="233"/>
      <c r="D1447" s="233"/>
      <c r="E1447" s="201"/>
      <c r="F1447" s="206"/>
      <c r="G1447" s="206"/>
      <c r="H1447" s="253"/>
      <c r="I1447" s="201"/>
      <c r="J1447" s="254"/>
      <c r="K1447" s="254"/>
      <c r="L1447" s="206"/>
      <c r="M1447" s="201"/>
      <c r="N1447" s="206"/>
      <c r="O1447" s="255"/>
      <c r="P1447" s="256"/>
      <c r="Q1447" s="256"/>
      <c r="R1447" s="201"/>
      <c r="S1447" s="201"/>
      <c r="T1447" s="201"/>
    </row>
    <row r="1448">
      <c r="A1448" s="252"/>
      <c r="B1448" s="202"/>
      <c r="C1448" s="233"/>
      <c r="D1448" s="233"/>
      <c r="E1448" s="201"/>
      <c r="F1448" s="206"/>
      <c r="G1448" s="206"/>
      <c r="H1448" s="253"/>
      <c r="I1448" s="201"/>
      <c r="J1448" s="254"/>
      <c r="K1448" s="254"/>
      <c r="L1448" s="206"/>
      <c r="M1448" s="201"/>
      <c r="N1448" s="206"/>
      <c r="O1448" s="255"/>
      <c r="P1448" s="256"/>
      <c r="Q1448" s="256"/>
      <c r="R1448" s="201"/>
      <c r="S1448" s="201"/>
      <c r="T1448" s="201"/>
    </row>
    <row r="1449">
      <c r="A1449" s="252"/>
      <c r="B1449" s="202"/>
      <c r="C1449" s="233"/>
      <c r="D1449" s="233"/>
      <c r="E1449" s="201"/>
      <c r="F1449" s="206"/>
      <c r="G1449" s="206"/>
      <c r="H1449" s="253"/>
      <c r="I1449" s="201"/>
      <c r="J1449" s="254"/>
      <c r="K1449" s="254"/>
      <c r="L1449" s="206"/>
      <c r="M1449" s="201"/>
      <c r="N1449" s="206"/>
      <c r="O1449" s="255"/>
      <c r="P1449" s="256"/>
      <c r="Q1449" s="256"/>
      <c r="R1449" s="201"/>
      <c r="S1449" s="201"/>
      <c r="T1449" s="201"/>
    </row>
    <row r="1450">
      <c r="A1450" s="252"/>
      <c r="B1450" s="202"/>
      <c r="C1450" s="233"/>
      <c r="D1450" s="233"/>
      <c r="E1450" s="201"/>
      <c r="F1450" s="206"/>
      <c r="G1450" s="206"/>
      <c r="H1450" s="253"/>
      <c r="I1450" s="201"/>
      <c r="J1450" s="254"/>
      <c r="K1450" s="254"/>
      <c r="L1450" s="206"/>
      <c r="M1450" s="201"/>
      <c r="N1450" s="206"/>
      <c r="O1450" s="255"/>
      <c r="P1450" s="256"/>
      <c r="Q1450" s="256"/>
      <c r="R1450" s="201"/>
      <c r="S1450" s="201"/>
      <c r="T1450" s="201"/>
    </row>
    <row r="1451">
      <c r="A1451" s="252"/>
      <c r="B1451" s="202"/>
      <c r="C1451" s="233"/>
      <c r="D1451" s="233"/>
      <c r="E1451" s="201"/>
      <c r="F1451" s="206"/>
      <c r="G1451" s="206"/>
      <c r="H1451" s="253"/>
      <c r="I1451" s="201"/>
      <c r="J1451" s="254"/>
      <c r="K1451" s="254"/>
      <c r="L1451" s="206"/>
      <c r="M1451" s="201"/>
      <c r="N1451" s="206"/>
      <c r="O1451" s="255"/>
      <c r="P1451" s="256"/>
      <c r="Q1451" s="256"/>
      <c r="R1451" s="201"/>
      <c r="S1451" s="201"/>
      <c r="T1451" s="201"/>
    </row>
    <row r="1452">
      <c r="A1452" s="252"/>
      <c r="B1452" s="202"/>
      <c r="C1452" s="233"/>
      <c r="D1452" s="233"/>
      <c r="E1452" s="201"/>
      <c r="F1452" s="206"/>
      <c r="G1452" s="206"/>
      <c r="H1452" s="253"/>
      <c r="I1452" s="201"/>
      <c r="J1452" s="254"/>
      <c r="K1452" s="254"/>
      <c r="L1452" s="206"/>
      <c r="M1452" s="201"/>
      <c r="N1452" s="206"/>
      <c r="O1452" s="255"/>
      <c r="P1452" s="256"/>
      <c r="Q1452" s="256"/>
      <c r="R1452" s="201"/>
      <c r="S1452" s="201"/>
      <c r="T1452" s="201"/>
    </row>
    <row r="1453">
      <c r="A1453" s="252"/>
      <c r="B1453" s="202"/>
      <c r="C1453" s="233"/>
      <c r="D1453" s="233"/>
      <c r="E1453" s="201"/>
      <c r="F1453" s="206"/>
      <c r="G1453" s="206"/>
      <c r="H1453" s="253"/>
      <c r="I1453" s="201"/>
      <c r="J1453" s="254"/>
      <c r="K1453" s="254"/>
      <c r="L1453" s="206"/>
      <c r="M1453" s="201"/>
      <c r="N1453" s="206"/>
      <c r="O1453" s="255"/>
      <c r="P1453" s="256"/>
      <c r="Q1453" s="256"/>
      <c r="R1453" s="201"/>
      <c r="S1453" s="201"/>
      <c r="T1453" s="201"/>
    </row>
    <row r="1454">
      <c r="A1454" s="252"/>
      <c r="B1454" s="202"/>
      <c r="C1454" s="233"/>
      <c r="D1454" s="233"/>
      <c r="E1454" s="201"/>
      <c r="F1454" s="206"/>
      <c r="G1454" s="206"/>
      <c r="H1454" s="253"/>
      <c r="I1454" s="201"/>
      <c r="J1454" s="254"/>
      <c r="K1454" s="254"/>
      <c r="L1454" s="206"/>
      <c r="M1454" s="201"/>
      <c r="N1454" s="206"/>
      <c r="O1454" s="255"/>
      <c r="P1454" s="256"/>
      <c r="Q1454" s="256"/>
      <c r="R1454" s="201"/>
      <c r="S1454" s="201"/>
      <c r="T1454" s="201"/>
    </row>
    <row r="1455">
      <c r="A1455" s="252"/>
      <c r="B1455" s="202"/>
      <c r="C1455" s="233"/>
      <c r="D1455" s="233"/>
      <c r="E1455" s="201"/>
      <c r="F1455" s="206"/>
      <c r="G1455" s="206"/>
      <c r="H1455" s="253"/>
      <c r="I1455" s="201"/>
      <c r="J1455" s="254"/>
      <c r="K1455" s="254"/>
      <c r="L1455" s="206"/>
      <c r="M1455" s="201"/>
      <c r="N1455" s="206"/>
      <c r="O1455" s="255"/>
      <c r="P1455" s="256"/>
      <c r="Q1455" s="256"/>
      <c r="R1455" s="201"/>
      <c r="S1455" s="201"/>
      <c r="T1455" s="201"/>
    </row>
    <row r="1456">
      <c r="A1456" s="252"/>
      <c r="B1456" s="202"/>
      <c r="C1456" s="233"/>
      <c r="D1456" s="233"/>
      <c r="E1456" s="201"/>
      <c r="F1456" s="206"/>
      <c r="G1456" s="206"/>
      <c r="H1456" s="253"/>
      <c r="I1456" s="201"/>
      <c r="J1456" s="254"/>
      <c r="K1456" s="254"/>
      <c r="L1456" s="206"/>
      <c r="M1456" s="201"/>
      <c r="N1456" s="206"/>
      <c r="O1456" s="255"/>
      <c r="P1456" s="256"/>
      <c r="Q1456" s="256"/>
      <c r="R1456" s="201"/>
      <c r="S1456" s="201"/>
      <c r="T1456" s="201"/>
    </row>
    <row r="1457">
      <c r="A1457" s="252"/>
      <c r="B1457" s="202"/>
      <c r="C1457" s="233"/>
      <c r="D1457" s="233"/>
      <c r="E1457" s="201"/>
      <c r="F1457" s="206"/>
      <c r="G1457" s="206"/>
      <c r="H1457" s="253"/>
      <c r="I1457" s="201"/>
      <c r="J1457" s="254"/>
      <c r="K1457" s="254"/>
      <c r="L1457" s="206"/>
      <c r="M1457" s="201"/>
      <c r="N1457" s="206"/>
      <c r="O1457" s="255"/>
      <c r="P1457" s="256"/>
      <c r="Q1457" s="256"/>
      <c r="R1457" s="201"/>
      <c r="S1457" s="201"/>
      <c r="T1457" s="201"/>
    </row>
    <row r="1458">
      <c r="A1458" s="252"/>
      <c r="B1458" s="202"/>
      <c r="C1458" s="233"/>
      <c r="D1458" s="233"/>
      <c r="E1458" s="201"/>
      <c r="F1458" s="206"/>
      <c r="G1458" s="206"/>
      <c r="H1458" s="253"/>
      <c r="I1458" s="201"/>
      <c r="J1458" s="254"/>
      <c r="K1458" s="254"/>
      <c r="L1458" s="206"/>
      <c r="M1458" s="201"/>
      <c r="N1458" s="206"/>
      <c r="O1458" s="255"/>
      <c r="P1458" s="256"/>
      <c r="Q1458" s="256"/>
      <c r="R1458" s="201"/>
      <c r="S1458" s="201"/>
      <c r="T1458" s="201"/>
    </row>
    <row r="1459">
      <c r="A1459" s="252"/>
      <c r="B1459" s="202"/>
      <c r="C1459" s="233"/>
      <c r="D1459" s="233"/>
      <c r="E1459" s="201"/>
      <c r="F1459" s="206"/>
      <c r="G1459" s="206"/>
      <c r="H1459" s="253"/>
      <c r="I1459" s="201"/>
      <c r="J1459" s="254"/>
      <c r="K1459" s="254"/>
      <c r="L1459" s="206"/>
      <c r="M1459" s="201"/>
      <c r="N1459" s="206"/>
      <c r="O1459" s="255"/>
      <c r="P1459" s="256"/>
      <c r="Q1459" s="256"/>
      <c r="R1459" s="201"/>
      <c r="S1459" s="201"/>
      <c r="T1459" s="201"/>
    </row>
    <row r="1460">
      <c r="A1460" s="252"/>
      <c r="B1460" s="202"/>
      <c r="C1460" s="233"/>
      <c r="D1460" s="233"/>
      <c r="E1460" s="201"/>
      <c r="F1460" s="206"/>
      <c r="G1460" s="206"/>
      <c r="H1460" s="253"/>
      <c r="I1460" s="201"/>
      <c r="J1460" s="254"/>
      <c r="K1460" s="254"/>
      <c r="L1460" s="206"/>
      <c r="M1460" s="201"/>
      <c r="N1460" s="206"/>
      <c r="O1460" s="255"/>
      <c r="P1460" s="256"/>
      <c r="Q1460" s="256"/>
      <c r="R1460" s="201"/>
      <c r="S1460" s="201"/>
      <c r="T1460" s="201"/>
    </row>
    <row r="1461">
      <c r="A1461" s="252"/>
      <c r="B1461" s="202"/>
      <c r="C1461" s="233"/>
      <c r="D1461" s="233"/>
      <c r="E1461" s="201"/>
      <c r="F1461" s="206"/>
      <c r="G1461" s="206"/>
      <c r="H1461" s="253"/>
      <c r="I1461" s="201"/>
      <c r="J1461" s="254"/>
      <c r="K1461" s="254"/>
      <c r="L1461" s="206"/>
      <c r="M1461" s="201"/>
      <c r="N1461" s="206"/>
      <c r="O1461" s="255"/>
      <c r="P1461" s="256"/>
      <c r="Q1461" s="256"/>
      <c r="R1461" s="201"/>
      <c r="S1461" s="201"/>
      <c r="T1461" s="201"/>
    </row>
    <row r="1462">
      <c r="A1462" s="252"/>
      <c r="B1462" s="202"/>
      <c r="C1462" s="233"/>
      <c r="D1462" s="233"/>
      <c r="E1462" s="201"/>
      <c r="F1462" s="206"/>
      <c r="G1462" s="206"/>
      <c r="H1462" s="253"/>
      <c r="I1462" s="201"/>
      <c r="J1462" s="254"/>
      <c r="K1462" s="254"/>
      <c r="L1462" s="206"/>
      <c r="M1462" s="201"/>
      <c r="N1462" s="206"/>
      <c r="O1462" s="255"/>
      <c r="P1462" s="256"/>
      <c r="Q1462" s="256"/>
      <c r="R1462" s="201"/>
      <c r="S1462" s="201"/>
      <c r="T1462" s="201"/>
    </row>
    <row r="1463">
      <c r="A1463" s="252"/>
      <c r="B1463" s="202"/>
      <c r="C1463" s="233"/>
      <c r="D1463" s="233"/>
      <c r="E1463" s="201"/>
      <c r="F1463" s="206"/>
      <c r="G1463" s="206"/>
      <c r="H1463" s="253"/>
      <c r="I1463" s="201"/>
      <c r="J1463" s="254"/>
      <c r="K1463" s="254"/>
      <c r="L1463" s="206"/>
      <c r="M1463" s="201"/>
      <c r="N1463" s="206"/>
      <c r="O1463" s="255"/>
      <c r="P1463" s="256"/>
      <c r="Q1463" s="256"/>
      <c r="R1463" s="201"/>
      <c r="S1463" s="201"/>
      <c r="T1463" s="201"/>
    </row>
    <row r="1464">
      <c r="A1464" s="252"/>
      <c r="B1464" s="202"/>
      <c r="C1464" s="233"/>
      <c r="D1464" s="233"/>
      <c r="E1464" s="201"/>
      <c r="F1464" s="206"/>
      <c r="G1464" s="206"/>
      <c r="H1464" s="253"/>
      <c r="I1464" s="201"/>
      <c r="J1464" s="254"/>
      <c r="K1464" s="254"/>
      <c r="L1464" s="206"/>
      <c r="M1464" s="201"/>
      <c r="N1464" s="206"/>
      <c r="O1464" s="255"/>
      <c r="P1464" s="256"/>
      <c r="Q1464" s="256"/>
      <c r="R1464" s="201"/>
      <c r="S1464" s="201"/>
      <c r="T1464" s="201"/>
    </row>
    <row r="1465">
      <c r="A1465" s="252"/>
      <c r="B1465" s="202"/>
      <c r="C1465" s="233"/>
      <c r="D1465" s="233"/>
      <c r="E1465" s="201"/>
      <c r="F1465" s="206"/>
      <c r="G1465" s="206"/>
      <c r="H1465" s="253"/>
      <c r="I1465" s="201"/>
      <c r="J1465" s="254"/>
      <c r="K1465" s="254"/>
      <c r="L1465" s="206"/>
      <c r="M1465" s="201"/>
      <c r="N1465" s="206"/>
      <c r="O1465" s="255"/>
      <c r="P1465" s="256"/>
      <c r="Q1465" s="256"/>
      <c r="R1465" s="201"/>
      <c r="S1465" s="201"/>
      <c r="T1465" s="201"/>
    </row>
    <row r="1466">
      <c r="A1466" s="252"/>
      <c r="B1466" s="202"/>
      <c r="C1466" s="233"/>
      <c r="D1466" s="233"/>
      <c r="E1466" s="201"/>
      <c r="F1466" s="206"/>
      <c r="G1466" s="206"/>
      <c r="H1466" s="253"/>
      <c r="I1466" s="201"/>
      <c r="J1466" s="254"/>
      <c r="K1466" s="254"/>
      <c r="L1466" s="206"/>
      <c r="M1466" s="201"/>
      <c r="N1466" s="206"/>
      <c r="O1466" s="255"/>
      <c r="P1466" s="256"/>
      <c r="Q1466" s="256"/>
      <c r="R1466" s="201"/>
      <c r="S1466" s="201"/>
      <c r="T1466" s="201"/>
    </row>
    <row r="1467">
      <c r="A1467" s="252"/>
      <c r="B1467" s="202"/>
      <c r="C1467" s="233"/>
      <c r="D1467" s="233"/>
      <c r="E1467" s="201"/>
      <c r="F1467" s="206"/>
      <c r="G1467" s="206"/>
      <c r="H1467" s="253"/>
      <c r="I1467" s="201"/>
      <c r="J1467" s="254"/>
      <c r="K1467" s="254"/>
      <c r="L1467" s="206"/>
      <c r="M1467" s="201"/>
      <c r="N1467" s="206"/>
      <c r="O1467" s="255"/>
      <c r="P1467" s="256"/>
      <c r="Q1467" s="256"/>
      <c r="R1467" s="201"/>
      <c r="S1467" s="201"/>
      <c r="T1467" s="201"/>
    </row>
    <row r="1468">
      <c r="A1468" s="252"/>
      <c r="B1468" s="202"/>
      <c r="C1468" s="233"/>
      <c r="D1468" s="233"/>
      <c r="E1468" s="201"/>
      <c r="F1468" s="206"/>
      <c r="G1468" s="206"/>
      <c r="H1468" s="253"/>
      <c r="I1468" s="201"/>
      <c r="J1468" s="254"/>
      <c r="K1468" s="254"/>
      <c r="L1468" s="206"/>
      <c r="M1468" s="201"/>
      <c r="N1468" s="206"/>
      <c r="O1468" s="255"/>
      <c r="P1468" s="256"/>
      <c r="Q1468" s="256"/>
      <c r="R1468" s="201"/>
      <c r="S1468" s="201"/>
      <c r="T1468" s="201"/>
    </row>
    <row r="1469">
      <c r="A1469" s="252"/>
      <c r="B1469" s="202"/>
      <c r="C1469" s="233"/>
      <c r="D1469" s="233"/>
      <c r="E1469" s="201"/>
      <c r="F1469" s="206"/>
      <c r="G1469" s="206"/>
      <c r="H1469" s="253"/>
      <c r="I1469" s="201"/>
      <c r="J1469" s="254"/>
      <c r="K1469" s="254"/>
      <c r="L1469" s="206"/>
      <c r="M1469" s="201"/>
      <c r="N1469" s="206"/>
      <c r="O1469" s="255"/>
      <c r="P1469" s="256"/>
      <c r="Q1469" s="256"/>
      <c r="R1469" s="201"/>
      <c r="S1469" s="201"/>
      <c r="T1469" s="201"/>
    </row>
    <row r="1470">
      <c r="A1470" s="252"/>
      <c r="B1470" s="202"/>
      <c r="C1470" s="233"/>
      <c r="D1470" s="233"/>
      <c r="E1470" s="201"/>
      <c r="F1470" s="206"/>
      <c r="G1470" s="206"/>
      <c r="H1470" s="253"/>
      <c r="I1470" s="201"/>
      <c r="J1470" s="254"/>
      <c r="K1470" s="254"/>
      <c r="L1470" s="206"/>
      <c r="M1470" s="201"/>
      <c r="N1470" s="206"/>
      <c r="O1470" s="255"/>
      <c r="P1470" s="256"/>
      <c r="Q1470" s="256"/>
      <c r="R1470" s="201"/>
      <c r="S1470" s="201"/>
      <c r="T1470" s="201"/>
    </row>
    <row r="1471">
      <c r="A1471" s="252"/>
      <c r="B1471" s="202"/>
      <c r="C1471" s="233"/>
      <c r="D1471" s="233"/>
      <c r="E1471" s="201"/>
      <c r="F1471" s="206"/>
      <c r="G1471" s="206"/>
      <c r="H1471" s="253"/>
      <c r="I1471" s="201"/>
      <c r="J1471" s="254"/>
      <c r="K1471" s="254"/>
      <c r="L1471" s="206"/>
      <c r="M1471" s="201"/>
      <c r="N1471" s="206"/>
      <c r="O1471" s="255"/>
      <c r="P1471" s="256"/>
      <c r="Q1471" s="256"/>
      <c r="R1471" s="201"/>
      <c r="S1471" s="201"/>
      <c r="T1471" s="201"/>
    </row>
    <row r="1472">
      <c r="A1472" s="252"/>
      <c r="B1472" s="202"/>
      <c r="C1472" s="233"/>
      <c r="D1472" s="233"/>
      <c r="E1472" s="201"/>
      <c r="F1472" s="206"/>
      <c r="G1472" s="206"/>
      <c r="H1472" s="253"/>
      <c r="I1472" s="201"/>
      <c r="J1472" s="254"/>
      <c r="K1472" s="254"/>
      <c r="L1472" s="206"/>
      <c r="M1472" s="201"/>
      <c r="N1472" s="206"/>
      <c r="O1472" s="255"/>
      <c r="P1472" s="256"/>
      <c r="Q1472" s="256"/>
      <c r="R1472" s="201"/>
      <c r="S1472" s="201"/>
      <c r="T1472" s="201"/>
    </row>
    <row r="1473">
      <c r="A1473" s="252"/>
      <c r="B1473" s="202"/>
      <c r="C1473" s="233"/>
      <c r="D1473" s="233"/>
      <c r="E1473" s="201"/>
      <c r="F1473" s="206"/>
      <c r="G1473" s="206"/>
      <c r="H1473" s="253"/>
      <c r="I1473" s="201"/>
      <c r="J1473" s="254"/>
      <c r="K1473" s="254"/>
      <c r="L1473" s="206"/>
      <c r="M1473" s="201"/>
      <c r="N1473" s="206"/>
      <c r="O1473" s="255"/>
      <c r="P1473" s="256"/>
      <c r="Q1473" s="256"/>
      <c r="R1473" s="201"/>
      <c r="S1473" s="201"/>
      <c r="T1473" s="201"/>
    </row>
    <row r="1474">
      <c r="A1474" s="252"/>
      <c r="B1474" s="202"/>
      <c r="C1474" s="233"/>
      <c r="D1474" s="233"/>
      <c r="E1474" s="201"/>
      <c r="F1474" s="206"/>
      <c r="G1474" s="206"/>
      <c r="H1474" s="253"/>
      <c r="I1474" s="201"/>
      <c r="J1474" s="254"/>
      <c r="K1474" s="254"/>
      <c r="L1474" s="206"/>
      <c r="M1474" s="201"/>
      <c r="N1474" s="206"/>
      <c r="O1474" s="255"/>
      <c r="P1474" s="256"/>
      <c r="Q1474" s="256"/>
      <c r="R1474" s="201"/>
      <c r="S1474" s="201"/>
      <c r="T1474" s="201"/>
    </row>
    <row r="1475">
      <c r="A1475" s="252"/>
      <c r="B1475" s="202"/>
      <c r="C1475" s="233"/>
      <c r="D1475" s="233"/>
      <c r="E1475" s="201"/>
      <c r="F1475" s="206"/>
      <c r="G1475" s="206"/>
      <c r="H1475" s="253"/>
      <c r="I1475" s="201"/>
      <c r="J1475" s="254"/>
      <c r="K1475" s="254"/>
      <c r="L1475" s="206"/>
      <c r="M1475" s="201"/>
      <c r="N1475" s="206"/>
      <c r="O1475" s="255"/>
      <c r="P1475" s="256"/>
      <c r="Q1475" s="256"/>
      <c r="R1475" s="201"/>
      <c r="S1475" s="201"/>
      <c r="T1475" s="201"/>
    </row>
    <row r="1476">
      <c r="A1476" s="252"/>
      <c r="B1476" s="202"/>
      <c r="C1476" s="233"/>
      <c r="D1476" s="233"/>
      <c r="E1476" s="201"/>
      <c r="F1476" s="206"/>
      <c r="G1476" s="206"/>
      <c r="H1476" s="253"/>
      <c r="I1476" s="201"/>
      <c r="J1476" s="254"/>
      <c r="K1476" s="254"/>
      <c r="L1476" s="206"/>
      <c r="M1476" s="201"/>
      <c r="N1476" s="206"/>
      <c r="O1476" s="255"/>
      <c r="P1476" s="256"/>
      <c r="Q1476" s="256"/>
      <c r="R1476" s="201"/>
      <c r="S1476" s="201"/>
      <c r="T1476" s="201"/>
    </row>
    <row r="1477">
      <c r="A1477" s="252"/>
      <c r="B1477" s="202"/>
      <c r="C1477" s="233"/>
      <c r="D1477" s="233"/>
      <c r="E1477" s="201"/>
      <c r="F1477" s="206"/>
      <c r="G1477" s="206"/>
      <c r="H1477" s="253"/>
      <c r="I1477" s="201"/>
      <c r="J1477" s="254"/>
      <c r="K1477" s="254"/>
      <c r="L1477" s="206"/>
      <c r="M1477" s="201"/>
      <c r="N1477" s="206"/>
      <c r="O1477" s="255"/>
      <c r="P1477" s="256"/>
      <c r="Q1477" s="256"/>
      <c r="R1477" s="201"/>
      <c r="S1477" s="201"/>
      <c r="T1477" s="201"/>
    </row>
    <row r="1478">
      <c r="A1478" s="252"/>
      <c r="B1478" s="202"/>
      <c r="C1478" s="233"/>
      <c r="D1478" s="233"/>
      <c r="E1478" s="201"/>
      <c r="F1478" s="206"/>
      <c r="G1478" s="206"/>
      <c r="H1478" s="253"/>
      <c r="I1478" s="201"/>
      <c r="J1478" s="254"/>
      <c r="K1478" s="254"/>
      <c r="L1478" s="206"/>
      <c r="M1478" s="201"/>
      <c r="N1478" s="206"/>
      <c r="O1478" s="255"/>
      <c r="P1478" s="256"/>
      <c r="Q1478" s="256"/>
      <c r="R1478" s="201"/>
      <c r="S1478" s="201"/>
      <c r="T1478" s="201"/>
    </row>
    <row r="1479">
      <c r="A1479" s="252"/>
      <c r="B1479" s="202"/>
      <c r="C1479" s="233"/>
      <c r="D1479" s="233"/>
      <c r="E1479" s="201"/>
      <c r="F1479" s="206"/>
      <c r="G1479" s="206"/>
      <c r="H1479" s="253"/>
      <c r="I1479" s="201"/>
      <c r="J1479" s="254"/>
      <c r="K1479" s="254"/>
      <c r="L1479" s="206"/>
      <c r="M1479" s="201"/>
      <c r="N1479" s="206"/>
      <c r="O1479" s="255"/>
      <c r="P1479" s="256"/>
      <c r="Q1479" s="256"/>
      <c r="R1479" s="201"/>
      <c r="S1479" s="201"/>
      <c r="T1479" s="201"/>
    </row>
    <row r="1480">
      <c r="A1480" s="252"/>
      <c r="B1480" s="202"/>
      <c r="C1480" s="233"/>
      <c r="D1480" s="233"/>
      <c r="E1480" s="201"/>
      <c r="F1480" s="206"/>
      <c r="G1480" s="206"/>
      <c r="H1480" s="253"/>
      <c r="I1480" s="201"/>
      <c r="J1480" s="254"/>
      <c r="K1480" s="254"/>
      <c r="L1480" s="206"/>
      <c r="M1480" s="201"/>
      <c r="N1480" s="206"/>
      <c r="O1480" s="255"/>
      <c r="P1480" s="256"/>
      <c r="Q1480" s="256"/>
      <c r="R1480" s="201"/>
      <c r="S1480" s="201"/>
      <c r="T1480" s="201"/>
    </row>
    <row r="1481">
      <c r="A1481" s="252"/>
      <c r="B1481" s="202"/>
      <c r="C1481" s="233"/>
      <c r="D1481" s="233"/>
      <c r="E1481" s="201"/>
      <c r="F1481" s="206"/>
      <c r="G1481" s="206"/>
      <c r="H1481" s="253"/>
      <c r="I1481" s="201"/>
      <c r="J1481" s="254"/>
      <c r="K1481" s="254"/>
      <c r="L1481" s="206"/>
      <c r="M1481" s="201"/>
      <c r="N1481" s="206"/>
      <c r="O1481" s="255"/>
      <c r="P1481" s="256"/>
      <c r="Q1481" s="256"/>
      <c r="R1481" s="201"/>
      <c r="S1481" s="201"/>
      <c r="T1481" s="201"/>
    </row>
    <row r="1482">
      <c r="A1482" s="252"/>
      <c r="B1482" s="202"/>
      <c r="C1482" s="233"/>
      <c r="D1482" s="233"/>
      <c r="E1482" s="201"/>
      <c r="F1482" s="206"/>
      <c r="G1482" s="206"/>
      <c r="H1482" s="253"/>
      <c r="I1482" s="201"/>
      <c r="J1482" s="254"/>
      <c r="K1482" s="254"/>
      <c r="L1482" s="206"/>
      <c r="M1482" s="201"/>
      <c r="N1482" s="206"/>
      <c r="O1482" s="255"/>
      <c r="P1482" s="256"/>
      <c r="Q1482" s="256"/>
      <c r="R1482" s="201"/>
      <c r="S1482" s="201"/>
      <c r="T1482" s="201"/>
    </row>
    <row r="1483">
      <c r="A1483" s="252"/>
      <c r="B1483" s="202"/>
      <c r="C1483" s="233"/>
      <c r="D1483" s="233"/>
      <c r="E1483" s="201"/>
      <c r="F1483" s="206"/>
      <c r="G1483" s="206"/>
      <c r="H1483" s="253"/>
      <c r="I1483" s="201"/>
      <c r="J1483" s="254"/>
      <c r="K1483" s="254"/>
      <c r="L1483" s="206"/>
      <c r="M1483" s="201"/>
      <c r="N1483" s="206"/>
      <c r="O1483" s="255"/>
      <c r="P1483" s="256"/>
      <c r="Q1483" s="256"/>
      <c r="R1483" s="201"/>
      <c r="S1483" s="201"/>
      <c r="T1483" s="201"/>
    </row>
    <row r="1484">
      <c r="A1484" s="252"/>
      <c r="B1484" s="202"/>
      <c r="C1484" s="233"/>
      <c r="D1484" s="233"/>
      <c r="E1484" s="201"/>
      <c r="F1484" s="206"/>
      <c r="G1484" s="206"/>
      <c r="H1484" s="253"/>
      <c r="I1484" s="201"/>
      <c r="J1484" s="254"/>
      <c r="K1484" s="254"/>
      <c r="L1484" s="206"/>
      <c r="M1484" s="201"/>
      <c r="N1484" s="206"/>
      <c r="O1484" s="255"/>
      <c r="P1484" s="256"/>
      <c r="Q1484" s="256"/>
      <c r="R1484" s="201"/>
      <c r="S1484" s="201"/>
      <c r="T1484" s="201"/>
    </row>
    <row r="1485">
      <c r="A1485" s="252"/>
      <c r="B1485" s="202"/>
      <c r="C1485" s="233"/>
      <c r="D1485" s="233"/>
      <c r="E1485" s="201"/>
      <c r="F1485" s="206"/>
      <c r="G1485" s="206"/>
      <c r="H1485" s="253"/>
      <c r="I1485" s="201"/>
      <c r="J1485" s="254"/>
      <c r="K1485" s="254"/>
      <c r="L1485" s="206"/>
      <c r="M1485" s="201"/>
      <c r="N1485" s="206"/>
      <c r="O1485" s="255"/>
      <c r="P1485" s="256"/>
      <c r="Q1485" s="256"/>
      <c r="R1485" s="201"/>
      <c r="S1485" s="201"/>
      <c r="T1485" s="201"/>
    </row>
    <row r="1486">
      <c r="A1486" s="252"/>
      <c r="B1486" s="202"/>
      <c r="C1486" s="233"/>
      <c r="D1486" s="233"/>
      <c r="E1486" s="201"/>
      <c r="F1486" s="206"/>
      <c r="G1486" s="206"/>
      <c r="H1486" s="253"/>
      <c r="I1486" s="201"/>
      <c r="J1486" s="254"/>
      <c r="K1486" s="254"/>
      <c r="L1486" s="206"/>
      <c r="M1486" s="201"/>
      <c r="N1486" s="206"/>
      <c r="O1486" s="255"/>
      <c r="P1486" s="256"/>
      <c r="Q1486" s="256"/>
      <c r="R1486" s="201"/>
      <c r="S1486" s="201"/>
      <c r="T1486" s="201"/>
    </row>
    <row r="1487">
      <c r="A1487" s="252"/>
      <c r="B1487" s="202"/>
      <c r="C1487" s="233"/>
      <c r="D1487" s="233"/>
      <c r="E1487" s="201"/>
      <c r="F1487" s="206"/>
      <c r="G1487" s="206"/>
      <c r="H1487" s="253"/>
      <c r="I1487" s="201"/>
      <c r="J1487" s="254"/>
      <c r="K1487" s="254"/>
      <c r="L1487" s="206"/>
      <c r="M1487" s="201"/>
      <c r="N1487" s="206"/>
      <c r="O1487" s="255"/>
      <c r="P1487" s="256"/>
      <c r="Q1487" s="256"/>
      <c r="R1487" s="201"/>
      <c r="S1487" s="201"/>
      <c r="T1487" s="201"/>
    </row>
    <row r="1488">
      <c r="A1488" s="252"/>
      <c r="B1488" s="202"/>
      <c r="C1488" s="233"/>
      <c r="D1488" s="233"/>
      <c r="E1488" s="201"/>
      <c r="F1488" s="206"/>
      <c r="G1488" s="206"/>
      <c r="H1488" s="253"/>
      <c r="I1488" s="201"/>
      <c r="J1488" s="254"/>
      <c r="K1488" s="254"/>
      <c r="L1488" s="206"/>
      <c r="M1488" s="201"/>
      <c r="N1488" s="206"/>
      <c r="O1488" s="255"/>
      <c r="P1488" s="256"/>
      <c r="Q1488" s="256"/>
      <c r="R1488" s="201"/>
      <c r="S1488" s="201"/>
      <c r="T1488" s="201"/>
    </row>
    <row r="1489">
      <c r="A1489" s="252"/>
      <c r="B1489" s="202"/>
      <c r="C1489" s="233"/>
      <c r="D1489" s="233"/>
      <c r="E1489" s="201"/>
      <c r="F1489" s="206"/>
      <c r="G1489" s="206"/>
      <c r="H1489" s="253"/>
      <c r="I1489" s="201"/>
      <c r="J1489" s="254"/>
      <c r="K1489" s="254"/>
      <c r="L1489" s="206"/>
      <c r="M1489" s="201"/>
      <c r="N1489" s="206"/>
      <c r="O1489" s="255"/>
      <c r="P1489" s="256"/>
      <c r="Q1489" s="256"/>
      <c r="R1489" s="201"/>
      <c r="S1489" s="201"/>
      <c r="T1489" s="201"/>
    </row>
    <row r="1490">
      <c r="A1490" s="252"/>
      <c r="B1490" s="202"/>
      <c r="C1490" s="233"/>
      <c r="D1490" s="233"/>
      <c r="E1490" s="201"/>
      <c r="F1490" s="206"/>
      <c r="G1490" s="206"/>
      <c r="H1490" s="253"/>
      <c r="I1490" s="201"/>
      <c r="J1490" s="254"/>
      <c r="K1490" s="254"/>
      <c r="L1490" s="206"/>
      <c r="M1490" s="201"/>
      <c r="N1490" s="206"/>
      <c r="O1490" s="255"/>
      <c r="P1490" s="256"/>
      <c r="Q1490" s="256"/>
      <c r="R1490" s="201"/>
      <c r="S1490" s="201"/>
      <c r="T1490" s="201"/>
    </row>
    <row r="1491">
      <c r="A1491" s="252"/>
      <c r="B1491" s="202"/>
      <c r="C1491" s="233"/>
      <c r="D1491" s="233"/>
      <c r="E1491" s="201"/>
      <c r="F1491" s="206"/>
      <c r="G1491" s="206"/>
      <c r="H1491" s="253"/>
      <c r="I1491" s="201"/>
      <c r="J1491" s="254"/>
      <c r="K1491" s="254"/>
      <c r="L1491" s="206"/>
      <c r="M1491" s="201"/>
      <c r="N1491" s="206"/>
      <c r="O1491" s="255"/>
      <c r="P1491" s="256"/>
      <c r="Q1491" s="256"/>
      <c r="R1491" s="201"/>
      <c r="S1491" s="201"/>
      <c r="T1491" s="201"/>
    </row>
    <row r="1492">
      <c r="A1492" s="252"/>
      <c r="B1492" s="202"/>
      <c r="C1492" s="233"/>
      <c r="D1492" s="233"/>
      <c r="E1492" s="201"/>
      <c r="F1492" s="206"/>
      <c r="G1492" s="206"/>
      <c r="H1492" s="253"/>
      <c r="I1492" s="201"/>
      <c r="J1492" s="254"/>
      <c r="K1492" s="254"/>
      <c r="L1492" s="206"/>
      <c r="M1492" s="201"/>
      <c r="N1492" s="206"/>
      <c r="O1492" s="255"/>
      <c r="P1492" s="256"/>
      <c r="Q1492" s="256"/>
      <c r="R1492" s="201"/>
      <c r="S1492" s="201"/>
      <c r="T1492" s="201"/>
    </row>
    <row r="1493">
      <c r="A1493" s="252"/>
      <c r="B1493" s="202"/>
      <c r="C1493" s="233"/>
      <c r="D1493" s="233"/>
      <c r="E1493" s="201"/>
      <c r="F1493" s="206"/>
      <c r="G1493" s="206"/>
      <c r="H1493" s="253"/>
      <c r="I1493" s="201"/>
      <c r="J1493" s="254"/>
      <c r="K1493" s="254"/>
      <c r="L1493" s="206"/>
      <c r="M1493" s="201"/>
      <c r="N1493" s="206"/>
      <c r="O1493" s="255"/>
      <c r="P1493" s="256"/>
      <c r="Q1493" s="256"/>
      <c r="R1493" s="201"/>
      <c r="S1493" s="201"/>
      <c r="T1493" s="201"/>
    </row>
    <row r="1494">
      <c r="A1494" s="252"/>
      <c r="B1494" s="202"/>
      <c r="C1494" s="233"/>
      <c r="D1494" s="233"/>
      <c r="E1494" s="201"/>
      <c r="F1494" s="206"/>
      <c r="G1494" s="206"/>
      <c r="H1494" s="253"/>
      <c r="I1494" s="201"/>
      <c r="J1494" s="254"/>
      <c r="K1494" s="254"/>
      <c r="L1494" s="206"/>
      <c r="M1494" s="201"/>
      <c r="N1494" s="206"/>
      <c r="O1494" s="255"/>
      <c r="P1494" s="256"/>
      <c r="Q1494" s="256"/>
      <c r="R1494" s="201"/>
      <c r="S1494" s="201"/>
      <c r="T1494" s="201"/>
    </row>
    <row r="1495">
      <c r="A1495" s="252"/>
      <c r="B1495" s="202"/>
      <c r="C1495" s="233"/>
      <c r="D1495" s="233"/>
      <c r="E1495" s="201"/>
      <c r="F1495" s="206"/>
      <c r="G1495" s="206"/>
      <c r="H1495" s="253"/>
      <c r="I1495" s="201"/>
      <c r="J1495" s="254"/>
      <c r="K1495" s="254"/>
      <c r="L1495" s="206"/>
      <c r="M1495" s="201"/>
      <c r="N1495" s="206"/>
      <c r="O1495" s="255"/>
      <c r="P1495" s="256"/>
      <c r="Q1495" s="256"/>
      <c r="R1495" s="201"/>
      <c r="S1495" s="201"/>
      <c r="T1495" s="201"/>
    </row>
    <row r="1496">
      <c r="A1496" s="252"/>
      <c r="B1496" s="202"/>
      <c r="C1496" s="233"/>
      <c r="D1496" s="233"/>
      <c r="E1496" s="201"/>
      <c r="F1496" s="206"/>
      <c r="G1496" s="206"/>
      <c r="H1496" s="253"/>
      <c r="I1496" s="201"/>
      <c r="J1496" s="254"/>
      <c r="K1496" s="254"/>
      <c r="L1496" s="206"/>
      <c r="M1496" s="201"/>
      <c r="N1496" s="206"/>
      <c r="O1496" s="255"/>
      <c r="P1496" s="256"/>
      <c r="Q1496" s="256"/>
      <c r="R1496" s="201"/>
      <c r="S1496" s="201"/>
      <c r="T1496" s="201"/>
    </row>
    <row r="1497">
      <c r="A1497" s="252"/>
      <c r="B1497" s="202"/>
      <c r="C1497" s="233"/>
      <c r="D1497" s="233"/>
      <c r="E1497" s="201"/>
      <c r="F1497" s="206"/>
      <c r="G1497" s="206"/>
      <c r="H1497" s="253"/>
      <c r="I1497" s="201"/>
      <c r="J1497" s="254"/>
      <c r="K1497" s="254"/>
      <c r="L1497" s="206"/>
      <c r="M1497" s="201"/>
      <c r="N1497" s="206"/>
      <c r="O1497" s="255"/>
      <c r="P1497" s="256"/>
      <c r="Q1497" s="256"/>
      <c r="R1497" s="201"/>
      <c r="S1497" s="201"/>
      <c r="T1497" s="201"/>
    </row>
    <row r="1498">
      <c r="A1498" s="252"/>
      <c r="B1498" s="202"/>
      <c r="C1498" s="233"/>
      <c r="D1498" s="233"/>
      <c r="E1498" s="201"/>
      <c r="F1498" s="206"/>
      <c r="G1498" s="206"/>
      <c r="H1498" s="253"/>
      <c r="I1498" s="201"/>
      <c r="J1498" s="254"/>
      <c r="K1498" s="254"/>
      <c r="L1498" s="206"/>
      <c r="M1498" s="201"/>
      <c r="N1498" s="206"/>
      <c r="O1498" s="255"/>
      <c r="P1498" s="256"/>
      <c r="Q1498" s="256"/>
      <c r="R1498" s="201"/>
      <c r="S1498" s="201"/>
      <c r="T1498" s="201"/>
    </row>
    <row r="1499">
      <c r="A1499" s="252"/>
      <c r="B1499" s="202"/>
      <c r="C1499" s="233"/>
      <c r="D1499" s="233"/>
      <c r="E1499" s="201"/>
      <c r="F1499" s="206"/>
      <c r="G1499" s="206"/>
      <c r="H1499" s="253"/>
      <c r="I1499" s="201"/>
      <c r="J1499" s="254"/>
      <c r="K1499" s="254"/>
      <c r="L1499" s="206"/>
      <c r="M1499" s="201"/>
      <c r="N1499" s="206"/>
      <c r="O1499" s="255"/>
      <c r="P1499" s="256"/>
      <c r="Q1499" s="256"/>
      <c r="R1499" s="201"/>
      <c r="S1499" s="201"/>
      <c r="T1499" s="201"/>
    </row>
    <row r="1500">
      <c r="A1500" s="252"/>
      <c r="B1500" s="202"/>
      <c r="C1500" s="233"/>
      <c r="D1500" s="233"/>
      <c r="E1500" s="201"/>
      <c r="F1500" s="206"/>
      <c r="G1500" s="206"/>
      <c r="H1500" s="253"/>
      <c r="I1500" s="201"/>
      <c r="J1500" s="254"/>
      <c r="K1500" s="254"/>
      <c r="L1500" s="206"/>
      <c r="M1500" s="201"/>
      <c r="N1500" s="206"/>
      <c r="O1500" s="255"/>
      <c r="P1500" s="256"/>
      <c r="Q1500" s="256"/>
      <c r="R1500" s="201"/>
      <c r="S1500" s="201"/>
      <c r="T1500" s="201"/>
    </row>
    <row r="1501">
      <c r="A1501" s="252"/>
      <c r="B1501" s="202"/>
      <c r="C1501" s="233"/>
      <c r="D1501" s="233"/>
      <c r="E1501" s="201"/>
      <c r="F1501" s="206"/>
      <c r="G1501" s="206"/>
      <c r="H1501" s="253"/>
      <c r="I1501" s="201"/>
      <c r="J1501" s="254"/>
      <c r="K1501" s="254"/>
      <c r="L1501" s="206"/>
      <c r="M1501" s="201"/>
      <c r="N1501" s="206"/>
      <c r="O1501" s="255"/>
      <c r="P1501" s="256"/>
      <c r="Q1501" s="256"/>
      <c r="R1501" s="201"/>
      <c r="S1501" s="201"/>
      <c r="T1501" s="201"/>
    </row>
    <row r="1502">
      <c r="A1502" s="252"/>
      <c r="B1502" s="202"/>
      <c r="C1502" s="233"/>
      <c r="D1502" s="233"/>
      <c r="E1502" s="201"/>
      <c r="F1502" s="206"/>
      <c r="G1502" s="206"/>
      <c r="H1502" s="253"/>
      <c r="I1502" s="201"/>
      <c r="J1502" s="254"/>
      <c r="K1502" s="254"/>
      <c r="L1502" s="206"/>
      <c r="M1502" s="201"/>
      <c r="N1502" s="206"/>
      <c r="O1502" s="255"/>
      <c r="P1502" s="256"/>
      <c r="Q1502" s="256"/>
      <c r="R1502" s="201"/>
      <c r="S1502" s="201"/>
      <c r="T1502" s="201"/>
    </row>
    <row r="1503">
      <c r="A1503" s="252"/>
      <c r="B1503" s="202"/>
      <c r="C1503" s="233"/>
      <c r="D1503" s="233"/>
      <c r="E1503" s="201"/>
      <c r="F1503" s="206"/>
      <c r="G1503" s="206"/>
      <c r="H1503" s="253"/>
      <c r="I1503" s="201"/>
      <c r="J1503" s="254"/>
      <c r="K1503" s="254"/>
      <c r="L1503" s="206"/>
      <c r="M1503" s="201"/>
      <c r="N1503" s="206"/>
      <c r="O1503" s="255"/>
      <c r="P1503" s="256"/>
      <c r="Q1503" s="256"/>
      <c r="R1503" s="201"/>
      <c r="S1503" s="201"/>
      <c r="T1503" s="201"/>
    </row>
    <row r="1504">
      <c r="A1504" s="252"/>
      <c r="B1504" s="202"/>
      <c r="C1504" s="233"/>
      <c r="D1504" s="233"/>
      <c r="E1504" s="201"/>
      <c r="F1504" s="206"/>
      <c r="G1504" s="206"/>
      <c r="H1504" s="253"/>
      <c r="I1504" s="201"/>
      <c r="J1504" s="254"/>
      <c r="K1504" s="254"/>
      <c r="L1504" s="206"/>
      <c r="M1504" s="201"/>
      <c r="N1504" s="206"/>
      <c r="O1504" s="255"/>
      <c r="P1504" s="256"/>
      <c r="Q1504" s="256"/>
      <c r="R1504" s="201"/>
      <c r="S1504" s="201"/>
      <c r="T1504" s="201"/>
    </row>
    <row r="1505">
      <c r="A1505" s="252"/>
      <c r="B1505" s="202"/>
      <c r="C1505" s="233"/>
      <c r="D1505" s="233"/>
      <c r="E1505" s="201"/>
      <c r="F1505" s="206"/>
      <c r="G1505" s="206"/>
      <c r="H1505" s="253"/>
      <c r="I1505" s="201"/>
      <c r="J1505" s="254"/>
      <c r="K1505" s="254"/>
      <c r="L1505" s="206"/>
      <c r="M1505" s="201"/>
      <c r="N1505" s="206"/>
      <c r="O1505" s="255"/>
      <c r="P1505" s="256"/>
      <c r="Q1505" s="256"/>
      <c r="R1505" s="201"/>
      <c r="S1505" s="201"/>
      <c r="T1505" s="201"/>
    </row>
    <row r="1506">
      <c r="A1506" s="252"/>
      <c r="B1506" s="202"/>
      <c r="C1506" s="233"/>
      <c r="D1506" s="233"/>
      <c r="E1506" s="201"/>
      <c r="F1506" s="206"/>
      <c r="G1506" s="206"/>
      <c r="H1506" s="253"/>
      <c r="I1506" s="201"/>
      <c r="J1506" s="254"/>
      <c r="K1506" s="254"/>
      <c r="L1506" s="206"/>
      <c r="M1506" s="201"/>
      <c r="N1506" s="206"/>
      <c r="O1506" s="255"/>
      <c r="P1506" s="256"/>
      <c r="Q1506" s="256"/>
      <c r="R1506" s="201"/>
      <c r="S1506" s="201"/>
      <c r="T1506" s="201"/>
    </row>
    <row r="1507">
      <c r="A1507" s="252"/>
      <c r="B1507" s="202"/>
      <c r="C1507" s="233"/>
      <c r="D1507" s="233"/>
      <c r="E1507" s="201"/>
      <c r="F1507" s="206"/>
      <c r="G1507" s="206"/>
      <c r="H1507" s="253"/>
      <c r="I1507" s="201"/>
      <c r="J1507" s="254"/>
      <c r="K1507" s="254"/>
      <c r="L1507" s="206"/>
      <c r="M1507" s="201"/>
      <c r="N1507" s="206"/>
      <c r="O1507" s="255"/>
      <c r="P1507" s="256"/>
      <c r="Q1507" s="256"/>
      <c r="R1507" s="201"/>
      <c r="S1507" s="201"/>
      <c r="T1507" s="201"/>
    </row>
    <row r="1508">
      <c r="A1508" s="252"/>
      <c r="B1508" s="202"/>
      <c r="C1508" s="233"/>
      <c r="D1508" s="233"/>
      <c r="E1508" s="201"/>
      <c r="F1508" s="206"/>
      <c r="G1508" s="206"/>
      <c r="H1508" s="253"/>
      <c r="I1508" s="201"/>
      <c r="J1508" s="254"/>
      <c r="K1508" s="254"/>
      <c r="L1508" s="206"/>
      <c r="M1508" s="201"/>
      <c r="N1508" s="206"/>
      <c r="O1508" s="255"/>
      <c r="P1508" s="256"/>
      <c r="Q1508" s="256"/>
      <c r="R1508" s="201"/>
      <c r="S1508" s="201"/>
      <c r="T1508" s="201"/>
    </row>
    <row r="1509">
      <c r="A1509" s="252"/>
      <c r="B1509" s="202"/>
      <c r="C1509" s="233"/>
      <c r="D1509" s="233"/>
      <c r="E1509" s="201"/>
      <c r="F1509" s="206"/>
      <c r="G1509" s="206"/>
      <c r="H1509" s="253"/>
      <c r="I1509" s="201"/>
      <c r="J1509" s="254"/>
      <c r="K1509" s="254"/>
      <c r="L1509" s="206"/>
      <c r="M1509" s="201"/>
      <c r="N1509" s="206"/>
      <c r="O1509" s="255"/>
      <c r="P1509" s="256"/>
      <c r="Q1509" s="256"/>
      <c r="R1509" s="201"/>
      <c r="S1509" s="201"/>
      <c r="T1509" s="201"/>
    </row>
    <row r="1510">
      <c r="A1510" s="252"/>
      <c r="B1510" s="202"/>
      <c r="C1510" s="233"/>
      <c r="D1510" s="233"/>
      <c r="E1510" s="201"/>
      <c r="F1510" s="206"/>
      <c r="G1510" s="206"/>
      <c r="H1510" s="253"/>
      <c r="I1510" s="201"/>
      <c r="J1510" s="254"/>
      <c r="K1510" s="254"/>
      <c r="L1510" s="206"/>
      <c r="M1510" s="201"/>
      <c r="N1510" s="206"/>
      <c r="O1510" s="255"/>
      <c r="P1510" s="256"/>
      <c r="Q1510" s="256"/>
      <c r="R1510" s="201"/>
      <c r="S1510" s="201"/>
      <c r="T1510" s="201"/>
    </row>
    <row r="1511">
      <c r="A1511" s="252"/>
      <c r="B1511" s="202"/>
      <c r="C1511" s="233"/>
      <c r="D1511" s="233"/>
      <c r="E1511" s="201"/>
      <c r="F1511" s="206"/>
      <c r="G1511" s="206"/>
      <c r="H1511" s="253"/>
      <c r="I1511" s="201"/>
      <c r="J1511" s="254"/>
      <c r="K1511" s="254"/>
      <c r="L1511" s="206"/>
      <c r="M1511" s="201"/>
      <c r="N1511" s="206"/>
      <c r="O1511" s="255"/>
      <c r="P1511" s="256"/>
      <c r="Q1511" s="256"/>
      <c r="R1511" s="201"/>
      <c r="S1511" s="201"/>
      <c r="T1511" s="201"/>
    </row>
    <row r="1512">
      <c r="A1512" s="252"/>
      <c r="B1512" s="202"/>
      <c r="C1512" s="233"/>
      <c r="D1512" s="233"/>
      <c r="E1512" s="201"/>
      <c r="F1512" s="206"/>
      <c r="G1512" s="206"/>
      <c r="H1512" s="253"/>
      <c r="I1512" s="201"/>
      <c r="J1512" s="254"/>
      <c r="K1512" s="254"/>
      <c r="L1512" s="206"/>
      <c r="M1512" s="201"/>
      <c r="N1512" s="206"/>
      <c r="O1512" s="255"/>
      <c r="P1512" s="256"/>
      <c r="Q1512" s="256"/>
      <c r="R1512" s="201"/>
      <c r="S1512" s="201"/>
      <c r="T1512" s="201"/>
    </row>
    <row r="1513">
      <c r="A1513" s="252"/>
      <c r="B1513" s="202"/>
      <c r="C1513" s="233"/>
      <c r="D1513" s="233"/>
      <c r="E1513" s="201"/>
      <c r="F1513" s="206"/>
      <c r="G1513" s="206"/>
      <c r="H1513" s="253"/>
      <c r="I1513" s="201"/>
      <c r="J1513" s="254"/>
      <c r="K1513" s="254"/>
      <c r="L1513" s="206"/>
      <c r="M1513" s="201"/>
      <c r="N1513" s="206"/>
      <c r="O1513" s="255"/>
      <c r="P1513" s="256"/>
      <c r="Q1513" s="256"/>
      <c r="R1513" s="201"/>
      <c r="S1513" s="201"/>
      <c r="T1513" s="201"/>
    </row>
    <row r="1514">
      <c r="A1514" s="252"/>
      <c r="B1514" s="202"/>
      <c r="C1514" s="233"/>
      <c r="D1514" s="233"/>
      <c r="E1514" s="201"/>
      <c r="F1514" s="206"/>
      <c r="G1514" s="206"/>
      <c r="H1514" s="253"/>
      <c r="I1514" s="201"/>
      <c r="J1514" s="254"/>
      <c r="K1514" s="254"/>
      <c r="L1514" s="206"/>
      <c r="M1514" s="201"/>
      <c r="N1514" s="206"/>
      <c r="O1514" s="255"/>
      <c r="P1514" s="256"/>
      <c r="Q1514" s="256"/>
      <c r="R1514" s="201"/>
      <c r="S1514" s="201"/>
      <c r="T1514" s="201"/>
    </row>
    <row r="1515">
      <c r="A1515" s="252"/>
      <c r="B1515" s="202"/>
      <c r="C1515" s="233"/>
      <c r="D1515" s="233"/>
      <c r="E1515" s="201"/>
      <c r="F1515" s="206"/>
      <c r="G1515" s="206"/>
      <c r="H1515" s="253"/>
      <c r="I1515" s="201"/>
      <c r="J1515" s="254"/>
      <c r="K1515" s="254"/>
      <c r="L1515" s="206"/>
      <c r="M1515" s="201"/>
      <c r="N1515" s="206"/>
      <c r="O1515" s="255"/>
      <c r="P1515" s="256"/>
      <c r="Q1515" s="256"/>
      <c r="R1515" s="201"/>
      <c r="S1515" s="201"/>
      <c r="T1515" s="201"/>
    </row>
    <row r="1516">
      <c r="A1516" s="252"/>
      <c r="B1516" s="202"/>
      <c r="C1516" s="233"/>
      <c r="D1516" s="233"/>
      <c r="E1516" s="201"/>
      <c r="F1516" s="206"/>
      <c r="G1516" s="206"/>
      <c r="H1516" s="253"/>
      <c r="I1516" s="201"/>
      <c r="J1516" s="254"/>
      <c r="K1516" s="254"/>
      <c r="L1516" s="206"/>
      <c r="M1516" s="201"/>
      <c r="N1516" s="206"/>
      <c r="O1516" s="255"/>
      <c r="P1516" s="256"/>
      <c r="Q1516" s="256"/>
      <c r="R1516" s="201"/>
      <c r="S1516" s="201"/>
      <c r="T1516" s="201"/>
    </row>
    <row r="1517">
      <c r="A1517" s="252"/>
      <c r="B1517" s="202"/>
      <c r="C1517" s="233"/>
      <c r="D1517" s="233"/>
      <c r="E1517" s="201"/>
      <c r="F1517" s="206"/>
      <c r="G1517" s="206"/>
      <c r="H1517" s="253"/>
      <c r="I1517" s="201"/>
      <c r="J1517" s="254"/>
      <c r="K1517" s="254"/>
      <c r="L1517" s="206"/>
      <c r="M1517" s="201"/>
      <c r="N1517" s="206"/>
      <c r="O1517" s="255"/>
      <c r="P1517" s="256"/>
      <c r="Q1517" s="256"/>
      <c r="R1517" s="201"/>
      <c r="S1517" s="201"/>
      <c r="T1517" s="201"/>
    </row>
    <row r="1518">
      <c r="A1518" s="252"/>
      <c r="B1518" s="202"/>
      <c r="C1518" s="233"/>
      <c r="D1518" s="233"/>
      <c r="E1518" s="201"/>
      <c r="F1518" s="206"/>
      <c r="G1518" s="206"/>
      <c r="H1518" s="253"/>
      <c r="I1518" s="201"/>
      <c r="J1518" s="254"/>
      <c r="K1518" s="254"/>
      <c r="L1518" s="206"/>
      <c r="M1518" s="201"/>
      <c r="N1518" s="206"/>
      <c r="O1518" s="255"/>
      <c r="P1518" s="256"/>
      <c r="Q1518" s="256"/>
      <c r="R1518" s="201"/>
      <c r="S1518" s="201"/>
      <c r="T1518" s="201"/>
    </row>
    <row r="1519">
      <c r="A1519" s="252"/>
      <c r="B1519" s="202"/>
      <c r="C1519" s="233"/>
      <c r="D1519" s="233"/>
      <c r="E1519" s="201"/>
      <c r="F1519" s="206"/>
      <c r="G1519" s="206"/>
      <c r="H1519" s="253"/>
      <c r="I1519" s="201"/>
      <c r="J1519" s="254"/>
      <c r="K1519" s="254"/>
      <c r="L1519" s="206"/>
      <c r="M1519" s="201"/>
      <c r="N1519" s="206"/>
      <c r="O1519" s="255"/>
      <c r="P1519" s="256"/>
      <c r="Q1519" s="256"/>
      <c r="R1519" s="201"/>
      <c r="S1519" s="201"/>
      <c r="T1519" s="201"/>
    </row>
    <row r="1520">
      <c r="A1520" s="252"/>
      <c r="B1520" s="202"/>
      <c r="C1520" s="233"/>
      <c r="D1520" s="233"/>
      <c r="E1520" s="201"/>
      <c r="F1520" s="206"/>
      <c r="G1520" s="206"/>
      <c r="H1520" s="253"/>
      <c r="I1520" s="201"/>
      <c r="J1520" s="254"/>
      <c r="K1520" s="254"/>
      <c r="L1520" s="206"/>
      <c r="M1520" s="201"/>
      <c r="N1520" s="206"/>
      <c r="O1520" s="255"/>
      <c r="P1520" s="256"/>
      <c r="Q1520" s="256"/>
      <c r="R1520" s="201"/>
      <c r="S1520" s="201"/>
      <c r="T1520" s="201"/>
    </row>
    <row r="1521">
      <c r="A1521" s="252"/>
      <c r="B1521" s="202"/>
      <c r="C1521" s="233"/>
      <c r="D1521" s="233"/>
      <c r="E1521" s="201"/>
      <c r="F1521" s="206"/>
      <c r="G1521" s="206"/>
      <c r="H1521" s="253"/>
      <c r="I1521" s="201"/>
      <c r="J1521" s="254"/>
      <c r="K1521" s="254"/>
      <c r="L1521" s="206"/>
      <c r="M1521" s="201"/>
      <c r="N1521" s="206"/>
      <c r="O1521" s="255"/>
      <c r="P1521" s="256"/>
      <c r="Q1521" s="256"/>
      <c r="R1521" s="201"/>
      <c r="S1521" s="201"/>
      <c r="T1521" s="201"/>
    </row>
    <row r="1522">
      <c r="A1522" s="252"/>
      <c r="B1522" s="202"/>
      <c r="C1522" s="233"/>
      <c r="D1522" s="233"/>
      <c r="E1522" s="201"/>
      <c r="F1522" s="206"/>
      <c r="G1522" s="206"/>
      <c r="H1522" s="253"/>
      <c r="I1522" s="201"/>
      <c r="J1522" s="254"/>
      <c r="K1522" s="254"/>
      <c r="L1522" s="206"/>
      <c r="M1522" s="201"/>
      <c r="N1522" s="206"/>
      <c r="O1522" s="255"/>
      <c r="P1522" s="256"/>
      <c r="Q1522" s="256"/>
      <c r="R1522" s="201"/>
      <c r="S1522" s="201"/>
      <c r="T1522" s="201"/>
    </row>
    <row r="1523">
      <c r="A1523" s="252"/>
      <c r="B1523" s="202"/>
      <c r="C1523" s="233"/>
      <c r="D1523" s="233"/>
      <c r="E1523" s="201"/>
      <c r="F1523" s="206"/>
      <c r="G1523" s="206"/>
      <c r="H1523" s="253"/>
      <c r="I1523" s="201"/>
      <c r="J1523" s="254"/>
      <c r="K1523" s="254"/>
      <c r="L1523" s="206"/>
      <c r="M1523" s="201"/>
      <c r="N1523" s="206"/>
      <c r="O1523" s="255"/>
      <c r="P1523" s="256"/>
      <c r="Q1523" s="256"/>
      <c r="R1523" s="201"/>
      <c r="S1523" s="201"/>
      <c r="T1523" s="201"/>
    </row>
    <row r="1524">
      <c r="A1524" s="252"/>
      <c r="B1524" s="202"/>
      <c r="C1524" s="233"/>
      <c r="D1524" s="233"/>
      <c r="E1524" s="201"/>
      <c r="F1524" s="206"/>
      <c r="G1524" s="206"/>
      <c r="H1524" s="253"/>
      <c r="I1524" s="201"/>
      <c r="J1524" s="254"/>
      <c r="K1524" s="254"/>
      <c r="L1524" s="206"/>
      <c r="M1524" s="201"/>
      <c r="N1524" s="206"/>
      <c r="O1524" s="255"/>
      <c r="P1524" s="256"/>
      <c r="Q1524" s="256"/>
      <c r="R1524" s="201"/>
      <c r="S1524" s="201"/>
      <c r="T1524" s="201"/>
    </row>
    <row r="1525">
      <c r="A1525" s="252"/>
      <c r="B1525" s="202"/>
      <c r="C1525" s="233"/>
      <c r="D1525" s="233"/>
      <c r="E1525" s="201"/>
      <c r="F1525" s="206"/>
      <c r="G1525" s="206"/>
      <c r="H1525" s="253"/>
      <c r="I1525" s="201"/>
      <c r="J1525" s="254"/>
      <c r="K1525" s="254"/>
      <c r="L1525" s="206"/>
      <c r="M1525" s="201"/>
      <c r="N1525" s="206"/>
      <c r="O1525" s="255"/>
      <c r="P1525" s="256"/>
      <c r="Q1525" s="256"/>
      <c r="R1525" s="201"/>
      <c r="S1525" s="201"/>
      <c r="T1525" s="201"/>
    </row>
    <row r="1526">
      <c r="A1526" s="252"/>
      <c r="B1526" s="202"/>
      <c r="C1526" s="233"/>
      <c r="D1526" s="233"/>
      <c r="E1526" s="201"/>
      <c r="F1526" s="206"/>
      <c r="G1526" s="206"/>
      <c r="H1526" s="253"/>
      <c r="I1526" s="201"/>
      <c r="J1526" s="254"/>
      <c r="K1526" s="254"/>
      <c r="L1526" s="206"/>
      <c r="M1526" s="201"/>
      <c r="N1526" s="206"/>
      <c r="O1526" s="255"/>
      <c r="P1526" s="256"/>
      <c r="Q1526" s="256"/>
      <c r="R1526" s="201"/>
      <c r="S1526" s="201"/>
      <c r="T1526" s="201"/>
    </row>
    <row r="1527">
      <c r="A1527" s="252"/>
      <c r="B1527" s="202"/>
      <c r="C1527" s="233"/>
      <c r="D1527" s="233"/>
      <c r="E1527" s="201"/>
      <c r="F1527" s="206"/>
      <c r="G1527" s="206"/>
      <c r="H1527" s="253"/>
      <c r="I1527" s="201"/>
      <c r="J1527" s="254"/>
      <c r="K1527" s="254"/>
      <c r="L1527" s="206"/>
      <c r="M1527" s="201"/>
      <c r="N1527" s="206"/>
      <c r="O1527" s="255"/>
      <c r="P1527" s="256"/>
      <c r="Q1527" s="256"/>
      <c r="R1527" s="201"/>
      <c r="S1527" s="201"/>
      <c r="T1527" s="201"/>
    </row>
    <row r="1528">
      <c r="A1528" s="252"/>
      <c r="B1528" s="202"/>
      <c r="C1528" s="233"/>
      <c r="D1528" s="233"/>
      <c r="E1528" s="201"/>
      <c r="F1528" s="206"/>
      <c r="G1528" s="206"/>
      <c r="H1528" s="253"/>
      <c r="I1528" s="201"/>
      <c r="J1528" s="254"/>
      <c r="K1528" s="254"/>
      <c r="L1528" s="206"/>
      <c r="M1528" s="201"/>
      <c r="N1528" s="206"/>
      <c r="O1528" s="255"/>
      <c r="P1528" s="256"/>
      <c r="Q1528" s="256"/>
      <c r="R1528" s="201"/>
      <c r="S1528" s="201"/>
      <c r="T1528" s="201"/>
    </row>
    <row r="1529">
      <c r="A1529" s="252"/>
      <c r="B1529" s="202"/>
      <c r="C1529" s="233"/>
      <c r="D1529" s="233"/>
      <c r="E1529" s="201"/>
      <c r="F1529" s="206"/>
      <c r="G1529" s="206"/>
      <c r="H1529" s="253"/>
      <c r="I1529" s="201"/>
      <c r="J1529" s="254"/>
      <c r="K1529" s="254"/>
      <c r="L1529" s="206"/>
      <c r="M1529" s="201"/>
      <c r="N1529" s="206"/>
      <c r="O1529" s="255"/>
      <c r="P1529" s="256"/>
      <c r="Q1529" s="256"/>
      <c r="R1529" s="201"/>
      <c r="S1529" s="201"/>
      <c r="T1529" s="201"/>
    </row>
    <row r="1530">
      <c r="A1530" s="252"/>
      <c r="B1530" s="202"/>
      <c r="C1530" s="233"/>
      <c r="D1530" s="233"/>
      <c r="E1530" s="201"/>
      <c r="F1530" s="206"/>
      <c r="G1530" s="206"/>
      <c r="H1530" s="253"/>
      <c r="I1530" s="201"/>
      <c r="J1530" s="254"/>
      <c r="K1530" s="254"/>
      <c r="L1530" s="206"/>
      <c r="M1530" s="201"/>
      <c r="N1530" s="206"/>
      <c r="O1530" s="255"/>
      <c r="P1530" s="256"/>
      <c r="Q1530" s="256"/>
      <c r="R1530" s="201"/>
      <c r="S1530" s="201"/>
      <c r="T1530" s="201"/>
    </row>
    <row r="1531">
      <c r="A1531" s="252"/>
      <c r="B1531" s="202"/>
      <c r="C1531" s="233"/>
      <c r="D1531" s="233"/>
      <c r="E1531" s="201"/>
      <c r="F1531" s="206"/>
      <c r="G1531" s="206"/>
      <c r="H1531" s="253"/>
      <c r="I1531" s="201"/>
      <c r="J1531" s="254"/>
      <c r="K1531" s="254"/>
      <c r="L1531" s="206"/>
      <c r="M1531" s="201"/>
      <c r="N1531" s="206"/>
      <c r="O1531" s="255"/>
      <c r="P1531" s="256"/>
      <c r="Q1531" s="256"/>
      <c r="R1531" s="201"/>
      <c r="S1531" s="201"/>
      <c r="T1531" s="201"/>
    </row>
    <row r="1532">
      <c r="A1532" s="252"/>
      <c r="B1532" s="202"/>
      <c r="C1532" s="233"/>
      <c r="D1532" s="233"/>
      <c r="E1532" s="201"/>
      <c r="F1532" s="206"/>
      <c r="G1532" s="206"/>
      <c r="H1532" s="253"/>
      <c r="I1532" s="201"/>
      <c r="J1532" s="254"/>
      <c r="K1532" s="254"/>
      <c r="L1532" s="206"/>
      <c r="M1532" s="201"/>
      <c r="N1532" s="206"/>
      <c r="O1532" s="255"/>
      <c r="P1532" s="256"/>
      <c r="Q1532" s="256"/>
      <c r="R1532" s="201"/>
      <c r="S1532" s="201"/>
      <c r="T1532" s="201"/>
    </row>
    <row r="1533">
      <c r="A1533" s="252"/>
      <c r="B1533" s="202"/>
      <c r="C1533" s="233"/>
      <c r="D1533" s="233"/>
      <c r="E1533" s="201"/>
      <c r="F1533" s="206"/>
      <c r="G1533" s="206"/>
      <c r="H1533" s="253"/>
      <c r="I1533" s="201"/>
      <c r="J1533" s="254"/>
      <c r="K1533" s="254"/>
      <c r="L1533" s="206"/>
      <c r="M1533" s="201"/>
      <c r="N1533" s="206"/>
      <c r="O1533" s="255"/>
      <c r="P1533" s="256"/>
      <c r="Q1533" s="256"/>
      <c r="R1533" s="201"/>
      <c r="S1533" s="201"/>
      <c r="T1533" s="201"/>
    </row>
    <row r="1534">
      <c r="A1534" s="252"/>
      <c r="B1534" s="202"/>
      <c r="C1534" s="233"/>
      <c r="D1534" s="233"/>
      <c r="E1534" s="201"/>
      <c r="F1534" s="206"/>
      <c r="G1534" s="206"/>
      <c r="H1534" s="253"/>
      <c r="I1534" s="201"/>
      <c r="J1534" s="254"/>
      <c r="K1534" s="254"/>
      <c r="L1534" s="206"/>
      <c r="M1534" s="201"/>
      <c r="N1534" s="206"/>
      <c r="O1534" s="255"/>
      <c r="P1534" s="256"/>
      <c r="Q1534" s="256"/>
      <c r="R1534" s="201"/>
      <c r="S1534" s="201"/>
      <c r="T1534" s="201"/>
    </row>
    <row r="1535">
      <c r="A1535" s="252"/>
      <c r="B1535" s="202"/>
      <c r="C1535" s="233"/>
      <c r="D1535" s="233"/>
      <c r="E1535" s="201"/>
      <c r="F1535" s="206"/>
      <c r="G1535" s="206"/>
      <c r="H1535" s="253"/>
      <c r="I1535" s="201"/>
      <c r="J1535" s="254"/>
      <c r="K1535" s="254"/>
      <c r="L1535" s="206"/>
      <c r="M1535" s="201"/>
      <c r="N1535" s="206"/>
      <c r="O1535" s="255"/>
      <c r="P1535" s="256"/>
      <c r="Q1535" s="256"/>
      <c r="R1535" s="201"/>
      <c r="S1535" s="201"/>
      <c r="T1535" s="201"/>
    </row>
    <row r="1536">
      <c r="A1536" s="252"/>
      <c r="B1536" s="202"/>
      <c r="C1536" s="233"/>
      <c r="D1536" s="233"/>
      <c r="E1536" s="201"/>
      <c r="F1536" s="206"/>
      <c r="G1536" s="206"/>
      <c r="H1536" s="253"/>
      <c r="I1536" s="201"/>
      <c r="J1536" s="254"/>
      <c r="K1536" s="254"/>
      <c r="L1536" s="206"/>
      <c r="M1536" s="201"/>
      <c r="N1536" s="206"/>
      <c r="O1536" s="255"/>
      <c r="P1536" s="256"/>
      <c r="Q1536" s="256"/>
      <c r="R1536" s="201"/>
      <c r="S1536" s="201"/>
      <c r="T1536" s="201"/>
    </row>
    <row r="1537">
      <c r="A1537" s="252"/>
      <c r="B1537" s="202"/>
      <c r="C1537" s="233"/>
      <c r="D1537" s="233"/>
      <c r="E1537" s="201"/>
      <c r="F1537" s="206"/>
      <c r="G1537" s="206"/>
      <c r="H1537" s="253"/>
      <c r="I1537" s="201"/>
      <c r="J1537" s="254"/>
      <c r="K1537" s="254"/>
      <c r="L1537" s="206"/>
      <c r="M1537" s="201"/>
      <c r="N1537" s="206"/>
      <c r="O1537" s="255"/>
      <c r="P1537" s="256"/>
      <c r="Q1537" s="256"/>
      <c r="R1537" s="201"/>
      <c r="S1537" s="201"/>
      <c r="T1537" s="201"/>
    </row>
    <row r="1538">
      <c r="A1538" s="252"/>
      <c r="B1538" s="202"/>
      <c r="C1538" s="233"/>
      <c r="D1538" s="233"/>
      <c r="E1538" s="201"/>
      <c r="F1538" s="206"/>
      <c r="G1538" s="206"/>
      <c r="H1538" s="253"/>
      <c r="I1538" s="201"/>
      <c r="J1538" s="254"/>
      <c r="K1538" s="254"/>
      <c r="L1538" s="206"/>
      <c r="M1538" s="201"/>
      <c r="N1538" s="206"/>
      <c r="O1538" s="255"/>
      <c r="P1538" s="256"/>
      <c r="Q1538" s="256"/>
      <c r="R1538" s="201"/>
      <c r="S1538" s="201"/>
      <c r="T1538" s="201"/>
    </row>
    <row r="1539">
      <c r="A1539" s="252"/>
      <c r="B1539" s="202"/>
      <c r="C1539" s="233"/>
      <c r="D1539" s="233"/>
      <c r="E1539" s="201"/>
      <c r="F1539" s="206"/>
      <c r="G1539" s="206"/>
      <c r="H1539" s="253"/>
      <c r="I1539" s="201"/>
      <c r="J1539" s="254"/>
      <c r="K1539" s="254"/>
      <c r="L1539" s="206"/>
      <c r="M1539" s="201"/>
      <c r="N1539" s="206"/>
      <c r="O1539" s="255"/>
      <c r="P1539" s="256"/>
      <c r="Q1539" s="256"/>
      <c r="R1539" s="201"/>
      <c r="S1539" s="201"/>
      <c r="T1539" s="201"/>
    </row>
    <row r="1540">
      <c r="A1540" s="252"/>
      <c r="B1540" s="202"/>
      <c r="C1540" s="233"/>
      <c r="D1540" s="233"/>
      <c r="E1540" s="201"/>
      <c r="F1540" s="206"/>
      <c r="G1540" s="206"/>
      <c r="H1540" s="253"/>
      <c r="I1540" s="201"/>
      <c r="J1540" s="254"/>
      <c r="K1540" s="254"/>
      <c r="L1540" s="206"/>
      <c r="M1540" s="201"/>
      <c r="N1540" s="206"/>
      <c r="O1540" s="255"/>
      <c r="P1540" s="256"/>
      <c r="Q1540" s="256"/>
      <c r="R1540" s="201"/>
      <c r="S1540" s="201"/>
      <c r="T1540" s="201"/>
    </row>
    <row r="1541">
      <c r="A1541" s="252"/>
      <c r="B1541" s="202"/>
      <c r="C1541" s="233"/>
      <c r="D1541" s="233"/>
      <c r="E1541" s="201"/>
      <c r="F1541" s="206"/>
      <c r="G1541" s="206"/>
      <c r="H1541" s="253"/>
      <c r="I1541" s="201"/>
      <c r="J1541" s="254"/>
      <c r="K1541" s="254"/>
      <c r="L1541" s="206"/>
      <c r="M1541" s="201"/>
      <c r="N1541" s="206"/>
      <c r="O1541" s="255"/>
      <c r="P1541" s="256"/>
      <c r="Q1541" s="256"/>
      <c r="R1541" s="201"/>
      <c r="S1541" s="201"/>
      <c r="T1541" s="201"/>
    </row>
    <row r="1542">
      <c r="A1542" s="252"/>
      <c r="B1542" s="202"/>
      <c r="C1542" s="233"/>
      <c r="D1542" s="233"/>
      <c r="E1542" s="201"/>
      <c r="F1542" s="206"/>
      <c r="G1542" s="206"/>
      <c r="H1542" s="253"/>
      <c r="I1542" s="201"/>
      <c r="J1542" s="254"/>
      <c r="K1542" s="254"/>
      <c r="L1542" s="206"/>
      <c r="M1542" s="201"/>
      <c r="N1542" s="206"/>
      <c r="O1542" s="255"/>
      <c r="P1542" s="256"/>
      <c r="Q1542" s="256"/>
      <c r="R1542" s="201"/>
      <c r="S1542" s="201"/>
      <c r="T1542" s="201"/>
    </row>
    <row r="1543">
      <c r="A1543" s="252"/>
      <c r="B1543" s="202"/>
      <c r="C1543" s="233"/>
      <c r="D1543" s="233"/>
      <c r="E1543" s="201"/>
      <c r="F1543" s="206"/>
      <c r="G1543" s="206"/>
      <c r="H1543" s="253"/>
      <c r="I1543" s="201"/>
      <c r="J1543" s="254"/>
      <c r="K1543" s="254"/>
      <c r="L1543" s="206"/>
      <c r="M1543" s="201"/>
      <c r="N1543" s="206"/>
      <c r="O1543" s="255"/>
      <c r="P1543" s="256"/>
      <c r="Q1543" s="256"/>
      <c r="R1543" s="201"/>
      <c r="S1543" s="201"/>
      <c r="T1543" s="201"/>
    </row>
    <row r="1544">
      <c r="A1544" s="252"/>
      <c r="B1544" s="202"/>
      <c r="C1544" s="233"/>
      <c r="D1544" s="233"/>
      <c r="E1544" s="201"/>
      <c r="F1544" s="206"/>
      <c r="G1544" s="206"/>
      <c r="H1544" s="253"/>
      <c r="I1544" s="201"/>
      <c r="J1544" s="254"/>
      <c r="K1544" s="254"/>
      <c r="L1544" s="206"/>
      <c r="M1544" s="201"/>
      <c r="N1544" s="206"/>
      <c r="O1544" s="255"/>
      <c r="P1544" s="256"/>
      <c r="Q1544" s="256"/>
      <c r="R1544" s="201"/>
      <c r="S1544" s="201"/>
      <c r="T1544" s="201"/>
    </row>
    <row r="1545">
      <c r="A1545" s="252"/>
      <c r="B1545" s="202"/>
      <c r="C1545" s="233"/>
      <c r="D1545" s="233"/>
      <c r="E1545" s="201"/>
      <c r="F1545" s="206"/>
      <c r="G1545" s="206"/>
      <c r="H1545" s="253"/>
      <c r="I1545" s="201"/>
      <c r="J1545" s="254"/>
      <c r="K1545" s="254"/>
      <c r="L1545" s="206"/>
      <c r="M1545" s="201"/>
      <c r="N1545" s="206"/>
      <c r="O1545" s="255"/>
      <c r="P1545" s="256"/>
      <c r="Q1545" s="256"/>
      <c r="R1545" s="201"/>
      <c r="S1545" s="201"/>
      <c r="T1545" s="201"/>
    </row>
    <row r="1546">
      <c r="A1546" s="252"/>
      <c r="B1546" s="202"/>
      <c r="C1546" s="233"/>
      <c r="D1546" s="233"/>
      <c r="E1546" s="201"/>
      <c r="F1546" s="206"/>
      <c r="G1546" s="206"/>
      <c r="H1546" s="253"/>
      <c r="I1546" s="201"/>
      <c r="J1546" s="254"/>
      <c r="K1546" s="254"/>
      <c r="L1546" s="206"/>
      <c r="M1546" s="201"/>
      <c r="N1546" s="206"/>
      <c r="O1546" s="255"/>
      <c r="P1546" s="256"/>
      <c r="Q1546" s="256"/>
      <c r="R1546" s="201"/>
      <c r="S1546" s="201"/>
      <c r="T1546" s="201"/>
    </row>
    <row r="1547">
      <c r="A1547" s="252"/>
      <c r="B1547" s="202"/>
      <c r="C1547" s="233"/>
      <c r="D1547" s="233"/>
      <c r="E1547" s="201"/>
      <c r="F1547" s="206"/>
      <c r="G1547" s="206"/>
      <c r="H1547" s="253"/>
      <c r="I1547" s="201"/>
      <c r="J1547" s="254"/>
      <c r="K1547" s="254"/>
      <c r="L1547" s="206"/>
      <c r="M1547" s="201"/>
      <c r="N1547" s="206"/>
      <c r="O1547" s="255"/>
      <c r="P1547" s="256"/>
      <c r="Q1547" s="256"/>
      <c r="R1547" s="201"/>
      <c r="S1547" s="201"/>
      <c r="T1547" s="201"/>
    </row>
    <row r="1548">
      <c r="A1548" s="252"/>
      <c r="B1548" s="202"/>
      <c r="C1548" s="233"/>
      <c r="D1548" s="233"/>
      <c r="E1548" s="201"/>
      <c r="F1548" s="206"/>
      <c r="G1548" s="206"/>
      <c r="H1548" s="253"/>
      <c r="I1548" s="201"/>
      <c r="J1548" s="254"/>
      <c r="K1548" s="254"/>
      <c r="L1548" s="206"/>
      <c r="M1548" s="201"/>
      <c r="N1548" s="206"/>
      <c r="O1548" s="255"/>
      <c r="P1548" s="256"/>
      <c r="Q1548" s="256"/>
      <c r="R1548" s="201"/>
      <c r="S1548" s="201"/>
      <c r="T1548" s="201"/>
    </row>
    <row r="1549">
      <c r="A1549" s="252"/>
      <c r="B1549" s="202"/>
      <c r="C1549" s="233"/>
      <c r="D1549" s="233"/>
      <c r="E1549" s="201"/>
      <c r="F1549" s="206"/>
      <c r="G1549" s="206"/>
      <c r="H1549" s="253"/>
      <c r="I1549" s="201"/>
      <c r="J1549" s="254"/>
      <c r="K1549" s="254"/>
      <c r="L1549" s="206"/>
      <c r="M1549" s="201"/>
      <c r="N1549" s="206"/>
      <c r="O1549" s="255"/>
      <c r="P1549" s="256"/>
      <c r="Q1549" s="256"/>
      <c r="R1549" s="201"/>
      <c r="S1549" s="201"/>
      <c r="T1549" s="201"/>
    </row>
    <row r="1550">
      <c r="A1550" s="252"/>
      <c r="B1550" s="202"/>
      <c r="C1550" s="233"/>
      <c r="D1550" s="233"/>
      <c r="E1550" s="201"/>
      <c r="F1550" s="206"/>
      <c r="G1550" s="206"/>
      <c r="H1550" s="253"/>
      <c r="I1550" s="201"/>
      <c r="J1550" s="254"/>
      <c r="K1550" s="254"/>
      <c r="L1550" s="206"/>
      <c r="M1550" s="201"/>
      <c r="N1550" s="206"/>
      <c r="O1550" s="255"/>
      <c r="P1550" s="256"/>
      <c r="Q1550" s="256"/>
      <c r="R1550" s="201"/>
      <c r="S1550" s="201"/>
      <c r="T1550" s="201"/>
    </row>
    <row r="1551">
      <c r="A1551" s="252"/>
      <c r="B1551" s="202"/>
      <c r="C1551" s="233"/>
      <c r="D1551" s="233"/>
      <c r="E1551" s="201"/>
      <c r="F1551" s="206"/>
      <c r="G1551" s="206"/>
      <c r="H1551" s="253"/>
      <c r="I1551" s="201"/>
      <c r="J1551" s="254"/>
      <c r="K1551" s="254"/>
      <c r="L1551" s="206"/>
      <c r="M1551" s="201"/>
      <c r="N1551" s="206"/>
      <c r="O1551" s="255"/>
      <c r="P1551" s="256"/>
      <c r="Q1551" s="256"/>
      <c r="R1551" s="201"/>
      <c r="S1551" s="201"/>
      <c r="T1551" s="201"/>
    </row>
    <row r="1552">
      <c r="A1552" s="252"/>
      <c r="B1552" s="202"/>
      <c r="C1552" s="233"/>
      <c r="D1552" s="233"/>
      <c r="E1552" s="201"/>
      <c r="F1552" s="206"/>
      <c r="G1552" s="206"/>
      <c r="H1552" s="253"/>
      <c r="I1552" s="201"/>
      <c r="J1552" s="254"/>
      <c r="K1552" s="254"/>
      <c r="L1552" s="206"/>
      <c r="M1552" s="201"/>
      <c r="N1552" s="206"/>
      <c r="O1552" s="255"/>
      <c r="P1552" s="256"/>
      <c r="Q1552" s="256"/>
      <c r="R1552" s="201"/>
      <c r="S1552" s="201"/>
      <c r="T1552" s="201"/>
    </row>
    <row r="1553">
      <c r="A1553" s="252"/>
      <c r="B1553" s="202"/>
      <c r="C1553" s="233"/>
      <c r="D1553" s="233"/>
      <c r="E1553" s="201"/>
      <c r="F1553" s="206"/>
      <c r="G1553" s="206"/>
      <c r="H1553" s="253"/>
      <c r="I1553" s="201"/>
      <c r="J1553" s="254"/>
      <c r="K1553" s="254"/>
      <c r="L1553" s="206"/>
      <c r="M1553" s="201"/>
      <c r="N1553" s="206"/>
      <c r="O1553" s="255"/>
      <c r="P1553" s="256"/>
      <c r="Q1553" s="256"/>
      <c r="R1553" s="201"/>
      <c r="S1553" s="201"/>
      <c r="T1553" s="201"/>
    </row>
    <row r="1554">
      <c r="A1554" s="252"/>
      <c r="B1554" s="202"/>
      <c r="C1554" s="233"/>
      <c r="D1554" s="233"/>
      <c r="E1554" s="201"/>
      <c r="F1554" s="206"/>
      <c r="G1554" s="206"/>
      <c r="H1554" s="253"/>
      <c r="I1554" s="201"/>
      <c r="J1554" s="254"/>
      <c r="K1554" s="254"/>
      <c r="L1554" s="206"/>
      <c r="M1554" s="201"/>
      <c r="N1554" s="206"/>
      <c r="O1554" s="255"/>
      <c r="P1554" s="256"/>
      <c r="Q1554" s="256"/>
      <c r="R1554" s="201"/>
      <c r="S1554" s="201"/>
      <c r="T1554" s="201"/>
    </row>
    <row r="1555">
      <c r="A1555" s="252"/>
      <c r="B1555" s="202"/>
      <c r="C1555" s="233"/>
      <c r="D1555" s="233"/>
      <c r="E1555" s="201"/>
      <c r="F1555" s="206"/>
      <c r="G1555" s="206"/>
      <c r="H1555" s="253"/>
      <c r="I1555" s="201"/>
      <c r="J1555" s="254"/>
      <c r="K1555" s="254"/>
      <c r="L1555" s="206"/>
      <c r="M1555" s="201"/>
      <c r="N1555" s="206"/>
      <c r="O1555" s="255"/>
      <c r="P1555" s="256"/>
      <c r="Q1555" s="256"/>
      <c r="R1555" s="201"/>
      <c r="S1555" s="201"/>
      <c r="T1555" s="201"/>
    </row>
    <row r="1556">
      <c r="A1556" s="252"/>
      <c r="B1556" s="202"/>
      <c r="C1556" s="233"/>
      <c r="D1556" s="233"/>
      <c r="E1556" s="201"/>
      <c r="F1556" s="206"/>
      <c r="G1556" s="206"/>
      <c r="H1556" s="253"/>
      <c r="I1556" s="201"/>
      <c r="J1556" s="254"/>
      <c r="K1556" s="254"/>
      <c r="L1556" s="206"/>
      <c r="M1556" s="201"/>
      <c r="N1556" s="206"/>
      <c r="O1556" s="255"/>
      <c r="P1556" s="256"/>
      <c r="Q1556" s="256"/>
      <c r="R1556" s="201"/>
      <c r="S1556" s="201"/>
      <c r="T1556" s="201"/>
    </row>
    <row r="1557">
      <c r="A1557" s="252"/>
      <c r="B1557" s="202"/>
      <c r="C1557" s="233"/>
      <c r="D1557" s="233"/>
      <c r="E1557" s="201"/>
      <c r="F1557" s="206"/>
      <c r="G1557" s="206"/>
      <c r="H1557" s="253"/>
      <c r="I1557" s="201"/>
      <c r="J1557" s="254"/>
      <c r="K1557" s="254"/>
      <c r="L1557" s="206"/>
      <c r="M1557" s="201"/>
      <c r="N1557" s="206"/>
      <c r="O1557" s="255"/>
      <c r="P1557" s="256"/>
      <c r="Q1557" s="256"/>
      <c r="R1557" s="201"/>
      <c r="S1557" s="201"/>
      <c r="T1557" s="201"/>
    </row>
    <row r="1558">
      <c r="A1558" s="252"/>
      <c r="B1558" s="202"/>
      <c r="C1558" s="233"/>
      <c r="D1558" s="233"/>
      <c r="E1558" s="201"/>
      <c r="F1558" s="206"/>
      <c r="G1558" s="206"/>
      <c r="H1558" s="253"/>
      <c r="I1558" s="201"/>
      <c r="J1558" s="254"/>
      <c r="K1558" s="254"/>
      <c r="L1558" s="206"/>
      <c r="M1558" s="201"/>
      <c r="N1558" s="206"/>
      <c r="O1558" s="255"/>
      <c r="P1558" s="256"/>
      <c r="Q1558" s="256"/>
      <c r="R1558" s="201"/>
      <c r="S1558" s="201"/>
      <c r="T1558" s="201"/>
    </row>
    <row r="1559">
      <c r="A1559" s="252"/>
      <c r="B1559" s="202"/>
      <c r="C1559" s="233"/>
      <c r="D1559" s="233"/>
      <c r="E1559" s="201"/>
      <c r="F1559" s="206"/>
      <c r="G1559" s="206"/>
      <c r="H1559" s="253"/>
      <c r="I1559" s="201"/>
      <c r="J1559" s="254"/>
      <c r="K1559" s="254"/>
      <c r="L1559" s="206"/>
      <c r="M1559" s="201"/>
      <c r="N1559" s="206"/>
      <c r="O1559" s="255"/>
      <c r="P1559" s="256"/>
      <c r="Q1559" s="256"/>
      <c r="R1559" s="201"/>
      <c r="S1559" s="201"/>
      <c r="T1559" s="201"/>
    </row>
    <row r="1560">
      <c r="A1560" s="252"/>
      <c r="B1560" s="202"/>
      <c r="C1560" s="233"/>
      <c r="D1560" s="233"/>
      <c r="E1560" s="201"/>
      <c r="F1560" s="206"/>
      <c r="G1560" s="206"/>
      <c r="H1560" s="253"/>
      <c r="I1560" s="201"/>
      <c r="J1560" s="254"/>
      <c r="K1560" s="254"/>
      <c r="L1560" s="206"/>
      <c r="M1560" s="201"/>
      <c r="N1560" s="206"/>
      <c r="O1560" s="255"/>
      <c r="P1560" s="256"/>
      <c r="Q1560" s="256"/>
      <c r="R1560" s="201"/>
      <c r="S1560" s="201"/>
      <c r="T1560" s="201"/>
    </row>
    <row r="1561">
      <c r="A1561" s="252"/>
      <c r="B1561" s="202"/>
      <c r="C1561" s="233"/>
      <c r="D1561" s="233"/>
      <c r="E1561" s="201"/>
      <c r="F1561" s="206"/>
      <c r="G1561" s="206"/>
      <c r="H1561" s="253"/>
      <c r="I1561" s="201"/>
      <c r="J1561" s="254"/>
      <c r="K1561" s="254"/>
      <c r="L1561" s="206"/>
      <c r="M1561" s="201"/>
      <c r="N1561" s="206"/>
      <c r="O1561" s="255"/>
      <c r="P1561" s="256"/>
      <c r="Q1561" s="256"/>
      <c r="R1561" s="201"/>
      <c r="S1561" s="201"/>
      <c r="T1561" s="201"/>
    </row>
    <row r="1562">
      <c r="A1562" s="252"/>
      <c r="B1562" s="202"/>
      <c r="C1562" s="233"/>
      <c r="D1562" s="233"/>
      <c r="E1562" s="201"/>
      <c r="F1562" s="206"/>
      <c r="G1562" s="206"/>
      <c r="H1562" s="253"/>
      <c r="I1562" s="201"/>
      <c r="J1562" s="254"/>
      <c r="K1562" s="254"/>
      <c r="L1562" s="206"/>
      <c r="M1562" s="201"/>
      <c r="N1562" s="206"/>
      <c r="O1562" s="255"/>
      <c r="P1562" s="256"/>
      <c r="Q1562" s="256"/>
      <c r="R1562" s="201"/>
      <c r="S1562" s="201"/>
      <c r="T1562" s="201"/>
    </row>
    <row r="1563">
      <c r="A1563" s="252"/>
      <c r="B1563" s="202"/>
      <c r="C1563" s="233"/>
      <c r="D1563" s="233"/>
      <c r="E1563" s="201"/>
      <c r="F1563" s="206"/>
      <c r="G1563" s="206"/>
      <c r="H1563" s="253"/>
      <c r="I1563" s="201"/>
      <c r="J1563" s="254"/>
      <c r="K1563" s="254"/>
      <c r="L1563" s="206"/>
      <c r="M1563" s="201"/>
      <c r="N1563" s="206"/>
      <c r="O1563" s="255"/>
      <c r="P1563" s="256"/>
      <c r="Q1563" s="256"/>
      <c r="R1563" s="201"/>
      <c r="S1563" s="201"/>
      <c r="T1563" s="201"/>
    </row>
    <row r="1564">
      <c r="A1564" s="252"/>
      <c r="B1564" s="202"/>
      <c r="C1564" s="233"/>
      <c r="D1564" s="233"/>
      <c r="E1564" s="201"/>
      <c r="F1564" s="206"/>
      <c r="G1564" s="206"/>
      <c r="H1564" s="253"/>
      <c r="I1564" s="201"/>
      <c r="J1564" s="254"/>
      <c r="K1564" s="254"/>
      <c r="L1564" s="206"/>
      <c r="M1564" s="201"/>
      <c r="N1564" s="206"/>
      <c r="O1564" s="255"/>
      <c r="P1564" s="256"/>
      <c r="Q1564" s="256"/>
      <c r="R1564" s="201"/>
      <c r="S1564" s="201"/>
      <c r="T1564" s="201"/>
    </row>
    <row r="1565">
      <c r="A1565" s="252"/>
      <c r="B1565" s="202"/>
      <c r="C1565" s="233"/>
      <c r="D1565" s="233"/>
      <c r="E1565" s="201"/>
      <c r="F1565" s="206"/>
      <c r="G1565" s="206"/>
      <c r="H1565" s="253"/>
      <c r="I1565" s="201"/>
      <c r="J1565" s="254"/>
      <c r="K1565" s="254"/>
      <c r="L1565" s="206"/>
      <c r="M1565" s="201"/>
      <c r="N1565" s="206"/>
      <c r="O1565" s="255"/>
      <c r="P1565" s="256"/>
      <c r="Q1565" s="256"/>
      <c r="R1565" s="201"/>
      <c r="S1565" s="201"/>
      <c r="T1565" s="201"/>
    </row>
    <row r="1566">
      <c r="A1566" s="252"/>
      <c r="B1566" s="202"/>
      <c r="C1566" s="233"/>
      <c r="D1566" s="233"/>
      <c r="E1566" s="201"/>
      <c r="F1566" s="206"/>
      <c r="G1566" s="206"/>
      <c r="H1566" s="253"/>
      <c r="I1566" s="201"/>
      <c r="J1566" s="254"/>
      <c r="K1566" s="254"/>
      <c r="L1566" s="206"/>
      <c r="M1566" s="201"/>
      <c r="N1566" s="206"/>
      <c r="O1566" s="255"/>
      <c r="P1566" s="256"/>
      <c r="Q1566" s="256"/>
      <c r="R1566" s="201"/>
      <c r="S1566" s="201"/>
      <c r="T1566" s="201"/>
    </row>
    <row r="1567">
      <c r="A1567" s="252"/>
      <c r="B1567" s="202"/>
      <c r="C1567" s="233"/>
      <c r="D1567" s="233"/>
      <c r="E1567" s="201"/>
      <c r="F1567" s="206"/>
      <c r="G1567" s="206"/>
      <c r="H1567" s="253"/>
      <c r="I1567" s="201"/>
      <c r="J1567" s="254"/>
      <c r="K1567" s="254"/>
      <c r="L1567" s="206"/>
      <c r="M1567" s="201"/>
      <c r="N1567" s="206"/>
      <c r="O1567" s="255"/>
      <c r="P1567" s="256"/>
      <c r="Q1567" s="256"/>
      <c r="R1567" s="201"/>
      <c r="S1567" s="201"/>
      <c r="T1567" s="201"/>
    </row>
    <row r="1568">
      <c r="A1568" s="252"/>
      <c r="B1568" s="202"/>
      <c r="C1568" s="233"/>
      <c r="D1568" s="233"/>
      <c r="E1568" s="201"/>
      <c r="F1568" s="206"/>
      <c r="G1568" s="206"/>
      <c r="H1568" s="253"/>
      <c r="I1568" s="201"/>
      <c r="J1568" s="254"/>
      <c r="K1568" s="254"/>
      <c r="L1568" s="206"/>
      <c r="M1568" s="201"/>
      <c r="N1568" s="206"/>
      <c r="O1568" s="255"/>
      <c r="P1568" s="256"/>
      <c r="Q1568" s="256"/>
      <c r="R1568" s="201"/>
      <c r="S1568" s="201"/>
      <c r="T1568" s="201"/>
    </row>
    <row r="1569">
      <c r="A1569" s="252"/>
      <c r="B1569" s="202"/>
      <c r="C1569" s="233"/>
      <c r="D1569" s="233"/>
      <c r="E1569" s="201"/>
      <c r="F1569" s="206"/>
      <c r="G1569" s="206"/>
      <c r="H1569" s="253"/>
      <c r="I1569" s="201"/>
      <c r="J1569" s="254"/>
      <c r="K1569" s="254"/>
      <c r="L1569" s="206"/>
      <c r="M1569" s="201"/>
      <c r="N1569" s="206"/>
      <c r="O1569" s="255"/>
      <c r="P1569" s="256"/>
      <c r="Q1569" s="256"/>
      <c r="R1569" s="201"/>
      <c r="S1569" s="201"/>
      <c r="T1569" s="201"/>
    </row>
    <row r="1570">
      <c r="A1570" s="252"/>
      <c r="B1570" s="202"/>
      <c r="C1570" s="233"/>
      <c r="D1570" s="233"/>
      <c r="E1570" s="201"/>
      <c r="F1570" s="206"/>
      <c r="G1570" s="206"/>
      <c r="H1570" s="253"/>
      <c r="I1570" s="201"/>
      <c r="J1570" s="254"/>
      <c r="K1570" s="254"/>
      <c r="L1570" s="206"/>
      <c r="M1570" s="201"/>
      <c r="N1570" s="206"/>
      <c r="O1570" s="255"/>
      <c r="P1570" s="256"/>
      <c r="Q1570" s="256"/>
      <c r="R1570" s="201"/>
      <c r="S1570" s="201"/>
      <c r="T1570" s="201"/>
    </row>
    <row r="1571">
      <c r="A1571" s="252"/>
      <c r="B1571" s="202"/>
      <c r="C1571" s="233"/>
      <c r="D1571" s="233"/>
      <c r="E1571" s="201"/>
      <c r="F1571" s="206"/>
      <c r="G1571" s="206"/>
      <c r="H1571" s="253"/>
      <c r="I1571" s="201"/>
      <c r="J1571" s="254"/>
      <c r="K1571" s="254"/>
      <c r="L1571" s="206"/>
      <c r="M1571" s="201"/>
      <c r="N1571" s="206"/>
      <c r="O1571" s="255"/>
      <c r="P1571" s="256"/>
      <c r="Q1571" s="256"/>
      <c r="R1571" s="201"/>
      <c r="S1571" s="201"/>
      <c r="T1571" s="201"/>
    </row>
    <row r="1572">
      <c r="A1572" s="252"/>
      <c r="B1572" s="202"/>
      <c r="C1572" s="233"/>
      <c r="D1572" s="233"/>
      <c r="E1572" s="201"/>
      <c r="F1572" s="206"/>
      <c r="G1572" s="206"/>
      <c r="H1572" s="253"/>
      <c r="I1572" s="201"/>
      <c r="J1572" s="254"/>
      <c r="K1572" s="254"/>
      <c r="L1572" s="206"/>
      <c r="M1572" s="201"/>
      <c r="N1572" s="206"/>
      <c r="O1572" s="255"/>
      <c r="P1572" s="256"/>
      <c r="Q1572" s="256"/>
      <c r="R1572" s="201"/>
      <c r="S1572" s="201"/>
      <c r="T1572" s="201"/>
    </row>
    <row r="1573">
      <c r="A1573" s="252"/>
      <c r="B1573" s="202"/>
      <c r="C1573" s="233"/>
      <c r="D1573" s="233"/>
      <c r="E1573" s="201"/>
      <c r="F1573" s="206"/>
      <c r="G1573" s="206"/>
      <c r="H1573" s="253"/>
      <c r="I1573" s="201"/>
      <c r="J1573" s="254"/>
      <c r="K1573" s="254"/>
      <c r="L1573" s="206"/>
      <c r="M1573" s="201"/>
      <c r="N1573" s="206"/>
      <c r="O1573" s="255"/>
      <c r="P1573" s="256"/>
      <c r="Q1573" s="256"/>
      <c r="R1573" s="201"/>
      <c r="S1573" s="201"/>
      <c r="T1573" s="201"/>
    </row>
    <row r="1574">
      <c r="A1574" s="252"/>
      <c r="B1574" s="202"/>
      <c r="C1574" s="233"/>
      <c r="D1574" s="233"/>
      <c r="E1574" s="201"/>
      <c r="F1574" s="206"/>
      <c r="G1574" s="206"/>
      <c r="H1574" s="253"/>
      <c r="I1574" s="201"/>
      <c r="J1574" s="254"/>
      <c r="K1574" s="254"/>
      <c r="L1574" s="206"/>
      <c r="M1574" s="201"/>
      <c r="N1574" s="206"/>
      <c r="O1574" s="255"/>
      <c r="P1574" s="256"/>
      <c r="Q1574" s="256"/>
      <c r="R1574" s="201"/>
      <c r="S1574" s="201"/>
      <c r="T1574" s="201"/>
    </row>
    <row r="1575">
      <c r="A1575" s="252"/>
      <c r="B1575" s="202"/>
      <c r="C1575" s="233"/>
      <c r="D1575" s="233"/>
      <c r="E1575" s="201"/>
      <c r="F1575" s="206"/>
      <c r="G1575" s="206"/>
      <c r="H1575" s="253"/>
      <c r="I1575" s="201"/>
      <c r="J1575" s="254"/>
      <c r="K1575" s="254"/>
      <c r="L1575" s="206"/>
      <c r="M1575" s="201"/>
      <c r="N1575" s="206"/>
      <c r="O1575" s="255"/>
      <c r="P1575" s="256"/>
      <c r="Q1575" s="256"/>
      <c r="R1575" s="201"/>
      <c r="S1575" s="201"/>
      <c r="T1575" s="201"/>
    </row>
    <row r="1576">
      <c r="A1576" s="252"/>
      <c r="B1576" s="202"/>
      <c r="C1576" s="233"/>
      <c r="D1576" s="233"/>
      <c r="E1576" s="201"/>
      <c r="F1576" s="206"/>
      <c r="G1576" s="206"/>
      <c r="H1576" s="253"/>
      <c r="I1576" s="201"/>
      <c r="J1576" s="254"/>
      <c r="K1576" s="254"/>
      <c r="L1576" s="206"/>
      <c r="M1576" s="201"/>
      <c r="N1576" s="206"/>
      <c r="O1576" s="255"/>
      <c r="P1576" s="256"/>
      <c r="Q1576" s="256"/>
      <c r="R1576" s="201"/>
      <c r="S1576" s="201"/>
      <c r="T1576" s="201"/>
    </row>
    <row r="1577">
      <c r="A1577" s="252"/>
      <c r="B1577" s="202"/>
      <c r="C1577" s="233"/>
      <c r="D1577" s="233"/>
      <c r="E1577" s="201"/>
      <c r="F1577" s="206"/>
      <c r="G1577" s="206"/>
      <c r="H1577" s="253"/>
      <c r="I1577" s="201"/>
      <c r="J1577" s="254"/>
      <c r="K1577" s="254"/>
      <c r="L1577" s="206"/>
      <c r="M1577" s="201"/>
      <c r="N1577" s="206"/>
      <c r="O1577" s="255"/>
      <c r="P1577" s="256"/>
      <c r="Q1577" s="256"/>
      <c r="R1577" s="201"/>
      <c r="S1577" s="201"/>
      <c r="T1577" s="201"/>
    </row>
    <row r="1578">
      <c r="A1578" s="252"/>
      <c r="B1578" s="202"/>
      <c r="C1578" s="233"/>
      <c r="D1578" s="233"/>
      <c r="E1578" s="201"/>
      <c r="F1578" s="206"/>
      <c r="G1578" s="206"/>
      <c r="H1578" s="253"/>
      <c r="I1578" s="201"/>
      <c r="J1578" s="254"/>
      <c r="K1578" s="254"/>
      <c r="L1578" s="206"/>
      <c r="M1578" s="201"/>
      <c r="N1578" s="206"/>
      <c r="O1578" s="255"/>
      <c r="P1578" s="256"/>
      <c r="Q1578" s="256"/>
      <c r="R1578" s="201"/>
      <c r="S1578" s="201"/>
      <c r="T1578" s="201"/>
    </row>
    <row r="1579">
      <c r="A1579" s="252"/>
      <c r="B1579" s="202"/>
      <c r="C1579" s="233"/>
      <c r="D1579" s="233"/>
      <c r="E1579" s="201"/>
      <c r="F1579" s="206"/>
      <c r="G1579" s="206"/>
      <c r="H1579" s="253"/>
      <c r="I1579" s="201"/>
      <c r="J1579" s="254"/>
      <c r="K1579" s="254"/>
      <c r="L1579" s="206"/>
      <c r="M1579" s="201"/>
      <c r="N1579" s="206"/>
      <c r="O1579" s="255"/>
      <c r="P1579" s="256"/>
      <c r="Q1579" s="256"/>
      <c r="R1579" s="201"/>
      <c r="S1579" s="201"/>
      <c r="T1579" s="201"/>
    </row>
    <row r="1580">
      <c r="A1580" s="252"/>
      <c r="B1580" s="202"/>
      <c r="C1580" s="233"/>
      <c r="D1580" s="233"/>
      <c r="E1580" s="201"/>
      <c r="F1580" s="206"/>
      <c r="G1580" s="206"/>
      <c r="H1580" s="253"/>
      <c r="I1580" s="201"/>
      <c r="J1580" s="254"/>
      <c r="K1580" s="254"/>
      <c r="L1580" s="206"/>
      <c r="M1580" s="201"/>
      <c r="N1580" s="206"/>
      <c r="O1580" s="255"/>
      <c r="P1580" s="256"/>
      <c r="Q1580" s="256"/>
      <c r="R1580" s="201"/>
      <c r="S1580" s="201"/>
      <c r="T1580" s="201"/>
    </row>
    <row r="1581">
      <c r="A1581" s="252"/>
      <c r="B1581" s="202"/>
      <c r="C1581" s="233"/>
      <c r="D1581" s="233"/>
      <c r="E1581" s="201"/>
      <c r="F1581" s="206"/>
      <c r="G1581" s="206"/>
      <c r="H1581" s="253"/>
      <c r="I1581" s="201"/>
      <c r="J1581" s="254"/>
      <c r="K1581" s="254"/>
      <c r="L1581" s="206"/>
      <c r="M1581" s="201"/>
      <c r="N1581" s="206"/>
      <c r="O1581" s="255"/>
      <c r="P1581" s="256"/>
      <c r="Q1581" s="256"/>
      <c r="R1581" s="201"/>
      <c r="S1581" s="201"/>
      <c r="T1581" s="201"/>
    </row>
    <row r="1582">
      <c r="A1582" s="252"/>
      <c r="B1582" s="202"/>
      <c r="C1582" s="233"/>
      <c r="D1582" s="233"/>
      <c r="E1582" s="201"/>
      <c r="F1582" s="206"/>
      <c r="G1582" s="206"/>
      <c r="H1582" s="253"/>
      <c r="I1582" s="201"/>
      <c r="J1582" s="254"/>
      <c r="K1582" s="254"/>
      <c r="L1582" s="206"/>
      <c r="M1582" s="201"/>
      <c r="N1582" s="206"/>
      <c r="O1582" s="255"/>
      <c r="P1582" s="256"/>
      <c r="Q1582" s="256"/>
      <c r="R1582" s="201"/>
      <c r="S1582" s="201"/>
      <c r="T1582" s="201"/>
    </row>
    <row r="1583">
      <c r="A1583" s="252"/>
      <c r="B1583" s="202"/>
      <c r="C1583" s="233"/>
      <c r="D1583" s="233"/>
      <c r="E1583" s="201"/>
      <c r="F1583" s="206"/>
      <c r="G1583" s="206"/>
      <c r="H1583" s="253"/>
      <c r="I1583" s="201"/>
      <c r="J1583" s="254"/>
      <c r="K1583" s="254"/>
      <c r="L1583" s="206"/>
      <c r="M1583" s="201"/>
      <c r="N1583" s="206"/>
      <c r="O1583" s="255"/>
      <c r="P1583" s="256"/>
      <c r="Q1583" s="256"/>
      <c r="R1583" s="201"/>
      <c r="S1583" s="201"/>
      <c r="T1583" s="201"/>
    </row>
    <row r="1584">
      <c r="A1584" s="252"/>
      <c r="B1584" s="202"/>
      <c r="C1584" s="233"/>
      <c r="D1584" s="233"/>
      <c r="E1584" s="201"/>
      <c r="F1584" s="206"/>
      <c r="G1584" s="206"/>
      <c r="H1584" s="253"/>
      <c r="I1584" s="201"/>
      <c r="J1584" s="254"/>
      <c r="K1584" s="254"/>
      <c r="L1584" s="206"/>
      <c r="M1584" s="201"/>
      <c r="N1584" s="206"/>
      <c r="O1584" s="255"/>
      <c r="P1584" s="256"/>
      <c r="Q1584" s="256"/>
      <c r="R1584" s="201"/>
      <c r="S1584" s="201"/>
      <c r="T1584" s="201"/>
    </row>
    <row r="1585">
      <c r="A1585" s="252"/>
      <c r="B1585" s="202"/>
      <c r="C1585" s="233"/>
      <c r="D1585" s="233"/>
      <c r="E1585" s="201"/>
      <c r="F1585" s="206"/>
      <c r="G1585" s="206"/>
      <c r="H1585" s="253"/>
      <c r="I1585" s="201"/>
      <c r="J1585" s="254"/>
      <c r="K1585" s="254"/>
      <c r="L1585" s="206"/>
      <c r="M1585" s="201"/>
      <c r="N1585" s="206"/>
      <c r="O1585" s="255"/>
      <c r="P1585" s="256"/>
      <c r="Q1585" s="256"/>
      <c r="R1585" s="201"/>
      <c r="S1585" s="201"/>
      <c r="T1585" s="201"/>
    </row>
    <row r="1586">
      <c r="A1586" s="252"/>
      <c r="B1586" s="202"/>
      <c r="C1586" s="233"/>
      <c r="D1586" s="233"/>
      <c r="E1586" s="201"/>
      <c r="F1586" s="206"/>
      <c r="G1586" s="206"/>
      <c r="H1586" s="253"/>
      <c r="I1586" s="201"/>
      <c r="J1586" s="254"/>
      <c r="K1586" s="254"/>
      <c r="L1586" s="206"/>
      <c r="M1586" s="201"/>
      <c r="N1586" s="206"/>
      <c r="O1586" s="255"/>
      <c r="P1586" s="256"/>
      <c r="Q1586" s="256"/>
      <c r="R1586" s="201"/>
      <c r="S1586" s="201"/>
      <c r="T1586" s="201"/>
    </row>
    <row r="1587">
      <c r="A1587" s="252"/>
      <c r="B1587" s="202"/>
      <c r="C1587" s="233"/>
      <c r="D1587" s="233"/>
      <c r="E1587" s="201"/>
      <c r="F1587" s="206"/>
      <c r="G1587" s="206"/>
      <c r="H1587" s="253"/>
      <c r="I1587" s="201"/>
      <c r="J1587" s="254"/>
      <c r="K1587" s="254"/>
      <c r="L1587" s="206"/>
      <c r="M1587" s="201"/>
      <c r="N1587" s="206"/>
      <c r="O1587" s="255"/>
      <c r="P1587" s="256"/>
      <c r="Q1587" s="256"/>
      <c r="R1587" s="201"/>
      <c r="S1587" s="201"/>
      <c r="T1587" s="201"/>
    </row>
    <row r="1588">
      <c r="A1588" s="252"/>
      <c r="B1588" s="202"/>
      <c r="C1588" s="233"/>
      <c r="D1588" s="233"/>
      <c r="E1588" s="201"/>
      <c r="F1588" s="206"/>
      <c r="G1588" s="206"/>
      <c r="H1588" s="253"/>
      <c r="I1588" s="201"/>
      <c r="J1588" s="254"/>
      <c r="K1588" s="254"/>
      <c r="L1588" s="206"/>
      <c r="M1588" s="201"/>
      <c r="N1588" s="206"/>
      <c r="O1588" s="255"/>
      <c r="P1588" s="256"/>
      <c r="Q1588" s="256"/>
      <c r="R1588" s="201"/>
      <c r="S1588" s="201"/>
      <c r="T1588" s="201"/>
    </row>
    <row r="1589">
      <c r="A1589" s="252"/>
      <c r="B1589" s="202"/>
      <c r="C1589" s="233"/>
      <c r="D1589" s="233"/>
      <c r="E1589" s="201"/>
      <c r="F1589" s="206"/>
      <c r="G1589" s="206"/>
      <c r="H1589" s="253"/>
      <c r="I1589" s="201"/>
      <c r="J1589" s="254"/>
      <c r="K1589" s="254"/>
      <c r="L1589" s="206"/>
      <c r="M1589" s="201"/>
      <c r="N1589" s="206"/>
      <c r="O1589" s="255"/>
      <c r="P1589" s="256"/>
      <c r="Q1589" s="256"/>
      <c r="R1589" s="201"/>
      <c r="S1589" s="201"/>
      <c r="T1589" s="201"/>
    </row>
    <row r="1590">
      <c r="A1590" s="252"/>
      <c r="B1590" s="202"/>
      <c r="C1590" s="233"/>
      <c r="D1590" s="233"/>
      <c r="E1590" s="201"/>
      <c r="F1590" s="206"/>
      <c r="G1590" s="206"/>
      <c r="H1590" s="253"/>
      <c r="I1590" s="201"/>
      <c r="J1590" s="254"/>
      <c r="K1590" s="254"/>
      <c r="L1590" s="206"/>
      <c r="M1590" s="201"/>
      <c r="N1590" s="206"/>
      <c r="O1590" s="255"/>
      <c r="P1590" s="256"/>
      <c r="Q1590" s="256"/>
      <c r="R1590" s="201"/>
      <c r="S1590" s="201"/>
      <c r="T1590" s="201"/>
    </row>
    <row r="1591">
      <c r="A1591" s="252"/>
      <c r="B1591" s="202"/>
      <c r="C1591" s="233"/>
      <c r="D1591" s="233"/>
      <c r="E1591" s="201"/>
      <c r="F1591" s="206"/>
      <c r="G1591" s="206"/>
      <c r="H1591" s="253"/>
      <c r="I1591" s="201"/>
      <c r="J1591" s="254"/>
      <c r="K1591" s="254"/>
      <c r="L1591" s="206"/>
      <c r="M1591" s="201"/>
      <c r="N1591" s="206"/>
      <c r="O1591" s="255"/>
      <c r="P1591" s="256"/>
      <c r="Q1591" s="256"/>
      <c r="R1591" s="201"/>
      <c r="S1591" s="201"/>
      <c r="T1591" s="201"/>
    </row>
    <row r="1592">
      <c r="A1592" s="252"/>
      <c r="B1592" s="202"/>
      <c r="C1592" s="233"/>
      <c r="D1592" s="233"/>
      <c r="E1592" s="201"/>
      <c r="F1592" s="206"/>
      <c r="G1592" s="206"/>
      <c r="H1592" s="253"/>
      <c r="I1592" s="201"/>
      <c r="J1592" s="254"/>
      <c r="K1592" s="254"/>
      <c r="L1592" s="206"/>
      <c r="M1592" s="201"/>
      <c r="N1592" s="206"/>
      <c r="O1592" s="255"/>
      <c r="P1592" s="256"/>
      <c r="Q1592" s="256"/>
      <c r="R1592" s="201"/>
      <c r="S1592" s="201"/>
      <c r="T1592" s="201"/>
    </row>
    <row r="1593">
      <c r="A1593" s="252"/>
      <c r="B1593" s="202"/>
      <c r="C1593" s="233"/>
      <c r="D1593" s="233"/>
      <c r="E1593" s="201"/>
      <c r="F1593" s="206"/>
      <c r="G1593" s="206"/>
      <c r="H1593" s="253"/>
      <c r="I1593" s="201"/>
      <c r="J1593" s="254"/>
      <c r="K1593" s="254"/>
      <c r="L1593" s="206"/>
      <c r="M1593" s="201"/>
      <c r="N1593" s="206"/>
      <c r="O1593" s="255"/>
      <c r="P1593" s="256"/>
      <c r="Q1593" s="256"/>
      <c r="R1593" s="201"/>
      <c r="S1593" s="201"/>
      <c r="T1593" s="201"/>
    </row>
    <row r="1594">
      <c r="A1594" s="252"/>
      <c r="B1594" s="202"/>
      <c r="C1594" s="233"/>
      <c r="D1594" s="233"/>
      <c r="E1594" s="201"/>
      <c r="F1594" s="206"/>
      <c r="G1594" s="206"/>
      <c r="H1594" s="253"/>
      <c r="I1594" s="201"/>
      <c r="J1594" s="254"/>
      <c r="K1594" s="254"/>
      <c r="L1594" s="206"/>
      <c r="M1594" s="201"/>
      <c r="N1594" s="206"/>
      <c r="O1594" s="255"/>
      <c r="P1594" s="256"/>
      <c r="Q1594" s="256"/>
      <c r="R1594" s="201"/>
      <c r="S1594" s="201"/>
      <c r="T1594" s="201"/>
    </row>
    <row r="1595">
      <c r="A1595" s="252"/>
      <c r="B1595" s="202"/>
      <c r="C1595" s="233"/>
      <c r="D1595" s="233"/>
      <c r="E1595" s="201"/>
      <c r="F1595" s="206"/>
      <c r="G1595" s="206"/>
      <c r="H1595" s="253"/>
      <c r="I1595" s="201"/>
      <c r="J1595" s="254"/>
      <c r="K1595" s="254"/>
      <c r="L1595" s="206"/>
      <c r="M1595" s="201"/>
      <c r="N1595" s="206"/>
      <c r="O1595" s="255"/>
      <c r="P1595" s="256"/>
      <c r="Q1595" s="256"/>
      <c r="R1595" s="201"/>
      <c r="S1595" s="201"/>
      <c r="T1595" s="201"/>
    </row>
    <row r="1596">
      <c r="A1596" s="252"/>
      <c r="B1596" s="202"/>
      <c r="C1596" s="233"/>
      <c r="D1596" s="233"/>
      <c r="E1596" s="201"/>
      <c r="F1596" s="206"/>
      <c r="G1596" s="206"/>
      <c r="H1596" s="253"/>
      <c r="I1596" s="201"/>
      <c r="J1596" s="254"/>
      <c r="K1596" s="254"/>
      <c r="L1596" s="206"/>
      <c r="M1596" s="201"/>
      <c r="N1596" s="206"/>
      <c r="O1596" s="255"/>
      <c r="P1596" s="256"/>
      <c r="Q1596" s="256"/>
      <c r="R1596" s="201"/>
      <c r="S1596" s="201"/>
      <c r="T1596" s="201"/>
    </row>
    <row r="1597">
      <c r="A1597" s="252"/>
      <c r="B1597" s="202"/>
      <c r="C1597" s="233"/>
      <c r="D1597" s="233"/>
      <c r="E1597" s="201"/>
      <c r="F1597" s="206"/>
      <c r="G1597" s="206"/>
      <c r="H1597" s="253"/>
      <c r="I1597" s="201"/>
      <c r="J1597" s="254"/>
      <c r="K1597" s="254"/>
      <c r="L1597" s="206"/>
      <c r="M1597" s="201"/>
      <c r="N1597" s="206"/>
      <c r="O1597" s="255"/>
      <c r="P1597" s="256"/>
      <c r="Q1597" s="256"/>
      <c r="R1597" s="201"/>
      <c r="S1597" s="201"/>
      <c r="T1597" s="201"/>
    </row>
    <row r="1598">
      <c r="A1598" s="252"/>
      <c r="B1598" s="202"/>
      <c r="C1598" s="233"/>
      <c r="D1598" s="233"/>
      <c r="E1598" s="201"/>
      <c r="F1598" s="206"/>
      <c r="G1598" s="206"/>
      <c r="H1598" s="253"/>
      <c r="I1598" s="201"/>
      <c r="J1598" s="254"/>
      <c r="K1598" s="254"/>
      <c r="L1598" s="206"/>
      <c r="M1598" s="201"/>
      <c r="N1598" s="206"/>
      <c r="O1598" s="255"/>
      <c r="P1598" s="256"/>
      <c r="Q1598" s="256"/>
      <c r="R1598" s="201"/>
      <c r="S1598" s="201"/>
      <c r="T1598" s="201"/>
    </row>
    <row r="1599">
      <c r="A1599" s="252"/>
      <c r="B1599" s="202"/>
      <c r="C1599" s="233"/>
      <c r="D1599" s="233"/>
      <c r="E1599" s="201"/>
      <c r="F1599" s="206"/>
      <c r="G1599" s="206"/>
      <c r="H1599" s="253"/>
      <c r="I1599" s="201"/>
      <c r="J1599" s="254"/>
      <c r="K1599" s="254"/>
      <c r="L1599" s="206"/>
      <c r="M1599" s="201"/>
      <c r="N1599" s="206"/>
      <c r="O1599" s="255"/>
      <c r="P1599" s="256"/>
      <c r="Q1599" s="256"/>
      <c r="R1599" s="201"/>
      <c r="S1599" s="201"/>
      <c r="T1599" s="201"/>
    </row>
    <row r="1600">
      <c r="A1600" s="252"/>
      <c r="B1600" s="202"/>
      <c r="C1600" s="233"/>
      <c r="D1600" s="233"/>
      <c r="E1600" s="201"/>
      <c r="F1600" s="206"/>
      <c r="G1600" s="206"/>
      <c r="H1600" s="253"/>
      <c r="I1600" s="201"/>
      <c r="J1600" s="254"/>
      <c r="K1600" s="254"/>
      <c r="L1600" s="206"/>
      <c r="M1600" s="201"/>
      <c r="N1600" s="206"/>
      <c r="O1600" s="255"/>
      <c r="P1600" s="256"/>
      <c r="Q1600" s="256"/>
      <c r="R1600" s="201"/>
      <c r="S1600" s="201"/>
      <c r="T1600" s="201"/>
    </row>
    <row r="1601">
      <c r="A1601" s="252"/>
      <c r="B1601" s="202"/>
      <c r="C1601" s="233"/>
      <c r="D1601" s="233"/>
      <c r="E1601" s="201"/>
      <c r="F1601" s="206"/>
      <c r="G1601" s="206"/>
      <c r="H1601" s="253"/>
      <c r="I1601" s="201"/>
      <c r="J1601" s="254"/>
      <c r="K1601" s="254"/>
      <c r="L1601" s="206"/>
      <c r="M1601" s="201"/>
      <c r="N1601" s="206"/>
      <c r="O1601" s="255"/>
      <c r="P1601" s="256"/>
      <c r="Q1601" s="256"/>
      <c r="R1601" s="201"/>
      <c r="S1601" s="201"/>
      <c r="T1601" s="201"/>
    </row>
    <row r="1602">
      <c r="A1602" s="252"/>
      <c r="B1602" s="202"/>
      <c r="C1602" s="233"/>
      <c r="D1602" s="233"/>
      <c r="E1602" s="201"/>
      <c r="F1602" s="206"/>
      <c r="G1602" s="206"/>
      <c r="H1602" s="253"/>
      <c r="I1602" s="201"/>
      <c r="J1602" s="254"/>
      <c r="K1602" s="254"/>
      <c r="L1602" s="206"/>
      <c r="M1602" s="201"/>
      <c r="N1602" s="206"/>
      <c r="O1602" s="255"/>
      <c r="P1602" s="256"/>
      <c r="Q1602" s="256"/>
      <c r="R1602" s="201"/>
      <c r="S1602" s="201"/>
      <c r="T1602" s="201"/>
    </row>
    <row r="1603">
      <c r="A1603" s="252"/>
      <c r="B1603" s="202"/>
      <c r="C1603" s="233"/>
      <c r="D1603" s="233"/>
      <c r="E1603" s="201"/>
      <c r="F1603" s="206"/>
      <c r="G1603" s="206"/>
      <c r="H1603" s="253"/>
      <c r="I1603" s="201"/>
      <c r="J1603" s="254"/>
      <c r="K1603" s="254"/>
      <c r="L1603" s="206"/>
      <c r="M1603" s="201"/>
      <c r="N1603" s="206"/>
      <c r="O1603" s="255"/>
      <c r="P1603" s="256"/>
      <c r="Q1603" s="256"/>
      <c r="R1603" s="201"/>
      <c r="S1603" s="201"/>
      <c r="T1603" s="201"/>
    </row>
    <row r="1604">
      <c r="A1604" s="252"/>
      <c r="B1604" s="202"/>
      <c r="C1604" s="233"/>
      <c r="D1604" s="233"/>
      <c r="E1604" s="201"/>
      <c r="F1604" s="206"/>
      <c r="G1604" s="206"/>
      <c r="H1604" s="253"/>
      <c r="I1604" s="201"/>
      <c r="J1604" s="254"/>
      <c r="K1604" s="254"/>
      <c r="L1604" s="206"/>
      <c r="M1604" s="201"/>
      <c r="N1604" s="206"/>
      <c r="O1604" s="255"/>
      <c r="P1604" s="256"/>
      <c r="Q1604" s="256"/>
      <c r="R1604" s="201"/>
      <c r="S1604" s="201"/>
      <c r="T1604" s="201"/>
    </row>
    <row r="1605">
      <c r="A1605" s="252"/>
      <c r="B1605" s="202"/>
      <c r="C1605" s="233"/>
      <c r="D1605" s="233"/>
      <c r="E1605" s="201"/>
      <c r="F1605" s="206"/>
      <c r="G1605" s="206"/>
      <c r="H1605" s="253"/>
      <c r="I1605" s="201"/>
      <c r="J1605" s="254"/>
      <c r="K1605" s="254"/>
      <c r="L1605" s="206"/>
      <c r="M1605" s="201"/>
      <c r="N1605" s="206"/>
      <c r="O1605" s="255"/>
      <c r="P1605" s="256"/>
      <c r="Q1605" s="256"/>
      <c r="R1605" s="201"/>
      <c r="S1605" s="201"/>
      <c r="T1605" s="201"/>
    </row>
    <row r="1606">
      <c r="A1606" s="252"/>
      <c r="B1606" s="202"/>
      <c r="C1606" s="233"/>
      <c r="D1606" s="233"/>
      <c r="E1606" s="201"/>
      <c r="F1606" s="206"/>
      <c r="G1606" s="206"/>
      <c r="H1606" s="253"/>
      <c r="I1606" s="201"/>
      <c r="J1606" s="254"/>
      <c r="K1606" s="254"/>
      <c r="L1606" s="206"/>
      <c r="M1606" s="201"/>
      <c r="N1606" s="206"/>
      <c r="O1606" s="255"/>
      <c r="P1606" s="256"/>
      <c r="Q1606" s="256"/>
      <c r="R1606" s="201"/>
      <c r="S1606" s="201"/>
      <c r="T1606" s="201"/>
    </row>
    <row r="1607">
      <c r="A1607" s="252"/>
      <c r="B1607" s="202"/>
      <c r="C1607" s="233"/>
      <c r="D1607" s="233"/>
      <c r="E1607" s="201"/>
      <c r="F1607" s="206"/>
      <c r="G1607" s="206"/>
      <c r="H1607" s="253"/>
      <c r="I1607" s="201"/>
      <c r="J1607" s="254"/>
      <c r="K1607" s="254"/>
      <c r="L1607" s="206"/>
      <c r="M1607" s="201"/>
      <c r="N1607" s="206"/>
      <c r="O1607" s="255"/>
      <c r="P1607" s="256"/>
      <c r="Q1607" s="256"/>
      <c r="R1607" s="201"/>
      <c r="S1607" s="201"/>
      <c r="T1607" s="201"/>
    </row>
    <row r="1608">
      <c r="A1608" s="252"/>
      <c r="B1608" s="202"/>
      <c r="C1608" s="233"/>
      <c r="D1608" s="233"/>
      <c r="E1608" s="201"/>
      <c r="F1608" s="206"/>
      <c r="G1608" s="206"/>
      <c r="H1608" s="253"/>
      <c r="I1608" s="201"/>
      <c r="J1608" s="254"/>
      <c r="K1608" s="254"/>
      <c r="L1608" s="206"/>
      <c r="M1608" s="201"/>
      <c r="N1608" s="206"/>
      <c r="O1608" s="255"/>
      <c r="P1608" s="256"/>
      <c r="Q1608" s="256"/>
      <c r="R1608" s="201"/>
      <c r="S1608" s="201"/>
      <c r="T1608" s="201"/>
    </row>
    <row r="1609">
      <c r="A1609" s="252"/>
      <c r="B1609" s="202"/>
      <c r="C1609" s="233"/>
      <c r="D1609" s="233"/>
      <c r="E1609" s="201"/>
      <c r="F1609" s="206"/>
      <c r="G1609" s="206"/>
      <c r="H1609" s="253"/>
      <c r="I1609" s="201"/>
      <c r="J1609" s="254"/>
      <c r="K1609" s="254"/>
      <c r="L1609" s="206"/>
      <c r="M1609" s="201"/>
      <c r="N1609" s="206"/>
      <c r="O1609" s="255"/>
      <c r="P1609" s="256"/>
      <c r="Q1609" s="256"/>
      <c r="R1609" s="201"/>
      <c r="S1609" s="201"/>
      <c r="T1609" s="201"/>
    </row>
    <row r="1610">
      <c r="A1610" s="252"/>
      <c r="B1610" s="202"/>
      <c r="C1610" s="233"/>
      <c r="D1610" s="233"/>
      <c r="E1610" s="201"/>
      <c r="F1610" s="206"/>
      <c r="G1610" s="206"/>
      <c r="H1610" s="253"/>
      <c r="I1610" s="201"/>
      <c r="J1610" s="254"/>
      <c r="K1610" s="254"/>
      <c r="L1610" s="206"/>
      <c r="M1610" s="201"/>
      <c r="N1610" s="206"/>
      <c r="O1610" s="255"/>
      <c r="P1610" s="256"/>
      <c r="Q1610" s="256"/>
      <c r="R1610" s="201"/>
      <c r="S1610" s="201"/>
      <c r="T1610" s="201"/>
    </row>
    <row r="1611">
      <c r="A1611" s="252"/>
      <c r="B1611" s="202"/>
      <c r="C1611" s="233"/>
      <c r="D1611" s="233"/>
      <c r="E1611" s="201"/>
      <c r="F1611" s="206"/>
      <c r="G1611" s="206"/>
      <c r="H1611" s="253"/>
      <c r="I1611" s="201"/>
      <c r="J1611" s="254"/>
      <c r="K1611" s="254"/>
      <c r="L1611" s="206"/>
      <c r="M1611" s="201"/>
      <c r="N1611" s="206"/>
      <c r="O1611" s="255"/>
      <c r="P1611" s="256"/>
      <c r="Q1611" s="256"/>
      <c r="R1611" s="201"/>
      <c r="S1611" s="201"/>
      <c r="T1611" s="201"/>
    </row>
    <row r="1612">
      <c r="A1612" s="252"/>
      <c r="B1612" s="202"/>
      <c r="C1612" s="233"/>
      <c r="D1612" s="233"/>
      <c r="E1612" s="201"/>
      <c r="F1612" s="206"/>
      <c r="G1612" s="206"/>
      <c r="H1612" s="253"/>
      <c r="I1612" s="201"/>
      <c r="J1612" s="254"/>
      <c r="K1612" s="254"/>
      <c r="L1612" s="206"/>
      <c r="M1612" s="201"/>
      <c r="N1612" s="206"/>
      <c r="O1612" s="255"/>
      <c r="P1612" s="256"/>
      <c r="Q1612" s="256"/>
      <c r="R1612" s="201"/>
      <c r="S1612" s="201"/>
      <c r="T1612" s="201"/>
    </row>
    <row r="1613">
      <c r="A1613" s="252"/>
      <c r="B1613" s="202"/>
      <c r="C1613" s="233"/>
      <c r="D1613" s="233"/>
      <c r="E1613" s="201"/>
      <c r="F1613" s="206"/>
      <c r="G1613" s="206"/>
      <c r="H1613" s="253"/>
      <c r="I1613" s="201"/>
      <c r="J1613" s="254"/>
      <c r="K1613" s="254"/>
      <c r="L1613" s="206"/>
      <c r="M1613" s="201"/>
      <c r="N1613" s="206"/>
      <c r="O1613" s="255"/>
      <c r="P1613" s="256"/>
      <c r="Q1613" s="256"/>
      <c r="R1613" s="201"/>
      <c r="S1613" s="201"/>
      <c r="T1613" s="201"/>
    </row>
    <row r="1614">
      <c r="A1614" s="252"/>
      <c r="B1614" s="202"/>
      <c r="C1614" s="233"/>
      <c r="D1614" s="233"/>
      <c r="E1614" s="201"/>
      <c r="F1614" s="206"/>
      <c r="G1614" s="206"/>
      <c r="H1614" s="253"/>
      <c r="I1614" s="201"/>
      <c r="J1614" s="254"/>
      <c r="K1614" s="254"/>
      <c r="L1614" s="206"/>
      <c r="M1614" s="201"/>
      <c r="N1614" s="206"/>
      <c r="O1614" s="255"/>
      <c r="P1614" s="256"/>
      <c r="Q1614" s="256"/>
      <c r="R1614" s="201"/>
      <c r="S1614" s="201"/>
      <c r="T1614" s="201"/>
    </row>
    <row r="1615">
      <c r="A1615" s="252"/>
      <c r="B1615" s="202"/>
      <c r="C1615" s="233"/>
      <c r="D1615" s="233"/>
      <c r="E1615" s="201"/>
      <c r="F1615" s="206"/>
      <c r="G1615" s="206"/>
      <c r="H1615" s="253"/>
      <c r="I1615" s="201"/>
      <c r="J1615" s="254"/>
      <c r="K1615" s="254"/>
      <c r="L1615" s="206"/>
      <c r="M1615" s="201"/>
      <c r="N1615" s="206"/>
      <c r="O1615" s="255"/>
      <c r="P1615" s="256"/>
      <c r="Q1615" s="256"/>
      <c r="R1615" s="201"/>
      <c r="S1615" s="201"/>
      <c r="T1615" s="201"/>
    </row>
    <row r="1616">
      <c r="A1616" s="252"/>
      <c r="B1616" s="202"/>
      <c r="C1616" s="233"/>
      <c r="D1616" s="233"/>
      <c r="E1616" s="201"/>
      <c r="F1616" s="206"/>
      <c r="G1616" s="206"/>
      <c r="H1616" s="253"/>
      <c r="I1616" s="201"/>
      <c r="J1616" s="254"/>
      <c r="K1616" s="254"/>
      <c r="L1616" s="206"/>
      <c r="M1616" s="201"/>
      <c r="N1616" s="206"/>
      <c r="O1616" s="255"/>
      <c r="P1616" s="256"/>
      <c r="Q1616" s="256"/>
      <c r="R1616" s="201"/>
      <c r="S1616" s="201"/>
      <c r="T1616" s="201"/>
    </row>
    <row r="1617">
      <c r="A1617" s="252"/>
      <c r="B1617" s="202"/>
      <c r="C1617" s="233"/>
      <c r="D1617" s="233"/>
      <c r="E1617" s="201"/>
      <c r="F1617" s="206"/>
      <c r="G1617" s="206"/>
      <c r="H1617" s="253"/>
      <c r="I1617" s="201"/>
      <c r="J1617" s="254"/>
      <c r="K1617" s="254"/>
      <c r="L1617" s="206"/>
      <c r="M1617" s="201"/>
      <c r="N1617" s="206"/>
      <c r="O1617" s="255"/>
      <c r="P1617" s="256"/>
      <c r="Q1617" s="256"/>
      <c r="R1617" s="201"/>
      <c r="S1617" s="201"/>
      <c r="T1617" s="201"/>
    </row>
    <row r="1618">
      <c r="A1618" s="252"/>
      <c r="B1618" s="202"/>
      <c r="C1618" s="233"/>
      <c r="D1618" s="233"/>
      <c r="E1618" s="201"/>
      <c r="F1618" s="206"/>
      <c r="G1618" s="206"/>
      <c r="H1618" s="253"/>
      <c r="I1618" s="201"/>
      <c r="J1618" s="254"/>
      <c r="K1618" s="254"/>
      <c r="L1618" s="206"/>
      <c r="M1618" s="201"/>
      <c r="N1618" s="206"/>
      <c r="O1618" s="255"/>
      <c r="P1618" s="256"/>
      <c r="Q1618" s="256"/>
      <c r="R1618" s="201"/>
      <c r="S1618" s="201"/>
      <c r="T1618" s="201"/>
    </row>
    <row r="1619">
      <c r="A1619" s="252"/>
      <c r="B1619" s="202"/>
      <c r="C1619" s="233"/>
      <c r="D1619" s="233"/>
      <c r="E1619" s="201"/>
      <c r="F1619" s="206"/>
      <c r="G1619" s="206"/>
      <c r="H1619" s="253"/>
      <c r="I1619" s="201"/>
      <c r="J1619" s="254"/>
      <c r="K1619" s="254"/>
      <c r="L1619" s="206"/>
      <c r="M1619" s="201"/>
      <c r="N1619" s="206"/>
      <c r="O1619" s="255"/>
      <c r="P1619" s="256"/>
      <c r="Q1619" s="256"/>
      <c r="R1619" s="201"/>
      <c r="S1619" s="201"/>
      <c r="T1619" s="201"/>
    </row>
    <row r="1620">
      <c r="A1620" s="252"/>
      <c r="B1620" s="202"/>
      <c r="C1620" s="233"/>
      <c r="D1620" s="233"/>
      <c r="E1620" s="201"/>
      <c r="F1620" s="206"/>
      <c r="G1620" s="206"/>
      <c r="H1620" s="253"/>
      <c r="I1620" s="201"/>
      <c r="J1620" s="254"/>
      <c r="K1620" s="254"/>
      <c r="L1620" s="206"/>
      <c r="M1620" s="201"/>
      <c r="N1620" s="206"/>
      <c r="O1620" s="255"/>
      <c r="P1620" s="256"/>
      <c r="Q1620" s="256"/>
      <c r="R1620" s="201"/>
      <c r="S1620" s="201"/>
      <c r="T1620" s="201"/>
    </row>
    <row r="1621">
      <c r="A1621" s="252"/>
      <c r="B1621" s="202"/>
      <c r="C1621" s="233"/>
      <c r="D1621" s="233"/>
      <c r="E1621" s="201"/>
      <c r="F1621" s="206"/>
      <c r="G1621" s="206"/>
      <c r="H1621" s="253"/>
      <c r="I1621" s="201"/>
      <c r="J1621" s="254"/>
      <c r="K1621" s="254"/>
      <c r="L1621" s="206"/>
      <c r="M1621" s="201"/>
      <c r="N1621" s="206"/>
      <c r="O1621" s="255"/>
      <c r="P1621" s="256"/>
      <c r="Q1621" s="256"/>
      <c r="R1621" s="201"/>
      <c r="S1621" s="201"/>
      <c r="T1621" s="201"/>
    </row>
    <row r="1622">
      <c r="A1622" s="252"/>
      <c r="B1622" s="202"/>
      <c r="C1622" s="233"/>
      <c r="D1622" s="233"/>
      <c r="E1622" s="201"/>
      <c r="F1622" s="206"/>
      <c r="G1622" s="206"/>
      <c r="H1622" s="253"/>
      <c r="I1622" s="201"/>
      <c r="J1622" s="254"/>
      <c r="K1622" s="254"/>
      <c r="L1622" s="206"/>
      <c r="M1622" s="201"/>
      <c r="N1622" s="206"/>
      <c r="O1622" s="255"/>
      <c r="P1622" s="256"/>
      <c r="Q1622" s="256"/>
      <c r="R1622" s="201"/>
      <c r="S1622" s="201"/>
      <c r="T1622" s="201"/>
    </row>
    <row r="1623">
      <c r="A1623" s="252"/>
      <c r="B1623" s="202"/>
      <c r="C1623" s="233"/>
      <c r="D1623" s="233"/>
      <c r="E1623" s="201"/>
      <c r="F1623" s="206"/>
      <c r="G1623" s="206"/>
      <c r="H1623" s="253"/>
      <c r="I1623" s="201"/>
      <c r="J1623" s="254"/>
      <c r="K1623" s="254"/>
      <c r="L1623" s="206"/>
      <c r="M1623" s="201"/>
      <c r="N1623" s="206"/>
      <c r="O1623" s="255"/>
      <c r="P1623" s="256"/>
      <c r="Q1623" s="256"/>
      <c r="R1623" s="201"/>
      <c r="S1623" s="201"/>
      <c r="T1623" s="201"/>
    </row>
    <row r="1624">
      <c r="A1624" s="252"/>
      <c r="B1624" s="202"/>
      <c r="C1624" s="233"/>
      <c r="D1624" s="233"/>
      <c r="E1624" s="201"/>
      <c r="F1624" s="206"/>
      <c r="G1624" s="206"/>
      <c r="H1624" s="253"/>
      <c r="I1624" s="201"/>
      <c r="J1624" s="254"/>
      <c r="K1624" s="254"/>
      <c r="L1624" s="206"/>
      <c r="M1624" s="201"/>
      <c r="N1624" s="206"/>
      <c r="O1624" s="255"/>
      <c r="P1624" s="256"/>
      <c r="Q1624" s="256"/>
      <c r="R1624" s="201"/>
      <c r="S1624" s="201"/>
      <c r="T1624" s="201"/>
    </row>
    <row r="1625">
      <c r="A1625" s="252"/>
      <c r="B1625" s="202"/>
      <c r="C1625" s="233"/>
      <c r="D1625" s="233"/>
      <c r="E1625" s="201"/>
      <c r="F1625" s="206"/>
      <c r="G1625" s="206"/>
      <c r="H1625" s="253"/>
      <c r="I1625" s="201"/>
      <c r="J1625" s="254"/>
      <c r="K1625" s="254"/>
      <c r="L1625" s="206"/>
      <c r="M1625" s="201"/>
      <c r="N1625" s="206"/>
      <c r="O1625" s="255"/>
      <c r="P1625" s="256"/>
      <c r="Q1625" s="256"/>
      <c r="R1625" s="201"/>
      <c r="S1625" s="201"/>
      <c r="T1625" s="201"/>
    </row>
    <row r="1626">
      <c r="A1626" s="252"/>
      <c r="B1626" s="202"/>
      <c r="C1626" s="233"/>
      <c r="D1626" s="233"/>
      <c r="E1626" s="201"/>
      <c r="F1626" s="206"/>
      <c r="G1626" s="206"/>
      <c r="H1626" s="253"/>
      <c r="I1626" s="201"/>
      <c r="J1626" s="254"/>
      <c r="K1626" s="254"/>
      <c r="L1626" s="206"/>
      <c r="M1626" s="201"/>
      <c r="N1626" s="206"/>
      <c r="O1626" s="255"/>
      <c r="P1626" s="256"/>
      <c r="Q1626" s="256"/>
      <c r="R1626" s="201"/>
      <c r="S1626" s="201"/>
      <c r="T1626" s="201"/>
    </row>
    <row r="1627">
      <c r="A1627" s="252"/>
      <c r="B1627" s="202"/>
      <c r="C1627" s="233"/>
      <c r="D1627" s="233"/>
      <c r="E1627" s="201"/>
      <c r="F1627" s="206"/>
      <c r="G1627" s="206"/>
      <c r="H1627" s="253"/>
      <c r="I1627" s="201"/>
      <c r="J1627" s="254"/>
      <c r="K1627" s="254"/>
      <c r="L1627" s="206"/>
      <c r="M1627" s="201"/>
      <c r="N1627" s="206"/>
      <c r="O1627" s="255"/>
      <c r="P1627" s="256"/>
      <c r="Q1627" s="256"/>
      <c r="R1627" s="201"/>
      <c r="S1627" s="201"/>
      <c r="T1627" s="201"/>
    </row>
    <row r="1628">
      <c r="A1628" s="252"/>
      <c r="B1628" s="202"/>
      <c r="C1628" s="233"/>
      <c r="D1628" s="233"/>
      <c r="E1628" s="201"/>
      <c r="F1628" s="206"/>
      <c r="G1628" s="206"/>
      <c r="H1628" s="253"/>
      <c r="I1628" s="201"/>
      <c r="J1628" s="254"/>
      <c r="K1628" s="254"/>
      <c r="L1628" s="206"/>
      <c r="M1628" s="201"/>
      <c r="N1628" s="206"/>
      <c r="O1628" s="255"/>
      <c r="P1628" s="256"/>
      <c r="Q1628" s="256"/>
      <c r="R1628" s="201"/>
      <c r="S1628" s="201"/>
      <c r="T1628" s="201"/>
    </row>
    <row r="1629">
      <c r="A1629" s="252"/>
      <c r="B1629" s="202"/>
      <c r="C1629" s="233"/>
      <c r="D1629" s="233"/>
      <c r="E1629" s="201"/>
      <c r="F1629" s="206"/>
      <c r="G1629" s="206"/>
      <c r="H1629" s="253"/>
      <c r="I1629" s="201"/>
      <c r="J1629" s="254"/>
      <c r="K1629" s="254"/>
      <c r="L1629" s="206"/>
      <c r="M1629" s="201"/>
      <c r="N1629" s="206"/>
      <c r="O1629" s="255"/>
      <c r="P1629" s="256"/>
      <c r="Q1629" s="256"/>
      <c r="R1629" s="201"/>
      <c r="S1629" s="201"/>
      <c r="T1629" s="201"/>
    </row>
    <row r="1630">
      <c r="A1630" s="252"/>
      <c r="B1630" s="202"/>
      <c r="C1630" s="233"/>
      <c r="D1630" s="233"/>
      <c r="E1630" s="201"/>
      <c r="F1630" s="206"/>
      <c r="G1630" s="206"/>
      <c r="H1630" s="253"/>
      <c r="I1630" s="201"/>
      <c r="J1630" s="254"/>
      <c r="K1630" s="254"/>
      <c r="L1630" s="206"/>
      <c r="M1630" s="201"/>
      <c r="N1630" s="206"/>
      <c r="O1630" s="255"/>
      <c r="P1630" s="256"/>
      <c r="Q1630" s="256"/>
      <c r="R1630" s="201"/>
      <c r="S1630" s="201"/>
      <c r="T1630" s="201"/>
    </row>
    <row r="1631">
      <c r="A1631" s="252"/>
      <c r="B1631" s="202"/>
      <c r="C1631" s="233"/>
      <c r="D1631" s="233"/>
      <c r="E1631" s="201"/>
      <c r="F1631" s="206"/>
      <c r="G1631" s="206"/>
      <c r="H1631" s="253"/>
      <c r="I1631" s="201"/>
      <c r="J1631" s="254"/>
      <c r="K1631" s="254"/>
      <c r="L1631" s="206"/>
      <c r="M1631" s="201"/>
      <c r="N1631" s="206"/>
      <c r="O1631" s="255"/>
      <c r="P1631" s="256"/>
      <c r="Q1631" s="256"/>
      <c r="R1631" s="201"/>
      <c r="S1631" s="201"/>
      <c r="T1631" s="201"/>
    </row>
    <row r="1632">
      <c r="A1632" s="252"/>
      <c r="B1632" s="202"/>
      <c r="C1632" s="233"/>
      <c r="D1632" s="233"/>
      <c r="E1632" s="201"/>
      <c r="F1632" s="206"/>
      <c r="G1632" s="206"/>
      <c r="H1632" s="253"/>
      <c r="I1632" s="201"/>
      <c r="J1632" s="254"/>
      <c r="K1632" s="254"/>
      <c r="L1632" s="206"/>
      <c r="M1632" s="201"/>
      <c r="N1632" s="206"/>
      <c r="O1632" s="255"/>
      <c r="P1632" s="256"/>
      <c r="Q1632" s="256"/>
      <c r="R1632" s="201"/>
      <c r="S1632" s="201"/>
      <c r="T1632" s="201"/>
    </row>
    <row r="1633">
      <c r="A1633" s="252"/>
      <c r="B1633" s="202"/>
      <c r="C1633" s="233"/>
      <c r="D1633" s="233"/>
      <c r="E1633" s="201"/>
      <c r="F1633" s="206"/>
      <c r="G1633" s="206"/>
      <c r="H1633" s="253"/>
      <c r="I1633" s="201"/>
      <c r="J1633" s="254"/>
      <c r="K1633" s="254"/>
      <c r="L1633" s="206"/>
      <c r="M1633" s="201"/>
      <c r="N1633" s="206"/>
      <c r="O1633" s="255"/>
      <c r="P1633" s="256"/>
      <c r="Q1633" s="256"/>
      <c r="R1633" s="201"/>
      <c r="S1633" s="201"/>
      <c r="T1633" s="201"/>
    </row>
    <row r="1634">
      <c r="A1634" s="252"/>
      <c r="B1634" s="202"/>
      <c r="C1634" s="233"/>
      <c r="D1634" s="233"/>
      <c r="E1634" s="201"/>
      <c r="F1634" s="206"/>
      <c r="G1634" s="206"/>
      <c r="H1634" s="253"/>
      <c r="I1634" s="201"/>
      <c r="J1634" s="254"/>
      <c r="K1634" s="254"/>
      <c r="L1634" s="206"/>
      <c r="M1634" s="201"/>
      <c r="N1634" s="206"/>
      <c r="O1634" s="255"/>
      <c r="P1634" s="256"/>
      <c r="Q1634" s="256"/>
      <c r="R1634" s="201"/>
      <c r="S1634" s="201"/>
      <c r="T1634" s="201"/>
    </row>
    <row r="1635">
      <c r="A1635" s="252"/>
      <c r="B1635" s="202"/>
      <c r="C1635" s="233"/>
      <c r="D1635" s="233"/>
      <c r="E1635" s="201"/>
      <c r="F1635" s="206"/>
      <c r="G1635" s="206"/>
      <c r="H1635" s="253"/>
      <c r="I1635" s="201"/>
      <c r="J1635" s="254"/>
      <c r="K1635" s="254"/>
      <c r="L1635" s="206"/>
      <c r="M1635" s="201"/>
      <c r="N1635" s="206"/>
      <c r="O1635" s="255"/>
      <c r="P1635" s="256"/>
      <c r="Q1635" s="256"/>
      <c r="R1635" s="201"/>
      <c r="S1635" s="201"/>
      <c r="T1635" s="201"/>
    </row>
    <row r="1636">
      <c r="A1636" s="252"/>
      <c r="B1636" s="202"/>
      <c r="C1636" s="233"/>
      <c r="D1636" s="233"/>
      <c r="E1636" s="201"/>
      <c r="F1636" s="206"/>
      <c r="G1636" s="206"/>
      <c r="H1636" s="253"/>
      <c r="I1636" s="201"/>
      <c r="J1636" s="254"/>
      <c r="K1636" s="254"/>
      <c r="L1636" s="206"/>
      <c r="M1636" s="201"/>
      <c r="N1636" s="206"/>
      <c r="O1636" s="255"/>
      <c r="P1636" s="256"/>
      <c r="Q1636" s="256"/>
      <c r="R1636" s="201"/>
      <c r="S1636" s="201"/>
      <c r="T1636" s="201"/>
    </row>
    <row r="1637">
      <c r="A1637" s="252"/>
      <c r="B1637" s="202"/>
      <c r="C1637" s="233"/>
      <c r="D1637" s="233"/>
      <c r="E1637" s="201"/>
      <c r="F1637" s="206"/>
      <c r="G1637" s="206"/>
      <c r="H1637" s="253"/>
      <c r="I1637" s="201"/>
      <c r="J1637" s="254"/>
      <c r="K1637" s="254"/>
      <c r="L1637" s="206"/>
      <c r="M1637" s="201"/>
      <c r="N1637" s="206"/>
      <c r="O1637" s="255"/>
      <c r="P1637" s="256"/>
      <c r="Q1637" s="256"/>
      <c r="R1637" s="201"/>
      <c r="S1637" s="201"/>
      <c r="T1637" s="201"/>
    </row>
    <row r="1638">
      <c r="A1638" s="252"/>
      <c r="B1638" s="202"/>
      <c r="C1638" s="233"/>
      <c r="D1638" s="233"/>
      <c r="E1638" s="201"/>
      <c r="F1638" s="206"/>
      <c r="G1638" s="206"/>
      <c r="H1638" s="253"/>
      <c r="I1638" s="201"/>
      <c r="J1638" s="254"/>
      <c r="K1638" s="254"/>
      <c r="L1638" s="206"/>
      <c r="M1638" s="201"/>
      <c r="N1638" s="206"/>
      <c r="O1638" s="255"/>
      <c r="P1638" s="256"/>
      <c r="Q1638" s="256"/>
      <c r="R1638" s="201"/>
      <c r="S1638" s="201"/>
      <c r="T1638" s="201"/>
    </row>
    <row r="1639">
      <c r="A1639" s="252"/>
      <c r="B1639" s="202"/>
      <c r="C1639" s="233"/>
      <c r="D1639" s="233"/>
      <c r="E1639" s="201"/>
      <c r="F1639" s="206"/>
      <c r="G1639" s="206"/>
      <c r="H1639" s="253"/>
      <c r="I1639" s="201"/>
      <c r="J1639" s="254"/>
      <c r="K1639" s="254"/>
      <c r="L1639" s="206"/>
      <c r="M1639" s="201"/>
      <c r="N1639" s="206"/>
      <c r="O1639" s="255"/>
      <c r="P1639" s="256"/>
      <c r="Q1639" s="256"/>
      <c r="R1639" s="201"/>
      <c r="S1639" s="201"/>
      <c r="T1639" s="201"/>
    </row>
    <row r="1640">
      <c r="A1640" s="252"/>
      <c r="B1640" s="202"/>
      <c r="C1640" s="233"/>
      <c r="D1640" s="233"/>
      <c r="E1640" s="201"/>
      <c r="F1640" s="206"/>
      <c r="G1640" s="206"/>
      <c r="H1640" s="253"/>
      <c r="I1640" s="201"/>
      <c r="J1640" s="254"/>
      <c r="K1640" s="254"/>
      <c r="L1640" s="206"/>
      <c r="M1640" s="201"/>
      <c r="N1640" s="206"/>
      <c r="O1640" s="255"/>
      <c r="P1640" s="256"/>
      <c r="Q1640" s="256"/>
      <c r="R1640" s="201"/>
      <c r="S1640" s="201"/>
      <c r="T1640" s="201"/>
    </row>
    <row r="1641">
      <c r="A1641" s="252"/>
      <c r="B1641" s="202"/>
      <c r="C1641" s="233"/>
      <c r="D1641" s="233"/>
      <c r="E1641" s="201"/>
      <c r="F1641" s="206"/>
      <c r="G1641" s="206"/>
      <c r="H1641" s="253"/>
      <c r="I1641" s="201"/>
      <c r="J1641" s="254"/>
      <c r="K1641" s="254"/>
      <c r="L1641" s="206"/>
      <c r="M1641" s="201"/>
      <c r="N1641" s="206"/>
      <c r="O1641" s="255"/>
      <c r="P1641" s="256"/>
      <c r="Q1641" s="256"/>
      <c r="R1641" s="201"/>
      <c r="S1641" s="201"/>
      <c r="T1641" s="201"/>
    </row>
    <row r="1642">
      <c r="A1642" s="252"/>
      <c r="B1642" s="202"/>
      <c r="C1642" s="233"/>
      <c r="D1642" s="233"/>
      <c r="E1642" s="201"/>
      <c r="F1642" s="206"/>
      <c r="G1642" s="206"/>
      <c r="H1642" s="253"/>
      <c r="I1642" s="201"/>
      <c r="J1642" s="254"/>
      <c r="K1642" s="254"/>
      <c r="L1642" s="206"/>
      <c r="M1642" s="201"/>
      <c r="N1642" s="206"/>
      <c r="O1642" s="255"/>
      <c r="P1642" s="256"/>
      <c r="Q1642" s="256"/>
      <c r="R1642" s="201"/>
      <c r="S1642" s="201"/>
      <c r="T1642" s="201"/>
    </row>
    <row r="1643">
      <c r="A1643" s="252"/>
      <c r="B1643" s="202"/>
      <c r="C1643" s="233"/>
      <c r="D1643" s="233"/>
      <c r="E1643" s="201"/>
      <c r="F1643" s="206"/>
      <c r="G1643" s="206"/>
      <c r="H1643" s="253"/>
      <c r="I1643" s="201"/>
      <c r="J1643" s="254"/>
      <c r="K1643" s="254"/>
      <c r="L1643" s="206"/>
      <c r="M1643" s="201"/>
      <c r="N1643" s="206"/>
      <c r="O1643" s="255"/>
      <c r="P1643" s="256"/>
      <c r="Q1643" s="256"/>
      <c r="R1643" s="201"/>
      <c r="S1643" s="201"/>
      <c r="T1643" s="201"/>
    </row>
    <row r="1644">
      <c r="A1644" s="252"/>
      <c r="B1644" s="202"/>
      <c r="C1644" s="233"/>
      <c r="D1644" s="233"/>
      <c r="E1644" s="201"/>
      <c r="F1644" s="206"/>
      <c r="G1644" s="206"/>
      <c r="H1644" s="253"/>
      <c r="I1644" s="201"/>
      <c r="J1644" s="254"/>
      <c r="K1644" s="254"/>
      <c r="L1644" s="206"/>
      <c r="M1644" s="201"/>
      <c r="N1644" s="206"/>
      <c r="O1644" s="255"/>
      <c r="P1644" s="256"/>
      <c r="Q1644" s="256"/>
      <c r="R1644" s="201"/>
      <c r="S1644" s="201"/>
      <c r="T1644" s="201"/>
    </row>
    <row r="1645">
      <c r="A1645" s="252"/>
      <c r="B1645" s="202"/>
      <c r="C1645" s="233"/>
      <c r="D1645" s="233"/>
      <c r="E1645" s="201"/>
      <c r="F1645" s="206"/>
      <c r="G1645" s="206"/>
      <c r="H1645" s="253"/>
      <c r="I1645" s="201"/>
      <c r="J1645" s="254"/>
      <c r="K1645" s="254"/>
      <c r="L1645" s="206"/>
      <c r="M1645" s="201"/>
      <c r="N1645" s="206"/>
      <c r="O1645" s="255"/>
      <c r="P1645" s="256"/>
      <c r="Q1645" s="256"/>
      <c r="R1645" s="201"/>
      <c r="S1645" s="201"/>
      <c r="T1645" s="201"/>
    </row>
    <row r="1646">
      <c r="A1646" s="252"/>
      <c r="B1646" s="202"/>
      <c r="C1646" s="233"/>
      <c r="D1646" s="233"/>
      <c r="E1646" s="201"/>
      <c r="F1646" s="206"/>
      <c r="G1646" s="206"/>
      <c r="H1646" s="253"/>
      <c r="I1646" s="201"/>
      <c r="J1646" s="254"/>
      <c r="K1646" s="254"/>
      <c r="L1646" s="206"/>
      <c r="M1646" s="201"/>
      <c r="N1646" s="206"/>
      <c r="O1646" s="255"/>
      <c r="P1646" s="256"/>
      <c r="Q1646" s="256"/>
      <c r="R1646" s="201"/>
      <c r="S1646" s="201"/>
      <c r="T1646" s="201"/>
    </row>
    <row r="1647">
      <c r="A1647" s="252"/>
      <c r="B1647" s="202"/>
      <c r="C1647" s="233"/>
      <c r="D1647" s="233"/>
      <c r="E1647" s="201"/>
      <c r="F1647" s="206"/>
      <c r="G1647" s="206"/>
      <c r="H1647" s="253"/>
      <c r="I1647" s="201"/>
      <c r="J1647" s="254"/>
      <c r="K1647" s="254"/>
      <c r="L1647" s="206"/>
      <c r="M1647" s="201"/>
      <c r="N1647" s="206"/>
      <c r="O1647" s="255"/>
      <c r="P1647" s="256"/>
      <c r="Q1647" s="256"/>
      <c r="R1647" s="201"/>
      <c r="S1647" s="201"/>
      <c r="T1647" s="201"/>
    </row>
    <row r="1648">
      <c r="A1648" s="252"/>
      <c r="B1648" s="202"/>
      <c r="C1648" s="233"/>
      <c r="D1648" s="233"/>
      <c r="E1648" s="201"/>
      <c r="F1648" s="206"/>
      <c r="G1648" s="206"/>
      <c r="H1648" s="253"/>
      <c r="I1648" s="201"/>
      <c r="J1648" s="254"/>
      <c r="K1648" s="254"/>
      <c r="L1648" s="206"/>
      <c r="M1648" s="201"/>
      <c r="N1648" s="206"/>
      <c r="O1648" s="255"/>
      <c r="P1648" s="256"/>
      <c r="Q1648" s="256"/>
      <c r="R1648" s="201"/>
      <c r="S1648" s="201"/>
      <c r="T1648" s="201"/>
    </row>
    <row r="1649">
      <c r="A1649" s="252"/>
      <c r="B1649" s="202"/>
      <c r="C1649" s="233"/>
      <c r="D1649" s="233"/>
      <c r="E1649" s="201"/>
      <c r="F1649" s="206"/>
      <c r="G1649" s="206"/>
      <c r="H1649" s="253"/>
      <c r="I1649" s="201"/>
      <c r="J1649" s="254"/>
      <c r="K1649" s="254"/>
      <c r="L1649" s="206"/>
      <c r="M1649" s="201"/>
      <c r="N1649" s="206"/>
      <c r="O1649" s="255"/>
      <c r="P1649" s="256"/>
      <c r="Q1649" s="256"/>
      <c r="R1649" s="201"/>
      <c r="S1649" s="201"/>
      <c r="T1649" s="201"/>
    </row>
    <row r="1650">
      <c r="A1650" s="252"/>
      <c r="B1650" s="202"/>
      <c r="C1650" s="233"/>
      <c r="D1650" s="233"/>
      <c r="E1650" s="201"/>
      <c r="F1650" s="206"/>
      <c r="G1650" s="206"/>
      <c r="H1650" s="253"/>
      <c r="I1650" s="201"/>
      <c r="J1650" s="254"/>
      <c r="K1650" s="254"/>
      <c r="L1650" s="206"/>
      <c r="M1650" s="201"/>
      <c r="N1650" s="206"/>
      <c r="O1650" s="255"/>
      <c r="P1650" s="256"/>
      <c r="Q1650" s="256"/>
      <c r="R1650" s="201"/>
      <c r="S1650" s="201"/>
      <c r="T1650" s="201"/>
    </row>
    <row r="1651">
      <c r="A1651" s="252"/>
      <c r="B1651" s="202"/>
      <c r="C1651" s="233"/>
      <c r="D1651" s="233"/>
      <c r="E1651" s="201"/>
      <c r="F1651" s="206"/>
      <c r="G1651" s="206"/>
      <c r="H1651" s="253"/>
      <c r="I1651" s="201"/>
      <c r="J1651" s="254"/>
      <c r="K1651" s="254"/>
      <c r="L1651" s="206"/>
      <c r="M1651" s="201"/>
      <c r="N1651" s="206"/>
      <c r="O1651" s="255"/>
      <c r="P1651" s="256"/>
      <c r="Q1651" s="256"/>
      <c r="R1651" s="201"/>
      <c r="S1651" s="201"/>
      <c r="T1651" s="201"/>
    </row>
    <row r="1652">
      <c r="A1652" s="252"/>
      <c r="B1652" s="202"/>
      <c r="C1652" s="233"/>
      <c r="D1652" s="233"/>
      <c r="E1652" s="201"/>
      <c r="F1652" s="206"/>
      <c r="G1652" s="206"/>
      <c r="H1652" s="253"/>
      <c r="I1652" s="201"/>
      <c r="J1652" s="254"/>
      <c r="K1652" s="254"/>
      <c r="L1652" s="206"/>
      <c r="M1652" s="201"/>
      <c r="N1652" s="206"/>
      <c r="O1652" s="255"/>
      <c r="P1652" s="256"/>
      <c r="Q1652" s="256"/>
      <c r="R1652" s="201"/>
      <c r="S1652" s="201"/>
      <c r="T1652" s="201"/>
    </row>
    <row r="1653">
      <c r="A1653" s="252"/>
      <c r="B1653" s="202"/>
      <c r="C1653" s="233"/>
      <c r="D1653" s="233"/>
      <c r="E1653" s="201"/>
      <c r="F1653" s="206"/>
      <c r="G1653" s="206"/>
      <c r="H1653" s="253"/>
      <c r="I1653" s="201"/>
      <c r="J1653" s="254"/>
      <c r="K1653" s="254"/>
      <c r="L1653" s="206"/>
      <c r="M1653" s="201"/>
      <c r="N1653" s="206"/>
      <c r="O1653" s="255"/>
      <c r="P1653" s="256"/>
      <c r="Q1653" s="256"/>
      <c r="R1653" s="201"/>
      <c r="S1653" s="201"/>
      <c r="T1653" s="201"/>
    </row>
    <row r="1654">
      <c r="A1654" s="252"/>
      <c r="B1654" s="202"/>
      <c r="C1654" s="233"/>
      <c r="D1654" s="233"/>
      <c r="E1654" s="201"/>
      <c r="F1654" s="206"/>
      <c r="G1654" s="206"/>
      <c r="H1654" s="253"/>
      <c r="I1654" s="201"/>
      <c r="J1654" s="254"/>
      <c r="K1654" s="254"/>
      <c r="L1654" s="206"/>
      <c r="M1654" s="201"/>
      <c r="N1654" s="206"/>
      <c r="O1654" s="255"/>
      <c r="P1654" s="256"/>
      <c r="Q1654" s="256"/>
      <c r="R1654" s="201"/>
      <c r="S1654" s="201"/>
      <c r="T1654" s="201"/>
    </row>
    <row r="1655">
      <c r="A1655" s="252"/>
      <c r="B1655" s="202"/>
      <c r="C1655" s="233"/>
      <c r="D1655" s="233"/>
      <c r="E1655" s="201"/>
      <c r="F1655" s="206"/>
      <c r="G1655" s="206"/>
      <c r="H1655" s="253"/>
      <c r="I1655" s="201"/>
      <c r="J1655" s="254"/>
      <c r="K1655" s="254"/>
      <c r="L1655" s="206"/>
      <c r="M1655" s="201"/>
      <c r="N1655" s="206"/>
      <c r="O1655" s="255"/>
      <c r="P1655" s="256"/>
      <c r="Q1655" s="256"/>
      <c r="R1655" s="201"/>
      <c r="S1655" s="201"/>
      <c r="T1655" s="201"/>
    </row>
    <row r="1656">
      <c r="A1656" s="252"/>
      <c r="B1656" s="202"/>
      <c r="C1656" s="233"/>
      <c r="D1656" s="233"/>
      <c r="E1656" s="201"/>
      <c r="F1656" s="206"/>
      <c r="G1656" s="206"/>
      <c r="H1656" s="253"/>
      <c r="I1656" s="201"/>
      <c r="J1656" s="254"/>
      <c r="K1656" s="254"/>
      <c r="L1656" s="206"/>
      <c r="M1656" s="201"/>
      <c r="N1656" s="206"/>
      <c r="O1656" s="255"/>
      <c r="P1656" s="256"/>
      <c r="Q1656" s="256"/>
      <c r="R1656" s="201"/>
      <c r="S1656" s="201"/>
      <c r="T1656" s="201"/>
    </row>
    <row r="1657">
      <c r="A1657" s="252"/>
      <c r="B1657" s="202"/>
      <c r="C1657" s="233"/>
      <c r="D1657" s="233"/>
      <c r="E1657" s="201"/>
      <c r="F1657" s="206"/>
      <c r="G1657" s="206"/>
      <c r="H1657" s="253"/>
      <c r="I1657" s="201"/>
      <c r="J1657" s="254"/>
      <c r="K1657" s="254"/>
      <c r="L1657" s="206"/>
      <c r="M1657" s="201"/>
      <c r="N1657" s="206"/>
      <c r="O1657" s="255"/>
      <c r="P1657" s="256"/>
      <c r="Q1657" s="256"/>
      <c r="R1657" s="201"/>
      <c r="S1657" s="201"/>
      <c r="T1657" s="201"/>
    </row>
    <row r="1658">
      <c r="A1658" s="252"/>
      <c r="B1658" s="202"/>
      <c r="C1658" s="233"/>
      <c r="D1658" s="233"/>
      <c r="E1658" s="201"/>
      <c r="F1658" s="206"/>
      <c r="G1658" s="206"/>
      <c r="H1658" s="253"/>
      <c r="I1658" s="201"/>
      <c r="J1658" s="254"/>
      <c r="K1658" s="254"/>
      <c r="L1658" s="206"/>
      <c r="M1658" s="201"/>
      <c r="N1658" s="206"/>
      <c r="O1658" s="255"/>
      <c r="P1658" s="256"/>
      <c r="Q1658" s="256"/>
      <c r="R1658" s="201"/>
      <c r="S1658" s="201"/>
      <c r="T1658" s="201"/>
    </row>
    <row r="1659">
      <c r="A1659" s="252"/>
      <c r="B1659" s="202"/>
      <c r="C1659" s="233"/>
      <c r="D1659" s="233"/>
      <c r="E1659" s="201"/>
      <c r="F1659" s="206"/>
      <c r="G1659" s="206"/>
      <c r="H1659" s="253"/>
      <c r="I1659" s="201"/>
      <c r="J1659" s="254"/>
      <c r="K1659" s="254"/>
      <c r="L1659" s="206"/>
      <c r="M1659" s="201"/>
      <c r="N1659" s="206"/>
      <c r="O1659" s="255"/>
      <c r="P1659" s="256"/>
      <c r="Q1659" s="256"/>
      <c r="R1659" s="201"/>
      <c r="S1659" s="201"/>
      <c r="T1659" s="201"/>
    </row>
    <row r="1660">
      <c r="A1660" s="252"/>
      <c r="B1660" s="202"/>
      <c r="C1660" s="233"/>
      <c r="D1660" s="233"/>
      <c r="E1660" s="201"/>
      <c r="F1660" s="206"/>
      <c r="G1660" s="206"/>
      <c r="H1660" s="253"/>
      <c r="I1660" s="201"/>
      <c r="J1660" s="254"/>
      <c r="K1660" s="254"/>
      <c r="L1660" s="206"/>
      <c r="M1660" s="201"/>
      <c r="N1660" s="206"/>
      <c r="O1660" s="255"/>
      <c r="P1660" s="256"/>
      <c r="Q1660" s="256"/>
      <c r="R1660" s="201"/>
      <c r="S1660" s="201"/>
      <c r="T1660" s="201"/>
    </row>
    <row r="1661">
      <c r="A1661" s="252"/>
      <c r="B1661" s="202"/>
      <c r="C1661" s="233"/>
      <c r="D1661" s="233"/>
      <c r="E1661" s="201"/>
      <c r="F1661" s="206"/>
      <c r="G1661" s="206"/>
      <c r="H1661" s="253"/>
      <c r="I1661" s="201"/>
      <c r="J1661" s="254"/>
      <c r="K1661" s="254"/>
      <c r="L1661" s="206"/>
      <c r="M1661" s="201"/>
      <c r="N1661" s="206"/>
      <c r="O1661" s="255"/>
      <c r="P1661" s="256"/>
      <c r="Q1661" s="256"/>
      <c r="R1661" s="201"/>
      <c r="S1661" s="201"/>
      <c r="T1661" s="201"/>
    </row>
    <row r="1662">
      <c r="A1662" s="252"/>
      <c r="B1662" s="202"/>
      <c r="C1662" s="233"/>
      <c r="D1662" s="233"/>
      <c r="E1662" s="201"/>
      <c r="F1662" s="206"/>
      <c r="G1662" s="206"/>
      <c r="H1662" s="253"/>
      <c r="I1662" s="201"/>
      <c r="J1662" s="254"/>
      <c r="K1662" s="254"/>
      <c r="L1662" s="206"/>
      <c r="M1662" s="201"/>
      <c r="N1662" s="206"/>
      <c r="O1662" s="255"/>
      <c r="P1662" s="256"/>
      <c r="Q1662" s="256"/>
      <c r="R1662" s="201"/>
      <c r="S1662" s="201"/>
      <c r="T1662" s="201"/>
    </row>
    <row r="1663">
      <c r="A1663" s="252"/>
      <c r="B1663" s="202"/>
      <c r="C1663" s="233"/>
      <c r="D1663" s="233"/>
      <c r="E1663" s="201"/>
      <c r="F1663" s="206"/>
      <c r="G1663" s="206"/>
      <c r="H1663" s="253"/>
      <c r="I1663" s="201"/>
      <c r="J1663" s="254"/>
      <c r="K1663" s="254"/>
      <c r="L1663" s="206"/>
      <c r="M1663" s="201"/>
      <c r="N1663" s="206"/>
      <c r="O1663" s="255"/>
      <c r="P1663" s="256"/>
      <c r="Q1663" s="256"/>
      <c r="R1663" s="201"/>
      <c r="S1663" s="201"/>
      <c r="T1663" s="201"/>
    </row>
    <row r="1664">
      <c r="A1664" s="252"/>
      <c r="B1664" s="202"/>
      <c r="C1664" s="233"/>
      <c r="D1664" s="233"/>
      <c r="E1664" s="201"/>
      <c r="F1664" s="206"/>
      <c r="G1664" s="206"/>
      <c r="H1664" s="253"/>
      <c r="I1664" s="201"/>
      <c r="J1664" s="254"/>
      <c r="K1664" s="254"/>
      <c r="L1664" s="206"/>
      <c r="M1664" s="201"/>
      <c r="N1664" s="206"/>
      <c r="O1664" s="255"/>
      <c r="P1664" s="256"/>
      <c r="Q1664" s="256"/>
      <c r="R1664" s="201"/>
      <c r="S1664" s="201"/>
      <c r="T1664" s="201"/>
    </row>
    <row r="1665">
      <c r="A1665" s="252"/>
      <c r="B1665" s="202"/>
      <c r="C1665" s="233"/>
      <c r="D1665" s="233"/>
      <c r="E1665" s="201"/>
      <c r="F1665" s="206"/>
      <c r="G1665" s="206"/>
      <c r="H1665" s="253"/>
      <c r="I1665" s="201"/>
      <c r="J1665" s="254"/>
      <c r="K1665" s="254"/>
      <c r="L1665" s="206"/>
      <c r="M1665" s="201"/>
      <c r="N1665" s="206"/>
      <c r="O1665" s="255"/>
      <c r="P1665" s="256"/>
      <c r="Q1665" s="256"/>
      <c r="R1665" s="201"/>
      <c r="S1665" s="201"/>
      <c r="T1665" s="201"/>
    </row>
    <row r="1666">
      <c r="A1666" s="252"/>
      <c r="B1666" s="202"/>
      <c r="C1666" s="233"/>
      <c r="D1666" s="233"/>
      <c r="E1666" s="201"/>
      <c r="F1666" s="206"/>
      <c r="G1666" s="206"/>
      <c r="H1666" s="253"/>
      <c r="I1666" s="201"/>
      <c r="J1666" s="254"/>
      <c r="K1666" s="254"/>
      <c r="L1666" s="206"/>
      <c r="M1666" s="201"/>
      <c r="N1666" s="206"/>
      <c r="O1666" s="255"/>
      <c r="P1666" s="256"/>
      <c r="Q1666" s="256"/>
      <c r="R1666" s="201"/>
      <c r="S1666" s="201"/>
      <c r="T1666" s="201"/>
    </row>
    <row r="1667">
      <c r="A1667" s="252"/>
      <c r="B1667" s="202"/>
      <c r="C1667" s="233"/>
      <c r="D1667" s="233"/>
      <c r="E1667" s="201"/>
      <c r="F1667" s="206"/>
      <c r="G1667" s="206"/>
      <c r="H1667" s="253"/>
      <c r="I1667" s="201"/>
      <c r="J1667" s="254"/>
      <c r="K1667" s="254"/>
      <c r="L1667" s="206"/>
      <c r="M1667" s="201"/>
      <c r="N1667" s="206"/>
      <c r="O1667" s="255"/>
      <c r="P1667" s="256"/>
      <c r="Q1667" s="256"/>
      <c r="R1667" s="201"/>
      <c r="S1667" s="201"/>
      <c r="T1667" s="201"/>
    </row>
    <row r="1668">
      <c r="A1668" s="252"/>
      <c r="B1668" s="202"/>
      <c r="C1668" s="233"/>
      <c r="D1668" s="233"/>
      <c r="E1668" s="201"/>
      <c r="F1668" s="206"/>
      <c r="G1668" s="206"/>
      <c r="H1668" s="253"/>
      <c r="I1668" s="201"/>
      <c r="J1668" s="254"/>
      <c r="K1668" s="254"/>
      <c r="L1668" s="206"/>
      <c r="M1668" s="201"/>
      <c r="N1668" s="206"/>
      <c r="O1668" s="255"/>
      <c r="P1668" s="256"/>
      <c r="Q1668" s="256"/>
      <c r="R1668" s="201"/>
      <c r="S1668" s="201"/>
      <c r="T1668" s="201"/>
    </row>
    <row r="1669">
      <c r="A1669" s="252"/>
      <c r="B1669" s="202"/>
      <c r="C1669" s="233"/>
      <c r="D1669" s="233"/>
      <c r="E1669" s="201"/>
      <c r="F1669" s="206"/>
      <c r="G1669" s="206"/>
      <c r="H1669" s="253"/>
      <c r="I1669" s="201"/>
      <c r="J1669" s="254"/>
      <c r="K1669" s="254"/>
      <c r="L1669" s="206"/>
      <c r="M1669" s="201"/>
      <c r="N1669" s="206"/>
      <c r="O1669" s="255"/>
      <c r="P1669" s="256"/>
      <c r="Q1669" s="256"/>
      <c r="R1669" s="201"/>
      <c r="S1669" s="201"/>
      <c r="T1669" s="201"/>
    </row>
    <row r="1670">
      <c r="A1670" s="252"/>
      <c r="B1670" s="202"/>
      <c r="C1670" s="233"/>
      <c r="D1670" s="233"/>
      <c r="E1670" s="201"/>
      <c r="F1670" s="206"/>
      <c r="G1670" s="206"/>
      <c r="H1670" s="253"/>
      <c r="I1670" s="201"/>
      <c r="J1670" s="254"/>
      <c r="K1670" s="254"/>
      <c r="L1670" s="206"/>
      <c r="M1670" s="201"/>
      <c r="N1670" s="206"/>
      <c r="O1670" s="255"/>
      <c r="P1670" s="256"/>
      <c r="Q1670" s="256"/>
      <c r="R1670" s="201"/>
      <c r="S1670" s="201"/>
      <c r="T1670" s="201"/>
    </row>
    <row r="1671">
      <c r="A1671" s="252"/>
      <c r="B1671" s="202"/>
      <c r="C1671" s="233"/>
      <c r="D1671" s="233"/>
      <c r="E1671" s="201"/>
      <c r="F1671" s="206"/>
      <c r="G1671" s="206"/>
      <c r="H1671" s="253"/>
      <c r="I1671" s="201"/>
      <c r="J1671" s="254"/>
      <c r="K1671" s="254"/>
      <c r="L1671" s="206"/>
      <c r="M1671" s="201"/>
      <c r="N1671" s="206"/>
      <c r="O1671" s="255"/>
      <c r="P1671" s="256"/>
      <c r="Q1671" s="256"/>
      <c r="R1671" s="201"/>
      <c r="S1671" s="201"/>
      <c r="T1671" s="201"/>
    </row>
    <row r="1672">
      <c r="A1672" s="252"/>
      <c r="B1672" s="202"/>
      <c r="C1672" s="233"/>
      <c r="D1672" s="233"/>
      <c r="E1672" s="201"/>
      <c r="F1672" s="206"/>
      <c r="G1672" s="206"/>
      <c r="H1672" s="253"/>
      <c r="I1672" s="201"/>
      <c r="J1672" s="254"/>
      <c r="K1672" s="254"/>
      <c r="L1672" s="206"/>
      <c r="M1672" s="201"/>
      <c r="N1672" s="206"/>
      <c r="O1672" s="255"/>
      <c r="P1672" s="256"/>
      <c r="Q1672" s="256"/>
      <c r="R1672" s="201"/>
      <c r="S1672" s="201"/>
      <c r="T1672" s="201"/>
    </row>
    <row r="1673">
      <c r="A1673" s="252"/>
      <c r="B1673" s="202"/>
      <c r="C1673" s="233"/>
      <c r="D1673" s="233"/>
      <c r="E1673" s="201"/>
      <c r="F1673" s="206"/>
      <c r="G1673" s="206"/>
      <c r="H1673" s="253"/>
      <c r="I1673" s="201"/>
      <c r="J1673" s="254"/>
      <c r="K1673" s="254"/>
      <c r="L1673" s="206"/>
      <c r="M1673" s="201"/>
      <c r="N1673" s="206"/>
      <c r="O1673" s="255"/>
      <c r="P1673" s="256"/>
      <c r="Q1673" s="256"/>
      <c r="R1673" s="201"/>
      <c r="S1673" s="201"/>
      <c r="T1673" s="201"/>
    </row>
    <row r="1674">
      <c r="A1674" s="252"/>
      <c r="B1674" s="202"/>
      <c r="C1674" s="233"/>
      <c r="D1674" s="233"/>
      <c r="E1674" s="201"/>
      <c r="F1674" s="206"/>
      <c r="G1674" s="206"/>
      <c r="H1674" s="253"/>
      <c r="I1674" s="201"/>
      <c r="J1674" s="254"/>
      <c r="K1674" s="254"/>
      <c r="L1674" s="206"/>
      <c r="M1674" s="201"/>
      <c r="N1674" s="206"/>
      <c r="O1674" s="255"/>
      <c r="P1674" s="256"/>
      <c r="Q1674" s="256"/>
      <c r="R1674" s="201"/>
      <c r="S1674" s="201"/>
      <c r="T1674" s="201"/>
    </row>
    <row r="1675">
      <c r="A1675" s="252"/>
      <c r="B1675" s="202"/>
      <c r="C1675" s="233"/>
      <c r="D1675" s="233"/>
      <c r="E1675" s="201"/>
      <c r="F1675" s="206"/>
      <c r="G1675" s="206"/>
      <c r="H1675" s="253"/>
      <c r="I1675" s="201"/>
      <c r="J1675" s="254"/>
      <c r="K1675" s="254"/>
      <c r="L1675" s="206"/>
      <c r="M1675" s="201"/>
      <c r="N1675" s="206"/>
      <c r="O1675" s="255"/>
      <c r="P1675" s="256"/>
      <c r="Q1675" s="256"/>
      <c r="R1675" s="201"/>
      <c r="S1675" s="201"/>
      <c r="T1675" s="201"/>
    </row>
    <row r="1676">
      <c r="A1676" s="252"/>
      <c r="B1676" s="202"/>
      <c r="C1676" s="233"/>
      <c r="D1676" s="233"/>
      <c r="E1676" s="201"/>
      <c r="F1676" s="206"/>
      <c r="G1676" s="206"/>
      <c r="H1676" s="253"/>
      <c r="I1676" s="201"/>
      <c r="J1676" s="254"/>
      <c r="K1676" s="254"/>
      <c r="L1676" s="206"/>
      <c r="M1676" s="201"/>
      <c r="N1676" s="206"/>
      <c r="O1676" s="255"/>
      <c r="P1676" s="256"/>
      <c r="Q1676" s="256"/>
      <c r="R1676" s="201"/>
      <c r="S1676" s="201"/>
      <c r="T1676" s="201"/>
    </row>
    <row r="1677">
      <c r="A1677" s="252"/>
      <c r="B1677" s="202"/>
      <c r="C1677" s="233"/>
      <c r="D1677" s="233"/>
      <c r="E1677" s="201"/>
      <c r="F1677" s="206"/>
      <c r="G1677" s="206"/>
      <c r="H1677" s="253"/>
      <c r="I1677" s="201"/>
      <c r="J1677" s="254"/>
      <c r="K1677" s="254"/>
      <c r="L1677" s="206"/>
      <c r="M1677" s="201"/>
      <c r="N1677" s="206"/>
      <c r="O1677" s="255"/>
      <c r="P1677" s="256"/>
      <c r="Q1677" s="256"/>
      <c r="R1677" s="201"/>
      <c r="S1677" s="201"/>
      <c r="T1677" s="201"/>
    </row>
    <row r="1678">
      <c r="A1678" s="252"/>
      <c r="B1678" s="202"/>
      <c r="C1678" s="233"/>
      <c r="D1678" s="233"/>
      <c r="E1678" s="201"/>
      <c r="F1678" s="206"/>
      <c r="G1678" s="206"/>
      <c r="H1678" s="253"/>
      <c r="I1678" s="201"/>
      <c r="J1678" s="254"/>
      <c r="K1678" s="254"/>
      <c r="L1678" s="206"/>
      <c r="M1678" s="201"/>
      <c r="N1678" s="206"/>
      <c r="O1678" s="255"/>
      <c r="P1678" s="256"/>
      <c r="Q1678" s="256"/>
      <c r="R1678" s="201"/>
      <c r="S1678" s="201"/>
      <c r="T1678" s="201"/>
    </row>
    <row r="1679">
      <c r="A1679" s="252"/>
      <c r="B1679" s="202"/>
      <c r="C1679" s="233"/>
      <c r="D1679" s="233"/>
      <c r="E1679" s="201"/>
      <c r="F1679" s="206"/>
      <c r="G1679" s="206"/>
      <c r="H1679" s="253"/>
      <c r="I1679" s="201"/>
      <c r="J1679" s="254"/>
      <c r="K1679" s="254"/>
      <c r="L1679" s="206"/>
      <c r="M1679" s="201"/>
      <c r="N1679" s="206"/>
      <c r="O1679" s="255"/>
      <c r="P1679" s="256"/>
      <c r="Q1679" s="256"/>
      <c r="R1679" s="201"/>
      <c r="S1679" s="201"/>
      <c r="T1679" s="201"/>
    </row>
    <row r="1680">
      <c r="A1680" s="252"/>
      <c r="B1680" s="202"/>
      <c r="C1680" s="233"/>
      <c r="D1680" s="233"/>
      <c r="E1680" s="201"/>
      <c r="F1680" s="206"/>
      <c r="G1680" s="206"/>
      <c r="H1680" s="253"/>
      <c r="I1680" s="201"/>
      <c r="J1680" s="254"/>
      <c r="K1680" s="254"/>
      <c r="L1680" s="206"/>
      <c r="M1680" s="201"/>
      <c r="N1680" s="206"/>
      <c r="O1680" s="255"/>
      <c r="P1680" s="256"/>
      <c r="Q1680" s="256"/>
      <c r="R1680" s="201"/>
      <c r="S1680" s="201"/>
      <c r="T1680" s="201"/>
    </row>
    <row r="1681">
      <c r="A1681" s="252"/>
      <c r="B1681" s="202"/>
      <c r="C1681" s="233"/>
      <c r="D1681" s="233"/>
      <c r="E1681" s="201"/>
      <c r="F1681" s="206"/>
      <c r="G1681" s="206"/>
      <c r="H1681" s="253"/>
      <c r="I1681" s="201"/>
      <c r="J1681" s="254"/>
      <c r="K1681" s="254"/>
      <c r="L1681" s="206"/>
      <c r="M1681" s="201"/>
      <c r="N1681" s="206"/>
      <c r="O1681" s="255"/>
      <c r="P1681" s="256"/>
      <c r="Q1681" s="256"/>
      <c r="R1681" s="201"/>
      <c r="S1681" s="201"/>
      <c r="T1681" s="201"/>
    </row>
    <row r="1682">
      <c r="A1682" s="252"/>
      <c r="B1682" s="202"/>
      <c r="C1682" s="233"/>
      <c r="D1682" s="233"/>
      <c r="E1682" s="201"/>
      <c r="F1682" s="206"/>
      <c r="G1682" s="206"/>
      <c r="H1682" s="253"/>
      <c r="I1682" s="201"/>
      <c r="J1682" s="254"/>
      <c r="K1682" s="254"/>
      <c r="L1682" s="206"/>
      <c r="M1682" s="201"/>
      <c r="N1682" s="206"/>
      <c r="O1682" s="255"/>
      <c r="P1682" s="256"/>
      <c r="Q1682" s="256"/>
      <c r="R1682" s="201"/>
      <c r="S1682" s="201"/>
      <c r="T1682" s="201"/>
    </row>
    <row r="1683">
      <c r="A1683" s="252"/>
      <c r="B1683" s="202"/>
      <c r="C1683" s="233"/>
      <c r="D1683" s="233"/>
      <c r="E1683" s="201"/>
      <c r="F1683" s="206"/>
      <c r="G1683" s="206"/>
      <c r="H1683" s="253"/>
      <c r="I1683" s="201"/>
      <c r="J1683" s="254"/>
      <c r="K1683" s="254"/>
      <c r="L1683" s="206"/>
      <c r="M1683" s="201"/>
      <c r="N1683" s="206"/>
      <c r="O1683" s="255"/>
      <c r="P1683" s="256"/>
      <c r="Q1683" s="256"/>
      <c r="R1683" s="201"/>
      <c r="S1683" s="201"/>
      <c r="T1683" s="201"/>
    </row>
    <row r="1684">
      <c r="A1684" s="252"/>
      <c r="B1684" s="202"/>
      <c r="C1684" s="233"/>
      <c r="D1684" s="233"/>
      <c r="E1684" s="201"/>
      <c r="F1684" s="206"/>
      <c r="G1684" s="206"/>
      <c r="H1684" s="253"/>
      <c r="I1684" s="201"/>
      <c r="J1684" s="254"/>
      <c r="K1684" s="254"/>
      <c r="L1684" s="206"/>
      <c r="M1684" s="201"/>
      <c r="N1684" s="206"/>
      <c r="O1684" s="255"/>
      <c r="P1684" s="256"/>
      <c r="Q1684" s="256"/>
      <c r="R1684" s="201"/>
      <c r="S1684" s="201"/>
      <c r="T1684" s="201"/>
    </row>
    <row r="1685">
      <c r="A1685" s="252"/>
      <c r="B1685" s="202"/>
      <c r="C1685" s="233"/>
      <c r="D1685" s="233"/>
      <c r="E1685" s="201"/>
      <c r="F1685" s="206"/>
      <c r="G1685" s="206"/>
      <c r="H1685" s="253"/>
      <c r="I1685" s="201"/>
      <c r="J1685" s="254"/>
      <c r="K1685" s="254"/>
      <c r="L1685" s="206"/>
      <c r="M1685" s="201"/>
      <c r="N1685" s="206"/>
      <c r="O1685" s="255"/>
      <c r="P1685" s="256"/>
      <c r="Q1685" s="256"/>
      <c r="R1685" s="201"/>
      <c r="S1685" s="201"/>
      <c r="T1685" s="201"/>
    </row>
    <row r="1686">
      <c r="A1686" s="252"/>
      <c r="B1686" s="202"/>
      <c r="C1686" s="233"/>
      <c r="D1686" s="233"/>
      <c r="E1686" s="201"/>
      <c r="F1686" s="206"/>
      <c r="G1686" s="206"/>
      <c r="H1686" s="253"/>
      <c r="I1686" s="201"/>
      <c r="J1686" s="254"/>
      <c r="K1686" s="254"/>
      <c r="L1686" s="206"/>
      <c r="M1686" s="201"/>
      <c r="N1686" s="206"/>
      <c r="O1686" s="255"/>
      <c r="P1686" s="256"/>
      <c r="Q1686" s="256"/>
      <c r="R1686" s="201"/>
      <c r="S1686" s="201"/>
      <c r="T1686" s="201"/>
    </row>
    <row r="1687">
      <c r="A1687" s="252"/>
      <c r="B1687" s="202"/>
      <c r="C1687" s="233"/>
      <c r="D1687" s="233"/>
      <c r="E1687" s="201"/>
      <c r="F1687" s="206"/>
      <c r="G1687" s="206"/>
      <c r="H1687" s="253"/>
      <c r="I1687" s="201"/>
      <c r="J1687" s="254"/>
      <c r="K1687" s="254"/>
      <c r="L1687" s="206"/>
      <c r="M1687" s="201"/>
      <c r="N1687" s="206"/>
      <c r="O1687" s="255"/>
      <c r="P1687" s="256"/>
      <c r="Q1687" s="256"/>
      <c r="R1687" s="201"/>
      <c r="S1687" s="201"/>
      <c r="T1687" s="201"/>
    </row>
    <row r="1688">
      <c r="A1688" s="252"/>
      <c r="B1688" s="202"/>
      <c r="C1688" s="233"/>
      <c r="D1688" s="233"/>
      <c r="E1688" s="201"/>
      <c r="F1688" s="206"/>
      <c r="G1688" s="206"/>
      <c r="H1688" s="253"/>
      <c r="I1688" s="201"/>
      <c r="J1688" s="254"/>
      <c r="K1688" s="254"/>
      <c r="L1688" s="206"/>
      <c r="M1688" s="201"/>
      <c r="N1688" s="206"/>
      <c r="O1688" s="255"/>
      <c r="P1688" s="256"/>
      <c r="Q1688" s="256"/>
      <c r="R1688" s="201"/>
      <c r="S1688" s="201"/>
      <c r="T1688" s="201"/>
    </row>
    <row r="1689">
      <c r="A1689" s="252"/>
      <c r="B1689" s="202"/>
      <c r="C1689" s="233"/>
      <c r="D1689" s="233"/>
      <c r="E1689" s="201"/>
      <c r="F1689" s="206"/>
      <c r="G1689" s="206"/>
      <c r="H1689" s="253"/>
      <c r="I1689" s="201"/>
      <c r="J1689" s="254"/>
      <c r="K1689" s="254"/>
      <c r="L1689" s="206"/>
      <c r="M1689" s="201"/>
      <c r="N1689" s="206"/>
      <c r="O1689" s="255"/>
      <c r="P1689" s="256"/>
      <c r="Q1689" s="256"/>
      <c r="R1689" s="201"/>
      <c r="S1689" s="201"/>
      <c r="T1689" s="201"/>
    </row>
    <row r="1690">
      <c r="A1690" s="252"/>
      <c r="B1690" s="202"/>
      <c r="C1690" s="233"/>
      <c r="D1690" s="233"/>
      <c r="E1690" s="201"/>
      <c r="F1690" s="206"/>
      <c r="G1690" s="206"/>
      <c r="H1690" s="253"/>
      <c r="I1690" s="201"/>
      <c r="J1690" s="254"/>
      <c r="K1690" s="254"/>
      <c r="L1690" s="206"/>
      <c r="M1690" s="201"/>
      <c r="N1690" s="206"/>
      <c r="O1690" s="255"/>
      <c r="P1690" s="256"/>
      <c r="Q1690" s="256"/>
      <c r="R1690" s="201"/>
      <c r="S1690" s="201"/>
      <c r="T1690" s="201"/>
    </row>
    <row r="1691">
      <c r="A1691" s="252"/>
      <c r="B1691" s="202"/>
      <c r="C1691" s="233"/>
      <c r="D1691" s="233"/>
      <c r="E1691" s="201"/>
      <c r="F1691" s="206"/>
      <c r="G1691" s="206"/>
      <c r="H1691" s="253"/>
      <c r="I1691" s="201"/>
      <c r="J1691" s="254"/>
      <c r="K1691" s="254"/>
      <c r="L1691" s="206"/>
      <c r="M1691" s="201"/>
      <c r="N1691" s="206"/>
      <c r="O1691" s="255"/>
      <c r="P1691" s="256"/>
      <c r="Q1691" s="256"/>
      <c r="R1691" s="201"/>
      <c r="S1691" s="201"/>
      <c r="T1691" s="201"/>
    </row>
    <row r="1692">
      <c r="A1692" s="252"/>
      <c r="B1692" s="202"/>
      <c r="C1692" s="233"/>
      <c r="D1692" s="233"/>
      <c r="E1692" s="201"/>
      <c r="F1692" s="206"/>
      <c r="G1692" s="206"/>
      <c r="H1692" s="253"/>
      <c r="I1692" s="201"/>
      <c r="J1692" s="254"/>
      <c r="K1692" s="254"/>
      <c r="L1692" s="206"/>
      <c r="M1692" s="201"/>
      <c r="N1692" s="206"/>
      <c r="O1692" s="255"/>
      <c r="P1692" s="256"/>
      <c r="Q1692" s="256"/>
      <c r="R1692" s="201"/>
      <c r="S1692" s="201"/>
      <c r="T1692" s="201"/>
    </row>
    <row r="1693">
      <c r="A1693" s="252"/>
      <c r="B1693" s="202"/>
      <c r="C1693" s="233"/>
      <c r="D1693" s="233"/>
      <c r="E1693" s="201"/>
      <c r="F1693" s="206"/>
      <c r="G1693" s="206"/>
      <c r="H1693" s="253"/>
      <c r="I1693" s="201"/>
      <c r="J1693" s="254"/>
      <c r="K1693" s="254"/>
      <c r="L1693" s="206"/>
      <c r="M1693" s="201"/>
      <c r="N1693" s="206"/>
      <c r="O1693" s="255"/>
      <c r="P1693" s="256"/>
      <c r="Q1693" s="256"/>
      <c r="R1693" s="201"/>
      <c r="S1693" s="201"/>
      <c r="T1693" s="201"/>
    </row>
    <row r="1694">
      <c r="A1694" s="252"/>
      <c r="B1694" s="202"/>
      <c r="C1694" s="233"/>
      <c r="D1694" s="233"/>
      <c r="E1694" s="201"/>
      <c r="F1694" s="206"/>
      <c r="G1694" s="206"/>
      <c r="H1694" s="253"/>
      <c r="I1694" s="201"/>
      <c r="J1694" s="254"/>
      <c r="K1694" s="254"/>
      <c r="L1694" s="206"/>
      <c r="M1694" s="201"/>
      <c r="N1694" s="206"/>
      <c r="O1694" s="255"/>
      <c r="P1694" s="256"/>
      <c r="Q1694" s="256"/>
      <c r="R1694" s="201"/>
      <c r="S1694" s="201"/>
      <c r="T1694" s="201"/>
    </row>
    <row r="1695">
      <c r="A1695" s="252"/>
      <c r="B1695" s="202"/>
      <c r="C1695" s="233"/>
      <c r="D1695" s="233"/>
      <c r="E1695" s="201"/>
      <c r="F1695" s="206"/>
      <c r="G1695" s="206"/>
      <c r="H1695" s="253"/>
      <c r="I1695" s="201"/>
      <c r="J1695" s="254"/>
      <c r="K1695" s="254"/>
      <c r="L1695" s="206"/>
      <c r="M1695" s="201"/>
      <c r="N1695" s="206"/>
      <c r="O1695" s="255"/>
      <c r="P1695" s="256"/>
      <c r="Q1695" s="256"/>
      <c r="R1695" s="201"/>
      <c r="S1695" s="201"/>
      <c r="T1695" s="201"/>
    </row>
    <row r="1696">
      <c r="A1696" s="252"/>
      <c r="B1696" s="202"/>
      <c r="C1696" s="233"/>
      <c r="D1696" s="233"/>
      <c r="E1696" s="201"/>
      <c r="F1696" s="206"/>
      <c r="G1696" s="206"/>
      <c r="H1696" s="253"/>
      <c r="I1696" s="201"/>
      <c r="J1696" s="254"/>
      <c r="K1696" s="254"/>
      <c r="L1696" s="206"/>
      <c r="M1696" s="201"/>
      <c r="N1696" s="206"/>
      <c r="O1696" s="255"/>
      <c r="P1696" s="256"/>
      <c r="Q1696" s="256"/>
      <c r="R1696" s="201"/>
      <c r="S1696" s="201"/>
      <c r="T1696" s="201"/>
    </row>
    <row r="1697">
      <c r="A1697" s="252"/>
      <c r="B1697" s="202"/>
      <c r="C1697" s="233"/>
      <c r="D1697" s="233"/>
      <c r="E1697" s="201"/>
      <c r="F1697" s="206"/>
      <c r="G1697" s="206"/>
      <c r="H1697" s="253"/>
      <c r="I1697" s="201"/>
      <c r="J1697" s="254"/>
      <c r="K1697" s="254"/>
      <c r="L1697" s="206"/>
      <c r="M1697" s="201"/>
      <c r="N1697" s="206"/>
      <c r="O1697" s="255"/>
      <c r="P1697" s="256"/>
      <c r="Q1697" s="256"/>
      <c r="R1697" s="201"/>
      <c r="S1697" s="201"/>
      <c r="T1697" s="201"/>
    </row>
    <row r="1698">
      <c r="A1698" s="252"/>
      <c r="B1698" s="202"/>
      <c r="C1698" s="233"/>
      <c r="D1698" s="233"/>
      <c r="E1698" s="201"/>
      <c r="F1698" s="206"/>
      <c r="G1698" s="206"/>
      <c r="H1698" s="253"/>
      <c r="I1698" s="201"/>
      <c r="J1698" s="254"/>
      <c r="K1698" s="254"/>
      <c r="L1698" s="206"/>
      <c r="M1698" s="201"/>
      <c r="N1698" s="206"/>
      <c r="O1698" s="255"/>
      <c r="P1698" s="256"/>
      <c r="Q1698" s="256"/>
      <c r="R1698" s="201"/>
      <c r="S1698" s="201"/>
      <c r="T1698" s="201"/>
    </row>
    <row r="1699">
      <c r="A1699" s="252"/>
      <c r="B1699" s="202"/>
      <c r="C1699" s="233"/>
      <c r="D1699" s="233"/>
      <c r="E1699" s="201"/>
      <c r="F1699" s="206"/>
      <c r="G1699" s="206"/>
      <c r="H1699" s="253"/>
      <c r="I1699" s="201"/>
      <c r="J1699" s="254"/>
      <c r="K1699" s="254"/>
      <c r="L1699" s="206"/>
      <c r="M1699" s="201"/>
      <c r="N1699" s="206"/>
      <c r="O1699" s="255"/>
      <c r="P1699" s="256"/>
      <c r="Q1699" s="256"/>
      <c r="R1699" s="201"/>
      <c r="S1699" s="201"/>
      <c r="T1699" s="201"/>
    </row>
    <row r="1700">
      <c r="A1700" s="252"/>
      <c r="B1700" s="202"/>
      <c r="C1700" s="233"/>
      <c r="D1700" s="233"/>
      <c r="E1700" s="201"/>
      <c r="F1700" s="206"/>
      <c r="G1700" s="206"/>
      <c r="H1700" s="253"/>
      <c r="I1700" s="201"/>
      <c r="J1700" s="254"/>
      <c r="K1700" s="254"/>
      <c r="L1700" s="206"/>
      <c r="M1700" s="201"/>
      <c r="N1700" s="206"/>
      <c r="O1700" s="255"/>
      <c r="P1700" s="256"/>
      <c r="Q1700" s="256"/>
      <c r="R1700" s="201"/>
      <c r="S1700" s="201"/>
      <c r="T1700" s="201"/>
    </row>
    <row r="1701">
      <c r="A1701" s="252"/>
      <c r="B1701" s="202"/>
      <c r="C1701" s="233"/>
      <c r="D1701" s="233"/>
      <c r="E1701" s="201"/>
      <c r="F1701" s="206"/>
      <c r="G1701" s="206"/>
      <c r="H1701" s="253"/>
      <c r="I1701" s="201"/>
      <c r="J1701" s="254"/>
      <c r="K1701" s="254"/>
      <c r="L1701" s="206"/>
      <c r="M1701" s="201"/>
      <c r="N1701" s="206"/>
      <c r="O1701" s="255"/>
      <c r="P1701" s="256"/>
      <c r="Q1701" s="256"/>
      <c r="R1701" s="201"/>
      <c r="S1701" s="201"/>
      <c r="T1701" s="201"/>
    </row>
    <row r="1702">
      <c r="A1702" s="252"/>
      <c r="B1702" s="202"/>
      <c r="C1702" s="233"/>
      <c r="D1702" s="233"/>
      <c r="E1702" s="201"/>
      <c r="F1702" s="206"/>
      <c r="G1702" s="206"/>
      <c r="H1702" s="253"/>
      <c r="I1702" s="201"/>
      <c r="J1702" s="254"/>
      <c r="K1702" s="254"/>
      <c r="L1702" s="206"/>
      <c r="M1702" s="201"/>
      <c r="N1702" s="206"/>
      <c r="O1702" s="255"/>
      <c r="P1702" s="256"/>
      <c r="Q1702" s="256"/>
      <c r="R1702" s="201"/>
      <c r="S1702" s="201"/>
      <c r="T1702" s="201"/>
    </row>
    <row r="1703">
      <c r="A1703" s="252"/>
      <c r="B1703" s="202"/>
      <c r="C1703" s="233"/>
      <c r="D1703" s="233"/>
      <c r="E1703" s="201"/>
      <c r="F1703" s="206"/>
      <c r="G1703" s="206"/>
      <c r="H1703" s="253"/>
      <c r="I1703" s="201"/>
      <c r="J1703" s="254"/>
      <c r="K1703" s="254"/>
      <c r="L1703" s="206"/>
      <c r="M1703" s="201"/>
      <c r="N1703" s="206"/>
      <c r="O1703" s="255"/>
      <c r="P1703" s="256"/>
      <c r="Q1703" s="256"/>
      <c r="R1703" s="201"/>
      <c r="S1703" s="201"/>
      <c r="T1703" s="201"/>
    </row>
    <row r="1704">
      <c r="A1704" s="252"/>
      <c r="B1704" s="202"/>
      <c r="C1704" s="233"/>
      <c r="D1704" s="233"/>
      <c r="E1704" s="201"/>
      <c r="F1704" s="206"/>
      <c r="G1704" s="206"/>
      <c r="H1704" s="253"/>
      <c r="I1704" s="201"/>
      <c r="J1704" s="254"/>
      <c r="K1704" s="254"/>
      <c r="L1704" s="206"/>
      <c r="M1704" s="201"/>
      <c r="N1704" s="206"/>
      <c r="O1704" s="255"/>
      <c r="P1704" s="256"/>
      <c r="Q1704" s="256"/>
      <c r="R1704" s="201"/>
      <c r="S1704" s="201"/>
      <c r="T1704" s="201"/>
    </row>
    <row r="1705">
      <c r="A1705" s="252"/>
      <c r="B1705" s="202"/>
      <c r="C1705" s="233"/>
      <c r="D1705" s="233"/>
      <c r="E1705" s="201"/>
      <c r="F1705" s="206"/>
      <c r="G1705" s="206"/>
      <c r="H1705" s="253"/>
      <c r="I1705" s="201"/>
      <c r="J1705" s="254"/>
      <c r="K1705" s="254"/>
      <c r="L1705" s="206"/>
      <c r="M1705" s="201"/>
      <c r="N1705" s="206"/>
      <c r="O1705" s="255"/>
      <c r="P1705" s="256"/>
      <c r="Q1705" s="256"/>
      <c r="R1705" s="201"/>
      <c r="S1705" s="201"/>
      <c r="T1705" s="201"/>
    </row>
    <row r="1706">
      <c r="A1706" s="252"/>
      <c r="B1706" s="202"/>
      <c r="C1706" s="233"/>
      <c r="D1706" s="233"/>
      <c r="E1706" s="201"/>
      <c r="F1706" s="206"/>
      <c r="G1706" s="206"/>
      <c r="H1706" s="253"/>
      <c r="I1706" s="201"/>
      <c r="J1706" s="254"/>
      <c r="K1706" s="254"/>
      <c r="L1706" s="206"/>
      <c r="M1706" s="201"/>
      <c r="N1706" s="206"/>
      <c r="O1706" s="255"/>
      <c r="P1706" s="256"/>
      <c r="Q1706" s="256"/>
      <c r="R1706" s="201"/>
      <c r="S1706" s="201"/>
      <c r="T1706" s="201"/>
    </row>
    <row r="1707">
      <c r="A1707" s="252"/>
      <c r="B1707" s="202"/>
      <c r="C1707" s="233"/>
      <c r="D1707" s="233"/>
      <c r="E1707" s="201"/>
      <c r="F1707" s="206"/>
      <c r="G1707" s="206"/>
      <c r="H1707" s="253"/>
      <c r="I1707" s="201"/>
      <c r="J1707" s="254"/>
      <c r="K1707" s="254"/>
      <c r="L1707" s="206"/>
      <c r="M1707" s="201"/>
      <c r="N1707" s="206"/>
      <c r="O1707" s="255"/>
      <c r="P1707" s="256"/>
      <c r="Q1707" s="256"/>
      <c r="R1707" s="201"/>
      <c r="S1707" s="201"/>
      <c r="T1707" s="201"/>
    </row>
    <row r="1708">
      <c r="A1708" s="252"/>
      <c r="B1708" s="202"/>
      <c r="C1708" s="233"/>
      <c r="D1708" s="233"/>
      <c r="E1708" s="201"/>
      <c r="F1708" s="206"/>
      <c r="G1708" s="206"/>
      <c r="H1708" s="253"/>
      <c r="I1708" s="201"/>
      <c r="J1708" s="254"/>
      <c r="K1708" s="254"/>
      <c r="L1708" s="206"/>
      <c r="M1708" s="201"/>
      <c r="N1708" s="206"/>
      <c r="O1708" s="255"/>
      <c r="P1708" s="256"/>
      <c r="Q1708" s="256"/>
      <c r="R1708" s="201"/>
      <c r="S1708" s="201"/>
      <c r="T1708" s="201"/>
    </row>
    <row r="1709">
      <c r="A1709" s="252"/>
      <c r="B1709" s="202"/>
      <c r="C1709" s="233"/>
      <c r="D1709" s="233"/>
      <c r="E1709" s="201"/>
      <c r="F1709" s="206"/>
      <c r="G1709" s="206"/>
      <c r="H1709" s="253"/>
      <c r="I1709" s="201"/>
      <c r="J1709" s="254"/>
      <c r="K1709" s="254"/>
      <c r="L1709" s="206"/>
      <c r="M1709" s="201"/>
      <c r="N1709" s="206"/>
      <c r="O1709" s="255"/>
      <c r="P1709" s="256"/>
      <c r="Q1709" s="256"/>
      <c r="R1709" s="201"/>
      <c r="S1709" s="201"/>
      <c r="T1709" s="201"/>
    </row>
    <row r="1710">
      <c r="A1710" s="252"/>
      <c r="B1710" s="202"/>
      <c r="C1710" s="233"/>
      <c r="D1710" s="233"/>
      <c r="E1710" s="201"/>
      <c r="F1710" s="206"/>
      <c r="G1710" s="206"/>
      <c r="H1710" s="253"/>
      <c r="I1710" s="201"/>
      <c r="J1710" s="254"/>
      <c r="K1710" s="254"/>
      <c r="L1710" s="206"/>
      <c r="M1710" s="201"/>
      <c r="N1710" s="206"/>
      <c r="O1710" s="255"/>
      <c r="P1710" s="256"/>
      <c r="Q1710" s="256"/>
      <c r="R1710" s="201"/>
      <c r="S1710" s="201"/>
      <c r="T1710" s="201"/>
    </row>
    <row r="1711">
      <c r="A1711" s="252"/>
      <c r="B1711" s="202"/>
      <c r="C1711" s="233"/>
      <c r="D1711" s="233"/>
      <c r="E1711" s="201"/>
      <c r="F1711" s="206"/>
      <c r="G1711" s="206"/>
      <c r="H1711" s="253"/>
      <c r="I1711" s="201"/>
      <c r="J1711" s="254"/>
      <c r="K1711" s="254"/>
      <c r="L1711" s="206"/>
      <c r="M1711" s="201"/>
      <c r="N1711" s="206"/>
      <c r="O1711" s="255"/>
      <c r="P1711" s="256"/>
      <c r="Q1711" s="256"/>
      <c r="R1711" s="201"/>
      <c r="S1711" s="201"/>
      <c r="T1711" s="201"/>
    </row>
    <row r="1712">
      <c r="A1712" s="252"/>
      <c r="B1712" s="202"/>
      <c r="C1712" s="233"/>
      <c r="D1712" s="233"/>
      <c r="E1712" s="201"/>
      <c r="F1712" s="206"/>
      <c r="G1712" s="206"/>
      <c r="H1712" s="253"/>
      <c r="I1712" s="201"/>
      <c r="J1712" s="254"/>
      <c r="K1712" s="254"/>
      <c r="L1712" s="206"/>
      <c r="M1712" s="201"/>
      <c r="N1712" s="206"/>
      <c r="O1712" s="255"/>
      <c r="P1712" s="256"/>
      <c r="Q1712" s="256"/>
      <c r="R1712" s="201"/>
      <c r="S1712" s="201"/>
      <c r="T1712" s="201"/>
    </row>
    <row r="1713">
      <c r="A1713" s="252"/>
      <c r="B1713" s="202"/>
      <c r="C1713" s="233"/>
      <c r="D1713" s="233"/>
      <c r="E1713" s="201"/>
      <c r="F1713" s="206"/>
      <c r="G1713" s="206"/>
      <c r="H1713" s="253"/>
      <c r="I1713" s="201"/>
      <c r="J1713" s="254"/>
      <c r="K1713" s="254"/>
      <c r="L1713" s="206"/>
      <c r="M1713" s="201"/>
      <c r="N1713" s="206"/>
      <c r="O1713" s="255"/>
      <c r="P1713" s="256"/>
      <c r="Q1713" s="256"/>
      <c r="R1713" s="201"/>
      <c r="S1713" s="201"/>
      <c r="T1713" s="201"/>
    </row>
    <row r="1714">
      <c r="A1714" s="252"/>
      <c r="B1714" s="202"/>
      <c r="C1714" s="233"/>
      <c r="D1714" s="233"/>
      <c r="E1714" s="201"/>
      <c r="F1714" s="206"/>
      <c r="G1714" s="206"/>
      <c r="H1714" s="253"/>
      <c r="I1714" s="201"/>
      <c r="J1714" s="254"/>
      <c r="K1714" s="254"/>
      <c r="L1714" s="206"/>
      <c r="M1714" s="201"/>
      <c r="N1714" s="206"/>
      <c r="O1714" s="255"/>
      <c r="P1714" s="256"/>
      <c r="Q1714" s="256"/>
      <c r="R1714" s="201"/>
      <c r="S1714" s="201"/>
      <c r="T1714" s="201"/>
    </row>
    <row r="1715">
      <c r="A1715" s="252"/>
      <c r="B1715" s="202"/>
      <c r="C1715" s="233"/>
      <c r="D1715" s="233"/>
      <c r="E1715" s="201"/>
      <c r="F1715" s="206"/>
      <c r="G1715" s="206"/>
      <c r="H1715" s="253"/>
      <c r="I1715" s="201"/>
      <c r="J1715" s="254"/>
      <c r="K1715" s="254"/>
      <c r="L1715" s="206"/>
      <c r="M1715" s="201"/>
      <c r="N1715" s="206"/>
      <c r="O1715" s="255"/>
      <c r="P1715" s="256"/>
      <c r="Q1715" s="256"/>
      <c r="R1715" s="201"/>
      <c r="S1715" s="201"/>
      <c r="T1715" s="201"/>
    </row>
    <row r="1716">
      <c r="A1716" s="252"/>
      <c r="B1716" s="202"/>
      <c r="C1716" s="233"/>
      <c r="D1716" s="233"/>
      <c r="E1716" s="201"/>
      <c r="F1716" s="206"/>
      <c r="G1716" s="206"/>
      <c r="H1716" s="253"/>
      <c r="I1716" s="201"/>
      <c r="J1716" s="254"/>
      <c r="K1716" s="254"/>
      <c r="L1716" s="206"/>
      <c r="M1716" s="201"/>
      <c r="N1716" s="206"/>
      <c r="O1716" s="255"/>
      <c r="P1716" s="256"/>
      <c r="Q1716" s="256"/>
      <c r="R1716" s="201"/>
      <c r="S1716" s="201"/>
      <c r="T1716" s="201"/>
    </row>
    <row r="1717">
      <c r="A1717" s="252"/>
      <c r="B1717" s="202"/>
      <c r="C1717" s="233"/>
      <c r="D1717" s="233"/>
      <c r="E1717" s="201"/>
      <c r="F1717" s="206"/>
      <c r="G1717" s="206"/>
      <c r="H1717" s="253"/>
      <c r="I1717" s="201"/>
      <c r="J1717" s="254"/>
      <c r="K1717" s="254"/>
      <c r="L1717" s="206"/>
      <c r="M1717" s="201"/>
      <c r="N1717" s="206"/>
      <c r="O1717" s="255"/>
      <c r="P1717" s="256"/>
      <c r="Q1717" s="256"/>
      <c r="R1717" s="201"/>
      <c r="S1717" s="201"/>
      <c r="T1717" s="201"/>
    </row>
    <row r="1718">
      <c r="A1718" s="252"/>
      <c r="B1718" s="202"/>
      <c r="C1718" s="233"/>
      <c r="D1718" s="233"/>
      <c r="E1718" s="201"/>
      <c r="F1718" s="206"/>
      <c r="G1718" s="206"/>
      <c r="H1718" s="253"/>
      <c r="I1718" s="201"/>
      <c r="J1718" s="254"/>
      <c r="K1718" s="254"/>
      <c r="L1718" s="206"/>
      <c r="M1718" s="201"/>
      <c r="N1718" s="206"/>
      <c r="O1718" s="255"/>
      <c r="P1718" s="256"/>
      <c r="Q1718" s="256"/>
      <c r="R1718" s="201"/>
      <c r="S1718" s="201"/>
      <c r="T1718" s="201"/>
    </row>
    <row r="1719">
      <c r="A1719" s="252"/>
      <c r="B1719" s="202"/>
      <c r="C1719" s="233"/>
      <c r="D1719" s="233"/>
      <c r="E1719" s="201"/>
      <c r="F1719" s="206"/>
      <c r="G1719" s="206"/>
      <c r="H1719" s="253"/>
      <c r="I1719" s="201"/>
      <c r="J1719" s="254"/>
      <c r="K1719" s="254"/>
      <c r="L1719" s="206"/>
      <c r="M1719" s="201"/>
      <c r="N1719" s="206"/>
      <c r="O1719" s="255"/>
      <c r="P1719" s="256"/>
      <c r="Q1719" s="256"/>
      <c r="R1719" s="201"/>
      <c r="S1719" s="201"/>
      <c r="T1719" s="201"/>
    </row>
    <row r="1720">
      <c r="A1720" s="252"/>
      <c r="B1720" s="202"/>
      <c r="C1720" s="233"/>
      <c r="D1720" s="233"/>
      <c r="E1720" s="201"/>
      <c r="F1720" s="206"/>
      <c r="G1720" s="206"/>
      <c r="H1720" s="253"/>
      <c r="I1720" s="201"/>
      <c r="J1720" s="254"/>
      <c r="K1720" s="254"/>
      <c r="L1720" s="206"/>
      <c r="M1720" s="201"/>
      <c r="N1720" s="206"/>
      <c r="O1720" s="255"/>
      <c r="P1720" s="256"/>
      <c r="Q1720" s="256"/>
      <c r="R1720" s="201"/>
      <c r="S1720" s="201"/>
      <c r="T1720" s="201"/>
    </row>
    <row r="1721">
      <c r="A1721" s="252"/>
      <c r="B1721" s="202"/>
      <c r="C1721" s="233"/>
      <c r="D1721" s="233"/>
      <c r="E1721" s="201"/>
      <c r="F1721" s="206"/>
      <c r="G1721" s="206"/>
      <c r="H1721" s="253"/>
      <c r="I1721" s="201"/>
      <c r="J1721" s="254"/>
      <c r="K1721" s="254"/>
      <c r="L1721" s="206"/>
      <c r="M1721" s="201"/>
      <c r="N1721" s="206"/>
      <c r="O1721" s="255"/>
      <c r="P1721" s="256"/>
      <c r="Q1721" s="256"/>
      <c r="R1721" s="201"/>
      <c r="S1721" s="201"/>
      <c r="T1721" s="201"/>
    </row>
    <row r="1722">
      <c r="A1722" s="252"/>
      <c r="B1722" s="202"/>
      <c r="C1722" s="233"/>
      <c r="D1722" s="233"/>
      <c r="E1722" s="201"/>
      <c r="F1722" s="206"/>
      <c r="G1722" s="206"/>
      <c r="H1722" s="253"/>
      <c r="I1722" s="201"/>
      <c r="J1722" s="254"/>
      <c r="K1722" s="254"/>
      <c r="L1722" s="206"/>
      <c r="M1722" s="201"/>
      <c r="N1722" s="206"/>
      <c r="O1722" s="255"/>
      <c r="P1722" s="256"/>
      <c r="Q1722" s="256"/>
      <c r="R1722" s="201"/>
      <c r="S1722" s="201"/>
      <c r="T1722" s="201"/>
    </row>
    <row r="1723">
      <c r="A1723" s="252"/>
      <c r="B1723" s="202"/>
      <c r="C1723" s="233"/>
      <c r="D1723" s="233"/>
      <c r="E1723" s="201"/>
      <c r="F1723" s="206"/>
      <c r="G1723" s="206"/>
      <c r="H1723" s="253"/>
      <c r="I1723" s="201"/>
      <c r="J1723" s="254"/>
      <c r="K1723" s="254"/>
      <c r="L1723" s="206"/>
      <c r="M1723" s="201"/>
      <c r="N1723" s="206"/>
      <c r="O1723" s="255"/>
      <c r="P1723" s="256"/>
      <c r="Q1723" s="256"/>
      <c r="R1723" s="201"/>
      <c r="S1723" s="201"/>
      <c r="T1723" s="201"/>
    </row>
    <row r="1724">
      <c r="A1724" s="252"/>
      <c r="B1724" s="202"/>
      <c r="C1724" s="233"/>
      <c r="D1724" s="233"/>
      <c r="E1724" s="201"/>
      <c r="F1724" s="206"/>
      <c r="G1724" s="206"/>
      <c r="H1724" s="253"/>
      <c r="I1724" s="201"/>
      <c r="J1724" s="254"/>
      <c r="K1724" s="254"/>
      <c r="L1724" s="206"/>
      <c r="M1724" s="201"/>
      <c r="N1724" s="206"/>
      <c r="O1724" s="255"/>
      <c r="P1724" s="256"/>
      <c r="Q1724" s="256"/>
      <c r="R1724" s="201"/>
      <c r="S1724" s="201"/>
      <c r="T1724" s="201"/>
    </row>
    <row r="1725">
      <c r="A1725" s="252"/>
      <c r="B1725" s="202"/>
      <c r="C1725" s="233"/>
      <c r="D1725" s="233"/>
      <c r="E1725" s="201"/>
      <c r="F1725" s="206"/>
      <c r="G1725" s="206"/>
      <c r="H1725" s="253"/>
      <c r="I1725" s="201"/>
      <c r="J1725" s="254"/>
      <c r="K1725" s="254"/>
      <c r="L1725" s="206"/>
      <c r="M1725" s="201"/>
      <c r="N1725" s="206"/>
      <c r="O1725" s="255"/>
      <c r="P1725" s="256"/>
      <c r="Q1725" s="256"/>
      <c r="R1725" s="201"/>
      <c r="S1725" s="201"/>
      <c r="T1725" s="201"/>
    </row>
    <row r="1726">
      <c r="A1726" s="252"/>
      <c r="B1726" s="202"/>
      <c r="C1726" s="233"/>
      <c r="D1726" s="233"/>
      <c r="E1726" s="201"/>
      <c r="F1726" s="206"/>
      <c r="G1726" s="206"/>
      <c r="H1726" s="253"/>
      <c r="I1726" s="201"/>
      <c r="J1726" s="254"/>
      <c r="K1726" s="254"/>
      <c r="L1726" s="206"/>
      <c r="M1726" s="201"/>
      <c r="N1726" s="206"/>
      <c r="O1726" s="255"/>
      <c r="P1726" s="256"/>
      <c r="Q1726" s="256"/>
      <c r="R1726" s="201"/>
      <c r="S1726" s="201"/>
      <c r="T1726" s="201"/>
    </row>
    <row r="1727">
      <c r="A1727" s="252"/>
      <c r="B1727" s="202"/>
      <c r="C1727" s="233"/>
      <c r="D1727" s="233"/>
      <c r="E1727" s="201"/>
      <c r="F1727" s="206"/>
      <c r="G1727" s="206"/>
      <c r="H1727" s="253"/>
      <c r="I1727" s="201"/>
      <c r="J1727" s="254"/>
      <c r="K1727" s="254"/>
      <c r="L1727" s="206"/>
      <c r="M1727" s="201"/>
      <c r="N1727" s="206"/>
      <c r="O1727" s="255"/>
      <c r="P1727" s="256"/>
      <c r="Q1727" s="256"/>
      <c r="R1727" s="201"/>
      <c r="S1727" s="201"/>
      <c r="T1727" s="201"/>
    </row>
    <row r="1728">
      <c r="A1728" s="252"/>
      <c r="B1728" s="202"/>
      <c r="C1728" s="233"/>
      <c r="D1728" s="233"/>
      <c r="E1728" s="201"/>
      <c r="F1728" s="206"/>
      <c r="G1728" s="206"/>
      <c r="H1728" s="253"/>
      <c r="I1728" s="201"/>
      <c r="J1728" s="254"/>
      <c r="K1728" s="254"/>
      <c r="L1728" s="206"/>
      <c r="M1728" s="201"/>
      <c r="N1728" s="206"/>
      <c r="O1728" s="255"/>
      <c r="P1728" s="256"/>
      <c r="Q1728" s="256"/>
      <c r="R1728" s="201"/>
      <c r="S1728" s="201"/>
      <c r="T1728" s="201"/>
    </row>
    <row r="1729">
      <c r="A1729" s="252"/>
      <c r="B1729" s="202"/>
      <c r="C1729" s="233"/>
      <c r="D1729" s="233"/>
      <c r="E1729" s="201"/>
      <c r="F1729" s="206"/>
      <c r="G1729" s="206"/>
      <c r="H1729" s="253"/>
      <c r="I1729" s="201"/>
      <c r="J1729" s="254"/>
      <c r="K1729" s="254"/>
      <c r="L1729" s="206"/>
      <c r="M1729" s="201"/>
      <c r="N1729" s="206"/>
      <c r="O1729" s="255"/>
      <c r="P1729" s="256"/>
      <c r="Q1729" s="256"/>
      <c r="R1729" s="201"/>
      <c r="S1729" s="201"/>
      <c r="T1729" s="201"/>
    </row>
    <row r="1730">
      <c r="A1730" s="252"/>
      <c r="B1730" s="202"/>
      <c r="C1730" s="233"/>
      <c r="D1730" s="233"/>
      <c r="E1730" s="201"/>
      <c r="F1730" s="206"/>
      <c r="G1730" s="206"/>
      <c r="H1730" s="253"/>
      <c r="I1730" s="201"/>
      <c r="J1730" s="254"/>
      <c r="K1730" s="254"/>
      <c r="L1730" s="206"/>
      <c r="M1730" s="201"/>
      <c r="N1730" s="206"/>
      <c r="O1730" s="255"/>
      <c r="P1730" s="256"/>
      <c r="Q1730" s="256"/>
      <c r="R1730" s="201"/>
      <c r="S1730" s="201"/>
      <c r="T1730" s="201"/>
    </row>
    <row r="1731">
      <c r="A1731" s="252"/>
      <c r="B1731" s="202"/>
      <c r="C1731" s="233"/>
      <c r="D1731" s="233"/>
      <c r="E1731" s="201"/>
      <c r="F1731" s="206"/>
      <c r="G1731" s="206"/>
      <c r="H1731" s="253"/>
      <c r="I1731" s="201"/>
      <c r="J1731" s="254"/>
      <c r="K1731" s="254"/>
      <c r="L1731" s="206"/>
      <c r="M1731" s="201"/>
      <c r="N1731" s="206"/>
      <c r="O1731" s="255"/>
      <c r="P1731" s="256"/>
      <c r="Q1731" s="256"/>
      <c r="R1731" s="201"/>
      <c r="S1731" s="201"/>
      <c r="T1731" s="201"/>
    </row>
    <row r="1732">
      <c r="A1732" s="252"/>
      <c r="B1732" s="202"/>
      <c r="C1732" s="233"/>
      <c r="D1732" s="233"/>
      <c r="E1732" s="201"/>
      <c r="F1732" s="206"/>
      <c r="G1732" s="206"/>
      <c r="H1732" s="253"/>
      <c r="I1732" s="201"/>
      <c r="J1732" s="254"/>
      <c r="K1732" s="254"/>
      <c r="L1732" s="206"/>
      <c r="M1732" s="201"/>
      <c r="N1732" s="206"/>
      <c r="O1732" s="255"/>
      <c r="P1732" s="256"/>
      <c r="Q1732" s="256"/>
      <c r="R1732" s="201"/>
      <c r="S1732" s="201"/>
      <c r="T1732" s="201"/>
    </row>
    <row r="1733">
      <c r="A1733" s="252"/>
      <c r="B1733" s="202"/>
      <c r="C1733" s="233"/>
      <c r="D1733" s="233"/>
      <c r="E1733" s="201"/>
      <c r="F1733" s="206"/>
      <c r="G1733" s="206"/>
      <c r="H1733" s="253"/>
      <c r="I1733" s="201"/>
      <c r="J1733" s="254"/>
      <c r="K1733" s="254"/>
      <c r="L1733" s="206"/>
      <c r="M1733" s="201"/>
      <c r="N1733" s="206"/>
      <c r="O1733" s="255"/>
      <c r="P1733" s="256"/>
      <c r="Q1733" s="256"/>
      <c r="R1733" s="201"/>
      <c r="S1733" s="201"/>
      <c r="T1733" s="201"/>
    </row>
    <row r="1734">
      <c r="A1734" s="252"/>
      <c r="B1734" s="202"/>
      <c r="C1734" s="233"/>
      <c r="D1734" s="233"/>
      <c r="E1734" s="201"/>
      <c r="F1734" s="206"/>
      <c r="G1734" s="206"/>
      <c r="H1734" s="253"/>
      <c r="I1734" s="201"/>
      <c r="J1734" s="254"/>
      <c r="K1734" s="254"/>
      <c r="L1734" s="206"/>
      <c r="M1734" s="201"/>
      <c r="N1734" s="206"/>
      <c r="O1734" s="255"/>
      <c r="P1734" s="256"/>
      <c r="Q1734" s="256"/>
      <c r="R1734" s="201"/>
      <c r="S1734" s="201"/>
      <c r="T1734" s="201"/>
    </row>
    <row r="1735">
      <c r="A1735" s="252"/>
      <c r="B1735" s="202"/>
      <c r="C1735" s="233"/>
      <c r="D1735" s="233"/>
      <c r="E1735" s="201"/>
      <c r="F1735" s="206"/>
      <c r="G1735" s="206"/>
      <c r="H1735" s="253"/>
      <c r="I1735" s="201"/>
      <c r="J1735" s="254"/>
      <c r="K1735" s="254"/>
      <c r="L1735" s="206"/>
      <c r="M1735" s="201"/>
      <c r="N1735" s="206"/>
      <c r="O1735" s="255"/>
      <c r="P1735" s="256"/>
      <c r="Q1735" s="256"/>
      <c r="R1735" s="201"/>
      <c r="S1735" s="201"/>
      <c r="T1735" s="201"/>
    </row>
    <row r="1736">
      <c r="A1736" s="252"/>
      <c r="B1736" s="202"/>
      <c r="C1736" s="233"/>
      <c r="D1736" s="233"/>
      <c r="E1736" s="201"/>
      <c r="F1736" s="206"/>
      <c r="G1736" s="206"/>
      <c r="H1736" s="253"/>
      <c r="I1736" s="201"/>
      <c r="J1736" s="254"/>
      <c r="K1736" s="254"/>
      <c r="L1736" s="206"/>
      <c r="M1736" s="201"/>
      <c r="N1736" s="206"/>
      <c r="O1736" s="255"/>
      <c r="P1736" s="256"/>
      <c r="Q1736" s="256"/>
      <c r="R1736" s="201"/>
      <c r="S1736" s="201"/>
      <c r="T1736" s="201"/>
    </row>
    <row r="1737">
      <c r="A1737" s="252"/>
      <c r="B1737" s="202"/>
      <c r="C1737" s="233"/>
      <c r="D1737" s="233"/>
      <c r="E1737" s="201"/>
      <c r="F1737" s="206"/>
      <c r="G1737" s="206"/>
      <c r="H1737" s="253"/>
      <c r="I1737" s="201"/>
      <c r="J1737" s="254"/>
      <c r="K1737" s="254"/>
      <c r="L1737" s="206"/>
      <c r="M1737" s="201"/>
      <c r="N1737" s="206"/>
      <c r="O1737" s="255"/>
      <c r="P1737" s="256"/>
      <c r="Q1737" s="256"/>
      <c r="R1737" s="201"/>
      <c r="S1737" s="201"/>
      <c r="T1737" s="201"/>
    </row>
    <row r="1738">
      <c r="A1738" s="252"/>
      <c r="B1738" s="202"/>
      <c r="C1738" s="233"/>
      <c r="D1738" s="233"/>
      <c r="E1738" s="201"/>
      <c r="F1738" s="206"/>
      <c r="G1738" s="206"/>
      <c r="H1738" s="253"/>
      <c r="I1738" s="201"/>
      <c r="J1738" s="254"/>
      <c r="K1738" s="254"/>
      <c r="L1738" s="206"/>
      <c r="M1738" s="201"/>
      <c r="N1738" s="206"/>
      <c r="O1738" s="255"/>
      <c r="P1738" s="256"/>
      <c r="Q1738" s="256"/>
      <c r="R1738" s="201"/>
      <c r="S1738" s="201"/>
      <c r="T1738" s="201"/>
    </row>
    <row r="1739">
      <c r="A1739" s="252"/>
      <c r="B1739" s="202"/>
      <c r="C1739" s="233"/>
      <c r="D1739" s="233"/>
      <c r="E1739" s="201"/>
      <c r="F1739" s="206"/>
      <c r="G1739" s="206"/>
      <c r="H1739" s="253"/>
      <c r="I1739" s="201"/>
      <c r="J1739" s="254"/>
      <c r="K1739" s="254"/>
      <c r="L1739" s="206"/>
      <c r="M1739" s="201"/>
      <c r="N1739" s="206"/>
      <c r="O1739" s="255"/>
      <c r="P1739" s="256"/>
      <c r="Q1739" s="256"/>
      <c r="R1739" s="201"/>
      <c r="S1739" s="201"/>
      <c r="T1739" s="201"/>
    </row>
    <row r="1740">
      <c r="A1740" s="252"/>
      <c r="B1740" s="202"/>
      <c r="C1740" s="233"/>
      <c r="D1740" s="233"/>
      <c r="E1740" s="201"/>
      <c r="F1740" s="206"/>
      <c r="G1740" s="206"/>
      <c r="H1740" s="253"/>
      <c r="I1740" s="201"/>
      <c r="J1740" s="254"/>
      <c r="K1740" s="254"/>
      <c r="L1740" s="206"/>
      <c r="M1740" s="201"/>
      <c r="N1740" s="206"/>
      <c r="O1740" s="255"/>
      <c r="P1740" s="256"/>
      <c r="Q1740" s="256"/>
      <c r="R1740" s="201"/>
      <c r="S1740" s="201"/>
      <c r="T1740" s="201"/>
    </row>
    <row r="1741">
      <c r="A1741" s="252"/>
      <c r="B1741" s="202"/>
      <c r="C1741" s="233"/>
      <c r="D1741" s="233"/>
      <c r="E1741" s="201"/>
      <c r="F1741" s="206"/>
      <c r="G1741" s="206"/>
      <c r="H1741" s="253"/>
      <c r="I1741" s="201"/>
      <c r="J1741" s="254"/>
      <c r="K1741" s="254"/>
      <c r="L1741" s="206"/>
      <c r="M1741" s="201"/>
      <c r="N1741" s="206"/>
      <c r="O1741" s="255"/>
      <c r="P1741" s="256"/>
      <c r="Q1741" s="256"/>
      <c r="R1741" s="201"/>
      <c r="S1741" s="201"/>
      <c r="T1741" s="201"/>
    </row>
    <row r="1742">
      <c r="A1742" s="252"/>
      <c r="B1742" s="202"/>
      <c r="C1742" s="233"/>
      <c r="D1742" s="233"/>
      <c r="E1742" s="201"/>
      <c r="F1742" s="206"/>
      <c r="G1742" s="206"/>
      <c r="H1742" s="253"/>
      <c r="I1742" s="201"/>
      <c r="J1742" s="254"/>
      <c r="K1742" s="254"/>
      <c r="L1742" s="206"/>
      <c r="M1742" s="201"/>
      <c r="N1742" s="206"/>
      <c r="O1742" s="255"/>
      <c r="P1742" s="256"/>
      <c r="Q1742" s="256"/>
      <c r="R1742" s="201"/>
      <c r="S1742" s="201"/>
      <c r="T1742" s="201"/>
    </row>
    <row r="1743">
      <c r="A1743" s="252"/>
      <c r="B1743" s="202"/>
      <c r="C1743" s="233"/>
      <c r="D1743" s="233"/>
      <c r="E1743" s="201"/>
      <c r="F1743" s="206"/>
      <c r="G1743" s="206"/>
      <c r="H1743" s="253"/>
      <c r="I1743" s="201"/>
      <c r="J1743" s="254"/>
      <c r="K1743" s="254"/>
      <c r="L1743" s="206"/>
      <c r="M1743" s="201"/>
      <c r="N1743" s="206"/>
      <c r="O1743" s="255"/>
      <c r="P1743" s="256"/>
      <c r="Q1743" s="256"/>
      <c r="R1743" s="201"/>
      <c r="S1743" s="201"/>
      <c r="T1743" s="201"/>
    </row>
    <row r="1744">
      <c r="A1744" s="252"/>
      <c r="B1744" s="202"/>
      <c r="C1744" s="233"/>
      <c r="D1744" s="233"/>
      <c r="E1744" s="201"/>
      <c r="F1744" s="206"/>
      <c r="G1744" s="206"/>
      <c r="H1744" s="253"/>
      <c r="I1744" s="201"/>
      <c r="J1744" s="254"/>
      <c r="K1744" s="254"/>
      <c r="L1744" s="206"/>
      <c r="M1744" s="201"/>
      <c r="N1744" s="206"/>
      <c r="O1744" s="255"/>
      <c r="P1744" s="256"/>
      <c r="Q1744" s="256"/>
      <c r="R1744" s="201"/>
      <c r="S1744" s="201"/>
      <c r="T1744" s="201"/>
    </row>
    <row r="1745">
      <c r="A1745" s="252"/>
      <c r="B1745" s="202"/>
      <c r="C1745" s="233"/>
      <c r="D1745" s="233"/>
      <c r="E1745" s="201"/>
      <c r="F1745" s="206"/>
      <c r="G1745" s="206"/>
      <c r="H1745" s="253"/>
      <c r="I1745" s="201"/>
      <c r="J1745" s="254"/>
      <c r="K1745" s="254"/>
      <c r="L1745" s="206"/>
      <c r="M1745" s="201"/>
      <c r="N1745" s="206"/>
      <c r="O1745" s="255"/>
      <c r="P1745" s="256"/>
      <c r="Q1745" s="256"/>
      <c r="R1745" s="201"/>
      <c r="S1745" s="201"/>
      <c r="T1745" s="201"/>
    </row>
    <row r="1746">
      <c r="A1746" s="252"/>
      <c r="B1746" s="202"/>
      <c r="C1746" s="233"/>
      <c r="D1746" s="233"/>
      <c r="E1746" s="201"/>
      <c r="F1746" s="206"/>
      <c r="G1746" s="206"/>
      <c r="H1746" s="253"/>
      <c r="I1746" s="201"/>
      <c r="J1746" s="254"/>
      <c r="K1746" s="254"/>
      <c r="L1746" s="206"/>
      <c r="M1746" s="201"/>
      <c r="N1746" s="206"/>
      <c r="O1746" s="255"/>
      <c r="P1746" s="256"/>
      <c r="Q1746" s="256"/>
      <c r="R1746" s="201"/>
      <c r="S1746" s="201"/>
      <c r="T1746" s="201"/>
    </row>
    <row r="1747">
      <c r="A1747" s="252"/>
      <c r="B1747" s="202"/>
      <c r="C1747" s="233"/>
      <c r="D1747" s="233"/>
      <c r="E1747" s="201"/>
      <c r="F1747" s="206"/>
      <c r="G1747" s="206"/>
      <c r="H1747" s="253"/>
      <c r="I1747" s="201"/>
      <c r="J1747" s="254"/>
      <c r="K1747" s="254"/>
      <c r="L1747" s="206"/>
      <c r="M1747" s="201"/>
      <c r="N1747" s="206"/>
      <c r="O1747" s="255"/>
      <c r="P1747" s="256"/>
      <c r="Q1747" s="256"/>
      <c r="R1747" s="201"/>
      <c r="S1747" s="201"/>
      <c r="T1747" s="201"/>
    </row>
    <row r="1748">
      <c r="A1748" s="252"/>
      <c r="B1748" s="202"/>
      <c r="C1748" s="233"/>
      <c r="D1748" s="233"/>
      <c r="E1748" s="201"/>
      <c r="F1748" s="206"/>
      <c r="G1748" s="206"/>
      <c r="H1748" s="253"/>
      <c r="I1748" s="201"/>
      <c r="J1748" s="254"/>
      <c r="K1748" s="254"/>
      <c r="L1748" s="206"/>
      <c r="M1748" s="201"/>
      <c r="N1748" s="206"/>
      <c r="O1748" s="255"/>
      <c r="P1748" s="256"/>
      <c r="Q1748" s="256"/>
      <c r="R1748" s="201"/>
      <c r="S1748" s="201"/>
      <c r="T1748" s="201"/>
    </row>
    <row r="1749">
      <c r="A1749" s="252"/>
      <c r="B1749" s="202"/>
      <c r="C1749" s="233"/>
      <c r="D1749" s="233"/>
      <c r="E1749" s="201"/>
      <c r="F1749" s="206"/>
      <c r="G1749" s="206"/>
      <c r="H1749" s="253"/>
      <c r="I1749" s="201"/>
      <c r="J1749" s="254"/>
      <c r="K1749" s="254"/>
      <c r="L1749" s="206"/>
      <c r="M1749" s="201"/>
      <c r="N1749" s="206"/>
      <c r="O1749" s="255"/>
      <c r="P1749" s="256"/>
      <c r="Q1749" s="256"/>
      <c r="R1749" s="201"/>
      <c r="S1749" s="201"/>
      <c r="T1749" s="201"/>
    </row>
    <row r="1750">
      <c r="A1750" s="252"/>
      <c r="B1750" s="202"/>
      <c r="C1750" s="233"/>
      <c r="D1750" s="233"/>
      <c r="E1750" s="201"/>
      <c r="F1750" s="206"/>
      <c r="G1750" s="206"/>
      <c r="H1750" s="253"/>
      <c r="I1750" s="201"/>
      <c r="J1750" s="254"/>
      <c r="K1750" s="254"/>
      <c r="L1750" s="206"/>
      <c r="M1750" s="201"/>
      <c r="N1750" s="206"/>
      <c r="O1750" s="255"/>
      <c r="P1750" s="256"/>
      <c r="Q1750" s="256"/>
      <c r="R1750" s="201"/>
      <c r="S1750" s="201"/>
      <c r="T1750" s="201"/>
    </row>
    <row r="1751">
      <c r="A1751" s="252"/>
      <c r="B1751" s="202"/>
      <c r="C1751" s="233"/>
      <c r="D1751" s="233"/>
      <c r="E1751" s="201"/>
      <c r="F1751" s="206"/>
      <c r="G1751" s="206"/>
      <c r="H1751" s="253"/>
      <c r="I1751" s="201"/>
      <c r="J1751" s="254"/>
      <c r="K1751" s="254"/>
      <c r="L1751" s="206"/>
      <c r="M1751" s="201"/>
      <c r="N1751" s="206"/>
      <c r="O1751" s="255"/>
      <c r="P1751" s="256"/>
      <c r="Q1751" s="256"/>
      <c r="R1751" s="201"/>
      <c r="S1751" s="201"/>
      <c r="T1751" s="201"/>
    </row>
    <row r="1752">
      <c r="A1752" s="252"/>
      <c r="B1752" s="202"/>
      <c r="C1752" s="233"/>
      <c r="D1752" s="233"/>
      <c r="E1752" s="201"/>
      <c r="F1752" s="206"/>
      <c r="G1752" s="206"/>
      <c r="H1752" s="253"/>
      <c r="I1752" s="201"/>
      <c r="J1752" s="254"/>
      <c r="K1752" s="254"/>
      <c r="L1752" s="206"/>
      <c r="M1752" s="201"/>
      <c r="N1752" s="206"/>
      <c r="O1752" s="255"/>
      <c r="P1752" s="256"/>
      <c r="Q1752" s="256"/>
      <c r="R1752" s="201"/>
      <c r="S1752" s="201"/>
      <c r="T1752" s="201"/>
    </row>
    <row r="1753">
      <c r="A1753" s="252"/>
      <c r="B1753" s="202"/>
      <c r="C1753" s="233"/>
      <c r="D1753" s="233"/>
      <c r="E1753" s="201"/>
      <c r="F1753" s="206"/>
      <c r="G1753" s="206"/>
      <c r="H1753" s="253"/>
      <c r="I1753" s="201"/>
      <c r="J1753" s="254"/>
      <c r="K1753" s="254"/>
      <c r="L1753" s="206"/>
      <c r="M1753" s="201"/>
      <c r="N1753" s="206"/>
      <c r="O1753" s="255"/>
      <c r="P1753" s="256"/>
      <c r="Q1753" s="256"/>
      <c r="R1753" s="201"/>
      <c r="S1753" s="201"/>
      <c r="T1753" s="201"/>
    </row>
    <row r="1754">
      <c r="A1754" s="252"/>
      <c r="B1754" s="202"/>
      <c r="C1754" s="233"/>
      <c r="D1754" s="233"/>
      <c r="E1754" s="201"/>
      <c r="F1754" s="206"/>
      <c r="G1754" s="206"/>
      <c r="H1754" s="253"/>
      <c r="I1754" s="201"/>
      <c r="J1754" s="254"/>
      <c r="K1754" s="254"/>
      <c r="L1754" s="206"/>
      <c r="M1754" s="201"/>
      <c r="N1754" s="206"/>
      <c r="O1754" s="255"/>
      <c r="P1754" s="256"/>
      <c r="Q1754" s="256"/>
      <c r="R1754" s="201"/>
      <c r="S1754" s="201"/>
      <c r="T1754" s="201"/>
    </row>
    <row r="1755">
      <c r="A1755" s="252"/>
      <c r="B1755" s="202"/>
      <c r="C1755" s="233"/>
      <c r="D1755" s="233"/>
      <c r="E1755" s="201"/>
      <c r="F1755" s="206"/>
      <c r="G1755" s="206"/>
      <c r="H1755" s="253"/>
      <c r="I1755" s="201"/>
      <c r="J1755" s="254"/>
      <c r="K1755" s="254"/>
      <c r="L1755" s="206"/>
      <c r="M1755" s="201"/>
      <c r="N1755" s="206"/>
      <c r="O1755" s="255"/>
      <c r="P1755" s="256"/>
      <c r="Q1755" s="256"/>
      <c r="R1755" s="201"/>
      <c r="S1755" s="201"/>
      <c r="T1755" s="201"/>
    </row>
    <row r="1756">
      <c r="A1756" s="252"/>
      <c r="B1756" s="202"/>
      <c r="C1756" s="233"/>
      <c r="D1756" s="233"/>
      <c r="E1756" s="201"/>
      <c r="F1756" s="206"/>
      <c r="G1756" s="206"/>
      <c r="H1756" s="253"/>
      <c r="I1756" s="201"/>
      <c r="J1756" s="254"/>
      <c r="K1756" s="254"/>
      <c r="L1756" s="206"/>
      <c r="M1756" s="201"/>
      <c r="N1756" s="206"/>
      <c r="O1756" s="255"/>
      <c r="P1756" s="256"/>
      <c r="Q1756" s="256"/>
      <c r="R1756" s="201"/>
      <c r="S1756" s="201"/>
      <c r="T1756" s="201"/>
    </row>
    <row r="1757">
      <c r="A1757" s="252"/>
      <c r="B1757" s="202"/>
      <c r="C1757" s="233"/>
      <c r="D1757" s="233"/>
      <c r="E1757" s="201"/>
      <c r="F1757" s="206"/>
      <c r="G1757" s="206"/>
      <c r="H1757" s="253"/>
      <c r="I1757" s="201"/>
      <c r="J1757" s="254"/>
      <c r="K1757" s="254"/>
      <c r="L1757" s="206"/>
      <c r="M1757" s="201"/>
      <c r="N1757" s="206"/>
      <c r="O1757" s="255"/>
      <c r="P1757" s="256"/>
      <c r="Q1757" s="256"/>
      <c r="R1757" s="201"/>
      <c r="S1757" s="201"/>
      <c r="T1757" s="201"/>
    </row>
    <row r="1758">
      <c r="A1758" s="252"/>
      <c r="B1758" s="202"/>
      <c r="C1758" s="233"/>
      <c r="D1758" s="233"/>
      <c r="E1758" s="201"/>
      <c r="F1758" s="206"/>
      <c r="G1758" s="206"/>
      <c r="H1758" s="253"/>
      <c r="I1758" s="201"/>
      <c r="J1758" s="254"/>
      <c r="K1758" s="254"/>
      <c r="L1758" s="206"/>
      <c r="M1758" s="201"/>
      <c r="N1758" s="206"/>
      <c r="O1758" s="255"/>
      <c r="P1758" s="256"/>
      <c r="Q1758" s="256"/>
      <c r="R1758" s="201"/>
      <c r="S1758" s="201"/>
      <c r="T1758" s="201"/>
    </row>
    <row r="1759">
      <c r="A1759" s="252"/>
      <c r="B1759" s="202"/>
      <c r="C1759" s="233"/>
      <c r="D1759" s="233"/>
      <c r="E1759" s="201"/>
      <c r="F1759" s="206"/>
      <c r="G1759" s="206"/>
      <c r="H1759" s="253"/>
      <c r="I1759" s="201"/>
      <c r="J1759" s="254"/>
      <c r="K1759" s="254"/>
      <c r="L1759" s="206"/>
      <c r="M1759" s="201"/>
      <c r="N1759" s="206"/>
      <c r="O1759" s="255"/>
      <c r="P1759" s="256"/>
      <c r="Q1759" s="256"/>
      <c r="R1759" s="201"/>
      <c r="S1759" s="201"/>
      <c r="T1759" s="201"/>
    </row>
    <row r="1760">
      <c r="A1760" s="252"/>
      <c r="B1760" s="202"/>
      <c r="C1760" s="233"/>
      <c r="D1760" s="233"/>
      <c r="E1760" s="201"/>
      <c r="F1760" s="206"/>
      <c r="G1760" s="206"/>
      <c r="H1760" s="253"/>
      <c r="I1760" s="201"/>
      <c r="J1760" s="254"/>
      <c r="K1760" s="254"/>
      <c r="L1760" s="206"/>
      <c r="M1760" s="201"/>
      <c r="N1760" s="206"/>
      <c r="O1760" s="255"/>
      <c r="P1760" s="256"/>
      <c r="Q1760" s="256"/>
      <c r="R1760" s="201"/>
      <c r="S1760" s="201"/>
      <c r="T1760" s="201"/>
    </row>
    <row r="1761">
      <c r="A1761" s="252"/>
      <c r="B1761" s="202"/>
      <c r="C1761" s="233"/>
      <c r="D1761" s="233"/>
      <c r="E1761" s="201"/>
      <c r="F1761" s="206"/>
      <c r="G1761" s="206"/>
      <c r="H1761" s="253"/>
      <c r="I1761" s="201"/>
      <c r="J1761" s="254"/>
      <c r="K1761" s="254"/>
      <c r="L1761" s="206"/>
      <c r="M1761" s="201"/>
      <c r="N1761" s="206"/>
      <c r="O1761" s="255"/>
      <c r="P1761" s="256"/>
      <c r="Q1761" s="256"/>
      <c r="R1761" s="201"/>
      <c r="S1761" s="201"/>
      <c r="T1761" s="201"/>
    </row>
    <row r="1762">
      <c r="A1762" s="252"/>
      <c r="B1762" s="202"/>
      <c r="C1762" s="233"/>
      <c r="D1762" s="233"/>
      <c r="E1762" s="201"/>
      <c r="F1762" s="206"/>
      <c r="G1762" s="206"/>
      <c r="H1762" s="253"/>
      <c r="I1762" s="201"/>
      <c r="J1762" s="254"/>
      <c r="K1762" s="254"/>
      <c r="L1762" s="206"/>
      <c r="M1762" s="201"/>
      <c r="N1762" s="206"/>
      <c r="O1762" s="255"/>
      <c r="P1762" s="256"/>
      <c r="Q1762" s="256"/>
      <c r="R1762" s="201"/>
      <c r="S1762" s="201"/>
      <c r="T1762" s="201"/>
    </row>
    <row r="1763">
      <c r="A1763" s="252"/>
      <c r="B1763" s="202"/>
      <c r="C1763" s="233"/>
      <c r="D1763" s="233"/>
      <c r="E1763" s="201"/>
      <c r="F1763" s="206"/>
      <c r="G1763" s="206"/>
      <c r="H1763" s="253"/>
      <c r="I1763" s="201"/>
      <c r="J1763" s="254"/>
      <c r="K1763" s="254"/>
      <c r="L1763" s="206"/>
      <c r="M1763" s="201"/>
      <c r="N1763" s="206"/>
      <c r="O1763" s="255"/>
      <c r="P1763" s="256"/>
      <c r="Q1763" s="256"/>
      <c r="R1763" s="201"/>
      <c r="S1763" s="201"/>
      <c r="T1763" s="201"/>
    </row>
    <row r="1764">
      <c r="A1764" s="252"/>
      <c r="B1764" s="202"/>
      <c r="C1764" s="233"/>
      <c r="D1764" s="233"/>
      <c r="E1764" s="201"/>
      <c r="F1764" s="206"/>
      <c r="G1764" s="206"/>
      <c r="H1764" s="253"/>
      <c r="I1764" s="201"/>
      <c r="J1764" s="254"/>
      <c r="K1764" s="254"/>
      <c r="L1764" s="206"/>
      <c r="M1764" s="201"/>
      <c r="N1764" s="206"/>
      <c r="O1764" s="255"/>
      <c r="P1764" s="256"/>
      <c r="Q1764" s="256"/>
      <c r="R1764" s="201"/>
      <c r="S1764" s="201"/>
      <c r="T1764" s="201"/>
    </row>
    <row r="1765">
      <c r="A1765" s="252"/>
      <c r="B1765" s="202"/>
      <c r="C1765" s="233"/>
      <c r="D1765" s="233"/>
      <c r="E1765" s="201"/>
      <c r="F1765" s="206"/>
      <c r="G1765" s="206"/>
      <c r="H1765" s="253"/>
      <c r="I1765" s="201"/>
      <c r="J1765" s="254"/>
      <c r="K1765" s="254"/>
      <c r="L1765" s="206"/>
      <c r="M1765" s="201"/>
      <c r="N1765" s="206"/>
      <c r="O1765" s="255"/>
      <c r="P1765" s="256"/>
      <c r="Q1765" s="256"/>
      <c r="R1765" s="201"/>
      <c r="S1765" s="201"/>
      <c r="T1765" s="201"/>
    </row>
    <row r="1766">
      <c r="A1766" s="252"/>
      <c r="B1766" s="202"/>
      <c r="C1766" s="233"/>
      <c r="D1766" s="233"/>
      <c r="E1766" s="201"/>
      <c r="F1766" s="206"/>
      <c r="G1766" s="206"/>
      <c r="H1766" s="253"/>
      <c r="I1766" s="201"/>
      <c r="J1766" s="254"/>
      <c r="K1766" s="254"/>
      <c r="L1766" s="206"/>
      <c r="M1766" s="201"/>
      <c r="N1766" s="206"/>
      <c r="O1766" s="255"/>
      <c r="P1766" s="256"/>
      <c r="Q1766" s="256"/>
      <c r="R1766" s="201"/>
      <c r="S1766" s="201"/>
      <c r="T1766" s="201"/>
    </row>
    <row r="1767">
      <c r="A1767" s="252"/>
      <c r="B1767" s="202"/>
      <c r="C1767" s="233"/>
      <c r="D1767" s="233"/>
      <c r="E1767" s="201"/>
      <c r="F1767" s="206"/>
      <c r="G1767" s="206"/>
      <c r="H1767" s="253"/>
      <c r="I1767" s="201"/>
      <c r="J1767" s="254"/>
      <c r="K1767" s="254"/>
      <c r="L1767" s="206"/>
      <c r="M1767" s="201"/>
      <c r="N1767" s="206"/>
      <c r="O1767" s="255"/>
      <c r="P1767" s="256"/>
      <c r="Q1767" s="256"/>
      <c r="R1767" s="201"/>
      <c r="S1767" s="201"/>
      <c r="T1767" s="201"/>
    </row>
    <row r="1768">
      <c r="A1768" s="252"/>
      <c r="B1768" s="202"/>
      <c r="C1768" s="233"/>
      <c r="D1768" s="233"/>
      <c r="E1768" s="201"/>
      <c r="F1768" s="206"/>
      <c r="G1768" s="206"/>
      <c r="H1768" s="253"/>
      <c r="I1768" s="201"/>
      <c r="J1768" s="254"/>
      <c r="K1768" s="254"/>
      <c r="L1768" s="206"/>
      <c r="M1768" s="201"/>
      <c r="N1768" s="206"/>
      <c r="O1768" s="255"/>
      <c r="P1768" s="256"/>
      <c r="Q1768" s="256"/>
      <c r="R1768" s="201"/>
      <c r="S1768" s="201"/>
      <c r="T1768" s="201"/>
    </row>
    <row r="1769">
      <c r="A1769" s="252"/>
      <c r="B1769" s="202"/>
      <c r="C1769" s="233"/>
      <c r="D1769" s="233"/>
      <c r="E1769" s="201"/>
      <c r="F1769" s="206"/>
      <c r="G1769" s="206"/>
      <c r="H1769" s="253"/>
      <c r="I1769" s="201"/>
      <c r="J1769" s="254"/>
      <c r="K1769" s="254"/>
      <c r="L1769" s="206"/>
      <c r="M1769" s="201"/>
      <c r="N1769" s="206"/>
      <c r="O1769" s="255"/>
      <c r="P1769" s="256"/>
      <c r="Q1769" s="256"/>
      <c r="R1769" s="201"/>
      <c r="S1769" s="201"/>
      <c r="T1769" s="201"/>
    </row>
    <row r="1770">
      <c r="A1770" s="252"/>
      <c r="B1770" s="202"/>
      <c r="C1770" s="233"/>
      <c r="D1770" s="233"/>
      <c r="E1770" s="201"/>
      <c r="F1770" s="206"/>
      <c r="G1770" s="206"/>
      <c r="H1770" s="253"/>
      <c r="I1770" s="201"/>
      <c r="J1770" s="254"/>
      <c r="K1770" s="254"/>
      <c r="L1770" s="206"/>
      <c r="M1770" s="201"/>
      <c r="N1770" s="206"/>
      <c r="O1770" s="255"/>
      <c r="P1770" s="256"/>
      <c r="Q1770" s="256"/>
      <c r="R1770" s="201"/>
      <c r="S1770" s="201"/>
      <c r="T1770" s="201"/>
    </row>
    <row r="1771">
      <c r="A1771" s="252"/>
      <c r="B1771" s="202"/>
      <c r="C1771" s="233"/>
      <c r="D1771" s="233"/>
      <c r="E1771" s="201"/>
      <c r="F1771" s="206"/>
      <c r="G1771" s="206"/>
      <c r="H1771" s="253"/>
      <c r="I1771" s="201"/>
      <c r="J1771" s="254"/>
      <c r="K1771" s="254"/>
      <c r="L1771" s="206"/>
      <c r="M1771" s="201"/>
      <c r="N1771" s="206"/>
      <c r="O1771" s="255"/>
      <c r="P1771" s="256"/>
      <c r="Q1771" s="256"/>
      <c r="R1771" s="201"/>
      <c r="S1771" s="201"/>
      <c r="T1771" s="201"/>
    </row>
    <row r="1772">
      <c r="A1772" s="252"/>
      <c r="B1772" s="202"/>
      <c r="C1772" s="233"/>
      <c r="D1772" s="233"/>
      <c r="E1772" s="201"/>
      <c r="F1772" s="206"/>
      <c r="G1772" s="206"/>
      <c r="H1772" s="253"/>
      <c r="I1772" s="201"/>
      <c r="J1772" s="254"/>
      <c r="K1772" s="254"/>
      <c r="L1772" s="206"/>
      <c r="M1772" s="201"/>
      <c r="N1772" s="206"/>
      <c r="O1772" s="255"/>
      <c r="P1772" s="256"/>
      <c r="Q1772" s="256"/>
      <c r="R1772" s="201"/>
      <c r="S1772" s="201"/>
      <c r="T1772" s="201"/>
    </row>
    <row r="1773">
      <c r="A1773" s="252"/>
      <c r="B1773" s="202"/>
      <c r="C1773" s="233"/>
      <c r="D1773" s="233"/>
      <c r="E1773" s="201"/>
      <c r="F1773" s="206"/>
      <c r="G1773" s="206"/>
      <c r="H1773" s="253"/>
      <c r="I1773" s="201"/>
      <c r="J1773" s="254"/>
      <c r="K1773" s="254"/>
      <c r="L1773" s="206"/>
      <c r="M1773" s="201"/>
      <c r="N1773" s="206"/>
      <c r="O1773" s="255"/>
      <c r="P1773" s="256"/>
      <c r="Q1773" s="256"/>
      <c r="R1773" s="201"/>
      <c r="S1773" s="201"/>
      <c r="T1773" s="201"/>
    </row>
    <row r="1774">
      <c r="A1774" s="252"/>
      <c r="B1774" s="202"/>
      <c r="C1774" s="233"/>
      <c r="D1774" s="233"/>
      <c r="E1774" s="201"/>
      <c r="F1774" s="206"/>
      <c r="G1774" s="206"/>
      <c r="H1774" s="253"/>
      <c r="I1774" s="201"/>
      <c r="J1774" s="254"/>
      <c r="K1774" s="254"/>
      <c r="L1774" s="206"/>
      <c r="M1774" s="201"/>
      <c r="N1774" s="206"/>
      <c r="O1774" s="255"/>
      <c r="P1774" s="256"/>
      <c r="Q1774" s="256"/>
      <c r="R1774" s="201"/>
      <c r="S1774" s="201"/>
      <c r="T1774" s="201"/>
    </row>
    <row r="1775">
      <c r="A1775" s="252"/>
      <c r="B1775" s="202"/>
      <c r="C1775" s="233"/>
      <c r="D1775" s="233"/>
      <c r="E1775" s="201"/>
      <c r="F1775" s="206"/>
      <c r="G1775" s="206"/>
      <c r="H1775" s="253"/>
      <c r="I1775" s="201"/>
      <c r="J1775" s="254"/>
      <c r="K1775" s="254"/>
      <c r="L1775" s="206"/>
      <c r="M1775" s="201"/>
      <c r="N1775" s="206"/>
      <c r="O1775" s="255"/>
      <c r="P1775" s="256"/>
      <c r="Q1775" s="256"/>
      <c r="R1775" s="201"/>
      <c r="S1775" s="201"/>
      <c r="T1775" s="201"/>
    </row>
    <row r="1776">
      <c r="A1776" s="252"/>
      <c r="B1776" s="202"/>
      <c r="C1776" s="233"/>
      <c r="D1776" s="233"/>
      <c r="E1776" s="201"/>
      <c r="F1776" s="206"/>
      <c r="G1776" s="206"/>
      <c r="H1776" s="253"/>
      <c r="I1776" s="201"/>
      <c r="J1776" s="254"/>
      <c r="K1776" s="254"/>
      <c r="L1776" s="206"/>
      <c r="M1776" s="201"/>
      <c r="N1776" s="206"/>
      <c r="O1776" s="255"/>
      <c r="P1776" s="256"/>
      <c r="Q1776" s="256"/>
      <c r="R1776" s="201"/>
      <c r="S1776" s="201"/>
      <c r="T1776" s="201"/>
    </row>
    <row r="1777">
      <c r="A1777" s="252"/>
      <c r="B1777" s="202"/>
      <c r="C1777" s="233"/>
      <c r="D1777" s="233"/>
      <c r="E1777" s="201"/>
      <c r="F1777" s="206"/>
      <c r="G1777" s="206"/>
      <c r="H1777" s="253"/>
      <c r="I1777" s="201"/>
      <c r="J1777" s="254"/>
      <c r="K1777" s="254"/>
      <c r="L1777" s="206"/>
      <c r="M1777" s="201"/>
      <c r="N1777" s="206"/>
      <c r="O1777" s="255"/>
      <c r="P1777" s="256"/>
      <c r="Q1777" s="256"/>
      <c r="R1777" s="201"/>
      <c r="S1777" s="201"/>
      <c r="T1777" s="201"/>
    </row>
    <row r="1778">
      <c r="A1778" s="252"/>
      <c r="B1778" s="202"/>
      <c r="C1778" s="233"/>
      <c r="D1778" s="233"/>
      <c r="E1778" s="201"/>
      <c r="F1778" s="206"/>
      <c r="G1778" s="206"/>
      <c r="H1778" s="253"/>
      <c r="I1778" s="201"/>
      <c r="J1778" s="254"/>
      <c r="K1778" s="254"/>
      <c r="L1778" s="206"/>
      <c r="M1778" s="201"/>
      <c r="N1778" s="206"/>
      <c r="O1778" s="255"/>
      <c r="P1778" s="256"/>
      <c r="Q1778" s="256"/>
      <c r="R1778" s="201"/>
      <c r="S1778" s="201"/>
      <c r="T1778" s="201"/>
    </row>
    <row r="1779">
      <c r="A1779" s="252"/>
      <c r="B1779" s="202"/>
      <c r="C1779" s="233"/>
      <c r="D1779" s="233"/>
      <c r="E1779" s="201"/>
      <c r="F1779" s="206"/>
      <c r="G1779" s="206"/>
      <c r="H1779" s="253"/>
      <c r="I1779" s="201"/>
      <c r="J1779" s="254"/>
      <c r="K1779" s="254"/>
      <c r="L1779" s="206"/>
      <c r="M1779" s="201"/>
      <c r="N1779" s="206"/>
      <c r="O1779" s="255"/>
      <c r="P1779" s="256"/>
      <c r="Q1779" s="256"/>
      <c r="R1779" s="201"/>
      <c r="S1779" s="201"/>
      <c r="T1779" s="201"/>
    </row>
    <row r="1780">
      <c r="A1780" s="252"/>
      <c r="B1780" s="202"/>
      <c r="C1780" s="233"/>
      <c r="D1780" s="233"/>
      <c r="E1780" s="201"/>
      <c r="F1780" s="206"/>
      <c r="G1780" s="206"/>
      <c r="H1780" s="253"/>
      <c r="I1780" s="201"/>
      <c r="J1780" s="254"/>
      <c r="K1780" s="254"/>
      <c r="L1780" s="206"/>
      <c r="M1780" s="201"/>
      <c r="N1780" s="206"/>
      <c r="O1780" s="255"/>
      <c r="P1780" s="256"/>
      <c r="Q1780" s="256"/>
      <c r="R1780" s="201"/>
      <c r="S1780" s="201"/>
      <c r="T1780" s="201"/>
    </row>
    <row r="1781">
      <c r="A1781" s="252"/>
      <c r="B1781" s="202"/>
      <c r="C1781" s="233"/>
      <c r="D1781" s="233"/>
      <c r="E1781" s="201"/>
      <c r="F1781" s="206"/>
      <c r="G1781" s="206"/>
      <c r="H1781" s="253"/>
      <c r="I1781" s="201"/>
      <c r="J1781" s="254"/>
      <c r="K1781" s="254"/>
      <c r="L1781" s="206"/>
      <c r="M1781" s="201"/>
      <c r="N1781" s="206"/>
      <c r="O1781" s="255"/>
      <c r="P1781" s="256"/>
      <c r="Q1781" s="256"/>
      <c r="R1781" s="201"/>
      <c r="S1781" s="201"/>
      <c r="T1781" s="201"/>
    </row>
    <row r="1782">
      <c r="A1782" s="252"/>
      <c r="B1782" s="202"/>
      <c r="C1782" s="233"/>
      <c r="D1782" s="233"/>
      <c r="E1782" s="201"/>
      <c r="F1782" s="206"/>
      <c r="G1782" s="206"/>
      <c r="H1782" s="253"/>
      <c r="I1782" s="201"/>
      <c r="J1782" s="254"/>
      <c r="K1782" s="254"/>
      <c r="L1782" s="206"/>
      <c r="M1782" s="201"/>
      <c r="N1782" s="206"/>
      <c r="O1782" s="255"/>
      <c r="P1782" s="256"/>
      <c r="Q1782" s="256"/>
      <c r="R1782" s="201"/>
      <c r="S1782" s="201"/>
      <c r="T1782" s="201"/>
    </row>
    <row r="1783">
      <c r="A1783" s="252"/>
      <c r="B1783" s="202"/>
      <c r="C1783" s="233"/>
      <c r="D1783" s="233"/>
      <c r="E1783" s="201"/>
      <c r="F1783" s="206"/>
      <c r="G1783" s="206"/>
      <c r="H1783" s="253"/>
      <c r="I1783" s="201"/>
      <c r="J1783" s="254"/>
      <c r="K1783" s="254"/>
      <c r="L1783" s="206"/>
      <c r="M1783" s="201"/>
      <c r="N1783" s="206"/>
      <c r="O1783" s="255"/>
      <c r="P1783" s="256"/>
      <c r="Q1783" s="256"/>
      <c r="R1783" s="201"/>
      <c r="S1783" s="201"/>
      <c r="T1783" s="201"/>
    </row>
    <row r="1784">
      <c r="A1784" s="252"/>
      <c r="B1784" s="202"/>
      <c r="C1784" s="233"/>
      <c r="D1784" s="233"/>
      <c r="E1784" s="201"/>
      <c r="F1784" s="206"/>
      <c r="G1784" s="206"/>
      <c r="H1784" s="253"/>
      <c r="I1784" s="201"/>
      <c r="J1784" s="254"/>
      <c r="K1784" s="254"/>
      <c r="L1784" s="206"/>
      <c r="M1784" s="201"/>
      <c r="N1784" s="206"/>
      <c r="O1784" s="255"/>
      <c r="P1784" s="256"/>
      <c r="Q1784" s="256"/>
      <c r="R1784" s="201"/>
      <c r="S1784" s="201"/>
      <c r="T1784" s="201"/>
    </row>
    <row r="1785">
      <c r="A1785" s="252"/>
      <c r="B1785" s="202"/>
      <c r="C1785" s="233"/>
      <c r="D1785" s="233"/>
      <c r="E1785" s="201"/>
      <c r="F1785" s="206"/>
      <c r="G1785" s="206"/>
      <c r="H1785" s="253"/>
      <c r="I1785" s="201"/>
      <c r="J1785" s="254"/>
      <c r="K1785" s="254"/>
      <c r="L1785" s="206"/>
      <c r="M1785" s="201"/>
      <c r="N1785" s="206"/>
      <c r="O1785" s="255"/>
      <c r="P1785" s="256"/>
      <c r="Q1785" s="256"/>
      <c r="R1785" s="201"/>
      <c r="S1785" s="201"/>
      <c r="T1785" s="201"/>
    </row>
    <row r="1786">
      <c r="A1786" s="252"/>
      <c r="B1786" s="202"/>
      <c r="C1786" s="233"/>
      <c r="D1786" s="233"/>
      <c r="E1786" s="201"/>
      <c r="F1786" s="206"/>
      <c r="G1786" s="206"/>
      <c r="H1786" s="253"/>
      <c r="I1786" s="201"/>
      <c r="J1786" s="254"/>
      <c r="K1786" s="254"/>
      <c r="L1786" s="206"/>
      <c r="M1786" s="201"/>
      <c r="N1786" s="206"/>
      <c r="O1786" s="255"/>
      <c r="P1786" s="256"/>
      <c r="Q1786" s="256"/>
      <c r="R1786" s="201"/>
      <c r="S1786" s="201"/>
      <c r="T1786" s="201"/>
    </row>
    <row r="1787">
      <c r="A1787" s="252"/>
      <c r="B1787" s="202"/>
      <c r="C1787" s="233"/>
      <c r="D1787" s="233"/>
      <c r="E1787" s="201"/>
      <c r="F1787" s="206"/>
      <c r="G1787" s="206"/>
      <c r="H1787" s="253"/>
      <c r="I1787" s="201"/>
      <c r="J1787" s="254"/>
      <c r="K1787" s="254"/>
      <c r="L1787" s="206"/>
      <c r="M1787" s="201"/>
      <c r="N1787" s="206"/>
      <c r="O1787" s="255"/>
      <c r="P1787" s="256"/>
      <c r="Q1787" s="256"/>
      <c r="R1787" s="201"/>
      <c r="S1787" s="201"/>
      <c r="T1787" s="201"/>
    </row>
    <row r="1788">
      <c r="A1788" s="252"/>
      <c r="B1788" s="202"/>
      <c r="C1788" s="233"/>
      <c r="D1788" s="233"/>
      <c r="E1788" s="201"/>
      <c r="F1788" s="206"/>
      <c r="G1788" s="206"/>
      <c r="H1788" s="253"/>
      <c r="I1788" s="201"/>
      <c r="J1788" s="254"/>
      <c r="K1788" s="254"/>
      <c r="L1788" s="206"/>
      <c r="M1788" s="201"/>
      <c r="N1788" s="206"/>
      <c r="O1788" s="255"/>
      <c r="P1788" s="256"/>
      <c r="Q1788" s="256"/>
      <c r="R1788" s="201"/>
      <c r="S1788" s="201"/>
      <c r="T1788" s="201"/>
    </row>
    <row r="1789">
      <c r="A1789" s="252"/>
      <c r="B1789" s="202"/>
      <c r="C1789" s="233"/>
      <c r="D1789" s="233"/>
      <c r="E1789" s="201"/>
      <c r="F1789" s="206"/>
      <c r="G1789" s="206"/>
      <c r="H1789" s="253"/>
      <c r="I1789" s="201"/>
      <c r="J1789" s="254"/>
      <c r="K1789" s="254"/>
      <c r="L1789" s="206"/>
      <c r="M1789" s="201"/>
      <c r="N1789" s="206"/>
      <c r="O1789" s="255"/>
      <c r="P1789" s="256"/>
      <c r="Q1789" s="256"/>
      <c r="R1789" s="201"/>
      <c r="S1789" s="201"/>
      <c r="T1789" s="201"/>
    </row>
    <row r="1790">
      <c r="A1790" s="252"/>
      <c r="B1790" s="202"/>
      <c r="C1790" s="233"/>
      <c r="D1790" s="233"/>
      <c r="E1790" s="201"/>
      <c r="F1790" s="206"/>
      <c r="G1790" s="206"/>
      <c r="H1790" s="253"/>
      <c r="I1790" s="201"/>
      <c r="J1790" s="254"/>
      <c r="K1790" s="254"/>
      <c r="L1790" s="206"/>
      <c r="M1790" s="201"/>
      <c r="N1790" s="206"/>
      <c r="O1790" s="255"/>
      <c r="P1790" s="256"/>
      <c r="Q1790" s="256"/>
      <c r="R1790" s="201"/>
      <c r="S1790" s="201"/>
      <c r="T1790" s="201"/>
    </row>
    <row r="1791">
      <c r="A1791" s="252"/>
      <c r="B1791" s="202"/>
      <c r="C1791" s="233"/>
      <c r="D1791" s="233"/>
      <c r="E1791" s="201"/>
      <c r="F1791" s="206"/>
      <c r="G1791" s="206"/>
      <c r="H1791" s="253"/>
      <c r="I1791" s="201"/>
      <c r="J1791" s="254"/>
      <c r="K1791" s="254"/>
      <c r="L1791" s="206"/>
      <c r="M1791" s="201"/>
      <c r="N1791" s="206"/>
      <c r="O1791" s="255"/>
      <c r="P1791" s="256"/>
      <c r="Q1791" s="256"/>
      <c r="R1791" s="201"/>
      <c r="S1791" s="201"/>
      <c r="T1791" s="201"/>
    </row>
    <row r="1792">
      <c r="A1792" s="252"/>
      <c r="B1792" s="202"/>
      <c r="C1792" s="233"/>
      <c r="D1792" s="233"/>
      <c r="E1792" s="201"/>
      <c r="F1792" s="206"/>
      <c r="G1792" s="206"/>
      <c r="H1792" s="253"/>
      <c r="I1792" s="201"/>
      <c r="J1792" s="254"/>
      <c r="K1792" s="254"/>
      <c r="L1792" s="206"/>
      <c r="M1792" s="201"/>
      <c r="N1792" s="206"/>
      <c r="O1792" s="255"/>
      <c r="P1792" s="256"/>
      <c r="Q1792" s="256"/>
      <c r="R1792" s="201"/>
      <c r="S1792" s="201"/>
      <c r="T1792" s="201"/>
    </row>
    <row r="1793">
      <c r="A1793" s="252"/>
      <c r="B1793" s="202"/>
      <c r="C1793" s="233"/>
      <c r="D1793" s="233"/>
      <c r="E1793" s="201"/>
      <c r="F1793" s="206"/>
      <c r="G1793" s="206"/>
      <c r="H1793" s="253"/>
      <c r="I1793" s="201"/>
      <c r="J1793" s="254"/>
      <c r="K1793" s="254"/>
      <c r="L1793" s="206"/>
      <c r="M1793" s="201"/>
      <c r="N1793" s="206"/>
      <c r="O1793" s="255"/>
      <c r="P1793" s="256"/>
      <c r="Q1793" s="256"/>
      <c r="R1793" s="201"/>
      <c r="S1793" s="201"/>
      <c r="T1793" s="201"/>
    </row>
    <row r="1794">
      <c r="A1794" s="252"/>
      <c r="B1794" s="202"/>
      <c r="C1794" s="233"/>
      <c r="D1794" s="233"/>
      <c r="E1794" s="201"/>
      <c r="F1794" s="206"/>
      <c r="G1794" s="206"/>
      <c r="H1794" s="253"/>
      <c r="I1794" s="201"/>
      <c r="J1794" s="254"/>
      <c r="K1794" s="254"/>
      <c r="L1794" s="206"/>
      <c r="M1794" s="201"/>
      <c r="N1794" s="206"/>
      <c r="O1794" s="255"/>
      <c r="P1794" s="256"/>
      <c r="Q1794" s="256"/>
      <c r="R1794" s="201"/>
      <c r="S1794" s="201"/>
      <c r="T1794" s="201"/>
    </row>
    <row r="1795">
      <c r="A1795" s="252"/>
      <c r="B1795" s="202"/>
      <c r="C1795" s="233"/>
      <c r="D1795" s="233"/>
      <c r="E1795" s="201"/>
      <c r="F1795" s="206"/>
      <c r="G1795" s="206"/>
      <c r="H1795" s="253"/>
      <c r="I1795" s="201"/>
      <c r="J1795" s="254"/>
      <c r="K1795" s="254"/>
      <c r="L1795" s="206"/>
      <c r="M1795" s="201"/>
      <c r="N1795" s="206"/>
      <c r="O1795" s="255"/>
      <c r="P1795" s="256"/>
      <c r="Q1795" s="256"/>
      <c r="R1795" s="201"/>
      <c r="S1795" s="201"/>
      <c r="T1795" s="201"/>
    </row>
    <row r="1796">
      <c r="A1796" s="252"/>
      <c r="B1796" s="202"/>
      <c r="C1796" s="233"/>
      <c r="D1796" s="233"/>
      <c r="E1796" s="201"/>
      <c r="F1796" s="206"/>
      <c r="G1796" s="206"/>
      <c r="H1796" s="253"/>
      <c r="I1796" s="201"/>
      <c r="J1796" s="254"/>
      <c r="K1796" s="254"/>
      <c r="L1796" s="206"/>
      <c r="M1796" s="201"/>
      <c r="N1796" s="206"/>
      <c r="O1796" s="255"/>
      <c r="P1796" s="256"/>
      <c r="Q1796" s="256"/>
      <c r="R1796" s="201"/>
      <c r="S1796" s="201"/>
      <c r="T1796" s="201"/>
    </row>
    <row r="1797">
      <c r="A1797" s="252"/>
      <c r="B1797" s="202"/>
      <c r="C1797" s="233"/>
      <c r="D1797" s="233"/>
      <c r="E1797" s="201"/>
      <c r="F1797" s="206"/>
      <c r="G1797" s="206"/>
      <c r="H1797" s="253"/>
      <c r="I1797" s="201"/>
      <c r="J1797" s="254"/>
      <c r="K1797" s="254"/>
      <c r="L1797" s="206"/>
      <c r="M1797" s="201"/>
      <c r="N1797" s="206"/>
      <c r="O1797" s="255"/>
      <c r="P1797" s="256"/>
      <c r="Q1797" s="256"/>
      <c r="R1797" s="201"/>
      <c r="S1797" s="201"/>
      <c r="T1797" s="201"/>
    </row>
    <row r="1798">
      <c r="A1798" s="252"/>
      <c r="B1798" s="202"/>
      <c r="C1798" s="233"/>
      <c r="D1798" s="233"/>
      <c r="E1798" s="201"/>
      <c r="F1798" s="206"/>
      <c r="G1798" s="206"/>
      <c r="H1798" s="253"/>
      <c r="I1798" s="201"/>
      <c r="J1798" s="254"/>
      <c r="K1798" s="254"/>
      <c r="L1798" s="206"/>
      <c r="M1798" s="201"/>
      <c r="N1798" s="206"/>
      <c r="O1798" s="255"/>
      <c r="P1798" s="256"/>
      <c r="Q1798" s="256"/>
      <c r="R1798" s="201"/>
      <c r="S1798" s="201"/>
      <c r="T1798" s="201"/>
    </row>
    <row r="1799">
      <c r="A1799" s="252"/>
      <c r="B1799" s="202"/>
      <c r="C1799" s="233"/>
      <c r="D1799" s="233"/>
      <c r="E1799" s="201"/>
      <c r="F1799" s="206"/>
      <c r="G1799" s="206"/>
      <c r="H1799" s="253"/>
      <c r="I1799" s="201"/>
      <c r="J1799" s="254"/>
      <c r="K1799" s="254"/>
      <c r="L1799" s="206"/>
      <c r="M1799" s="201"/>
      <c r="N1799" s="206"/>
      <c r="O1799" s="255"/>
      <c r="P1799" s="256"/>
      <c r="Q1799" s="256"/>
      <c r="R1799" s="201"/>
      <c r="S1799" s="201"/>
      <c r="T1799" s="201"/>
    </row>
    <row r="1800">
      <c r="A1800" s="252"/>
      <c r="B1800" s="202"/>
      <c r="C1800" s="233"/>
      <c r="D1800" s="233"/>
      <c r="E1800" s="201"/>
      <c r="F1800" s="206"/>
      <c r="G1800" s="206"/>
      <c r="H1800" s="253"/>
      <c r="I1800" s="201"/>
      <c r="J1800" s="254"/>
      <c r="K1800" s="254"/>
      <c r="L1800" s="206"/>
      <c r="M1800" s="201"/>
      <c r="N1800" s="206"/>
      <c r="O1800" s="255"/>
      <c r="P1800" s="256"/>
      <c r="Q1800" s="256"/>
      <c r="R1800" s="201"/>
      <c r="S1800" s="201"/>
      <c r="T1800" s="201"/>
    </row>
    <row r="1801">
      <c r="A1801" s="252"/>
      <c r="B1801" s="202"/>
      <c r="C1801" s="233"/>
      <c r="D1801" s="233"/>
      <c r="E1801" s="201"/>
      <c r="F1801" s="206"/>
      <c r="G1801" s="206"/>
      <c r="H1801" s="253"/>
      <c r="I1801" s="201"/>
      <c r="J1801" s="254"/>
      <c r="K1801" s="254"/>
      <c r="L1801" s="206"/>
      <c r="M1801" s="201"/>
      <c r="N1801" s="206"/>
      <c r="O1801" s="255"/>
      <c r="P1801" s="256"/>
      <c r="Q1801" s="256"/>
      <c r="R1801" s="201"/>
      <c r="S1801" s="201"/>
      <c r="T1801" s="201"/>
    </row>
    <row r="1802">
      <c r="A1802" s="252"/>
      <c r="B1802" s="202"/>
      <c r="C1802" s="233"/>
      <c r="D1802" s="233"/>
      <c r="E1802" s="201"/>
      <c r="F1802" s="206"/>
      <c r="G1802" s="206"/>
      <c r="H1802" s="253"/>
      <c r="I1802" s="201"/>
      <c r="J1802" s="254"/>
      <c r="K1802" s="254"/>
      <c r="L1802" s="206"/>
      <c r="M1802" s="201"/>
      <c r="N1802" s="206"/>
      <c r="O1802" s="255"/>
      <c r="P1802" s="256"/>
      <c r="Q1802" s="256"/>
      <c r="R1802" s="201"/>
      <c r="S1802" s="201"/>
      <c r="T1802" s="201"/>
    </row>
    <row r="1803">
      <c r="A1803" s="252"/>
      <c r="B1803" s="202"/>
      <c r="C1803" s="233"/>
      <c r="D1803" s="233"/>
      <c r="E1803" s="201"/>
      <c r="F1803" s="206"/>
      <c r="G1803" s="206"/>
      <c r="H1803" s="253"/>
      <c r="I1803" s="201"/>
      <c r="J1803" s="254"/>
      <c r="K1803" s="254"/>
      <c r="L1803" s="206"/>
      <c r="M1803" s="201"/>
      <c r="N1803" s="206"/>
      <c r="O1803" s="255"/>
      <c r="P1803" s="256"/>
      <c r="Q1803" s="256"/>
      <c r="R1803" s="201"/>
      <c r="S1803" s="201"/>
      <c r="T1803" s="201"/>
    </row>
    <row r="1804">
      <c r="A1804" s="252"/>
      <c r="B1804" s="202"/>
      <c r="C1804" s="233"/>
      <c r="D1804" s="233"/>
      <c r="E1804" s="201"/>
      <c r="F1804" s="206"/>
      <c r="G1804" s="206"/>
      <c r="H1804" s="253"/>
      <c r="I1804" s="201"/>
      <c r="J1804" s="254"/>
      <c r="K1804" s="254"/>
      <c r="L1804" s="206"/>
      <c r="M1804" s="201"/>
      <c r="N1804" s="206"/>
      <c r="O1804" s="255"/>
      <c r="P1804" s="256"/>
      <c r="Q1804" s="256"/>
      <c r="R1804" s="201"/>
      <c r="S1804" s="201"/>
      <c r="T1804" s="201"/>
    </row>
    <row r="1805">
      <c r="A1805" s="252"/>
      <c r="B1805" s="202"/>
      <c r="C1805" s="233"/>
      <c r="D1805" s="233"/>
      <c r="E1805" s="201"/>
      <c r="F1805" s="206"/>
      <c r="G1805" s="206"/>
      <c r="H1805" s="253"/>
      <c r="I1805" s="201"/>
      <c r="J1805" s="254"/>
      <c r="K1805" s="254"/>
      <c r="L1805" s="206"/>
      <c r="M1805" s="201"/>
      <c r="N1805" s="206"/>
      <c r="O1805" s="255"/>
      <c r="P1805" s="256"/>
      <c r="Q1805" s="256"/>
      <c r="R1805" s="201"/>
      <c r="S1805" s="201"/>
      <c r="T1805" s="201"/>
    </row>
    <row r="1806">
      <c r="A1806" s="252"/>
      <c r="B1806" s="202"/>
      <c r="C1806" s="233"/>
      <c r="D1806" s="233"/>
      <c r="E1806" s="201"/>
      <c r="F1806" s="206"/>
      <c r="G1806" s="206"/>
      <c r="H1806" s="253"/>
      <c r="I1806" s="201"/>
      <c r="J1806" s="254"/>
      <c r="K1806" s="254"/>
      <c r="L1806" s="206"/>
      <c r="M1806" s="201"/>
      <c r="N1806" s="206"/>
      <c r="O1806" s="255"/>
      <c r="P1806" s="256"/>
      <c r="Q1806" s="256"/>
      <c r="R1806" s="201"/>
      <c r="S1806" s="201"/>
      <c r="T1806" s="201"/>
    </row>
    <row r="1807">
      <c r="A1807" s="252"/>
      <c r="B1807" s="202"/>
      <c r="C1807" s="233"/>
      <c r="D1807" s="233"/>
      <c r="E1807" s="201"/>
      <c r="F1807" s="206"/>
      <c r="G1807" s="206"/>
      <c r="H1807" s="253"/>
      <c r="I1807" s="201"/>
      <c r="J1807" s="254"/>
      <c r="K1807" s="254"/>
      <c r="L1807" s="206"/>
      <c r="M1807" s="201"/>
      <c r="N1807" s="206"/>
      <c r="O1807" s="255"/>
      <c r="P1807" s="256"/>
      <c r="Q1807" s="256"/>
      <c r="R1807" s="201"/>
      <c r="S1807" s="201"/>
      <c r="T1807" s="201"/>
    </row>
    <row r="1808">
      <c r="A1808" s="252"/>
      <c r="B1808" s="202"/>
      <c r="C1808" s="233"/>
      <c r="D1808" s="233"/>
      <c r="E1808" s="201"/>
      <c r="F1808" s="206"/>
      <c r="G1808" s="206"/>
      <c r="H1808" s="253"/>
      <c r="I1808" s="201"/>
      <c r="J1808" s="254"/>
      <c r="K1808" s="254"/>
      <c r="L1808" s="206"/>
      <c r="M1808" s="201"/>
      <c r="N1808" s="206"/>
      <c r="O1808" s="255"/>
      <c r="P1808" s="256"/>
      <c r="Q1808" s="256"/>
      <c r="R1808" s="201"/>
      <c r="S1808" s="201"/>
      <c r="T1808" s="201"/>
    </row>
    <row r="1809">
      <c r="A1809" s="252"/>
      <c r="B1809" s="202"/>
      <c r="C1809" s="233"/>
      <c r="D1809" s="233"/>
      <c r="E1809" s="201"/>
      <c r="F1809" s="206"/>
      <c r="G1809" s="206"/>
      <c r="H1809" s="253"/>
      <c r="I1809" s="201"/>
      <c r="J1809" s="254"/>
      <c r="K1809" s="254"/>
      <c r="L1809" s="206"/>
      <c r="M1809" s="201"/>
      <c r="N1809" s="206"/>
      <c r="O1809" s="255"/>
      <c r="P1809" s="256"/>
      <c r="Q1809" s="256"/>
      <c r="R1809" s="201"/>
      <c r="S1809" s="201"/>
      <c r="T1809" s="201"/>
    </row>
    <row r="1810">
      <c r="A1810" s="252"/>
      <c r="B1810" s="202"/>
      <c r="C1810" s="233"/>
      <c r="D1810" s="233"/>
      <c r="E1810" s="201"/>
      <c r="F1810" s="206"/>
      <c r="G1810" s="206"/>
      <c r="H1810" s="253"/>
      <c r="I1810" s="201"/>
      <c r="J1810" s="254"/>
      <c r="K1810" s="254"/>
      <c r="L1810" s="206"/>
      <c r="M1810" s="201"/>
      <c r="N1810" s="206"/>
      <c r="O1810" s="255"/>
      <c r="P1810" s="256"/>
      <c r="Q1810" s="256"/>
      <c r="R1810" s="201"/>
      <c r="S1810" s="201"/>
      <c r="T1810" s="201"/>
    </row>
    <row r="1811">
      <c r="A1811" s="252"/>
      <c r="B1811" s="202"/>
      <c r="C1811" s="233"/>
      <c r="D1811" s="233"/>
      <c r="E1811" s="201"/>
      <c r="F1811" s="206"/>
      <c r="G1811" s="206"/>
      <c r="H1811" s="253"/>
      <c r="I1811" s="201"/>
      <c r="J1811" s="254"/>
      <c r="K1811" s="254"/>
      <c r="L1811" s="206"/>
      <c r="M1811" s="201"/>
      <c r="N1811" s="206"/>
      <c r="O1811" s="255"/>
      <c r="P1811" s="256"/>
      <c r="Q1811" s="256"/>
      <c r="R1811" s="201"/>
      <c r="S1811" s="201"/>
      <c r="T1811" s="201"/>
    </row>
    <row r="1812">
      <c r="A1812" s="252"/>
      <c r="B1812" s="202"/>
      <c r="C1812" s="233"/>
      <c r="D1812" s="233"/>
      <c r="E1812" s="201"/>
      <c r="F1812" s="206"/>
      <c r="G1812" s="206"/>
      <c r="H1812" s="253"/>
      <c r="I1812" s="201"/>
      <c r="J1812" s="254"/>
      <c r="K1812" s="254"/>
      <c r="L1812" s="206"/>
      <c r="M1812" s="201"/>
      <c r="N1812" s="206"/>
      <c r="O1812" s="255"/>
      <c r="P1812" s="256"/>
      <c r="Q1812" s="256"/>
      <c r="R1812" s="201"/>
      <c r="S1812" s="201"/>
      <c r="T1812" s="201"/>
    </row>
    <row r="1813">
      <c r="A1813" s="252"/>
      <c r="B1813" s="202"/>
      <c r="C1813" s="233"/>
      <c r="D1813" s="233"/>
      <c r="E1813" s="201"/>
      <c r="F1813" s="206"/>
      <c r="G1813" s="206"/>
      <c r="H1813" s="253"/>
      <c r="I1813" s="201"/>
      <c r="J1813" s="254"/>
      <c r="K1813" s="254"/>
      <c r="L1813" s="206"/>
      <c r="M1813" s="201"/>
      <c r="N1813" s="206"/>
      <c r="O1813" s="255"/>
      <c r="P1813" s="256"/>
      <c r="Q1813" s="256"/>
      <c r="R1813" s="201"/>
      <c r="S1813" s="201"/>
      <c r="T1813" s="201"/>
    </row>
    <row r="1814">
      <c r="A1814" s="252"/>
      <c r="B1814" s="202"/>
      <c r="C1814" s="233"/>
      <c r="D1814" s="233"/>
      <c r="E1814" s="201"/>
      <c r="F1814" s="206"/>
      <c r="G1814" s="206"/>
      <c r="H1814" s="253"/>
      <c r="I1814" s="201"/>
      <c r="J1814" s="254"/>
      <c r="K1814" s="254"/>
      <c r="L1814" s="206"/>
      <c r="M1814" s="201"/>
      <c r="N1814" s="206"/>
      <c r="O1814" s="255"/>
      <c r="P1814" s="256"/>
      <c r="Q1814" s="256"/>
      <c r="R1814" s="201"/>
      <c r="S1814" s="201"/>
      <c r="T1814" s="201"/>
    </row>
    <row r="1815">
      <c r="A1815" s="252"/>
      <c r="B1815" s="202"/>
      <c r="C1815" s="233"/>
      <c r="D1815" s="233"/>
      <c r="E1815" s="201"/>
      <c r="F1815" s="206"/>
      <c r="G1815" s="206"/>
      <c r="H1815" s="253"/>
      <c r="I1815" s="201"/>
      <c r="J1815" s="254"/>
      <c r="K1815" s="254"/>
      <c r="L1815" s="206"/>
      <c r="M1815" s="201"/>
      <c r="N1815" s="206"/>
      <c r="O1815" s="255"/>
      <c r="P1815" s="256"/>
      <c r="Q1815" s="256"/>
      <c r="R1815" s="201"/>
      <c r="S1815" s="201"/>
      <c r="T1815" s="201"/>
    </row>
    <row r="1816">
      <c r="A1816" s="252"/>
      <c r="B1816" s="202"/>
      <c r="C1816" s="233"/>
      <c r="D1816" s="233"/>
      <c r="E1816" s="201"/>
      <c r="F1816" s="206"/>
      <c r="G1816" s="206"/>
      <c r="H1816" s="253"/>
      <c r="I1816" s="201"/>
      <c r="J1816" s="254"/>
      <c r="K1816" s="254"/>
      <c r="L1816" s="206"/>
      <c r="M1816" s="201"/>
      <c r="N1816" s="206"/>
      <c r="O1816" s="255"/>
      <c r="P1816" s="256"/>
      <c r="Q1816" s="256"/>
      <c r="R1816" s="201"/>
      <c r="S1816" s="201"/>
      <c r="T1816" s="201"/>
    </row>
    <row r="1817">
      <c r="A1817" s="252"/>
      <c r="B1817" s="202"/>
      <c r="C1817" s="233"/>
      <c r="D1817" s="233"/>
      <c r="E1817" s="201"/>
      <c r="F1817" s="206"/>
      <c r="G1817" s="206"/>
      <c r="H1817" s="253"/>
      <c r="I1817" s="201"/>
      <c r="J1817" s="254"/>
      <c r="K1817" s="254"/>
      <c r="L1817" s="206"/>
      <c r="M1817" s="201"/>
      <c r="N1817" s="206"/>
      <c r="O1817" s="255"/>
      <c r="P1817" s="256"/>
      <c r="Q1817" s="256"/>
      <c r="R1817" s="201"/>
      <c r="S1817" s="201"/>
      <c r="T1817" s="201"/>
    </row>
    <row r="1818">
      <c r="A1818" s="252"/>
      <c r="B1818" s="202"/>
      <c r="C1818" s="233"/>
      <c r="D1818" s="233"/>
      <c r="E1818" s="201"/>
      <c r="F1818" s="206"/>
      <c r="G1818" s="206"/>
      <c r="H1818" s="253"/>
      <c r="I1818" s="201"/>
      <c r="J1818" s="254"/>
      <c r="K1818" s="254"/>
      <c r="L1818" s="206"/>
      <c r="M1818" s="201"/>
      <c r="N1818" s="206"/>
      <c r="O1818" s="255"/>
      <c r="P1818" s="256"/>
      <c r="Q1818" s="256"/>
      <c r="R1818" s="201"/>
      <c r="S1818" s="201"/>
      <c r="T1818" s="201"/>
    </row>
    <row r="1819">
      <c r="A1819" s="252"/>
      <c r="B1819" s="202"/>
      <c r="C1819" s="233"/>
      <c r="D1819" s="233"/>
      <c r="E1819" s="201"/>
      <c r="F1819" s="206"/>
      <c r="G1819" s="206"/>
      <c r="H1819" s="253"/>
      <c r="I1819" s="201"/>
      <c r="J1819" s="254"/>
      <c r="K1819" s="254"/>
      <c r="L1819" s="206"/>
      <c r="M1819" s="201"/>
      <c r="N1819" s="206"/>
      <c r="O1819" s="255"/>
      <c r="P1819" s="256"/>
      <c r="Q1819" s="256"/>
      <c r="R1819" s="201"/>
      <c r="S1819" s="201"/>
      <c r="T1819" s="201"/>
    </row>
    <row r="1820">
      <c r="A1820" s="252"/>
      <c r="B1820" s="202"/>
      <c r="C1820" s="233"/>
      <c r="D1820" s="233"/>
      <c r="E1820" s="201"/>
      <c r="F1820" s="206"/>
      <c r="G1820" s="206"/>
      <c r="H1820" s="253"/>
      <c r="I1820" s="201"/>
      <c r="J1820" s="254"/>
      <c r="K1820" s="254"/>
      <c r="L1820" s="206"/>
      <c r="M1820" s="201"/>
      <c r="N1820" s="206"/>
      <c r="O1820" s="255"/>
      <c r="P1820" s="256"/>
      <c r="Q1820" s="256"/>
      <c r="R1820" s="201"/>
      <c r="S1820" s="201"/>
      <c r="T1820" s="201"/>
    </row>
    <row r="1821">
      <c r="A1821" s="252"/>
      <c r="B1821" s="202"/>
      <c r="C1821" s="233"/>
      <c r="D1821" s="233"/>
      <c r="E1821" s="201"/>
      <c r="F1821" s="206"/>
      <c r="G1821" s="206"/>
      <c r="H1821" s="253"/>
      <c r="I1821" s="201"/>
      <c r="J1821" s="254"/>
      <c r="K1821" s="254"/>
      <c r="L1821" s="206"/>
      <c r="M1821" s="201"/>
      <c r="N1821" s="206"/>
      <c r="O1821" s="255"/>
      <c r="P1821" s="256"/>
      <c r="Q1821" s="256"/>
      <c r="R1821" s="201"/>
      <c r="S1821" s="201"/>
      <c r="T1821" s="201"/>
    </row>
    <row r="1822">
      <c r="A1822" s="252"/>
      <c r="B1822" s="202"/>
      <c r="C1822" s="233"/>
      <c r="D1822" s="233"/>
      <c r="E1822" s="201"/>
      <c r="F1822" s="206"/>
      <c r="G1822" s="206"/>
      <c r="H1822" s="253"/>
      <c r="I1822" s="201"/>
      <c r="J1822" s="254"/>
      <c r="K1822" s="254"/>
      <c r="L1822" s="206"/>
      <c r="M1822" s="201"/>
      <c r="N1822" s="206"/>
      <c r="O1822" s="255"/>
      <c r="P1822" s="256"/>
      <c r="Q1822" s="256"/>
      <c r="R1822" s="201"/>
      <c r="S1822" s="201"/>
      <c r="T1822" s="201"/>
    </row>
    <row r="1823">
      <c r="A1823" s="252"/>
      <c r="B1823" s="202"/>
      <c r="C1823" s="233"/>
      <c r="D1823" s="233"/>
      <c r="E1823" s="201"/>
      <c r="F1823" s="206"/>
      <c r="G1823" s="206"/>
      <c r="H1823" s="253"/>
      <c r="I1823" s="201"/>
      <c r="J1823" s="254"/>
      <c r="K1823" s="254"/>
      <c r="L1823" s="206"/>
      <c r="M1823" s="201"/>
      <c r="N1823" s="206"/>
      <c r="O1823" s="255"/>
      <c r="P1823" s="256"/>
      <c r="Q1823" s="256"/>
      <c r="R1823" s="201"/>
      <c r="S1823" s="201"/>
      <c r="T1823" s="201"/>
    </row>
    <row r="1824">
      <c r="A1824" s="252"/>
      <c r="B1824" s="202"/>
      <c r="C1824" s="233"/>
      <c r="D1824" s="233"/>
      <c r="E1824" s="201"/>
      <c r="F1824" s="206"/>
      <c r="G1824" s="206"/>
      <c r="H1824" s="253"/>
      <c r="I1824" s="201"/>
      <c r="J1824" s="254"/>
      <c r="K1824" s="254"/>
      <c r="L1824" s="206"/>
      <c r="M1824" s="201"/>
      <c r="N1824" s="206"/>
      <c r="O1824" s="255"/>
      <c r="P1824" s="256"/>
      <c r="Q1824" s="256"/>
      <c r="R1824" s="201"/>
      <c r="S1824" s="201"/>
      <c r="T1824" s="201"/>
    </row>
    <row r="1825">
      <c r="A1825" s="252"/>
      <c r="B1825" s="202"/>
      <c r="C1825" s="233"/>
      <c r="D1825" s="233"/>
      <c r="E1825" s="201"/>
      <c r="F1825" s="206"/>
      <c r="G1825" s="206"/>
      <c r="H1825" s="253"/>
      <c r="I1825" s="201"/>
      <c r="J1825" s="254"/>
      <c r="K1825" s="254"/>
      <c r="L1825" s="206"/>
      <c r="M1825" s="201"/>
      <c r="N1825" s="206"/>
      <c r="O1825" s="255"/>
      <c r="P1825" s="256"/>
      <c r="Q1825" s="256"/>
      <c r="R1825" s="201"/>
      <c r="S1825" s="201"/>
      <c r="T1825" s="201"/>
    </row>
    <row r="1826">
      <c r="A1826" s="252"/>
      <c r="B1826" s="202"/>
      <c r="C1826" s="233"/>
      <c r="D1826" s="233"/>
      <c r="E1826" s="201"/>
      <c r="F1826" s="206"/>
      <c r="G1826" s="206"/>
      <c r="H1826" s="253"/>
      <c r="I1826" s="201"/>
      <c r="J1826" s="254"/>
      <c r="K1826" s="254"/>
      <c r="L1826" s="206"/>
      <c r="M1826" s="201"/>
      <c r="N1826" s="206"/>
      <c r="O1826" s="255"/>
      <c r="P1826" s="256"/>
      <c r="Q1826" s="256"/>
      <c r="R1826" s="201"/>
      <c r="S1826" s="201"/>
      <c r="T1826" s="201"/>
    </row>
    <row r="1827">
      <c r="A1827" s="252"/>
      <c r="B1827" s="202"/>
      <c r="C1827" s="233"/>
      <c r="D1827" s="233"/>
      <c r="E1827" s="201"/>
      <c r="F1827" s="206"/>
      <c r="G1827" s="206"/>
      <c r="H1827" s="253"/>
      <c r="I1827" s="201"/>
      <c r="J1827" s="254"/>
      <c r="K1827" s="254"/>
      <c r="L1827" s="206"/>
      <c r="M1827" s="201"/>
      <c r="N1827" s="206"/>
      <c r="O1827" s="255"/>
      <c r="P1827" s="256"/>
      <c r="Q1827" s="256"/>
      <c r="R1827" s="201"/>
      <c r="S1827" s="201"/>
      <c r="T1827" s="201"/>
    </row>
    <row r="1828">
      <c r="A1828" s="252"/>
      <c r="B1828" s="202"/>
      <c r="C1828" s="233"/>
      <c r="D1828" s="233"/>
      <c r="E1828" s="201"/>
      <c r="F1828" s="206"/>
      <c r="G1828" s="206"/>
      <c r="H1828" s="253"/>
      <c r="I1828" s="201"/>
      <c r="J1828" s="254"/>
      <c r="K1828" s="254"/>
      <c r="L1828" s="206"/>
      <c r="M1828" s="201"/>
      <c r="N1828" s="206"/>
      <c r="O1828" s="255"/>
      <c r="P1828" s="256"/>
      <c r="Q1828" s="256"/>
      <c r="R1828" s="201"/>
      <c r="S1828" s="201"/>
      <c r="T1828" s="201"/>
    </row>
    <row r="1829">
      <c r="A1829" s="252"/>
      <c r="B1829" s="202"/>
      <c r="C1829" s="233"/>
      <c r="D1829" s="233"/>
      <c r="E1829" s="201"/>
      <c r="F1829" s="206"/>
      <c r="G1829" s="206"/>
      <c r="H1829" s="253"/>
      <c r="I1829" s="201"/>
      <c r="J1829" s="254"/>
      <c r="K1829" s="254"/>
      <c r="L1829" s="206"/>
      <c r="M1829" s="201"/>
      <c r="N1829" s="206"/>
      <c r="O1829" s="255"/>
      <c r="P1829" s="256"/>
      <c r="Q1829" s="256"/>
      <c r="R1829" s="201"/>
      <c r="S1829" s="201"/>
      <c r="T1829" s="201"/>
    </row>
    <row r="1830">
      <c r="A1830" s="252"/>
      <c r="B1830" s="202"/>
      <c r="C1830" s="233"/>
      <c r="D1830" s="233"/>
      <c r="E1830" s="201"/>
      <c r="F1830" s="206"/>
      <c r="G1830" s="206"/>
      <c r="H1830" s="253"/>
      <c r="I1830" s="201"/>
      <c r="J1830" s="254"/>
      <c r="K1830" s="254"/>
      <c r="L1830" s="206"/>
      <c r="M1830" s="201"/>
      <c r="N1830" s="206"/>
      <c r="O1830" s="255"/>
      <c r="P1830" s="256"/>
      <c r="Q1830" s="256"/>
      <c r="R1830" s="201"/>
      <c r="S1830" s="201"/>
      <c r="T1830" s="201"/>
    </row>
    <row r="1831">
      <c r="A1831" s="252"/>
      <c r="B1831" s="202"/>
      <c r="C1831" s="233"/>
      <c r="D1831" s="233"/>
      <c r="E1831" s="201"/>
      <c r="F1831" s="206"/>
      <c r="G1831" s="206"/>
      <c r="H1831" s="253"/>
      <c r="I1831" s="201"/>
      <c r="J1831" s="254"/>
      <c r="K1831" s="254"/>
      <c r="L1831" s="206"/>
      <c r="M1831" s="201"/>
      <c r="N1831" s="206"/>
      <c r="O1831" s="255"/>
      <c r="P1831" s="256"/>
      <c r="Q1831" s="256"/>
      <c r="R1831" s="201"/>
      <c r="S1831" s="201"/>
      <c r="T1831" s="201"/>
    </row>
    <row r="1832">
      <c r="A1832" s="252"/>
      <c r="B1832" s="202"/>
      <c r="C1832" s="233"/>
      <c r="D1832" s="233"/>
      <c r="E1832" s="201"/>
      <c r="F1832" s="206"/>
      <c r="G1832" s="206"/>
      <c r="H1832" s="253"/>
      <c r="I1832" s="201"/>
      <c r="J1832" s="254"/>
      <c r="K1832" s="254"/>
      <c r="L1832" s="206"/>
      <c r="M1832" s="201"/>
      <c r="N1832" s="206"/>
      <c r="O1832" s="255"/>
      <c r="P1832" s="256"/>
      <c r="Q1832" s="256"/>
      <c r="R1832" s="201"/>
      <c r="S1832" s="201"/>
      <c r="T1832" s="201"/>
    </row>
    <row r="1833">
      <c r="A1833" s="252"/>
      <c r="B1833" s="202"/>
      <c r="C1833" s="233"/>
      <c r="D1833" s="233"/>
      <c r="E1833" s="201"/>
      <c r="F1833" s="206"/>
      <c r="G1833" s="206"/>
      <c r="H1833" s="253"/>
      <c r="I1833" s="201"/>
      <c r="J1833" s="254"/>
      <c r="K1833" s="254"/>
      <c r="L1833" s="206"/>
      <c r="M1833" s="201"/>
      <c r="N1833" s="206"/>
      <c r="O1833" s="255"/>
      <c r="P1833" s="256"/>
      <c r="Q1833" s="256"/>
      <c r="R1833" s="201"/>
      <c r="S1833" s="201"/>
      <c r="T1833" s="201"/>
    </row>
    <row r="1834">
      <c r="A1834" s="252"/>
      <c r="B1834" s="202"/>
      <c r="C1834" s="233"/>
      <c r="D1834" s="233"/>
      <c r="E1834" s="201"/>
      <c r="F1834" s="206"/>
      <c r="G1834" s="206"/>
      <c r="H1834" s="253"/>
      <c r="I1834" s="201"/>
      <c r="J1834" s="254"/>
      <c r="K1834" s="254"/>
      <c r="L1834" s="206"/>
      <c r="M1834" s="201"/>
      <c r="N1834" s="206"/>
      <c r="O1834" s="255"/>
      <c r="P1834" s="256"/>
      <c r="Q1834" s="256"/>
      <c r="R1834" s="201"/>
      <c r="S1834" s="201"/>
      <c r="T1834" s="201"/>
    </row>
    <row r="1835">
      <c r="A1835" s="252"/>
      <c r="B1835" s="202"/>
      <c r="C1835" s="233"/>
      <c r="D1835" s="233"/>
      <c r="E1835" s="201"/>
      <c r="F1835" s="206"/>
      <c r="G1835" s="206"/>
      <c r="H1835" s="253"/>
      <c r="I1835" s="201"/>
      <c r="J1835" s="254"/>
      <c r="K1835" s="254"/>
      <c r="L1835" s="206"/>
      <c r="M1835" s="201"/>
      <c r="N1835" s="206"/>
      <c r="O1835" s="255"/>
      <c r="P1835" s="256"/>
      <c r="Q1835" s="256"/>
      <c r="R1835" s="201"/>
      <c r="S1835" s="201"/>
      <c r="T1835" s="201"/>
    </row>
    <row r="1836">
      <c r="A1836" s="252"/>
      <c r="B1836" s="202"/>
      <c r="C1836" s="233"/>
      <c r="D1836" s="233"/>
      <c r="E1836" s="201"/>
      <c r="F1836" s="206"/>
      <c r="G1836" s="206"/>
      <c r="H1836" s="253"/>
      <c r="I1836" s="201"/>
      <c r="J1836" s="254"/>
      <c r="K1836" s="254"/>
      <c r="L1836" s="206"/>
      <c r="M1836" s="201"/>
      <c r="N1836" s="206"/>
      <c r="O1836" s="255"/>
      <c r="P1836" s="256"/>
      <c r="Q1836" s="256"/>
      <c r="R1836" s="201"/>
      <c r="S1836" s="201"/>
      <c r="T1836" s="201"/>
    </row>
    <row r="1837">
      <c r="A1837" s="252"/>
      <c r="B1837" s="202"/>
      <c r="C1837" s="233"/>
      <c r="D1837" s="233"/>
      <c r="E1837" s="201"/>
      <c r="F1837" s="206"/>
      <c r="G1837" s="206"/>
      <c r="H1837" s="253"/>
      <c r="I1837" s="201"/>
      <c r="J1837" s="254"/>
      <c r="K1837" s="254"/>
      <c r="L1837" s="206"/>
      <c r="M1837" s="201"/>
      <c r="N1837" s="206"/>
      <c r="O1837" s="255"/>
      <c r="P1837" s="256"/>
      <c r="Q1837" s="256"/>
      <c r="R1837" s="201"/>
      <c r="S1837" s="201"/>
      <c r="T1837" s="201"/>
    </row>
    <row r="1838">
      <c r="A1838" s="252"/>
      <c r="B1838" s="202"/>
      <c r="C1838" s="233"/>
      <c r="D1838" s="233"/>
      <c r="E1838" s="201"/>
      <c r="F1838" s="206"/>
      <c r="G1838" s="206"/>
      <c r="H1838" s="253"/>
      <c r="I1838" s="201"/>
      <c r="J1838" s="254"/>
      <c r="K1838" s="254"/>
      <c r="L1838" s="206"/>
      <c r="M1838" s="201"/>
      <c r="N1838" s="206"/>
      <c r="O1838" s="255"/>
      <c r="P1838" s="256"/>
      <c r="Q1838" s="256"/>
      <c r="R1838" s="201"/>
      <c r="S1838" s="201"/>
      <c r="T1838" s="201"/>
    </row>
    <row r="1839">
      <c r="A1839" s="252"/>
      <c r="B1839" s="202"/>
      <c r="C1839" s="233"/>
      <c r="D1839" s="233"/>
      <c r="E1839" s="201"/>
      <c r="F1839" s="206"/>
      <c r="G1839" s="206"/>
      <c r="H1839" s="253"/>
      <c r="I1839" s="201"/>
      <c r="J1839" s="254"/>
      <c r="K1839" s="254"/>
      <c r="L1839" s="206"/>
      <c r="M1839" s="201"/>
      <c r="N1839" s="206"/>
      <c r="O1839" s="255"/>
      <c r="P1839" s="256"/>
      <c r="Q1839" s="256"/>
      <c r="R1839" s="201"/>
      <c r="S1839" s="201"/>
      <c r="T1839" s="201"/>
    </row>
    <row r="1840">
      <c r="A1840" s="252"/>
      <c r="B1840" s="202"/>
      <c r="C1840" s="233"/>
      <c r="D1840" s="233"/>
      <c r="E1840" s="201"/>
      <c r="F1840" s="206"/>
      <c r="G1840" s="206"/>
      <c r="H1840" s="253"/>
      <c r="I1840" s="201"/>
      <c r="J1840" s="254"/>
      <c r="K1840" s="254"/>
      <c r="L1840" s="206"/>
      <c r="M1840" s="201"/>
      <c r="N1840" s="206"/>
      <c r="O1840" s="255"/>
      <c r="P1840" s="256"/>
      <c r="Q1840" s="256"/>
      <c r="R1840" s="201"/>
      <c r="S1840" s="201"/>
      <c r="T1840" s="201"/>
    </row>
    <row r="1841">
      <c r="A1841" s="252"/>
      <c r="B1841" s="202"/>
      <c r="C1841" s="233"/>
      <c r="D1841" s="233"/>
      <c r="E1841" s="201"/>
      <c r="F1841" s="206"/>
      <c r="G1841" s="206"/>
      <c r="H1841" s="253"/>
      <c r="I1841" s="201"/>
      <c r="J1841" s="254"/>
      <c r="K1841" s="254"/>
      <c r="L1841" s="206"/>
      <c r="M1841" s="201"/>
      <c r="N1841" s="206"/>
      <c r="O1841" s="255"/>
      <c r="P1841" s="256"/>
      <c r="Q1841" s="256"/>
      <c r="R1841" s="201"/>
      <c r="S1841" s="201"/>
      <c r="T1841" s="201"/>
    </row>
    <row r="1842">
      <c r="A1842" s="252"/>
      <c r="B1842" s="202"/>
      <c r="C1842" s="233"/>
      <c r="D1842" s="233"/>
      <c r="E1842" s="201"/>
      <c r="F1842" s="206"/>
      <c r="G1842" s="206"/>
      <c r="H1842" s="253"/>
      <c r="I1842" s="201"/>
      <c r="J1842" s="254"/>
      <c r="K1842" s="254"/>
      <c r="L1842" s="206"/>
      <c r="M1842" s="201"/>
      <c r="N1842" s="206"/>
      <c r="O1842" s="255"/>
      <c r="P1842" s="256"/>
      <c r="Q1842" s="256"/>
      <c r="R1842" s="201"/>
      <c r="S1842" s="201"/>
      <c r="T1842" s="201"/>
    </row>
    <row r="1843">
      <c r="A1843" s="252"/>
      <c r="B1843" s="202"/>
      <c r="C1843" s="233"/>
      <c r="D1843" s="233"/>
      <c r="E1843" s="201"/>
      <c r="F1843" s="206"/>
      <c r="G1843" s="206"/>
      <c r="H1843" s="253"/>
      <c r="I1843" s="201"/>
      <c r="J1843" s="254"/>
      <c r="K1843" s="254"/>
      <c r="L1843" s="206"/>
      <c r="M1843" s="201"/>
      <c r="N1843" s="206"/>
      <c r="O1843" s="255"/>
      <c r="P1843" s="256"/>
      <c r="Q1843" s="256"/>
      <c r="R1843" s="201"/>
      <c r="S1843" s="201"/>
      <c r="T1843" s="201"/>
    </row>
    <row r="1844">
      <c r="A1844" s="252"/>
      <c r="B1844" s="202"/>
      <c r="C1844" s="233"/>
      <c r="D1844" s="233"/>
      <c r="E1844" s="201"/>
      <c r="F1844" s="206"/>
      <c r="G1844" s="206"/>
      <c r="H1844" s="253"/>
      <c r="I1844" s="201"/>
      <c r="J1844" s="254"/>
      <c r="K1844" s="254"/>
      <c r="L1844" s="206"/>
      <c r="M1844" s="201"/>
      <c r="N1844" s="206"/>
      <c r="O1844" s="255"/>
      <c r="P1844" s="256"/>
      <c r="Q1844" s="256"/>
      <c r="R1844" s="201"/>
      <c r="S1844" s="201"/>
      <c r="T1844" s="201"/>
    </row>
    <row r="1845">
      <c r="A1845" s="252"/>
      <c r="B1845" s="202"/>
      <c r="C1845" s="233"/>
      <c r="D1845" s="233"/>
      <c r="E1845" s="201"/>
      <c r="F1845" s="206"/>
      <c r="G1845" s="206"/>
      <c r="H1845" s="253"/>
      <c r="I1845" s="201"/>
      <c r="J1845" s="254"/>
      <c r="K1845" s="254"/>
      <c r="L1845" s="206"/>
      <c r="M1845" s="201"/>
      <c r="N1845" s="206"/>
      <c r="O1845" s="255"/>
      <c r="P1845" s="256"/>
      <c r="Q1845" s="256"/>
      <c r="R1845" s="201"/>
      <c r="S1845" s="201"/>
      <c r="T1845" s="201"/>
    </row>
    <row r="1846">
      <c r="A1846" s="252"/>
      <c r="B1846" s="202"/>
      <c r="C1846" s="233"/>
      <c r="D1846" s="233"/>
      <c r="E1846" s="201"/>
      <c r="F1846" s="206"/>
      <c r="G1846" s="206"/>
      <c r="H1846" s="253"/>
      <c r="I1846" s="201"/>
      <c r="J1846" s="254"/>
      <c r="K1846" s="254"/>
      <c r="L1846" s="206"/>
      <c r="M1846" s="201"/>
      <c r="N1846" s="206"/>
      <c r="O1846" s="255"/>
      <c r="P1846" s="256"/>
      <c r="Q1846" s="256"/>
      <c r="R1846" s="201"/>
      <c r="S1846" s="201"/>
      <c r="T1846" s="201"/>
    </row>
    <row r="1847">
      <c r="A1847" s="252"/>
      <c r="B1847" s="202"/>
      <c r="C1847" s="233"/>
      <c r="D1847" s="233"/>
      <c r="E1847" s="201"/>
      <c r="F1847" s="206"/>
      <c r="G1847" s="206"/>
      <c r="H1847" s="253"/>
      <c r="I1847" s="201"/>
      <c r="J1847" s="254"/>
      <c r="K1847" s="254"/>
      <c r="L1847" s="206"/>
      <c r="M1847" s="201"/>
      <c r="N1847" s="206"/>
      <c r="O1847" s="255"/>
      <c r="P1847" s="256"/>
      <c r="Q1847" s="256"/>
      <c r="R1847" s="201"/>
      <c r="S1847" s="201"/>
      <c r="T1847" s="201"/>
    </row>
    <row r="1848">
      <c r="A1848" s="252"/>
      <c r="B1848" s="202"/>
      <c r="C1848" s="233"/>
      <c r="D1848" s="233"/>
      <c r="E1848" s="201"/>
      <c r="F1848" s="206"/>
      <c r="G1848" s="206"/>
      <c r="H1848" s="253"/>
      <c r="I1848" s="201"/>
      <c r="J1848" s="254"/>
      <c r="K1848" s="254"/>
      <c r="L1848" s="206"/>
      <c r="M1848" s="201"/>
      <c r="N1848" s="206"/>
      <c r="O1848" s="255"/>
      <c r="P1848" s="256"/>
      <c r="Q1848" s="256"/>
      <c r="R1848" s="201"/>
      <c r="S1848" s="201"/>
      <c r="T1848" s="201"/>
    </row>
    <row r="1849">
      <c r="A1849" s="252"/>
      <c r="B1849" s="202"/>
      <c r="C1849" s="233"/>
      <c r="D1849" s="233"/>
      <c r="E1849" s="201"/>
      <c r="F1849" s="206"/>
      <c r="G1849" s="206"/>
      <c r="H1849" s="253"/>
      <c r="I1849" s="201"/>
      <c r="J1849" s="254"/>
      <c r="K1849" s="254"/>
      <c r="L1849" s="206"/>
      <c r="M1849" s="201"/>
      <c r="N1849" s="206"/>
      <c r="O1849" s="255"/>
      <c r="P1849" s="256"/>
      <c r="Q1849" s="256"/>
      <c r="R1849" s="201"/>
      <c r="S1849" s="201"/>
      <c r="T1849" s="201"/>
    </row>
    <row r="1850">
      <c r="A1850" s="252"/>
      <c r="B1850" s="202"/>
      <c r="C1850" s="233"/>
      <c r="D1850" s="233"/>
      <c r="E1850" s="201"/>
      <c r="F1850" s="206"/>
      <c r="G1850" s="206"/>
      <c r="H1850" s="253"/>
      <c r="I1850" s="201"/>
      <c r="J1850" s="254"/>
      <c r="K1850" s="254"/>
      <c r="L1850" s="206"/>
      <c r="M1850" s="201"/>
      <c r="N1850" s="206"/>
      <c r="O1850" s="255"/>
      <c r="P1850" s="256"/>
      <c r="Q1850" s="256"/>
      <c r="R1850" s="201"/>
      <c r="S1850" s="201"/>
      <c r="T1850" s="201"/>
    </row>
    <row r="1851">
      <c r="A1851" s="252"/>
      <c r="B1851" s="202"/>
      <c r="C1851" s="233"/>
      <c r="D1851" s="233"/>
      <c r="E1851" s="201"/>
      <c r="F1851" s="206"/>
      <c r="G1851" s="206"/>
      <c r="H1851" s="253"/>
      <c r="I1851" s="201"/>
      <c r="J1851" s="254"/>
      <c r="K1851" s="254"/>
      <c r="L1851" s="206"/>
      <c r="M1851" s="201"/>
      <c r="N1851" s="206"/>
      <c r="O1851" s="255"/>
      <c r="P1851" s="256"/>
      <c r="Q1851" s="256"/>
      <c r="R1851" s="201"/>
      <c r="S1851" s="201"/>
      <c r="T1851" s="201"/>
    </row>
    <row r="1852">
      <c r="A1852" s="252"/>
      <c r="B1852" s="202"/>
      <c r="C1852" s="233"/>
      <c r="D1852" s="233"/>
      <c r="E1852" s="201"/>
      <c r="F1852" s="206"/>
      <c r="G1852" s="206"/>
      <c r="H1852" s="253"/>
      <c r="I1852" s="201"/>
      <c r="J1852" s="254"/>
      <c r="K1852" s="254"/>
      <c r="L1852" s="206"/>
      <c r="M1852" s="201"/>
      <c r="N1852" s="206"/>
      <c r="O1852" s="255"/>
      <c r="P1852" s="256"/>
      <c r="Q1852" s="256"/>
      <c r="R1852" s="201"/>
      <c r="S1852" s="201"/>
      <c r="T1852" s="201"/>
    </row>
    <row r="1853">
      <c r="A1853" s="252"/>
      <c r="B1853" s="202"/>
      <c r="C1853" s="233"/>
      <c r="D1853" s="233"/>
      <c r="E1853" s="201"/>
      <c r="F1853" s="206"/>
      <c r="G1853" s="206"/>
      <c r="H1853" s="253"/>
      <c r="I1853" s="201"/>
      <c r="J1853" s="254"/>
      <c r="K1853" s="254"/>
      <c r="L1853" s="206"/>
      <c r="M1853" s="201"/>
      <c r="N1853" s="206"/>
      <c r="O1853" s="255"/>
      <c r="P1853" s="256"/>
      <c r="Q1853" s="256"/>
      <c r="R1853" s="201"/>
      <c r="S1853" s="201"/>
      <c r="T1853" s="201"/>
    </row>
    <row r="1854">
      <c r="A1854" s="252"/>
      <c r="B1854" s="202"/>
      <c r="C1854" s="233"/>
      <c r="D1854" s="233"/>
      <c r="E1854" s="201"/>
      <c r="F1854" s="206"/>
      <c r="G1854" s="206"/>
      <c r="H1854" s="253"/>
      <c r="I1854" s="201"/>
      <c r="J1854" s="254"/>
      <c r="K1854" s="254"/>
      <c r="L1854" s="206"/>
      <c r="M1854" s="201"/>
      <c r="N1854" s="206"/>
      <c r="O1854" s="255"/>
      <c r="P1854" s="256"/>
      <c r="Q1854" s="256"/>
      <c r="R1854" s="201"/>
      <c r="S1854" s="201"/>
      <c r="T1854" s="201"/>
    </row>
    <row r="1855">
      <c r="A1855" s="252"/>
      <c r="B1855" s="202"/>
      <c r="C1855" s="233"/>
      <c r="D1855" s="233"/>
      <c r="E1855" s="201"/>
      <c r="F1855" s="206"/>
      <c r="G1855" s="206"/>
      <c r="H1855" s="253"/>
      <c r="I1855" s="201"/>
      <c r="J1855" s="254"/>
      <c r="K1855" s="254"/>
      <c r="L1855" s="206"/>
      <c r="M1855" s="201"/>
      <c r="N1855" s="206"/>
      <c r="O1855" s="255"/>
      <c r="P1855" s="256"/>
      <c r="Q1855" s="256"/>
      <c r="R1855" s="201"/>
      <c r="S1855" s="201"/>
      <c r="T1855" s="201"/>
    </row>
    <row r="1856">
      <c r="A1856" s="252"/>
      <c r="B1856" s="202"/>
      <c r="C1856" s="233"/>
      <c r="D1856" s="233"/>
      <c r="E1856" s="201"/>
      <c r="F1856" s="206"/>
      <c r="G1856" s="206"/>
      <c r="H1856" s="253"/>
      <c r="I1856" s="201"/>
      <c r="J1856" s="254"/>
      <c r="K1856" s="254"/>
      <c r="L1856" s="206"/>
      <c r="M1856" s="201"/>
      <c r="N1856" s="206"/>
      <c r="O1856" s="255"/>
      <c r="P1856" s="256"/>
      <c r="Q1856" s="256"/>
      <c r="R1856" s="201"/>
      <c r="S1856" s="201"/>
      <c r="T1856" s="201"/>
    </row>
    <row r="1857">
      <c r="A1857" s="252"/>
      <c r="B1857" s="202"/>
      <c r="C1857" s="233"/>
      <c r="D1857" s="233"/>
      <c r="E1857" s="201"/>
      <c r="F1857" s="206"/>
      <c r="G1857" s="206"/>
      <c r="H1857" s="253"/>
      <c r="I1857" s="201"/>
      <c r="J1857" s="254"/>
      <c r="K1857" s="254"/>
      <c r="L1857" s="206"/>
      <c r="M1857" s="201"/>
      <c r="N1857" s="206"/>
      <c r="O1857" s="255"/>
      <c r="P1857" s="256"/>
      <c r="Q1857" s="256"/>
      <c r="R1857" s="201"/>
      <c r="S1857" s="201"/>
      <c r="T1857" s="201"/>
    </row>
    <row r="1858">
      <c r="A1858" s="252"/>
      <c r="B1858" s="202"/>
      <c r="C1858" s="233"/>
      <c r="D1858" s="233"/>
      <c r="E1858" s="201"/>
      <c r="F1858" s="206"/>
      <c r="G1858" s="206"/>
      <c r="H1858" s="253"/>
      <c r="I1858" s="201"/>
      <c r="J1858" s="254"/>
      <c r="K1858" s="254"/>
      <c r="L1858" s="206"/>
      <c r="M1858" s="201"/>
      <c r="N1858" s="206"/>
      <c r="O1858" s="255"/>
      <c r="P1858" s="256"/>
      <c r="Q1858" s="256"/>
      <c r="R1858" s="201"/>
      <c r="S1858" s="201"/>
      <c r="T1858" s="201"/>
    </row>
    <row r="1859">
      <c r="A1859" s="252"/>
      <c r="B1859" s="202"/>
      <c r="C1859" s="233"/>
      <c r="D1859" s="233"/>
      <c r="E1859" s="201"/>
      <c r="F1859" s="206"/>
      <c r="G1859" s="206"/>
      <c r="H1859" s="253"/>
      <c r="I1859" s="201"/>
      <c r="J1859" s="254"/>
      <c r="K1859" s="254"/>
      <c r="L1859" s="206"/>
      <c r="M1859" s="201"/>
      <c r="N1859" s="206"/>
      <c r="O1859" s="255"/>
      <c r="P1859" s="256"/>
      <c r="Q1859" s="256"/>
      <c r="R1859" s="201"/>
      <c r="S1859" s="201"/>
      <c r="T1859" s="201"/>
    </row>
    <row r="1860">
      <c r="A1860" s="252"/>
      <c r="B1860" s="202"/>
      <c r="C1860" s="233"/>
      <c r="D1860" s="233"/>
      <c r="E1860" s="201"/>
      <c r="F1860" s="206"/>
      <c r="G1860" s="206"/>
      <c r="H1860" s="253"/>
      <c r="I1860" s="201"/>
      <c r="J1860" s="254"/>
      <c r="K1860" s="254"/>
      <c r="L1860" s="206"/>
      <c r="M1860" s="201"/>
      <c r="N1860" s="206"/>
      <c r="O1860" s="255"/>
      <c r="P1860" s="256"/>
      <c r="Q1860" s="256"/>
      <c r="R1860" s="201"/>
      <c r="S1860" s="201"/>
      <c r="T1860" s="201"/>
    </row>
    <row r="1861">
      <c r="A1861" s="252"/>
      <c r="B1861" s="202"/>
      <c r="C1861" s="233"/>
      <c r="D1861" s="233"/>
      <c r="E1861" s="201"/>
      <c r="F1861" s="206"/>
      <c r="G1861" s="206"/>
      <c r="H1861" s="253"/>
      <c r="I1861" s="201"/>
      <c r="J1861" s="254"/>
      <c r="K1861" s="254"/>
      <c r="L1861" s="206"/>
      <c r="M1861" s="201"/>
      <c r="N1861" s="206"/>
      <c r="O1861" s="255"/>
      <c r="P1861" s="256"/>
      <c r="Q1861" s="256"/>
      <c r="R1861" s="201"/>
      <c r="S1861" s="201"/>
      <c r="T1861" s="201"/>
    </row>
    <row r="1862">
      <c r="A1862" s="252"/>
      <c r="B1862" s="202"/>
      <c r="C1862" s="233"/>
      <c r="D1862" s="233"/>
      <c r="E1862" s="201"/>
      <c r="F1862" s="206"/>
      <c r="G1862" s="206"/>
      <c r="H1862" s="253"/>
      <c r="I1862" s="201"/>
      <c r="J1862" s="254"/>
      <c r="K1862" s="254"/>
      <c r="L1862" s="206"/>
      <c r="M1862" s="201"/>
      <c r="N1862" s="206"/>
      <c r="O1862" s="255"/>
      <c r="P1862" s="256"/>
      <c r="Q1862" s="256"/>
      <c r="R1862" s="201"/>
      <c r="S1862" s="201"/>
      <c r="T1862" s="201"/>
    </row>
    <row r="1863">
      <c r="A1863" s="252"/>
      <c r="B1863" s="202"/>
      <c r="C1863" s="233"/>
      <c r="D1863" s="233"/>
      <c r="E1863" s="201"/>
      <c r="F1863" s="206"/>
      <c r="G1863" s="206"/>
      <c r="H1863" s="253"/>
      <c r="I1863" s="201"/>
      <c r="J1863" s="254"/>
      <c r="K1863" s="254"/>
      <c r="L1863" s="206"/>
      <c r="M1863" s="201"/>
      <c r="N1863" s="206"/>
      <c r="O1863" s="255"/>
      <c r="P1863" s="256"/>
      <c r="Q1863" s="256"/>
      <c r="R1863" s="201"/>
      <c r="S1863" s="201"/>
      <c r="T1863" s="201"/>
    </row>
    <row r="1864">
      <c r="A1864" s="252"/>
      <c r="B1864" s="202"/>
      <c r="C1864" s="233"/>
      <c r="D1864" s="233"/>
      <c r="E1864" s="201"/>
      <c r="F1864" s="206"/>
      <c r="G1864" s="206"/>
      <c r="H1864" s="253"/>
      <c r="I1864" s="201"/>
      <c r="J1864" s="254"/>
      <c r="K1864" s="254"/>
      <c r="L1864" s="206"/>
      <c r="M1864" s="201"/>
      <c r="N1864" s="206"/>
      <c r="O1864" s="255"/>
      <c r="P1864" s="256"/>
      <c r="Q1864" s="256"/>
      <c r="R1864" s="201"/>
      <c r="S1864" s="201"/>
      <c r="T1864" s="201"/>
    </row>
    <row r="1865">
      <c r="A1865" s="252"/>
      <c r="B1865" s="202"/>
      <c r="C1865" s="233"/>
      <c r="D1865" s="233"/>
      <c r="E1865" s="201"/>
      <c r="F1865" s="206"/>
      <c r="G1865" s="206"/>
      <c r="H1865" s="253"/>
      <c r="I1865" s="201"/>
      <c r="J1865" s="254"/>
      <c r="K1865" s="254"/>
      <c r="L1865" s="206"/>
      <c r="M1865" s="201"/>
      <c r="N1865" s="206"/>
      <c r="O1865" s="255"/>
      <c r="P1865" s="256"/>
      <c r="Q1865" s="256"/>
      <c r="R1865" s="201"/>
      <c r="S1865" s="201"/>
      <c r="T1865" s="201"/>
    </row>
    <row r="1866">
      <c r="A1866" s="252"/>
      <c r="B1866" s="202"/>
      <c r="C1866" s="233"/>
      <c r="D1866" s="233"/>
      <c r="E1866" s="201"/>
      <c r="F1866" s="206"/>
      <c r="G1866" s="206"/>
      <c r="H1866" s="253"/>
      <c r="I1866" s="201"/>
      <c r="J1866" s="254"/>
      <c r="K1866" s="254"/>
      <c r="L1866" s="206"/>
      <c r="M1866" s="201"/>
      <c r="N1866" s="206"/>
      <c r="O1866" s="255"/>
      <c r="P1866" s="256"/>
      <c r="Q1866" s="256"/>
      <c r="R1866" s="201"/>
      <c r="S1866" s="201"/>
      <c r="T1866" s="201"/>
    </row>
    <row r="1867">
      <c r="A1867" s="252"/>
      <c r="B1867" s="202"/>
      <c r="C1867" s="233"/>
      <c r="D1867" s="233"/>
      <c r="E1867" s="201"/>
      <c r="F1867" s="206"/>
      <c r="G1867" s="206"/>
      <c r="H1867" s="253"/>
      <c r="I1867" s="201"/>
      <c r="J1867" s="254"/>
      <c r="K1867" s="254"/>
      <c r="L1867" s="206"/>
      <c r="M1867" s="201"/>
      <c r="N1867" s="206"/>
      <c r="O1867" s="255"/>
      <c r="P1867" s="256"/>
      <c r="Q1867" s="256"/>
      <c r="R1867" s="201"/>
      <c r="S1867" s="201"/>
      <c r="T1867" s="201"/>
    </row>
    <row r="1868">
      <c r="A1868" s="252"/>
      <c r="B1868" s="202"/>
      <c r="C1868" s="233"/>
      <c r="D1868" s="233"/>
      <c r="E1868" s="201"/>
      <c r="F1868" s="206"/>
      <c r="G1868" s="206"/>
      <c r="H1868" s="253"/>
      <c r="I1868" s="201"/>
      <c r="J1868" s="254"/>
      <c r="K1868" s="254"/>
      <c r="L1868" s="206"/>
      <c r="M1868" s="201"/>
      <c r="N1868" s="206"/>
      <c r="O1868" s="255"/>
      <c r="P1868" s="256"/>
      <c r="Q1868" s="256"/>
      <c r="R1868" s="201"/>
      <c r="S1868" s="201"/>
      <c r="T1868" s="201"/>
    </row>
    <row r="1869">
      <c r="A1869" s="252"/>
      <c r="B1869" s="202"/>
      <c r="C1869" s="233"/>
      <c r="D1869" s="233"/>
      <c r="E1869" s="201"/>
      <c r="F1869" s="206"/>
      <c r="G1869" s="206"/>
      <c r="H1869" s="253"/>
      <c r="I1869" s="201"/>
      <c r="J1869" s="254"/>
      <c r="K1869" s="254"/>
      <c r="L1869" s="206"/>
      <c r="M1869" s="201"/>
      <c r="N1869" s="206"/>
      <c r="O1869" s="255"/>
      <c r="P1869" s="256"/>
      <c r="Q1869" s="256"/>
      <c r="R1869" s="201"/>
      <c r="S1869" s="201"/>
      <c r="T1869" s="201"/>
    </row>
    <row r="1870">
      <c r="A1870" s="252"/>
      <c r="B1870" s="202"/>
      <c r="C1870" s="233"/>
      <c r="D1870" s="233"/>
      <c r="E1870" s="201"/>
      <c r="F1870" s="206"/>
      <c r="G1870" s="206"/>
      <c r="H1870" s="253"/>
      <c r="I1870" s="201"/>
      <c r="J1870" s="254"/>
      <c r="K1870" s="254"/>
      <c r="L1870" s="206"/>
      <c r="M1870" s="201"/>
      <c r="N1870" s="206"/>
      <c r="O1870" s="255"/>
      <c r="P1870" s="256"/>
      <c r="Q1870" s="256"/>
      <c r="R1870" s="201"/>
      <c r="S1870" s="201"/>
      <c r="T1870" s="201"/>
    </row>
    <row r="1871">
      <c r="A1871" s="252"/>
      <c r="B1871" s="202"/>
      <c r="C1871" s="233"/>
      <c r="D1871" s="233"/>
      <c r="E1871" s="201"/>
      <c r="F1871" s="206"/>
      <c r="G1871" s="206"/>
      <c r="H1871" s="253"/>
      <c r="I1871" s="201"/>
      <c r="J1871" s="254"/>
      <c r="K1871" s="254"/>
      <c r="L1871" s="206"/>
      <c r="M1871" s="201"/>
      <c r="N1871" s="206"/>
      <c r="O1871" s="255"/>
      <c r="P1871" s="256"/>
      <c r="Q1871" s="256"/>
      <c r="R1871" s="201"/>
      <c r="S1871" s="201"/>
      <c r="T1871" s="201"/>
    </row>
    <row r="1872">
      <c r="A1872" s="252"/>
      <c r="B1872" s="202"/>
      <c r="C1872" s="233"/>
      <c r="D1872" s="233"/>
      <c r="E1872" s="201"/>
      <c r="F1872" s="206"/>
      <c r="G1872" s="206"/>
      <c r="H1872" s="253"/>
      <c r="I1872" s="201"/>
      <c r="J1872" s="254"/>
      <c r="K1872" s="254"/>
      <c r="L1872" s="206"/>
      <c r="M1872" s="201"/>
      <c r="N1872" s="206"/>
      <c r="O1872" s="255"/>
      <c r="P1872" s="256"/>
      <c r="Q1872" s="256"/>
      <c r="R1872" s="201"/>
      <c r="S1872" s="201"/>
      <c r="T1872" s="201"/>
    </row>
    <row r="1873">
      <c r="A1873" s="252"/>
      <c r="B1873" s="202"/>
      <c r="C1873" s="233"/>
      <c r="D1873" s="233"/>
      <c r="E1873" s="201"/>
      <c r="F1873" s="206"/>
      <c r="G1873" s="206"/>
      <c r="H1873" s="253"/>
      <c r="I1873" s="201"/>
      <c r="J1873" s="254"/>
      <c r="K1873" s="254"/>
      <c r="L1873" s="206"/>
      <c r="M1873" s="201"/>
      <c r="N1873" s="206"/>
      <c r="O1873" s="255"/>
      <c r="P1873" s="256"/>
      <c r="Q1873" s="256"/>
      <c r="R1873" s="201"/>
      <c r="S1873" s="201"/>
      <c r="T1873" s="201"/>
    </row>
    <row r="1874">
      <c r="A1874" s="252"/>
      <c r="B1874" s="202"/>
      <c r="C1874" s="233"/>
      <c r="D1874" s="233"/>
      <c r="E1874" s="201"/>
      <c r="F1874" s="206"/>
      <c r="G1874" s="206"/>
      <c r="H1874" s="253"/>
      <c r="I1874" s="201"/>
      <c r="J1874" s="254"/>
      <c r="K1874" s="254"/>
      <c r="L1874" s="206"/>
      <c r="M1874" s="201"/>
      <c r="N1874" s="206"/>
      <c r="O1874" s="255"/>
      <c r="P1874" s="256"/>
      <c r="Q1874" s="256"/>
      <c r="R1874" s="201"/>
      <c r="S1874" s="201"/>
      <c r="T1874" s="201"/>
    </row>
    <row r="1875">
      <c r="A1875" s="252"/>
      <c r="B1875" s="202"/>
      <c r="C1875" s="233"/>
      <c r="D1875" s="233"/>
      <c r="E1875" s="201"/>
      <c r="F1875" s="206"/>
      <c r="G1875" s="206"/>
      <c r="H1875" s="253"/>
      <c r="I1875" s="201"/>
      <c r="J1875" s="254"/>
      <c r="K1875" s="254"/>
      <c r="L1875" s="206"/>
      <c r="M1875" s="201"/>
      <c r="N1875" s="206"/>
      <c r="O1875" s="255"/>
      <c r="P1875" s="256"/>
      <c r="Q1875" s="256"/>
      <c r="R1875" s="201"/>
      <c r="S1875" s="201"/>
      <c r="T1875" s="201"/>
    </row>
    <row r="1876">
      <c r="A1876" s="252"/>
      <c r="B1876" s="202"/>
      <c r="C1876" s="233"/>
      <c r="D1876" s="233"/>
      <c r="E1876" s="201"/>
      <c r="F1876" s="206"/>
      <c r="G1876" s="206"/>
      <c r="H1876" s="253"/>
      <c r="I1876" s="201"/>
      <c r="J1876" s="254"/>
      <c r="K1876" s="254"/>
      <c r="L1876" s="206"/>
      <c r="M1876" s="201"/>
      <c r="N1876" s="206"/>
      <c r="O1876" s="255"/>
      <c r="P1876" s="256"/>
      <c r="Q1876" s="256"/>
      <c r="R1876" s="201"/>
      <c r="S1876" s="201"/>
      <c r="T1876" s="201"/>
    </row>
    <row r="1877">
      <c r="A1877" s="252"/>
      <c r="B1877" s="202"/>
      <c r="C1877" s="233"/>
      <c r="D1877" s="233"/>
      <c r="E1877" s="201"/>
      <c r="F1877" s="206"/>
      <c r="G1877" s="206"/>
      <c r="H1877" s="253"/>
      <c r="I1877" s="201"/>
      <c r="J1877" s="254"/>
      <c r="K1877" s="254"/>
      <c r="L1877" s="206"/>
      <c r="M1877" s="201"/>
      <c r="N1877" s="206"/>
      <c r="O1877" s="255"/>
      <c r="P1877" s="256"/>
      <c r="Q1877" s="256"/>
      <c r="R1877" s="201"/>
      <c r="S1877" s="201"/>
      <c r="T1877" s="201"/>
    </row>
    <row r="1878">
      <c r="A1878" s="252"/>
      <c r="B1878" s="202"/>
      <c r="C1878" s="233"/>
      <c r="D1878" s="233"/>
      <c r="E1878" s="201"/>
      <c r="F1878" s="206"/>
      <c r="G1878" s="206"/>
      <c r="H1878" s="253"/>
      <c r="I1878" s="201"/>
      <c r="J1878" s="254"/>
      <c r="K1878" s="254"/>
      <c r="L1878" s="206"/>
      <c r="M1878" s="201"/>
      <c r="N1878" s="206"/>
      <c r="O1878" s="255"/>
      <c r="P1878" s="256"/>
      <c r="Q1878" s="256"/>
      <c r="R1878" s="201"/>
      <c r="S1878" s="201"/>
      <c r="T1878" s="201"/>
    </row>
    <row r="1879">
      <c r="A1879" s="252"/>
      <c r="B1879" s="202"/>
      <c r="C1879" s="233"/>
      <c r="D1879" s="233"/>
      <c r="E1879" s="201"/>
      <c r="F1879" s="206"/>
      <c r="G1879" s="206"/>
      <c r="H1879" s="253"/>
      <c r="I1879" s="201"/>
      <c r="J1879" s="254"/>
      <c r="K1879" s="254"/>
      <c r="L1879" s="206"/>
      <c r="M1879" s="201"/>
      <c r="N1879" s="206"/>
      <c r="O1879" s="255"/>
      <c r="P1879" s="256"/>
      <c r="Q1879" s="256"/>
      <c r="R1879" s="201"/>
      <c r="S1879" s="201"/>
      <c r="T1879" s="201"/>
    </row>
    <row r="1880">
      <c r="A1880" s="252"/>
      <c r="B1880" s="202"/>
      <c r="C1880" s="233"/>
      <c r="D1880" s="233"/>
      <c r="E1880" s="201"/>
      <c r="F1880" s="206"/>
      <c r="G1880" s="206"/>
      <c r="H1880" s="253"/>
      <c r="I1880" s="201"/>
      <c r="J1880" s="254"/>
      <c r="K1880" s="254"/>
      <c r="L1880" s="206"/>
      <c r="M1880" s="201"/>
      <c r="N1880" s="206"/>
      <c r="O1880" s="255"/>
      <c r="P1880" s="256"/>
      <c r="Q1880" s="256"/>
      <c r="R1880" s="201"/>
      <c r="S1880" s="201"/>
      <c r="T1880" s="201"/>
    </row>
    <row r="1881">
      <c r="A1881" s="252"/>
      <c r="B1881" s="202"/>
      <c r="C1881" s="233"/>
      <c r="D1881" s="233"/>
      <c r="E1881" s="201"/>
      <c r="F1881" s="206"/>
      <c r="G1881" s="206"/>
      <c r="H1881" s="253"/>
      <c r="I1881" s="201"/>
      <c r="J1881" s="254"/>
      <c r="K1881" s="254"/>
      <c r="L1881" s="206"/>
      <c r="M1881" s="201"/>
      <c r="N1881" s="206"/>
      <c r="O1881" s="255"/>
      <c r="P1881" s="256"/>
      <c r="Q1881" s="256"/>
      <c r="R1881" s="201"/>
      <c r="S1881" s="201"/>
      <c r="T1881" s="201"/>
    </row>
    <row r="1882">
      <c r="A1882" s="252"/>
      <c r="B1882" s="202"/>
      <c r="C1882" s="233"/>
      <c r="D1882" s="233"/>
      <c r="E1882" s="201"/>
      <c r="F1882" s="206"/>
      <c r="G1882" s="206"/>
      <c r="H1882" s="253"/>
      <c r="I1882" s="201"/>
      <c r="J1882" s="254"/>
      <c r="K1882" s="254"/>
      <c r="L1882" s="206"/>
      <c r="M1882" s="201"/>
      <c r="N1882" s="206"/>
      <c r="O1882" s="255"/>
      <c r="P1882" s="256"/>
      <c r="Q1882" s="256"/>
      <c r="R1882" s="201"/>
      <c r="S1882" s="201"/>
      <c r="T1882" s="201"/>
    </row>
    <row r="1883">
      <c r="A1883" s="252"/>
      <c r="B1883" s="202"/>
      <c r="C1883" s="233"/>
      <c r="D1883" s="233"/>
      <c r="E1883" s="201"/>
      <c r="F1883" s="206"/>
      <c r="G1883" s="206"/>
      <c r="H1883" s="253"/>
      <c r="I1883" s="201"/>
      <c r="J1883" s="254"/>
      <c r="K1883" s="254"/>
      <c r="L1883" s="206"/>
      <c r="M1883" s="201"/>
      <c r="N1883" s="206"/>
      <c r="O1883" s="255"/>
      <c r="P1883" s="256"/>
      <c r="Q1883" s="256"/>
      <c r="R1883" s="201"/>
      <c r="S1883" s="201"/>
      <c r="T1883" s="201"/>
    </row>
    <row r="1884">
      <c r="A1884" s="252"/>
      <c r="B1884" s="202"/>
      <c r="C1884" s="233"/>
      <c r="D1884" s="233"/>
      <c r="E1884" s="201"/>
      <c r="F1884" s="206"/>
      <c r="G1884" s="206"/>
      <c r="H1884" s="253"/>
      <c r="I1884" s="201"/>
      <c r="J1884" s="254"/>
      <c r="K1884" s="254"/>
      <c r="L1884" s="206"/>
      <c r="M1884" s="201"/>
      <c r="N1884" s="206"/>
      <c r="O1884" s="255"/>
      <c r="P1884" s="256"/>
      <c r="Q1884" s="256"/>
      <c r="R1884" s="201"/>
      <c r="S1884" s="201"/>
      <c r="T1884" s="201"/>
    </row>
    <row r="1885">
      <c r="A1885" s="252"/>
      <c r="B1885" s="202"/>
      <c r="C1885" s="233"/>
      <c r="D1885" s="233"/>
      <c r="E1885" s="201"/>
      <c r="F1885" s="206"/>
      <c r="G1885" s="206"/>
      <c r="H1885" s="253"/>
      <c r="I1885" s="201"/>
      <c r="J1885" s="254"/>
      <c r="K1885" s="254"/>
      <c r="L1885" s="206"/>
      <c r="M1885" s="201"/>
      <c r="N1885" s="206"/>
      <c r="O1885" s="255"/>
      <c r="P1885" s="256"/>
      <c r="Q1885" s="256"/>
      <c r="R1885" s="201"/>
      <c r="S1885" s="201"/>
      <c r="T1885" s="201"/>
    </row>
    <row r="1886">
      <c r="A1886" s="252"/>
      <c r="B1886" s="202"/>
      <c r="C1886" s="233"/>
      <c r="D1886" s="233"/>
      <c r="E1886" s="201"/>
      <c r="F1886" s="206"/>
      <c r="G1886" s="206"/>
      <c r="H1886" s="253"/>
      <c r="I1886" s="201"/>
      <c r="J1886" s="254"/>
      <c r="K1886" s="254"/>
      <c r="L1886" s="206"/>
      <c r="M1886" s="201"/>
      <c r="N1886" s="206"/>
      <c r="O1886" s="255"/>
      <c r="P1886" s="256"/>
      <c r="Q1886" s="256"/>
      <c r="R1886" s="201"/>
      <c r="S1886" s="201"/>
      <c r="T1886" s="201"/>
    </row>
    <row r="1887">
      <c r="A1887" s="252"/>
      <c r="B1887" s="202"/>
      <c r="C1887" s="233"/>
      <c r="D1887" s="233"/>
      <c r="E1887" s="201"/>
      <c r="F1887" s="206"/>
      <c r="G1887" s="206"/>
      <c r="H1887" s="253"/>
      <c r="I1887" s="201"/>
      <c r="J1887" s="254"/>
      <c r="K1887" s="254"/>
      <c r="L1887" s="206"/>
      <c r="M1887" s="201"/>
      <c r="N1887" s="206"/>
      <c r="O1887" s="255"/>
      <c r="P1887" s="256"/>
      <c r="Q1887" s="256"/>
      <c r="R1887" s="201"/>
      <c r="S1887" s="201"/>
      <c r="T1887" s="201"/>
    </row>
    <row r="1888">
      <c r="A1888" s="252"/>
      <c r="B1888" s="202"/>
      <c r="C1888" s="233"/>
      <c r="D1888" s="233"/>
      <c r="E1888" s="201"/>
      <c r="F1888" s="206"/>
      <c r="G1888" s="206"/>
      <c r="H1888" s="253"/>
      <c r="I1888" s="201"/>
      <c r="J1888" s="254"/>
      <c r="K1888" s="254"/>
      <c r="L1888" s="206"/>
      <c r="M1888" s="201"/>
      <c r="N1888" s="206"/>
      <c r="O1888" s="255"/>
      <c r="P1888" s="256"/>
      <c r="Q1888" s="256"/>
      <c r="R1888" s="201"/>
      <c r="S1888" s="201"/>
      <c r="T1888" s="201"/>
    </row>
    <row r="1889">
      <c r="A1889" s="252"/>
      <c r="B1889" s="202"/>
      <c r="C1889" s="233"/>
      <c r="D1889" s="233"/>
      <c r="E1889" s="201"/>
      <c r="F1889" s="206"/>
      <c r="G1889" s="206"/>
      <c r="H1889" s="253"/>
      <c r="I1889" s="201"/>
      <c r="J1889" s="254"/>
      <c r="K1889" s="254"/>
      <c r="L1889" s="206"/>
      <c r="M1889" s="201"/>
      <c r="N1889" s="206"/>
      <c r="O1889" s="255"/>
      <c r="P1889" s="256"/>
      <c r="Q1889" s="256"/>
      <c r="R1889" s="201"/>
      <c r="S1889" s="201"/>
      <c r="T1889" s="201"/>
    </row>
    <row r="1890">
      <c r="A1890" s="252"/>
      <c r="B1890" s="202"/>
      <c r="C1890" s="233"/>
      <c r="D1890" s="233"/>
      <c r="E1890" s="201"/>
      <c r="F1890" s="206"/>
      <c r="G1890" s="206"/>
      <c r="H1890" s="253"/>
      <c r="I1890" s="201"/>
      <c r="J1890" s="254"/>
      <c r="K1890" s="254"/>
      <c r="L1890" s="206"/>
      <c r="M1890" s="201"/>
      <c r="N1890" s="206"/>
      <c r="O1890" s="255"/>
      <c r="P1890" s="256"/>
      <c r="Q1890" s="256"/>
      <c r="R1890" s="201"/>
      <c r="S1890" s="201"/>
      <c r="T1890" s="201"/>
    </row>
    <row r="1891">
      <c r="A1891" s="252"/>
      <c r="B1891" s="202"/>
      <c r="C1891" s="233"/>
      <c r="D1891" s="233"/>
      <c r="E1891" s="201"/>
      <c r="F1891" s="206"/>
      <c r="G1891" s="206"/>
      <c r="H1891" s="253"/>
      <c r="I1891" s="201"/>
      <c r="J1891" s="254"/>
      <c r="K1891" s="254"/>
      <c r="L1891" s="206"/>
      <c r="M1891" s="201"/>
      <c r="N1891" s="206"/>
      <c r="O1891" s="255"/>
      <c r="P1891" s="256"/>
      <c r="Q1891" s="256"/>
      <c r="R1891" s="201"/>
      <c r="S1891" s="201"/>
      <c r="T1891" s="201"/>
    </row>
    <row r="1892">
      <c r="A1892" s="252"/>
      <c r="B1892" s="202"/>
      <c r="C1892" s="233"/>
      <c r="D1892" s="233"/>
      <c r="E1892" s="201"/>
      <c r="F1892" s="206"/>
      <c r="G1892" s="206"/>
      <c r="H1892" s="253"/>
      <c r="I1892" s="201"/>
      <c r="J1892" s="254"/>
      <c r="K1892" s="254"/>
      <c r="L1892" s="206"/>
      <c r="M1892" s="201"/>
      <c r="N1892" s="206"/>
      <c r="O1892" s="255"/>
      <c r="P1892" s="256"/>
      <c r="Q1892" s="256"/>
      <c r="R1892" s="201"/>
      <c r="S1892" s="201"/>
      <c r="T1892" s="201"/>
    </row>
    <row r="1893">
      <c r="A1893" s="252"/>
      <c r="B1893" s="202"/>
      <c r="C1893" s="233"/>
      <c r="D1893" s="233"/>
      <c r="E1893" s="201"/>
      <c r="F1893" s="206"/>
      <c r="G1893" s="206"/>
      <c r="H1893" s="253"/>
      <c r="I1893" s="201"/>
      <c r="J1893" s="254"/>
      <c r="K1893" s="254"/>
      <c r="L1893" s="206"/>
      <c r="M1893" s="201"/>
      <c r="N1893" s="206"/>
      <c r="O1893" s="255"/>
      <c r="P1893" s="256"/>
      <c r="Q1893" s="256"/>
      <c r="R1893" s="201"/>
      <c r="S1893" s="201"/>
      <c r="T1893" s="201"/>
    </row>
    <row r="1894">
      <c r="A1894" s="252"/>
      <c r="B1894" s="202"/>
      <c r="C1894" s="233"/>
      <c r="D1894" s="233"/>
      <c r="E1894" s="201"/>
      <c r="F1894" s="206"/>
      <c r="G1894" s="206"/>
      <c r="H1894" s="253"/>
      <c r="I1894" s="201"/>
      <c r="J1894" s="254"/>
      <c r="K1894" s="254"/>
      <c r="L1894" s="206"/>
      <c r="M1894" s="201"/>
      <c r="N1894" s="206"/>
      <c r="O1894" s="255"/>
      <c r="P1894" s="256"/>
      <c r="Q1894" s="256"/>
      <c r="R1894" s="201"/>
      <c r="S1894" s="201"/>
      <c r="T1894" s="201"/>
    </row>
    <row r="1895">
      <c r="A1895" s="252"/>
      <c r="B1895" s="202"/>
      <c r="C1895" s="233"/>
      <c r="D1895" s="233"/>
      <c r="E1895" s="201"/>
      <c r="F1895" s="206"/>
      <c r="G1895" s="206"/>
      <c r="H1895" s="253"/>
      <c r="I1895" s="201"/>
      <c r="J1895" s="254"/>
      <c r="K1895" s="254"/>
      <c r="L1895" s="206"/>
      <c r="M1895" s="201"/>
      <c r="N1895" s="206"/>
      <c r="O1895" s="255"/>
      <c r="P1895" s="256"/>
      <c r="Q1895" s="256"/>
      <c r="R1895" s="201"/>
      <c r="S1895" s="201"/>
      <c r="T1895" s="201"/>
    </row>
    <row r="1896">
      <c r="A1896" s="252"/>
      <c r="B1896" s="202"/>
      <c r="C1896" s="233"/>
      <c r="D1896" s="233"/>
      <c r="E1896" s="201"/>
      <c r="F1896" s="206"/>
      <c r="G1896" s="206"/>
      <c r="H1896" s="253"/>
      <c r="I1896" s="201"/>
      <c r="J1896" s="254"/>
      <c r="K1896" s="254"/>
      <c r="L1896" s="206"/>
      <c r="M1896" s="201"/>
      <c r="N1896" s="206"/>
      <c r="O1896" s="255"/>
      <c r="P1896" s="256"/>
      <c r="Q1896" s="256"/>
      <c r="R1896" s="201"/>
      <c r="S1896" s="201"/>
      <c r="T1896" s="201"/>
    </row>
    <row r="1897">
      <c r="A1897" s="252"/>
      <c r="B1897" s="202"/>
      <c r="C1897" s="233"/>
      <c r="D1897" s="233"/>
      <c r="E1897" s="201"/>
      <c r="F1897" s="206"/>
      <c r="G1897" s="206"/>
      <c r="H1897" s="253"/>
      <c r="I1897" s="201"/>
      <c r="J1897" s="254"/>
      <c r="K1897" s="254"/>
      <c r="L1897" s="206"/>
      <c r="M1897" s="201"/>
      <c r="N1897" s="206"/>
      <c r="O1897" s="255"/>
      <c r="P1897" s="256"/>
      <c r="Q1897" s="256"/>
      <c r="R1897" s="201"/>
      <c r="S1897" s="201"/>
      <c r="T1897" s="201"/>
    </row>
    <row r="1898">
      <c r="A1898" s="252"/>
      <c r="B1898" s="202"/>
      <c r="C1898" s="233"/>
      <c r="D1898" s="233"/>
      <c r="E1898" s="201"/>
      <c r="F1898" s="206"/>
      <c r="G1898" s="206"/>
      <c r="H1898" s="253"/>
      <c r="I1898" s="201"/>
      <c r="J1898" s="254"/>
      <c r="K1898" s="254"/>
      <c r="L1898" s="206"/>
      <c r="M1898" s="201"/>
      <c r="N1898" s="206"/>
      <c r="O1898" s="255"/>
      <c r="P1898" s="256"/>
      <c r="Q1898" s="256"/>
      <c r="R1898" s="201"/>
      <c r="S1898" s="201"/>
      <c r="T1898" s="201"/>
    </row>
    <row r="1899">
      <c r="A1899" s="252"/>
      <c r="B1899" s="202"/>
      <c r="C1899" s="233"/>
      <c r="D1899" s="233"/>
      <c r="E1899" s="201"/>
      <c r="F1899" s="206"/>
      <c r="G1899" s="206"/>
      <c r="H1899" s="253"/>
      <c r="I1899" s="201"/>
      <c r="J1899" s="254"/>
      <c r="K1899" s="254"/>
      <c r="L1899" s="206"/>
      <c r="M1899" s="201"/>
      <c r="N1899" s="206"/>
      <c r="O1899" s="255"/>
      <c r="P1899" s="256"/>
      <c r="Q1899" s="256"/>
      <c r="R1899" s="201"/>
      <c r="S1899" s="201"/>
      <c r="T1899" s="201"/>
    </row>
    <row r="1900">
      <c r="A1900" s="252"/>
      <c r="B1900" s="202"/>
      <c r="C1900" s="233"/>
      <c r="D1900" s="233"/>
      <c r="E1900" s="201"/>
      <c r="F1900" s="206"/>
      <c r="G1900" s="206"/>
      <c r="H1900" s="253"/>
      <c r="I1900" s="201"/>
      <c r="J1900" s="254"/>
      <c r="K1900" s="254"/>
      <c r="L1900" s="206"/>
      <c r="M1900" s="201"/>
      <c r="N1900" s="206"/>
      <c r="O1900" s="255"/>
      <c r="P1900" s="256"/>
      <c r="Q1900" s="256"/>
      <c r="R1900" s="201"/>
      <c r="S1900" s="201"/>
      <c r="T1900" s="201"/>
    </row>
    <row r="1901">
      <c r="A1901" s="252"/>
      <c r="B1901" s="202"/>
      <c r="C1901" s="233"/>
      <c r="D1901" s="233"/>
      <c r="E1901" s="201"/>
      <c r="F1901" s="206"/>
      <c r="G1901" s="206"/>
      <c r="H1901" s="253"/>
      <c r="I1901" s="201"/>
      <c r="J1901" s="254"/>
      <c r="K1901" s="254"/>
      <c r="L1901" s="206"/>
      <c r="M1901" s="201"/>
      <c r="N1901" s="206"/>
      <c r="O1901" s="255"/>
      <c r="P1901" s="256"/>
      <c r="Q1901" s="256"/>
      <c r="R1901" s="201"/>
      <c r="S1901" s="201"/>
      <c r="T1901" s="201"/>
    </row>
    <row r="1902">
      <c r="A1902" s="252"/>
      <c r="B1902" s="202"/>
      <c r="C1902" s="233"/>
      <c r="D1902" s="233"/>
      <c r="E1902" s="201"/>
      <c r="F1902" s="206"/>
      <c r="G1902" s="206"/>
      <c r="H1902" s="253"/>
      <c r="I1902" s="201"/>
      <c r="J1902" s="254"/>
      <c r="K1902" s="254"/>
      <c r="L1902" s="206"/>
      <c r="M1902" s="201"/>
      <c r="N1902" s="206"/>
      <c r="O1902" s="255"/>
      <c r="P1902" s="256"/>
      <c r="Q1902" s="256"/>
      <c r="R1902" s="201"/>
      <c r="S1902" s="201"/>
      <c r="T1902" s="201"/>
    </row>
    <row r="1903">
      <c r="A1903" s="252"/>
      <c r="B1903" s="202"/>
      <c r="C1903" s="233"/>
      <c r="D1903" s="233"/>
      <c r="E1903" s="201"/>
      <c r="F1903" s="206"/>
      <c r="G1903" s="206"/>
      <c r="H1903" s="253"/>
      <c r="I1903" s="201"/>
      <c r="J1903" s="254"/>
      <c r="K1903" s="254"/>
      <c r="L1903" s="206"/>
      <c r="M1903" s="201"/>
      <c r="N1903" s="206"/>
      <c r="O1903" s="255"/>
      <c r="P1903" s="256"/>
      <c r="Q1903" s="256"/>
      <c r="R1903" s="201"/>
      <c r="S1903" s="201"/>
      <c r="T1903" s="201"/>
    </row>
    <row r="1904">
      <c r="A1904" s="252"/>
      <c r="B1904" s="202"/>
      <c r="C1904" s="233"/>
      <c r="D1904" s="233"/>
      <c r="E1904" s="201"/>
      <c r="F1904" s="206"/>
      <c r="G1904" s="206"/>
      <c r="H1904" s="253"/>
      <c r="I1904" s="201"/>
      <c r="J1904" s="254"/>
      <c r="K1904" s="254"/>
      <c r="L1904" s="206"/>
      <c r="M1904" s="201"/>
      <c r="N1904" s="206"/>
      <c r="O1904" s="255"/>
      <c r="P1904" s="256"/>
      <c r="Q1904" s="256"/>
      <c r="R1904" s="201"/>
      <c r="S1904" s="201"/>
      <c r="T1904" s="201"/>
    </row>
    <row r="1905">
      <c r="A1905" s="252"/>
      <c r="B1905" s="202"/>
      <c r="C1905" s="233"/>
      <c r="D1905" s="233"/>
      <c r="E1905" s="201"/>
      <c r="F1905" s="206"/>
      <c r="G1905" s="206"/>
      <c r="H1905" s="253"/>
      <c r="I1905" s="201"/>
      <c r="J1905" s="254"/>
      <c r="K1905" s="254"/>
      <c r="L1905" s="206"/>
      <c r="M1905" s="201"/>
      <c r="N1905" s="206"/>
      <c r="O1905" s="255"/>
      <c r="P1905" s="256"/>
      <c r="Q1905" s="256"/>
      <c r="R1905" s="201"/>
      <c r="S1905" s="201"/>
      <c r="T1905" s="201"/>
    </row>
    <row r="1906">
      <c r="A1906" s="252"/>
      <c r="B1906" s="202"/>
      <c r="C1906" s="233"/>
      <c r="D1906" s="233"/>
      <c r="E1906" s="201"/>
      <c r="F1906" s="206"/>
      <c r="G1906" s="206"/>
      <c r="H1906" s="253"/>
      <c r="I1906" s="201"/>
      <c r="J1906" s="254"/>
      <c r="K1906" s="254"/>
      <c r="L1906" s="206"/>
      <c r="M1906" s="201"/>
      <c r="N1906" s="206"/>
      <c r="O1906" s="255"/>
      <c r="P1906" s="256"/>
      <c r="Q1906" s="256"/>
      <c r="R1906" s="201"/>
      <c r="S1906" s="201"/>
      <c r="T1906" s="201"/>
    </row>
    <row r="1907">
      <c r="A1907" s="252"/>
      <c r="B1907" s="202"/>
      <c r="C1907" s="233"/>
      <c r="D1907" s="233"/>
      <c r="E1907" s="201"/>
      <c r="F1907" s="206"/>
      <c r="G1907" s="206"/>
      <c r="H1907" s="253"/>
      <c r="I1907" s="201"/>
      <c r="J1907" s="254"/>
      <c r="K1907" s="254"/>
      <c r="L1907" s="206"/>
      <c r="M1907" s="201"/>
      <c r="N1907" s="206"/>
      <c r="O1907" s="255"/>
      <c r="P1907" s="256"/>
      <c r="Q1907" s="256"/>
      <c r="R1907" s="201"/>
      <c r="S1907" s="201"/>
      <c r="T1907" s="201"/>
    </row>
    <row r="1908">
      <c r="A1908" s="252"/>
      <c r="B1908" s="202"/>
      <c r="C1908" s="233"/>
      <c r="D1908" s="233"/>
      <c r="E1908" s="201"/>
      <c r="F1908" s="206"/>
      <c r="G1908" s="206"/>
      <c r="H1908" s="253"/>
      <c r="I1908" s="201"/>
      <c r="J1908" s="254"/>
      <c r="K1908" s="254"/>
      <c r="L1908" s="206"/>
      <c r="M1908" s="201"/>
      <c r="N1908" s="206"/>
      <c r="O1908" s="255"/>
      <c r="P1908" s="256"/>
      <c r="Q1908" s="256"/>
      <c r="R1908" s="201"/>
      <c r="S1908" s="201"/>
      <c r="T1908" s="201"/>
    </row>
    <row r="1909">
      <c r="A1909" s="252"/>
      <c r="B1909" s="202"/>
      <c r="C1909" s="233"/>
      <c r="D1909" s="233"/>
      <c r="E1909" s="201"/>
      <c r="F1909" s="206"/>
      <c r="G1909" s="206"/>
      <c r="H1909" s="253"/>
      <c r="I1909" s="201"/>
      <c r="J1909" s="254"/>
      <c r="K1909" s="254"/>
      <c r="L1909" s="206"/>
      <c r="M1909" s="201"/>
      <c r="N1909" s="206"/>
      <c r="O1909" s="255"/>
      <c r="P1909" s="256"/>
      <c r="Q1909" s="256"/>
      <c r="R1909" s="201"/>
      <c r="S1909" s="201"/>
      <c r="T1909" s="201"/>
    </row>
    <row r="1910">
      <c r="A1910" s="252"/>
      <c r="B1910" s="202"/>
      <c r="C1910" s="233"/>
      <c r="D1910" s="233"/>
      <c r="E1910" s="201"/>
      <c r="F1910" s="206"/>
      <c r="G1910" s="206"/>
      <c r="H1910" s="253"/>
      <c r="I1910" s="201"/>
      <c r="J1910" s="254"/>
      <c r="K1910" s="254"/>
      <c r="L1910" s="206"/>
      <c r="M1910" s="201"/>
      <c r="N1910" s="206"/>
      <c r="O1910" s="255"/>
      <c r="P1910" s="256"/>
      <c r="Q1910" s="256"/>
      <c r="R1910" s="201"/>
      <c r="S1910" s="201"/>
      <c r="T1910" s="201"/>
    </row>
    <row r="1911">
      <c r="A1911" s="252"/>
      <c r="B1911" s="202"/>
      <c r="C1911" s="233"/>
      <c r="D1911" s="233"/>
      <c r="E1911" s="201"/>
      <c r="F1911" s="206"/>
      <c r="G1911" s="206"/>
      <c r="H1911" s="253"/>
      <c r="I1911" s="201"/>
      <c r="J1911" s="254"/>
      <c r="K1911" s="254"/>
      <c r="L1911" s="206"/>
      <c r="M1911" s="201"/>
      <c r="N1911" s="206"/>
      <c r="O1911" s="255"/>
      <c r="P1911" s="256"/>
      <c r="Q1911" s="256"/>
      <c r="R1911" s="201"/>
      <c r="S1911" s="201"/>
      <c r="T1911" s="201"/>
    </row>
    <row r="1912">
      <c r="A1912" s="252"/>
      <c r="B1912" s="202"/>
      <c r="C1912" s="233"/>
      <c r="D1912" s="233"/>
      <c r="E1912" s="201"/>
      <c r="F1912" s="206"/>
      <c r="G1912" s="206"/>
      <c r="H1912" s="253"/>
      <c r="I1912" s="201"/>
      <c r="J1912" s="254"/>
      <c r="K1912" s="254"/>
      <c r="L1912" s="206"/>
      <c r="M1912" s="201"/>
      <c r="N1912" s="206"/>
      <c r="O1912" s="255"/>
      <c r="P1912" s="256"/>
      <c r="Q1912" s="256"/>
      <c r="R1912" s="201"/>
      <c r="S1912" s="201"/>
      <c r="T1912" s="201"/>
    </row>
    <row r="1913">
      <c r="A1913" s="252"/>
      <c r="B1913" s="202"/>
      <c r="C1913" s="233"/>
      <c r="D1913" s="233"/>
      <c r="E1913" s="201"/>
      <c r="F1913" s="206"/>
      <c r="G1913" s="206"/>
      <c r="H1913" s="253"/>
      <c r="I1913" s="201"/>
      <c r="J1913" s="254"/>
      <c r="K1913" s="254"/>
      <c r="L1913" s="206"/>
      <c r="M1913" s="201"/>
      <c r="N1913" s="206"/>
      <c r="O1913" s="255"/>
      <c r="P1913" s="256"/>
      <c r="Q1913" s="256"/>
      <c r="R1913" s="201"/>
      <c r="S1913" s="201"/>
      <c r="T1913" s="201"/>
    </row>
    <row r="1914">
      <c r="A1914" s="252"/>
      <c r="B1914" s="202"/>
      <c r="C1914" s="233"/>
      <c r="D1914" s="233"/>
      <c r="E1914" s="201"/>
      <c r="F1914" s="206"/>
      <c r="G1914" s="206"/>
      <c r="H1914" s="253"/>
      <c r="I1914" s="201"/>
      <c r="J1914" s="254"/>
      <c r="K1914" s="254"/>
      <c r="L1914" s="206"/>
      <c r="M1914" s="201"/>
      <c r="N1914" s="206"/>
      <c r="O1914" s="255"/>
      <c r="P1914" s="256"/>
      <c r="Q1914" s="256"/>
      <c r="R1914" s="201"/>
      <c r="S1914" s="201"/>
      <c r="T1914" s="201"/>
    </row>
    <row r="1915">
      <c r="A1915" s="252"/>
      <c r="B1915" s="202"/>
      <c r="C1915" s="233"/>
      <c r="D1915" s="233"/>
      <c r="E1915" s="201"/>
      <c r="F1915" s="206"/>
      <c r="G1915" s="206"/>
      <c r="H1915" s="253"/>
      <c r="I1915" s="201"/>
      <c r="J1915" s="254"/>
      <c r="K1915" s="254"/>
      <c r="L1915" s="206"/>
      <c r="M1915" s="201"/>
      <c r="N1915" s="206"/>
      <c r="O1915" s="255"/>
      <c r="P1915" s="256"/>
      <c r="Q1915" s="256"/>
      <c r="R1915" s="201"/>
      <c r="S1915" s="201"/>
      <c r="T1915" s="201"/>
    </row>
    <row r="1916">
      <c r="A1916" s="252"/>
      <c r="B1916" s="202"/>
      <c r="C1916" s="233"/>
      <c r="D1916" s="233"/>
      <c r="E1916" s="201"/>
      <c r="F1916" s="206"/>
      <c r="G1916" s="206"/>
      <c r="H1916" s="253"/>
      <c r="I1916" s="201"/>
      <c r="J1916" s="254"/>
      <c r="K1916" s="254"/>
      <c r="L1916" s="206"/>
      <c r="M1916" s="201"/>
      <c r="N1916" s="206"/>
      <c r="O1916" s="255"/>
      <c r="P1916" s="256"/>
      <c r="Q1916" s="256"/>
      <c r="R1916" s="201"/>
      <c r="S1916" s="201"/>
      <c r="T1916" s="201"/>
    </row>
    <row r="1917">
      <c r="A1917" s="252"/>
      <c r="B1917" s="202"/>
      <c r="C1917" s="233"/>
      <c r="D1917" s="233"/>
      <c r="E1917" s="201"/>
      <c r="F1917" s="206"/>
      <c r="G1917" s="206"/>
      <c r="H1917" s="253"/>
      <c r="I1917" s="201"/>
      <c r="J1917" s="254"/>
      <c r="K1917" s="254"/>
      <c r="L1917" s="206"/>
      <c r="M1917" s="201"/>
      <c r="N1917" s="206"/>
      <c r="O1917" s="255"/>
      <c r="P1917" s="256"/>
      <c r="Q1917" s="256"/>
      <c r="R1917" s="201"/>
      <c r="S1917" s="201"/>
      <c r="T1917" s="201"/>
    </row>
    <row r="1918">
      <c r="A1918" s="252"/>
      <c r="B1918" s="202"/>
      <c r="C1918" s="233"/>
      <c r="D1918" s="233"/>
      <c r="E1918" s="201"/>
      <c r="F1918" s="206"/>
      <c r="G1918" s="206"/>
      <c r="H1918" s="253"/>
      <c r="I1918" s="201"/>
      <c r="J1918" s="254"/>
      <c r="K1918" s="254"/>
      <c r="L1918" s="206"/>
      <c r="M1918" s="201"/>
      <c r="N1918" s="206"/>
      <c r="O1918" s="255"/>
      <c r="P1918" s="256"/>
      <c r="Q1918" s="256"/>
      <c r="R1918" s="201"/>
      <c r="S1918" s="201"/>
      <c r="T1918" s="201"/>
    </row>
    <row r="1919">
      <c r="A1919" s="252"/>
      <c r="B1919" s="202"/>
      <c r="C1919" s="233"/>
      <c r="D1919" s="233"/>
      <c r="E1919" s="201"/>
      <c r="F1919" s="206"/>
      <c r="G1919" s="206"/>
      <c r="H1919" s="253"/>
      <c r="I1919" s="201"/>
      <c r="J1919" s="254"/>
      <c r="K1919" s="254"/>
      <c r="L1919" s="206"/>
      <c r="M1919" s="201"/>
      <c r="N1919" s="206"/>
      <c r="O1919" s="255"/>
      <c r="P1919" s="256"/>
      <c r="Q1919" s="256"/>
      <c r="R1919" s="201"/>
      <c r="S1919" s="201"/>
      <c r="T1919" s="201"/>
    </row>
    <row r="1920">
      <c r="A1920" s="252"/>
      <c r="B1920" s="202"/>
      <c r="C1920" s="233"/>
      <c r="D1920" s="233"/>
      <c r="E1920" s="201"/>
      <c r="F1920" s="206"/>
      <c r="G1920" s="206"/>
      <c r="H1920" s="253"/>
      <c r="I1920" s="201"/>
      <c r="J1920" s="254"/>
      <c r="K1920" s="254"/>
      <c r="L1920" s="206"/>
      <c r="M1920" s="201"/>
      <c r="N1920" s="206"/>
      <c r="O1920" s="255"/>
      <c r="P1920" s="256"/>
      <c r="Q1920" s="256"/>
      <c r="R1920" s="201"/>
      <c r="S1920" s="201"/>
      <c r="T1920" s="201"/>
    </row>
    <row r="1921">
      <c r="A1921" s="252"/>
      <c r="B1921" s="202"/>
      <c r="C1921" s="233"/>
      <c r="D1921" s="233"/>
      <c r="E1921" s="201"/>
      <c r="F1921" s="206"/>
      <c r="G1921" s="206"/>
      <c r="H1921" s="253"/>
      <c r="I1921" s="201"/>
      <c r="J1921" s="254"/>
      <c r="K1921" s="254"/>
      <c r="L1921" s="206"/>
      <c r="M1921" s="201"/>
      <c r="N1921" s="206"/>
      <c r="O1921" s="255"/>
      <c r="P1921" s="256"/>
      <c r="Q1921" s="256"/>
      <c r="R1921" s="201"/>
      <c r="S1921" s="201"/>
      <c r="T1921" s="201"/>
    </row>
    <row r="1922">
      <c r="A1922" s="252"/>
      <c r="B1922" s="202"/>
      <c r="C1922" s="233"/>
      <c r="D1922" s="233"/>
      <c r="E1922" s="201"/>
      <c r="F1922" s="206"/>
      <c r="G1922" s="206"/>
      <c r="H1922" s="253"/>
      <c r="I1922" s="201"/>
      <c r="J1922" s="254"/>
      <c r="K1922" s="254"/>
      <c r="L1922" s="206"/>
      <c r="M1922" s="201"/>
      <c r="N1922" s="206"/>
      <c r="O1922" s="255"/>
      <c r="P1922" s="256"/>
      <c r="Q1922" s="256"/>
      <c r="R1922" s="201"/>
      <c r="S1922" s="201"/>
      <c r="T1922" s="201"/>
    </row>
    <row r="1923">
      <c r="A1923" s="252"/>
      <c r="B1923" s="202"/>
      <c r="C1923" s="233"/>
      <c r="D1923" s="233"/>
      <c r="E1923" s="201"/>
      <c r="F1923" s="206"/>
      <c r="G1923" s="206"/>
      <c r="H1923" s="253"/>
      <c r="I1923" s="201"/>
      <c r="J1923" s="254"/>
      <c r="K1923" s="254"/>
      <c r="L1923" s="206"/>
      <c r="M1923" s="201"/>
      <c r="N1923" s="206"/>
      <c r="O1923" s="255"/>
      <c r="P1923" s="256"/>
      <c r="Q1923" s="256"/>
      <c r="R1923" s="201"/>
      <c r="S1923" s="201"/>
      <c r="T1923" s="201"/>
    </row>
    <row r="1924">
      <c r="A1924" s="252"/>
      <c r="B1924" s="202"/>
      <c r="C1924" s="233"/>
      <c r="D1924" s="233"/>
      <c r="E1924" s="201"/>
      <c r="F1924" s="206"/>
      <c r="G1924" s="206"/>
      <c r="H1924" s="253"/>
      <c r="I1924" s="201"/>
      <c r="J1924" s="254"/>
      <c r="K1924" s="254"/>
      <c r="L1924" s="206"/>
      <c r="M1924" s="201"/>
      <c r="N1924" s="206"/>
      <c r="O1924" s="255"/>
      <c r="P1924" s="256"/>
      <c r="Q1924" s="256"/>
      <c r="R1924" s="201"/>
      <c r="S1924" s="201"/>
      <c r="T1924" s="201"/>
    </row>
    <row r="1925">
      <c r="A1925" s="252"/>
      <c r="B1925" s="202"/>
      <c r="C1925" s="233"/>
      <c r="D1925" s="233"/>
      <c r="E1925" s="201"/>
      <c r="F1925" s="206"/>
      <c r="G1925" s="206"/>
      <c r="H1925" s="253"/>
      <c r="I1925" s="201"/>
      <c r="J1925" s="254"/>
      <c r="K1925" s="254"/>
      <c r="L1925" s="206"/>
      <c r="M1925" s="201"/>
      <c r="N1925" s="206"/>
      <c r="O1925" s="255"/>
      <c r="P1925" s="256"/>
      <c r="Q1925" s="256"/>
      <c r="R1925" s="201"/>
      <c r="S1925" s="201"/>
      <c r="T1925" s="201"/>
    </row>
    <row r="1926">
      <c r="A1926" s="252"/>
      <c r="B1926" s="202"/>
      <c r="C1926" s="233"/>
      <c r="D1926" s="233"/>
      <c r="E1926" s="201"/>
      <c r="F1926" s="206"/>
      <c r="G1926" s="206"/>
      <c r="H1926" s="253"/>
      <c r="I1926" s="201"/>
      <c r="J1926" s="254"/>
      <c r="K1926" s="254"/>
      <c r="L1926" s="206"/>
      <c r="M1926" s="201"/>
      <c r="N1926" s="206"/>
      <c r="O1926" s="255"/>
      <c r="P1926" s="256"/>
      <c r="Q1926" s="256"/>
      <c r="R1926" s="201"/>
      <c r="S1926" s="201"/>
      <c r="T1926" s="201"/>
    </row>
    <row r="1927">
      <c r="A1927" s="252"/>
      <c r="B1927" s="202"/>
      <c r="C1927" s="233"/>
      <c r="D1927" s="233"/>
      <c r="E1927" s="201"/>
      <c r="F1927" s="206"/>
      <c r="G1927" s="206"/>
      <c r="H1927" s="253"/>
      <c r="I1927" s="201"/>
      <c r="J1927" s="254"/>
      <c r="K1927" s="254"/>
      <c r="L1927" s="206"/>
      <c r="M1927" s="201"/>
      <c r="N1927" s="206"/>
      <c r="O1927" s="255"/>
      <c r="P1927" s="256"/>
      <c r="Q1927" s="256"/>
      <c r="R1927" s="201"/>
      <c r="S1927" s="201"/>
      <c r="T1927" s="201"/>
    </row>
    <row r="1928">
      <c r="A1928" s="252"/>
      <c r="B1928" s="202"/>
      <c r="C1928" s="233"/>
      <c r="D1928" s="233"/>
      <c r="E1928" s="201"/>
      <c r="F1928" s="206"/>
      <c r="G1928" s="206"/>
      <c r="H1928" s="253"/>
      <c r="I1928" s="201"/>
      <c r="J1928" s="254"/>
      <c r="K1928" s="254"/>
      <c r="L1928" s="206"/>
      <c r="M1928" s="201"/>
      <c r="N1928" s="206"/>
      <c r="O1928" s="255"/>
      <c r="P1928" s="256"/>
      <c r="Q1928" s="256"/>
      <c r="R1928" s="201"/>
      <c r="S1928" s="201"/>
      <c r="T1928" s="201"/>
    </row>
    <row r="1929">
      <c r="A1929" s="252"/>
      <c r="B1929" s="202"/>
      <c r="C1929" s="233"/>
      <c r="D1929" s="233"/>
      <c r="E1929" s="201"/>
      <c r="F1929" s="206"/>
      <c r="G1929" s="206"/>
      <c r="H1929" s="253"/>
      <c r="I1929" s="201"/>
      <c r="J1929" s="254"/>
      <c r="K1929" s="254"/>
      <c r="L1929" s="206"/>
      <c r="M1929" s="201"/>
      <c r="N1929" s="206"/>
      <c r="O1929" s="255"/>
      <c r="P1929" s="256"/>
      <c r="Q1929" s="256"/>
      <c r="R1929" s="201"/>
      <c r="S1929" s="201"/>
      <c r="T1929" s="201"/>
    </row>
    <row r="1930">
      <c r="A1930" s="252"/>
      <c r="B1930" s="202"/>
      <c r="C1930" s="233"/>
      <c r="D1930" s="233"/>
      <c r="E1930" s="201"/>
      <c r="F1930" s="206"/>
      <c r="G1930" s="206"/>
      <c r="H1930" s="253"/>
      <c r="I1930" s="201"/>
      <c r="J1930" s="254"/>
      <c r="K1930" s="254"/>
      <c r="L1930" s="206"/>
      <c r="M1930" s="201"/>
      <c r="N1930" s="206"/>
      <c r="O1930" s="255"/>
      <c r="P1930" s="256"/>
      <c r="Q1930" s="256"/>
      <c r="R1930" s="201"/>
      <c r="S1930" s="201"/>
      <c r="T1930" s="201"/>
    </row>
    <row r="1931">
      <c r="A1931" s="252"/>
      <c r="B1931" s="202"/>
      <c r="C1931" s="233"/>
      <c r="D1931" s="233"/>
      <c r="E1931" s="201"/>
      <c r="F1931" s="206"/>
      <c r="G1931" s="206"/>
      <c r="H1931" s="253"/>
      <c r="I1931" s="201"/>
      <c r="J1931" s="254"/>
      <c r="K1931" s="254"/>
      <c r="L1931" s="206"/>
      <c r="M1931" s="201"/>
      <c r="N1931" s="206"/>
      <c r="O1931" s="255"/>
      <c r="P1931" s="256"/>
      <c r="Q1931" s="256"/>
      <c r="R1931" s="201"/>
      <c r="S1931" s="201"/>
      <c r="T1931" s="201"/>
    </row>
    <row r="1932">
      <c r="A1932" s="252"/>
      <c r="B1932" s="202"/>
      <c r="C1932" s="233"/>
      <c r="D1932" s="233"/>
      <c r="E1932" s="201"/>
      <c r="F1932" s="206"/>
      <c r="G1932" s="206"/>
      <c r="H1932" s="253"/>
      <c r="I1932" s="201"/>
      <c r="J1932" s="254"/>
      <c r="K1932" s="254"/>
      <c r="L1932" s="206"/>
      <c r="M1932" s="201"/>
      <c r="N1932" s="206"/>
      <c r="O1932" s="255"/>
      <c r="P1932" s="256"/>
      <c r="Q1932" s="256"/>
      <c r="R1932" s="201"/>
      <c r="S1932" s="201"/>
      <c r="T1932" s="201"/>
    </row>
    <row r="1933">
      <c r="A1933" s="252"/>
      <c r="B1933" s="202"/>
      <c r="C1933" s="233"/>
      <c r="D1933" s="233"/>
      <c r="E1933" s="201"/>
      <c r="F1933" s="206"/>
      <c r="G1933" s="206"/>
      <c r="H1933" s="253"/>
      <c r="I1933" s="201"/>
      <c r="J1933" s="254"/>
      <c r="K1933" s="254"/>
      <c r="L1933" s="206"/>
      <c r="M1933" s="201"/>
      <c r="N1933" s="206"/>
      <c r="O1933" s="255"/>
      <c r="P1933" s="256"/>
      <c r="Q1933" s="256"/>
      <c r="R1933" s="201"/>
      <c r="S1933" s="201"/>
      <c r="T1933" s="201"/>
    </row>
    <row r="1934">
      <c r="A1934" s="252"/>
      <c r="B1934" s="202"/>
      <c r="C1934" s="233"/>
      <c r="D1934" s="233"/>
      <c r="E1934" s="201"/>
      <c r="F1934" s="206"/>
      <c r="G1934" s="206"/>
      <c r="H1934" s="253"/>
      <c r="I1934" s="201"/>
      <c r="J1934" s="254"/>
      <c r="K1934" s="254"/>
      <c r="L1934" s="206"/>
      <c r="M1934" s="201"/>
      <c r="N1934" s="206"/>
      <c r="O1934" s="255"/>
      <c r="P1934" s="256"/>
      <c r="Q1934" s="256"/>
      <c r="R1934" s="201"/>
      <c r="S1934" s="201"/>
      <c r="T1934" s="201"/>
    </row>
    <row r="1935">
      <c r="A1935" s="252"/>
      <c r="B1935" s="202"/>
      <c r="C1935" s="233"/>
      <c r="D1935" s="233"/>
      <c r="E1935" s="201"/>
      <c r="F1935" s="206"/>
      <c r="G1935" s="206"/>
      <c r="H1935" s="253"/>
      <c r="I1935" s="201"/>
      <c r="J1935" s="254"/>
      <c r="K1935" s="254"/>
      <c r="L1935" s="206"/>
      <c r="M1935" s="201"/>
      <c r="N1935" s="206"/>
      <c r="O1935" s="255"/>
      <c r="P1935" s="256"/>
      <c r="Q1935" s="256"/>
      <c r="R1935" s="201"/>
      <c r="S1935" s="201"/>
      <c r="T1935" s="201"/>
    </row>
    <row r="1936">
      <c r="A1936" s="252"/>
      <c r="B1936" s="202"/>
      <c r="C1936" s="233"/>
      <c r="D1936" s="233"/>
      <c r="E1936" s="201"/>
      <c r="F1936" s="206"/>
      <c r="G1936" s="206"/>
      <c r="H1936" s="253"/>
      <c r="I1936" s="201"/>
      <c r="J1936" s="254"/>
      <c r="K1936" s="254"/>
      <c r="L1936" s="206"/>
      <c r="M1936" s="201"/>
      <c r="N1936" s="206"/>
      <c r="O1936" s="255"/>
      <c r="P1936" s="256"/>
      <c r="Q1936" s="256"/>
      <c r="R1936" s="201"/>
      <c r="S1936" s="201"/>
      <c r="T1936" s="201"/>
    </row>
    <row r="1937">
      <c r="A1937" s="252"/>
      <c r="B1937" s="202"/>
      <c r="C1937" s="233"/>
      <c r="D1937" s="233"/>
      <c r="E1937" s="201"/>
      <c r="F1937" s="206"/>
      <c r="G1937" s="206"/>
      <c r="H1937" s="253"/>
      <c r="I1937" s="201"/>
      <c r="J1937" s="254"/>
      <c r="K1937" s="254"/>
      <c r="L1937" s="206"/>
      <c r="M1937" s="201"/>
      <c r="N1937" s="206"/>
      <c r="O1937" s="255"/>
      <c r="P1937" s="256"/>
      <c r="Q1937" s="256"/>
      <c r="R1937" s="201"/>
      <c r="S1937" s="201"/>
      <c r="T1937" s="201"/>
    </row>
    <row r="1938">
      <c r="A1938" s="252"/>
      <c r="B1938" s="202"/>
      <c r="C1938" s="233"/>
      <c r="D1938" s="233"/>
      <c r="E1938" s="201"/>
      <c r="F1938" s="206"/>
      <c r="G1938" s="206"/>
      <c r="H1938" s="253"/>
      <c r="I1938" s="201"/>
      <c r="J1938" s="254"/>
      <c r="K1938" s="254"/>
      <c r="L1938" s="206"/>
      <c r="M1938" s="201"/>
      <c r="N1938" s="206"/>
      <c r="O1938" s="255"/>
      <c r="P1938" s="256"/>
      <c r="Q1938" s="256"/>
      <c r="R1938" s="201"/>
      <c r="S1938" s="201"/>
      <c r="T1938" s="201"/>
    </row>
    <row r="1939">
      <c r="A1939" s="252"/>
      <c r="B1939" s="202"/>
      <c r="C1939" s="233"/>
      <c r="D1939" s="233"/>
      <c r="E1939" s="201"/>
      <c r="F1939" s="206"/>
      <c r="G1939" s="206"/>
      <c r="H1939" s="253"/>
      <c r="I1939" s="201"/>
      <c r="J1939" s="254"/>
      <c r="K1939" s="254"/>
      <c r="L1939" s="206"/>
      <c r="M1939" s="201"/>
      <c r="N1939" s="206"/>
      <c r="O1939" s="255"/>
      <c r="P1939" s="256"/>
      <c r="Q1939" s="256"/>
      <c r="R1939" s="201"/>
      <c r="S1939" s="201"/>
      <c r="T1939" s="201"/>
    </row>
    <row r="1940">
      <c r="A1940" s="252"/>
      <c r="B1940" s="202"/>
      <c r="C1940" s="233"/>
      <c r="D1940" s="233"/>
      <c r="E1940" s="201"/>
      <c r="F1940" s="206"/>
      <c r="G1940" s="206"/>
      <c r="H1940" s="253"/>
      <c r="I1940" s="201"/>
      <c r="J1940" s="254"/>
      <c r="K1940" s="254"/>
      <c r="L1940" s="206"/>
      <c r="M1940" s="201"/>
      <c r="N1940" s="206"/>
      <c r="O1940" s="255"/>
      <c r="P1940" s="256"/>
      <c r="Q1940" s="256"/>
      <c r="R1940" s="201"/>
      <c r="S1940" s="201"/>
      <c r="T1940" s="201"/>
    </row>
    <row r="1941">
      <c r="A1941" s="252"/>
      <c r="B1941" s="202"/>
      <c r="C1941" s="233"/>
      <c r="D1941" s="233"/>
      <c r="E1941" s="201"/>
      <c r="F1941" s="206"/>
      <c r="G1941" s="206"/>
      <c r="H1941" s="253"/>
      <c r="I1941" s="201"/>
      <c r="J1941" s="254"/>
      <c r="K1941" s="254"/>
      <c r="L1941" s="206"/>
      <c r="M1941" s="201"/>
      <c r="N1941" s="206"/>
      <c r="O1941" s="255"/>
      <c r="P1941" s="256"/>
      <c r="Q1941" s="256"/>
      <c r="R1941" s="201"/>
      <c r="S1941" s="201"/>
      <c r="T1941" s="201"/>
    </row>
    <row r="1942">
      <c r="A1942" s="252"/>
      <c r="B1942" s="202"/>
      <c r="C1942" s="233"/>
      <c r="D1942" s="233"/>
      <c r="E1942" s="201"/>
      <c r="F1942" s="206"/>
      <c r="G1942" s="206"/>
      <c r="H1942" s="253"/>
      <c r="I1942" s="201"/>
      <c r="J1942" s="254"/>
      <c r="K1942" s="254"/>
      <c r="L1942" s="206"/>
      <c r="M1942" s="201"/>
      <c r="N1942" s="206"/>
      <c r="O1942" s="255"/>
      <c r="P1942" s="256"/>
      <c r="Q1942" s="256"/>
      <c r="R1942" s="201"/>
      <c r="S1942" s="201"/>
      <c r="T1942" s="201"/>
    </row>
    <row r="1943">
      <c r="A1943" s="252"/>
      <c r="B1943" s="202"/>
      <c r="C1943" s="233"/>
      <c r="D1943" s="233"/>
      <c r="E1943" s="201"/>
      <c r="F1943" s="206"/>
      <c r="G1943" s="206"/>
      <c r="H1943" s="253"/>
      <c r="I1943" s="201"/>
      <c r="J1943" s="254"/>
      <c r="K1943" s="254"/>
      <c r="L1943" s="206"/>
      <c r="M1943" s="201"/>
      <c r="N1943" s="206"/>
      <c r="O1943" s="255"/>
      <c r="P1943" s="256"/>
      <c r="Q1943" s="256"/>
      <c r="R1943" s="201"/>
      <c r="S1943" s="201"/>
      <c r="T1943" s="201"/>
    </row>
    <row r="1944">
      <c r="A1944" s="252"/>
      <c r="B1944" s="202"/>
      <c r="C1944" s="233"/>
      <c r="D1944" s="233"/>
      <c r="E1944" s="201"/>
      <c r="F1944" s="206"/>
      <c r="G1944" s="206"/>
      <c r="H1944" s="253"/>
      <c r="I1944" s="201"/>
      <c r="J1944" s="254"/>
      <c r="K1944" s="254"/>
      <c r="L1944" s="206"/>
      <c r="M1944" s="201"/>
      <c r="N1944" s="206"/>
      <c r="O1944" s="255"/>
      <c r="P1944" s="256"/>
      <c r="Q1944" s="256"/>
      <c r="R1944" s="201"/>
      <c r="S1944" s="201"/>
      <c r="T1944" s="201"/>
    </row>
    <row r="1945">
      <c r="A1945" s="252"/>
      <c r="B1945" s="202"/>
      <c r="C1945" s="233"/>
      <c r="D1945" s="233"/>
      <c r="E1945" s="201"/>
      <c r="F1945" s="206"/>
      <c r="G1945" s="206"/>
      <c r="H1945" s="253"/>
      <c r="I1945" s="201"/>
      <c r="J1945" s="254"/>
      <c r="K1945" s="254"/>
      <c r="L1945" s="206"/>
      <c r="M1945" s="201"/>
      <c r="N1945" s="206"/>
      <c r="O1945" s="255"/>
      <c r="P1945" s="256"/>
      <c r="Q1945" s="256"/>
      <c r="R1945" s="201"/>
      <c r="S1945" s="201"/>
      <c r="T1945" s="201"/>
    </row>
    <row r="1946">
      <c r="A1946" s="252"/>
      <c r="B1946" s="202"/>
      <c r="C1946" s="233"/>
      <c r="D1946" s="233"/>
      <c r="E1946" s="201"/>
      <c r="F1946" s="206"/>
      <c r="G1946" s="206"/>
      <c r="H1946" s="253"/>
      <c r="I1946" s="201"/>
      <c r="J1946" s="254"/>
      <c r="K1946" s="254"/>
      <c r="L1946" s="206"/>
      <c r="M1946" s="201"/>
      <c r="N1946" s="206"/>
      <c r="O1946" s="255"/>
      <c r="P1946" s="256"/>
      <c r="Q1946" s="256"/>
      <c r="R1946" s="201"/>
      <c r="S1946" s="201"/>
      <c r="T1946" s="201"/>
    </row>
    <row r="1947">
      <c r="A1947" s="252"/>
      <c r="B1947" s="202"/>
      <c r="C1947" s="233"/>
      <c r="D1947" s="233"/>
      <c r="E1947" s="201"/>
      <c r="F1947" s="206"/>
      <c r="G1947" s="206"/>
      <c r="H1947" s="253"/>
      <c r="I1947" s="201"/>
      <c r="J1947" s="254"/>
      <c r="K1947" s="254"/>
      <c r="L1947" s="206"/>
      <c r="M1947" s="201"/>
      <c r="N1947" s="206"/>
      <c r="O1947" s="255"/>
      <c r="P1947" s="256"/>
      <c r="Q1947" s="256"/>
      <c r="R1947" s="201"/>
      <c r="S1947" s="201"/>
      <c r="T1947" s="201"/>
    </row>
    <row r="1948">
      <c r="A1948" s="252"/>
      <c r="B1948" s="202"/>
      <c r="C1948" s="233"/>
      <c r="D1948" s="233"/>
      <c r="E1948" s="201"/>
      <c r="F1948" s="206"/>
      <c r="G1948" s="206"/>
      <c r="H1948" s="253"/>
      <c r="I1948" s="201"/>
      <c r="J1948" s="254"/>
      <c r="K1948" s="254"/>
      <c r="L1948" s="206"/>
      <c r="M1948" s="201"/>
      <c r="N1948" s="206"/>
      <c r="O1948" s="255"/>
      <c r="P1948" s="256"/>
      <c r="Q1948" s="256"/>
      <c r="R1948" s="201"/>
      <c r="S1948" s="201"/>
      <c r="T1948" s="201"/>
    </row>
    <row r="1949">
      <c r="A1949" s="252"/>
      <c r="B1949" s="202"/>
      <c r="C1949" s="233"/>
      <c r="D1949" s="233"/>
      <c r="E1949" s="201"/>
      <c r="F1949" s="206"/>
      <c r="G1949" s="206"/>
      <c r="H1949" s="253"/>
      <c r="I1949" s="201"/>
      <c r="J1949" s="254"/>
      <c r="K1949" s="254"/>
      <c r="L1949" s="206"/>
      <c r="M1949" s="201"/>
      <c r="N1949" s="206"/>
      <c r="O1949" s="255"/>
      <c r="P1949" s="256"/>
      <c r="Q1949" s="256"/>
      <c r="R1949" s="201"/>
      <c r="S1949" s="201"/>
      <c r="T1949" s="201"/>
    </row>
    <row r="1950">
      <c r="A1950" s="252"/>
      <c r="B1950" s="202"/>
      <c r="C1950" s="233"/>
      <c r="D1950" s="233"/>
      <c r="E1950" s="201"/>
      <c r="F1950" s="206"/>
      <c r="G1950" s="206"/>
      <c r="H1950" s="253"/>
      <c r="I1950" s="201"/>
      <c r="J1950" s="254"/>
      <c r="K1950" s="254"/>
      <c r="L1950" s="206"/>
      <c r="M1950" s="201"/>
      <c r="N1950" s="206"/>
      <c r="O1950" s="255"/>
      <c r="P1950" s="256"/>
      <c r="Q1950" s="256"/>
      <c r="R1950" s="201"/>
      <c r="S1950" s="201"/>
      <c r="T1950" s="201"/>
    </row>
    <row r="1951">
      <c r="A1951" s="252"/>
      <c r="B1951" s="202"/>
      <c r="C1951" s="233"/>
      <c r="D1951" s="233"/>
      <c r="E1951" s="201"/>
      <c r="F1951" s="206"/>
      <c r="G1951" s="206"/>
      <c r="H1951" s="253"/>
      <c r="I1951" s="201"/>
      <c r="J1951" s="254"/>
      <c r="K1951" s="254"/>
      <c r="L1951" s="206"/>
      <c r="M1951" s="201"/>
      <c r="N1951" s="206"/>
      <c r="O1951" s="255"/>
      <c r="P1951" s="256"/>
      <c r="Q1951" s="256"/>
      <c r="R1951" s="201"/>
      <c r="S1951" s="201"/>
      <c r="T1951" s="201"/>
    </row>
    <row r="1952">
      <c r="A1952" s="252"/>
      <c r="B1952" s="202"/>
      <c r="C1952" s="233"/>
      <c r="D1952" s="233"/>
      <c r="E1952" s="201"/>
      <c r="F1952" s="206"/>
      <c r="G1952" s="206"/>
      <c r="H1952" s="253"/>
      <c r="I1952" s="201"/>
      <c r="J1952" s="254"/>
      <c r="K1952" s="254"/>
      <c r="L1952" s="206"/>
      <c r="M1952" s="201"/>
      <c r="N1952" s="206"/>
      <c r="O1952" s="255"/>
      <c r="P1952" s="256"/>
      <c r="Q1952" s="256"/>
      <c r="R1952" s="201"/>
      <c r="S1952" s="201"/>
      <c r="T1952" s="201"/>
    </row>
    <row r="1953">
      <c r="A1953" s="252"/>
      <c r="B1953" s="202"/>
      <c r="C1953" s="233"/>
      <c r="D1953" s="233"/>
      <c r="E1953" s="201"/>
      <c r="F1953" s="206"/>
      <c r="G1953" s="206"/>
      <c r="H1953" s="253"/>
      <c r="I1953" s="201"/>
      <c r="J1953" s="254"/>
      <c r="K1953" s="254"/>
      <c r="L1953" s="206"/>
      <c r="M1953" s="201"/>
      <c r="N1953" s="206"/>
      <c r="O1953" s="255"/>
      <c r="P1953" s="256"/>
      <c r="Q1953" s="256"/>
      <c r="R1953" s="201"/>
      <c r="S1953" s="201"/>
      <c r="T1953" s="201"/>
    </row>
    <row r="1954">
      <c r="A1954" s="252"/>
      <c r="B1954" s="202"/>
      <c r="C1954" s="233"/>
      <c r="D1954" s="233"/>
      <c r="E1954" s="201"/>
      <c r="F1954" s="206"/>
      <c r="G1954" s="206"/>
      <c r="H1954" s="253"/>
      <c r="I1954" s="201"/>
      <c r="J1954" s="254"/>
      <c r="K1954" s="254"/>
      <c r="L1954" s="206"/>
      <c r="M1954" s="201"/>
      <c r="N1954" s="206"/>
      <c r="O1954" s="255"/>
      <c r="P1954" s="256"/>
      <c r="Q1954" s="256"/>
      <c r="R1954" s="201"/>
      <c r="S1954" s="201"/>
      <c r="T1954" s="201"/>
    </row>
    <row r="1955">
      <c r="A1955" s="252"/>
      <c r="B1955" s="202"/>
      <c r="C1955" s="233"/>
      <c r="D1955" s="233"/>
      <c r="E1955" s="201"/>
      <c r="F1955" s="206"/>
      <c r="G1955" s="206"/>
      <c r="H1955" s="253"/>
      <c r="I1955" s="201"/>
      <c r="J1955" s="254"/>
      <c r="K1955" s="254"/>
      <c r="L1955" s="206"/>
      <c r="M1955" s="201"/>
      <c r="N1955" s="206"/>
      <c r="O1955" s="255"/>
      <c r="P1955" s="256"/>
      <c r="Q1955" s="256"/>
      <c r="R1955" s="201"/>
      <c r="S1955" s="201"/>
      <c r="T1955" s="201"/>
    </row>
    <row r="1956">
      <c r="A1956" s="252"/>
      <c r="B1956" s="202"/>
      <c r="C1956" s="233"/>
      <c r="D1956" s="233"/>
      <c r="E1956" s="201"/>
      <c r="F1956" s="206"/>
      <c r="G1956" s="206"/>
      <c r="H1956" s="253"/>
      <c r="I1956" s="201"/>
      <c r="J1956" s="254"/>
      <c r="K1956" s="254"/>
      <c r="L1956" s="206"/>
      <c r="M1956" s="201"/>
      <c r="N1956" s="206"/>
      <c r="O1956" s="255"/>
      <c r="P1956" s="256"/>
      <c r="Q1956" s="256"/>
      <c r="R1956" s="201"/>
      <c r="S1956" s="201"/>
      <c r="T1956" s="201"/>
    </row>
    <row r="1957">
      <c r="A1957" s="252"/>
      <c r="B1957" s="202"/>
      <c r="C1957" s="233"/>
      <c r="D1957" s="233"/>
      <c r="E1957" s="201"/>
      <c r="F1957" s="206"/>
      <c r="G1957" s="206"/>
      <c r="H1957" s="253"/>
      <c r="I1957" s="201"/>
      <c r="J1957" s="254"/>
      <c r="K1957" s="254"/>
      <c r="L1957" s="206"/>
      <c r="M1957" s="201"/>
      <c r="N1957" s="206"/>
      <c r="O1957" s="255"/>
      <c r="P1957" s="256"/>
      <c r="Q1957" s="256"/>
      <c r="R1957" s="201"/>
      <c r="S1957" s="201"/>
      <c r="T1957" s="201"/>
    </row>
    <row r="1958">
      <c r="A1958" s="252"/>
      <c r="B1958" s="202"/>
      <c r="C1958" s="233"/>
      <c r="D1958" s="233"/>
      <c r="E1958" s="201"/>
      <c r="F1958" s="206"/>
      <c r="G1958" s="206"/>
      <c r="H1958" s="253"/>
      <c r="I1958" s="201"/>
      <c r="J1958" s="254"/>
      <c r="K1958" s="254"/>
      <c r="L1958" s="206"/>
      <c r="M1958" s="201"/>
      <c r="N1958" s="206"/>
      <c r="O1958" s="255"/>
      <c r="P1958" s="256"/>
      <c r="Q1958" s="256"/>
      <c r="R1958" s="201"/>
      <c r="S1958" s="201"/>
      <c r="T1958" s="201"/>
    </row>
    <row r="1959">
      <c r="A1959" s="252"/>
      <c r="B1959" s="202"/>
      <c r="C1959" s="233"/>
      <c r="D1959" s="233"/>
      <c r="E1959" s="201"/>
      <c r="F1959" s="206"/>
      <c r="G1959" s="206"/>
      <c r="H1959" s="253"/>
      <c r="I1959" s="201"/>
      <c r="J1959" s="254"/>
      <c r="K1959" s="254"/>
      <c r="L1959" s="206"/>
      <c r="M1959" s="201"/>
      <c r="N1959" s="206"/>
      <c r="O1959" s="255"/>
      <c r="P1959" s="256"/>
      <c r="Q1959" s="256"/>
      <c r="R1959" s="201"/>
      <c r="S1959" s="201"/>
      <c r="T1959" s="201"/>
    </row>
    <row r="1960">
      <c r="A1960" s="252"/>
      <c r="B1960" s="202"/>
      <c r="C1960" s="233"/>
      <c r="D1960" s="233"/>
      <c r="E1960" s="201"/>
      <c r="F1960" s="206"/>
      <c r="G1960" s="206"/>
      <c r="H1960" s="253"/>
      <c r="I1960" s="201"/>
      <c r="J1960" s="254"/>
      <c r="K1960" s="254"/>
      <c r="L1960" s="206"/>
      <c r="M1960" s="201"/>
      <c r="N1960" s="206"/>
      <c r="O1960" s="255"/>
      <c r="P1960" s="256"/>
      <c r="Q1960" s="256"/>
      <c r="R1960" s="201"/>
      <c r="S1960" s="201"/>
      <c r="T1960" s="201"/>
    </row>
    <row r="1961">
      <c r="A1961" s="252"/>
      <c r="B1961" s="202"/>
      <c r="C1961" s="233"/>
      <c r="D1961" s="233"/>
      <c r="E1961" s="201"/>
      <c r="F1961" s="206"/>
      <c r="G1961" s="206"/>
      <c r="H1961" s="253"/>
      <c r="I1961" s="201"/>
      <c r="J1961" s="254"/>
      <c r="K1961" s="254"/>
      <c r="L1961" s="206"/>
      <c r="M1961" s="201"/>
      <c r="N1961" s="206"/>
      <c r="O1961" s="255"/>
      <c r="P1961" s="256"/>
      <c r="Q1961" s="256"/>
      <c r="R1961" s="201"/>
      <c r="S1961" s="201"/>
      <c r="T1961" s="201"/>
    </row>
    <row r="1962">
      <c r="A1962" s="252"/>
      <c r="B1962" s="202"/>
      <c r="C1962" s="233"/>
      <c r="D1962" s="233"/>
      <c r="E1962" s="201"/>
      <c r="F1962" s="206"/>
      <c r="G1962" s="206"/>
      <c r="H1962" s="253"/>
      <c r="I1962" s="201"/>
      <c r="J1962" s="254"/>
      <c r="K1962" s="254"/>
      <c r="L1962" s="206"/>
      <c r="M1962" s="201"/>
      <c r="N1962" s="206"/>
      <c r="O1962" s="255"/>
      <c r="P1962" s="256"/>
      <c r="Q1962" s="256"/>
      <c r="R1962" s="201"/>
      <c r="S1962" s="201"/>
      <c r="T1962" s="201"/>
    </row>
    <row r="1963">
      <c r="A1963" s="252"/>
      <c r="B1963" s="202"/>
      <c r="C1963" s="233"/>
      <c r="D1963" s="233"/>
      <c r="E1963" s="201"/>
      <c r="F1963" s="206"/>
      <c r="G1963" s="206"/>
      <c r="H1963" s="253"/>
      <c r="I1963" s="201"/>
      <c r="J1963" s="254"/>
      <c r="K1963" s="254"/>
      <c r="L1963" s="206"/>
      <c r="M1963" s="201"/>
      <c r="N1963" s="206"/>
      <c r="O1963" s="255"/>
      <c r="P1963" s="256"/>
      <c r="Q1963" s="256"/>
      <c r="R1963" s="201"/>
      <c r="S1963" s="201"/>
      <c r="T1963" s="201"/>
    </row>
    <row r="1964">
      <c r="A1964" s="252"/>
      <c r="B1964" s="202"/>
      <c r="C1964" s="233"/>
      <c r="D1964" s="233"/>
      <c r="E1964" s="201"/>
      <c r="F1964" s="206"/>
      <c r="G1964" s="206"/>
      <c r="H1964" s="253"/>
      <c r="I1964" s="201"/>
      <c r="J1964" s="254"/>
      <c r="K1964" s="254"/>
      <c r="L1964" s="206"/>
      <c r="M1964" s="201"/>
      <c r="N1964" s="206"/>
      <c r="O1964" s="255"/>
      <c r="P1964" s="256"/>
      <c r="Q1964" s="256"/>
      <c r="R1964" s="201"/>
      <c r="S1964" s="201"/>
      <c r="T1964" s="201"/>
    </row>
    <row r="1965">
      <c r="A1965" s="252"/>
      <c r="B1965" s="202"/>
      <c r="C1965" s="233"/>
      <c r="D1965" s="233"/>
      <c r="E1965" s="201"/>
      <c r="F1965" s="206"/>
      <c r="G1965" s="206"/>
      <c r="H1965" s="253"/>
      <c r="I1965" s="201"/>
      <c r="J1965" s="254"/>
      <c r="K1965" s="254"/>
      <c r="L1965" s="206"/>
      <c r="M1965" s="201"/>
      <c r="N1965" s="206"/>
      <c r="O1965" s="255"/>
      <c r="P1965" s="256"/>
      <c r="Q1965" s="256"/>
      <c r="R1965" s="201"/>
      <c r="S1965" s="201"/>
      <c r="T1965" s="201"/>
    </row>
    <row r="1966">
      <c r="A1966" s="252"/>
      <c r="B1966" s="202"/>
      <c r="C1966" s="233"/>
      <c r="D1966" s="233"/>
      <c r="E1966" s="201"/>
      <c r="F1966" s="206"/>
      <c r="G1966" s="206"/>
      <c r="H1966" s="253"/>
      <c r="I1966" s="201"/>
      <c r="J1966" s="254"/>
      <c r="K1966" s="254"/>
      <c r="L1966" s="206"/>
      <c r="M1966" s="201"/>
      <c r="N1966" s="206"/>
      <c r="O1966" s="255"/>
      <c r="P1966" s="256"/>
      <c r="Q1966" s="256"/>
      <c r="R1966" s="201"/>
      <c r="S1966" s="201"/>
      <c r="T1966" s="201"/>
    </row>
    <row r="1967">
      <c r="A1967" s="252"/>
      <c r="B1967" s="202"/>
      <c r="C1967" s="233"/>
      <c r="D1967" s="233"/>
      <c r="E1967" s="201"/>
      <c r="F1967" s="206"/>
      <c r="G1967" s="206"/>
      <c r="H1967" s="253"/>
      <c r="I1967" s="201"/>
      <c r="J1967" s="254"/>
      <c r="K1967" s="254"/>
      <c r="L1967" s="206"/>
      <c r="M1967" s="201"/>
      <c r="N1967" s="206"/>
      <c r="O1967" s="255"/>
      <c r="P1967" s="256"/>
      <c r="Q1967" s="256"/>
      <c r="R1967" s="201"/>
      <c r="S1967" s="201"/>
      <c r="T1967" s="201"/>
    </row>
    <row r="1968">
      <c r="A1968" s="252"/>
      <c r="B1968" s="202"/>
      <c r="C1968" s="233"/>
      <c r="D1968" s="233"/>
      <c r="E1968" s="201"/>
      <c r="F1968" s="206"/>
      <c r="G1968" s="206"/>
      <c r="H1968" s="253"/>
      <c r="I1968" s="201"/>
      <c r="J1968" s="254"/>
      <c r="K1968" s="254"/>
      <c r="L1968" s="206"/>
      <c r="M1968" s="201"/>
      <c r="N1968" s="206"/>
      <c r="O1968" s="255"/>
      <c r="P1968" s="256"/>
      <c r="Q1968" s="256"/>
      <c r="R1968" s="201"/>
      <c r="S1968" s="201"/>
      <c r="T1968" s="201"/>
    </row>
    <row r="1969">
      <c r="A1969" s="252"/>
      <c r="B1969" s="202"/>
      <c r="C1969" s="233"/>
      <c r="D1969" s="233"/>
      <c r="E1969" s="201"/>
      <c r="F1969" s="206"/>
      <c r="G1969" s="206"/>
      <c r="H1969" s="253"/>
      <c r="I1969" s="201"/>
      <c r="J1969" s="254"/>
      <c r="K1969" s="254"/>
      <c r="L1969" s="206"/>
      <c r="M1969" s="201"/>
      <c r="N1969" s="206"/>
      <c r="O1969" s="255"/>
      <c r="P1969" s="256"/>
      <c r="Q1969" s="256"/>
      <c r="R1969" s="201"/>
      <c r="S1969" s="201"/>
      <c r="T1969" s="201"/>
    </row>
    <row r="1970">
      <c r="A1970" s="252"/>
      <c r="B1970" s="202"/>
      <c r="C1970" s="233"/>
      <c r="D1970" s="233"/>
      <c r="E1970" s="201"/>
      <c r="F1970" s="206"/>
      <c r="G1970" s="206"/>
      <c r="H1970" s="253"/>
      <c r="I1970" s="201"/>
      <c r="J1970" s="254"/>
      <c r="K1970" s="254"/>
      <c r="L1970" s="206"/>
      <c r="M1970" s="201"/>
      <c r="N1970" s="206"/>
      <c r="O1970" s="255"/>
      <c r="P1970" s="256"/>
      <c r="Q1970" s="256"/>
      <c r="R1970" s="201"/>
      <c r="S1970" s="201"/>
      <c r="T1970" s="201"/>
    </row>
    <row r="1971">
      <c r="A1971" s="252"/>
      <c r="B1971" s="202"/>
      <c r="C1971" s="233"/>
      <c r="D1971" s="233"/>
      <c r="E1971" s="201"/>
      <c r="F1971" s="206"/>
      <c r="G1971" s="206"/>
      <c r="H1971" s="253"/>
      <c r="I1971" s="201"/>
      <c r="J1971" s="254"/>
      <c r="K1971" s="254"/>
      <c r="L1971" s="206"/>
      <c r="M1971" s="201"/>
      <c r="N1971" s="206"/>
      <c r="O1971" s="255"/>
      <c r="P1971" s="256"/>
      <c r="Q1971" s="256"/>
      <c r="R1971" s="201"/>
      <c r="S1971" s="201"/>
      <c r="T1971" s="201"/>
    </row>
    <row r="1972">
      <c r="A1972" s="252"/>
      <c r="B1972" s="202"/>
      <c r="C1972" s="233"/>
      <c r="D1972" s="233"/>
      <c r="E1972" s="201"/>
      <c r="F1972" s="206"/>
      <c r="G1972" s="206"/>
      <c r="H1972" s="253"/>
      <c r="I1972" s="201"/>
      <c r="J1972" s="254"/>
      <c r="K1972" s="254"/>
      <c r="L1972" s="206"/>
      <c r="M1972" s="201"/>
      <c r="N1972" s="206"/>
      <c r="O1972" s="255"/>
      <c r="P1972" s="256"/>
      <c r="Q1972" s="256"/>
      <c r="R1972" s="201"/>
      <c r="S1972" s="201"/>
      <c r="T1972" s="201"/>
    </row>
    <row r="1973">
      <c r="A1973" s="252"/>
      <c r="B1973" s="202"/>
      <c r="C1973" s="233"/>
      <c r="D1973" s="233"/>
      <c r="E1973" s="201"/>
      <c r="F1973" s="206"/>
      <c r="G1973" s="206"/>
      <c r="H1973" s="253"/>
      <c r="I1973" s="201"/>
      <c r="J1973" s="254"/>
      <c r="K1973" s="254"/>
      <c r="L1973" s="206"/>
      <c r="M1973" s="201"/>
      <c r="N1973" s="206"/>
      <c r="O1973" s="255"/>
      <c r="P1973" s="256"/>
      <c r="Q1973" s="256"/>
      <c r="R1973" s="201"/>
      <c r="S1973" s="201"/>
      <c r="T1973" s="201"/>
    </row>
    <row r="1974">
      <c r="A1974" s="252"/>
      <c r="B1974" s="202"/>
      <c r="C1974" s="233"/>
      <c r="D1974" s="233"/>
      <c r="E1974" s="201"/>
      <c r="F1974" s="206"/>
      <c r="G1974" s="206"/>
      <c r="H1974" s="253"/>
      <c r="I1974" s="201"/>
      <c r="J1974" s="254"/>
      <c r="K1974" s="254"/>
      <c r="L1974" s="206"/>
      <c r="M1974" s="201"/>
      <c r="N1974" s="206"/>
      <c r="O1974" s="255"/>
      <c r="P1974" s="256"/>
      <c r="Q1974" s="256"/>
      <c r="R1974" s="201"/>
      <c r="S1974" s="201"/>
      <c r="T1974" s="201"/>
    </row>
    <row r="1975">
      <c r="A1975" s="252"/>
      <c r="B1975" s="202"/>
      <c r="C1975" s="233"/>
      <c r="D1975" s="233"/>
      <c r="E1975" s="201"/>
      <c r="F1975" s="206"/>
      <c r="G1975" s="206"/>
      <c r="H1975" s="253"/>
      <c r="I1975" s="201"/>
      <c r="J1975" s="254"/>
      <c r="K1975" s="254"/>
      <c r="L1975" s="206"/>
      <c r="M1975" s="201"/>
      <c r="N1975" s="206"/>
      <c r="O1975" s="255"/>
      <c r="P1975" s="256"/>
      <c r="Q1975" s="256"/>
      <c r="R1975" s="201"/>
      <c r="S1975" s="201"/>
      <c r="T1975" s="201"/>
    </row>
    <row r="1976">
      <c r="A1976" s="252"/>
      <c r="B1976" s="202"/>
      <c r="C1976" s="233"/>
      <c r="D1976" s="233"/>
      <c r="E1976" s="201"/>
      <c r="F1976" s="206"/>
      <c r="G1976" s="206"/>
      <c r="H1976" s="253"/>
      <c r="I1976" s="201"/>
      <c r="J1976" s="254"/>
      <c r="K1976" s="254"/>
      <c r="L1976" s="206"/>
      <c r="M1976" s="201"/>
      <c r="N1976" s="206"/>
      <c r="O1976" s="255"/>
      <c r="P1976" s="256"/>
      <c r="Q1976" s="256"/>
      <c r="R1976" s="201"/>
      <c r="S1976" s="201"/>
      <c r="T1976" s="201"/>
    </row>
    <row r="1977">
      <c r="A1977" s="252"/>
      <c r="B1977" s="202"/>
      <c r="C1977" s="233"/>
      <c r="D1977" s="233"/>
      <c r="E1977" s="201"/>
      <c r="F1977" s="206"/>
      <c r="G1977" s="206"/>
      <c r="H1977" s="253"/>
      <c r="I1977" s="201"/>
      <c r="J1977" s="254"/>
      <c r="K1977" s="254"/>
      <c r="L1977" s="206"/>
      <c r="M1977" s="201"/>
      <c r="N1977" s="206"/>
      <c r="O1977" s="255"/>
      <c r="P1977" s="256"/>
      <c r="Q1977" s="256"/>
      <c r="R1977" s="201"/>
      <c r="S1977" s="201"/>
      <c r="T1977" s="201"/>
    </row>
    <row r="1978">
      <c r="A1978" s="252"/>
      <c r="B1978" s="202"/>
      <c r="C1978" s="233"/>
      <c r="D1978" s="233"/>
      <c r="E1978" s="201"/>
      <c r="F1978" s="206"/>
      <c r="G1978" s="206"/>
      <c r="H1978" s="253"/>
      <c r="I1978" s="201"/>
      <c r="J1978" s="254"/>
      <c r="K1978" s="254"/>
      <c r="L1978" s="206"/>
      <c r="M1978" s="201"/>
      <c r="N1978" s="206"/>
      <c r="O1978" s="255"/>
      <c r="P1978" s="256"/>
      <c r="Q1978" s="256"/>
      <c r="R1978" s="201"/>
      <c r="S1978" s="201"/>
      <c r="T1978" s="201"/>
    </row>
    <row r="1979">
      <c r="A1979" s="252"/>
      <c r="B1979" s="202"/>
      <c r="C1979" s="233"/>
      <c r="D1979" s="233"/>
      <c r="E1979" s="201"/>
      <c r="F1979" s="206"/>
      <c r="G1979" s="206"/>
      <c r="H1979" s="253"/>
      <c r="I1979" s="201"/>
      <c r="J1979" s="254"/>
      <c r="K1979" s="254"/>
      <c r="L1979" s="206"/>
      <c r="M1979" s="201"/>
      <c r="N1979" s="206"/>
      <c r="O1979" s="255"/>
      <c r="P1979" s="256"/>
      <c r="Q1979" s="256"/>
      <c r="R1979" s="201"/>
      <c r="S1979" s="201"/>
      <c r="T1979" s="201"/>
    </row>
    <row r="1980">
      <c r="A1980" s="252"/>
      <c r="B1980" s="202"/>
      <c r="C1980" s="233"/>
      <c r="D1980" s="233"/>
      <c r="E1980" s="201"/>
      <c r="F1980" s="206"/>
      <c r="G1980" s="206"/>
      <c r="H1980" s="253"/>
      <c r="I1980" s="201"/>
      <c r="J1980" s="254"/>
      <c r="K1980" s="254"/>
      <c r="L1980" s="206"/>
      <c r="M1980" s="201"/>
      <c r="N1980" s="206"/>
      <c r="O1980" s="255"/>
      <c r="P1980" s="256"/>
      <c r="Q1980" s="256"/>
      <c r="R1980" s="201"/>
      <c r="S1980" s="201"/>
      <c r="T1980" s="201"/>
    </row>
    <row r="1981">
      <c r="A1981" s="252"/>
      <c r="B1981" s="202"/>
      <c r="C1981" s="233"/>
      <c r="D1981" s="233"/>
      <c r="E1981" s="201"/>
      <c r="F1981" s="206"/>
      <c r="G1981" s="206"/>
      <c r="H1981" s="253"/>
      <c r="I1981" s="201"/>
      <c r="J1981" s="254"/>
      <c r="K1981" s="254"/>
      <c r="L1981" s="206"/>
      <c r="M1981" s="201"/>
      <c r="N1981" s="206"/>
      <c r="O1981" s="255"/>
      <c r="P1981" s="256"/>
      <c r="Q1981" s="256"/>
      <c r="R1981" s="201"/>
      <c r="S1981" s="201"/>
      <c r="T1981" s="201"/>
    </row>
    <row r="1982">
      <c r="A1982" s="252"/>
      <c r="B1982" s="202"/>
      <c r="C1982" s="233"/>
      <c r="D1982" s="233"/>
      <c r="E1982" s="201"/>
      <c r="F1982" s="206"/>
      <c r="G1982" s="206"/>
      <c r="H1982" s="253"/>
      <c r="I1982" s="201"/>
      <c r="J1982" s="254"/>
      <c r="K1982" s="254"/>
      <c r="L1982" s="206"/>
      <c r="M1982" s="201"/>
      <c r="N1982" s="206"/>
      <c r="O1982" s="255"/>
      <c r="P1982" s="256"/>
      <c r="Q1982" s="256"/>
      <c r="R1982" s="201"/>
      <c r="S1982" s="201"/>
      <c r="T1982" s="201"/>
    </row>
    <row r="1983">
      <c r="A1983" s="252"/>
      <c r="B1983" s="202"/>
      <c r="C1983" s="233"/>
      <c r="D1983" s="233"/>
      <c r="E1983" s="201"/>
      <c r="F1983" s="206"/>
      <c r="G1983" s="206"/>
      <c r="H1983" s="253"/>
      <c r="I1983" s="201"/>
      <c r="J1983" s="254"/>
      <c r="K1983" s="254"/>
      <c r="L1983" s="206"/>
      <c r="M1983" s="201"/>
      <c r="N1983" s="206"/>
      <c r="O1983" s="255"/>
      <c r="P1983" s="256"/>
      <c r="Q1983" s="256"/>
      <c r="R1983" s="201"/>
      <c r="S1983" s="201"/>
      <c r="T1983" s="201"/>
    </row>
    <row r="1984">
      <c r="A1984" s="252"/>
      <c r="B1984" s="202"/>
      <c r="C1984" s="233"/>
      <c r="D1984" s="233"/>
      <c r="E1984" s="201"/>
      <c r="F1984" s="206"/>
      <c r="G1984" s="206"/>
      <c r="H1984" s="253"/>
      <c r="I1984" s="201"/>
      <c r="J1984" s="254"/>
      <c r="K1984" s="254"/>
      <c r="L1984" s="206"/>
      <c r="M1984" s="201"/>
      <c r="N1984" s="206"/>
      <c r="O1984" s="255"/>
      <c r="P1984" s="256"/>
      <c r="Q1984" s="256"/>
      <c r="R1984" s="201"/>
      <c r="S1984" s="201"/>
      <c r="T1984" s="201"/>
    </row>
    <row r="1985">
      <c r="A1985" s="252"/>
      <c r="B1985" s="202"/>
      <c r="C1985" s="233"/>
      <c r="D1985" s="233"/>
      <c r="E1985" s="201"/>
      <c r="F1985" s="206"/>
      <c r="G1985" s="206"/>
      <c r="H1985" s="253"/>
      <c r="I1985" s="201"/>
      <c r="J1985" s="254"/>
      <c r="K1985" s="254"/>
      <c r="L1985" s="206"/>
      <c r="M1985" s="201"/>
      <c r="N1985" s="206"/>
      <c r="O1985" s="255"/>
      <c r="P1985" s="256"/>
      <c r="Q1985" s="256"/>
      <c r="R1985" s="201"/>
      <c r="S1985" s="201"/>
      <c r="T1985" s="201"/>
    </row>
    <row r="1986">
      <c r="A1986" s="252"/>
      <c r="B1986" s="202"/>
      <c r="C1986" s="233"/>
      <c r="D1986" s="233"/>
      <c r="E1986" s="201"/>
      <c r="F1986" s="206"/>
      <c r="G1986" s="206"/>
      <c r="H1986" s="253"/>
      <c r="I1986" s="201"/>
      <c r="J1986" s="254"/>
      <c r="K1986" s="254"/>
      <c r="L1986" s="206"/>
      <c r="M1986" s="201"/>
      <c r="N1986" s="206"/>
      <c r="O1986" s="255"/>
      <c r="P1986" s="256"/>
      <c r="Q1986" s="256"/>
      <c r="R1986" s="201"/>
      <c r="S1986" s="201"/>
      <c r="T1986" s="201"/>
    </row>
    <row r="1987">
      <c r="A1987" s="252"/>
      <c r="B1987" s="202"/>
      <c r="C1987" s="233"/>
      <c r="D1987" s="233"/>
      <c r="E1987" s="201"/>
      <c r="F1987" s="206"/>
      <c r="G1987" s="206"/>
      <c r="H1987" s="253"/>
      <c r="I1987" s="201"/>
      <c r="J1987" s="254"/>
      <c r="K1987" s="254"/>
      <c r="L1987" s="206"/>
      <c r="M1987" s="201"/>
      <c r="N1987" s="206"/>
      <c r="O1987" s="255"/>
      <c r="P1987" s="256"/>
      <c r="Q1987" s="256"/>
      <c r="R1987" s="201"/>
      <c r="S1987" s="201"/>
      <c r="T1987" s="201"/>
    </row>
    <row r="1988">
      <c r="A1988" s="252"/>
      <c r="B1988" s="202"/>
      <c r="C1988" s="233"/>
      <c r="D1988" s="233"/>
      <c r="E1988" s="201"/>
      <c r="F1988" s="206"/>
      <c r="G1988" s="206"/>
      <c r="H1988" s="253"/>
      <c r="I1988" s="201"/>
      <c r="J1988" s="254"/>
      <c r="K1988" s="254"/>
      <c r="L1988" s="206"/>
      <c r="M1988" s="201"/>
      <c r="N1988" s="206"/>
      <c r="O1988" s="255"/>
      <c r="P1988" s="256"/>
      <c r="Q1988" s="256"/>
      <c r="R1988" s="201"/>
      <c r="S1988" s="201"/>
      <c r="T1988" s="201"/>
    </row>
    <row r="1989">
      <c r="A1989" s="252"/>
      <c r="B1989" s="202"/>
      <c r="C1989" s="233"/>
      <c r="D1989" s="233"/>
      <c r="E1989" s="201"/>
      <c r="F1989" s="206"/>
      <c r="G1989" s="206"/>
      <c r="H1989" s="253"/>
      <c r="I1989" s="201"/>
      <c r="J1989" s="254"/>
      <c r="K1989" s="254"/>
      <c r="L1989" s="206"/>
      <c r="M1989" s="201"/>
      <c r="N1989" s="206"/>
      <c r="O1989" s="255"/>
      <c r="P1989" s="256"/>
      <c r="Q1989" s="256"/>
      <c r="R1989" s="201"/>
      <c r="S1989" s="201"/>
      <c r="T1989" s="201"/>
    </row>
    <row r="1990">
      <c r="A1990" s="252"/>
      <c r="B1990" s="202"/>
      <c r="C1990" s="233"/>
      <c r="D1990" s="233"/>
      <c r="E1990" s="201"/>
      <c r="F1990" s="206"/>
      <c r="G1990" s="206"/>
      <c r="H1990" s="253"/>
      <c r="I1990" s="201"/>
      <c r="J1990" s="254"/>
      <c r="K1990" s="254"/>
      <c r="L1990" s="206"/>
      <c r="M1990" s="201"/>
      <c r="N1990" s="206"/>
      <c r="O1990" s="255"/>
      <c r="P1990" s="256"/>
      <c r="Q1990" s="256"/>
      <c r="R1990" s="201"/>
      <c r="S1990" s="201"/>
      <c r="T1990" s="201"/>
    </row>
    <row r="1991">
      <c r="A1991" s="252"/>
      <c r="B1991" s="202"/>
      <c r="C1991" s="233"/>
      <c r="D1991" s="233"/>
      <c r="E1991" s="201"/>
      <c r="F1991" s="206"/>
      <c r="G1991" s="206"/>
      <c r="H1991" s="253"/>
      <c r="I1991" s="201"/>
      <c r="J1991" s="254"/>
      <c r="K1991" s="254"/>
      <c r="L1991" s="206"/>
      <c r="M1991" s="201"/>
      <c r="N1991" s="206"/>
      <c r="O1991" s="255"/>
      <c r="P1991" s="256"/>
      <c r="Q1991" s="256"/>
      <c r="R1991" s="201"/>
      <c r="S1991" s="201"/>
      <c r="T1991" s="201"/>
    </row>
    <row r="1992">
      <c r="A1992" s="252"/>
      <c r="B1992" s="202"/>
      <c r="C1992" s="233"/>
      <c r="D1992" s="233"/>
      <c r="E1992" s="201"/>
      <c r="F1992" s="206"/>
      <c r="G1992" s="206"/>
      <c r="H1992" s="253"/>
      <c r="I1992" s="201"/>
      <c r="J1992" s="254"/>
      <c r="K1992" s="254"/>
      <c r="L1992" s="206"/>
      <c r="M1992" s="201"/>
      <c r="N1992" s="206"/>
      <c r="O1992" s="255"/>
      <c r="P1992" s="256"/>
      <c r="Q1992" s="256"/>
      <c r="R1992" s="201"/>
      <c r="S1992" s="201"/>
      <c r="T1992" s="201"/>
    </row>
    <row r="1993">
      <c r="A1993" s="252"/>
      <c r="B1993" s="202"/>
      <c r="C1993" s="233"/>
      <c r="D1993" s="233"/>
      <c r="E1993" s="201"/>
      <c r="F1993" s="206"/>
      <c r="G1993" s="206"/>
      <c r="H1993" s="253"/>
      <c r="I1993" s="201"/>
      <c r="J1993" s="254"/>
      <c r="K1993" s="254"/>
      <c r="L1993" s="206"/>
      <c r="M1993" s="201"/>
      <c r="N1993" s="206"/>
      <c r="O1993" s="255"/>
      <c r="P1993" s="256"/>
      <c r="Q1993" s="256"/>
      <c r="R1993" s="201"/>
      <c r="S1993" s="201"/>
      <c r="T1993" s="201"/>
    </row>
    <row r="1994">
      <c r="A1994" s="252"/>
      <c r="B1994" s="202"/>
      <c r="C1994" s="233"/>
      <c r="D1994" s="233"/>
      <c r="E1994" s="201"/>
      <c r="F1994" s="206"/>
      <c r="G1994" s="206"/>
      <c r="H1994" s="253"/>
      <c r="I1994" s="201"/>
      <c r="J1994" s="254"/>
      <c r="K1994" s="254"/>
      <c r="L1994" s="206"/>
      <c r="M1994" s="201"/>
      <c r="N1994" s="206"/>
      <c r="O1994" s="255"/>
      <c r="P1994" s="256"/>
      <c r="Q1994" s="256"/>
      <c r="R1994" s="201"/>
      <c r="S1994" s="201"/>
      <c r="T1994" s="201"/>
    </row>
    <row r="1995">
      <c r="A1995" s="252"/>
      <c r="B1995" s="202"/>
      <c r="C1995" s="233"/>
      <c r="D1995" s="233"/>
      <c r="E1995" s="201"/>
      <c r="F1995" s="206"/>
      <c r="G1995" s="206"/>
      <c r="H1995" s="253"/>
      <c r="I1995" s="201"/>
      <c r="J1995" s="254"/>
      <c r="K1995" s="254"/>
      <c r="L1995" s="206"/>
      <c r="M1995" s="201"/>
      <c r="N1995" s="206"/>
      <c r="O1995" s="255"/>
      <c r="P1995" s="256"/>
      <c r="Q1995" s="256"/>
      <c r="R1995" s="201"/>
      <c r="S1995" s="201"/>
      <c r="T1995" s="201"/>
    </row>
  </sheetData>
  <autoFilter ref="$A$1:$T$1050">
    <filterColumn colId="19">
      <filters>
        <filter val="Active"/>
      </filters>
    </filterColumn>
  </autoFilter>
  <customSheetViews>
    <customSheetView guid="{BCD54235-CCFD-4740-BCA2-6B2493B68D17}" filter="1" showAutoFilter="1">
      <autoFilter ref="$A$1:$T$1050">
        <filterColumn colId="0">
          <filters>
            <filter val="linkedin_total_data_usage_past_mo1"/>
            <filter val="telegram_affinity_score_past_mo1"/>
            <filter val="ebay_affinity_score_past_mo1"/>
            <filter val="discord_total_data_usage_past_mo1"/>
            <filter val="kumu_affinity_score_past_mo1"/>
            <filter val="tiktok_affinity_score_past_mo1"/>
            <filter val="facebook_messenger_total_data_usage_past_mo1"/>
            <filter val="lyka_total_data_usage_past_mo1"/>
            <filter val="twitch_total_data_usage_past_mo1"/>
            <filter val="whatsapp_affinity_score_past_mo1"/>
            <filter val="google_affinity_score_past_mo1"/>
            <filter val="yahoo_total_data_usage_past_mo1"/>
            <filter val="viber_total_data_usage_past_mo1"/>
            <filter val="ikea_ph_affinity_score_past_mo1"/>
            <filter val="youtube_total_data_usage_past_mo1"/>
            <filter val="facebook_affinity_score_past_mo1"/>
            <filter val="tiktok_total_data_usage_past_mo1"/>
            <filter val="whatsapp_total_data_usage_past_mo1"/>
            <filter val="telegram_total_data_usage_past_mo1"/>
            <filter val="lyka_affinity_score_past_mo1"/>
            <filter val="shein_affinity_score_past_mo1"/>
            <filter val="beautymnl_affinity_score_past_mo1"/>
            <filter val="carousell_affinity_score_past_mo1"/>
            <filter val="zalora_affinity_score_past_mo1"/>
            <filter val="twitter_affinity_score_past_mo1"/>
            <filter val="facebook_messenger_affinity_score_past_mo1"/>
            <filter val="twitter_total_data_usage_past_mo1"/>
            <filter val="facebook_total_data_usage_past_mo1"/>
            <filter val="shopee_affinity_score_past_mo1"/>
            <filter val="yahoo_affinity_score_past_mo1"/>
            <filter val="shop_sm_affinity_score_past_mo1"/>
            <filter val="alibaba_affinity_score_past_mo1"/>
            <filter val="olx_affinity_score_past_mo1"/>
            <filter val="pre_porting_usage_data_mb_past_90days"/>
            <filter val="youtube_affinity_score_past_mo1"/>
            <filter val="discord_affinity_score_past_mo1"/>
            <filter val="superapp_user_indicator"/>
            <filter val="pickaroo_affinity_score_past_mo1"/>
            <filter val="instagram_affinity_score_past_mo1"/>
            <filter val="google_total_data_usage_past_mo1"/>
            <filter val="amazon_affinity_score_past_mo1"/>
            <filter val="line_total_data_usage_past_mo1"/>
            <filter val="wechat_total_data_usage_past_mo1"/>
            <filter val="instagram_total_data_usage_past_mo1"/>
            <filter val="sephora_affinity_score_past_mo1"/>
            <filter val="line_affinity_score_past_mo1"/>
            <filter val="mercurydrug_affinity_score_past_mo1"/>
            <filter val="watsons_affinity_score_past_mo1"/>
            <filter val="viber_affinity_score_past_mo1"/>
            <filter val="lazada_affinity_score_past_mo1"/>
            <filter val="linkedin_affinity_score_past_mo1"/>
            <filter val="wechat_affinity_score_past_mo1"/>
            <filter val="twitch_affinity_score_past_mo1"/>
            <filter val="snapchat_affinity_score_past_mo1"/>
            <filter val="aliexpress_affinity_score_past_mo1"/>
            <filter val="kumu_total_data_usage_past_mo1"/>
            <filter val="snapchat_total_data_usage_past_mo1"/>
          </filters>
        </filterColumn>
      </autoFilter>
    </customSheetView>
    <customSheetView guid="{F263A3AC-1237-40A8-82F2-25CFE72B494B}" filter="1" showAutoFilter="1">
      <autoFilter ref="$A$1:$T$980">
        <filterColumn colId="0">
          <filters>
            <filter val="inbound_hotline_call_count_past_30days"/>
            <filter val="previous_main_billing_offer_id"/>
            <filter val="work_province_name"/>
            <filter val="superapp_loan_count_30days"/>
            <filter val="address_city_name"/>
            <filter val="availment_data_ave_days_in_between_past_120days"/>
            <filter val="usage_data_ppu_past_amount_90days"/>
            <filter val="NPS_consistent_detractor_indicator"/>
            <filter val="iot_user_indicator"/>
            <filter val="hmo_member_details"/>
            <filter val="payment_date"/>
            <filter val="passion_point_learning_indicator"/>
            <filter val="International_roam_charge_amount_past_1mo"/>
            <filter val="bb_app_promo_amount_volume_booster_last_90days"/>
            <filter val="mobility_radius_of_gyration_weekly"/>
            <filter val="fashionista_top_apps"/>
            <filter val="logistics_delivery_app_details"/>
            <filter val="tech_savvy_indicator"/>
            <filter val="network_monthly_top_1_voice_location_barangay"/>
            <filter val="usage_data_ppu_mb_past_90days"/>
            <filter val="availment_data_latest_date_past_30days"/>
            <filter val="original_activation_date"/>
            <filter val="ott_user_details"/>
            <filter val="spending_overall_bucket"/>
            <filter val="international_shopper_details"/>
            <filter val="superapp_redeem_telco_rewards_count_30days"/>
            <filter val="work_location_urbanity_code"/>
            <filter val="gcash_user_indicator"/>
            <filter val="content_creator_details"/>
            <filter val="availment_combo_bundle_exp_date_past_30days"/>
            <filter val="online_grocery_shopper_bucket"/>
            <filter val="music_streamer_bucket"/>
            <filter val="usage_data_amount_timeblock6_past_30days"/>
            <filter val="kid_friendly_app_user_indicator"/>
            <filter val="availment_count_past_120days"/>
            <filter val="availment_count_past_30days"/>
            <filter val="availment_amount_past_90days"/>
            <filter val="availment_ave_days_between_promo_90days"/>
            <filter val="logistics_delivery_top_apps"/>
            <filter val="sports_buddy_indicator"/>
            <filter val="sports_buddy_top_apps"/>
            <filter val="job_hunter_top_apps"/>
            <filter val="smart_website_visit_count_rolling_30days"/>
            <filter val="chi_quality_score"/>
            <filter val="usage_data_amount_timeblock2_past_30days"/>
            <filter val="NPS_promo_indicator"/>
            <filter val="passion_point_work_indicator"/>
            <filter val="passion_point_travel_indicator"/>
            <filter val="core_revenue_amount_past_1mo"/>
            <filter val="usage_data_amount_timeblock4_past_30days"/>
            <filter val="mobile_wallet_user_indicator"/>
            <filter val="globeone_promo_7days_indicator"/>
            <filter val="superapp_reload_count_30days"/>
            <filter val="telemedicine_top_apps"/>
            <filter val="iot_user_bucket"/>
            <filter val="income_segment_code"/>
            <filter val="work_barangay_code"/>
            <filter val="telemedicine_bucket"/>
            <filter val="mobility_center_of_mass_latitude_weekly"/>
            <filter val="clv_overall_revenue"/>
            <filter val="historically_purchased_phone_indicator"/>
            <filter val="subscriber_first_expiry"/>
            <filter val="network_monthly_top_2_data_location_province"/>
            <filter val="latest_punishment_level_code"/>
            <filter val="cell_site_name"/>
            <filter val="survival_regression_score_6mos"/>
            <filter val="tenure_count_mos"/>
            <filter val="ott_user_bucket"/>
            <filter val="primary_resource_type_key"/>
            <filter val="superapp_reload_mode_amount_30days"/>
            <filter val="first_name"/>
            <filter val="monthly_roaming_UC"/>
            <filter val="productivity_tools_user_total_data_usage_bucket"/>
            <filter val="clv_survival_segment"/>
            <filter val="lock_in_end_date"/>
            <filter val="network_monthly_top_1_data_location_barangay"/>
            <filter val="road_warrior_indicator"/>
            <filter val="network_monthly_top_1_data_location_town_code"/>
            <filter val="usage_gcash_transaction_count_last_30days"/>
            <filter val="mobility_index_average_baseline_weekly"/>
            <filter val="gcash_registration_date"/>
            <filter val="online_freelancer_top_apps"/>
            <filter val="crypto_wallet_user_bucket"/>
            <filter val="postpaid_arpu_30days"/>
            <filter val="usage_sms_ppu_amount_past_30days"/>
            <filter val="last_promo_reg_name"/>
            <filter val="usage_data_instagram_mb_past_30days"/>
            <filter val="network_monthly_top_1_location_province_code"/>
            <filter val="kpop_fan_indicator"/>
            <filter val="previous_subscriber_key"/>
            <filter val="top_apps_hits"/>
            <filter val="usage_data_mb_past_60days"/>
            <filter val="tnvs_user_top_apps"/>
            <filter val="mobility_total_traveled_distance_monthly"/>
            <filter val="billing_cycle_code"/>
            <filter val="customer_email_address_text"/>
            <filter val="last_promo_expiry_name"/>
            <filter val="globe_website_visit_count_rolling_30days"/>
            <filter val="address_province_name"/>
            <filter val="digital_creative_bucket"/>
            <filter val="handset_model_name"/>
            <filter val="usage_top_loc_timeblock4_past_60days"/>
            <filter val="online_banker_mode"/>
            <filter val="globeone_redeem_rewards_count_7days"/>
            <filter val="usage_monthly_total_outgoing_call_minutes"/>
            <filter val="usage_voice_intra_consumable_mins_90days"/>
            <filter val="usage_top_loc_timeblock3_past_60days"/>
            <filter val="sim_migration_whitelist_indicator"/>
            <filter val="availment_mode_promo_90days"/>
            <filter val="bb_installation_sequence_number"/>
            <filter val="coffee_lover_top_apps"/>
            <filter val="basketball_fan_indicator"/>
            <filter val="stock_trader_bucket"/>
            <filter val="bill_email"/>
            <filter val="business_priority_bucket_description"/>
            <filter val="thrifty_nanay_bucket"/>
            <filter val="previous_payment_category_key"/>
            <filter val="usage_gcash_spent_amount_last61_90days"/>
            <filter val="stock_trader_details"/>
            <filter val="ofw_relative_indicator"/>
            <filter val="video_streamer_total_data_usage_mb"/>
            <filter val="network_monthly_top_1_sms_location_barangay_code"/>
            <filter val="mobile_wallet_user_details"/>
            <filter val="nps_detractor_score"/>
            <filter val="main_contact_id"/>
            <filter val="usage_sms_roaming_count_past_90days"/>
            <filter val="prepaid_spending_arpu_90days"/>
            <filter val="NPS_journey_detractor_indicator"/>
            <filter val="customer_contact_authorized_signatory_name"/>
            <filter val="clv_survival_quarterly_mo11"/>
            <filter val="clv_survival_quarterly_mo10"/>
            <filter val="last_name"/>
            <filter val="clv_survival_quarterly_mo12"/>
            <filter val="relational_nps_detractor_indicator"/>
            <filter val="payment_category_code"/>
            <filter val="assigned_handset_manufacturer_name"/>
            <filter val="plant_parent_details"/>
            <filter val="globeone_manage_rewards_count_7days"/>
            <filter val="broadcast_exclude_indicator"/>
            <filter val="network_monthly_top_1_sms_location_barangay"/>
            <filter val="kpop_fan_details"/>
            <filter val="foodie_online_delivery_details"/>
            <filter val="mobile_wallet_user_bucket"/>
            <filter val="activation_date"/>
            <filter val="network_monthly_top_1_sms_location_region"/>
            <filter val="online_banker_details"/>
            <filter val="health_conscious_top_apps"/>
            <filter val="parent_indicator"/>
            <filter val="thrifty_nanay_mode"/>
            <filter val="latest_handset_capability"/>
            <filter val="network_monthly_top_1_sms_location_region_code"/>
            <filter val="prepaid_total_spending_arpu_7days"/>
            <filter val="fashionista_indicator"/>
            <filter val="multisim_tag"/>
            <filter val="usage_data_amount_timeblock1_past_30days"/>
            <filter val="subscriber_id"/>
            <filter val="prepaid_clv_overall_rank"/>
            <filter val="bb_port_number_value"/>
            <filter val="usage_data_amount_timeblock5_past_30days"/>
            <filter val="segment_id"/>
            <filter val="financial_account_id"/>
            <filter val="clv_survival_mo7"/>
            <filter val="clv_survival_mo8"/>
            <filter val="local_entertainment_app_bucket"/>
            <filter val="clv_survival_mo5"/>
            <filter val="clv_survival_mo6"/>
            <filter val="womens_health_top_apps"/>
            <filter val="local_entertainment_app_indicator"/>
            <filter val="clv_survival_mo3"/>
            <filter val="online_grocery_shopper_indicator"/>
            <filter val="clv_survival_mo4"/>
            <filter val="clv_survival_mo1"/>
            <filter val="clv_survival_mo2"/>
            <filter val="usage_projected_data_quantity_30days_mb"/>
            <filter val="address_region_name"/>
            <filter val="occupation_text_user"/>
            <filter val="content_creator_top_apps"/>
            <filter val="clv_survival_mo9"/>
            <filter val="availment_combo_latest_date_past_30days"/>
            <filter val="imei_value_latest_90days"/>
            <filter val="usage_monthly_total_kb_data_used"/>
            <filter val="mobile_wallet_user_mode"/>
            <filter val="customer_contact_birth_date"/>
            <filter val="car_enthusiast_bucket"/>
            <filter val="usage_data_mb_past_mo1"/>
            <filter val="change_sim_3g_4g_indicator"/>
            <filter val="productivity_tools_user_details"/>
            <filter val="network_monthly_top_1_voice_location_province"/>
            <filter val="aspiring_chef_indicator"/>
            <filter val="postpaid_arpu_RC_60days"/>
            <filter val="latest_barring_date"/>
            <filter val="4g_upgrade_effectivity_date"/>
            <filter val="fraud_indicator"/>
            <filter val="main_address_id"/>
            <filter val="credit_card_user_mode"/>
            <filter val="lifestyle_app_details"/>
            <filter val="due_date"/>
            <filter val="international_roam_charge_average_amount_past_3mos"/>
            <filter val="multivariate_microsegment"/>
            <filter val="productivity_tools_user_bucket"/>
            <filter val="email_address_user"/>
            <filter val="postpaid_rightsizing_plan_data"/>
            <filter val="total_due_amount"/>
            <filter val="household_id"/>
            <filter val="loyalty_card_owner_indicator"/>
            <filter val="online_shopper_bucket"/>
            <filter val="bb_data_cap_value"/>
            <filter val="health_buff_details"/>
            <filter val="bpo_worker_top_apps"/>
            <filter val="avg_daily_latency_speed_3g_90days"/>
            <filter val="handset_brand_name_categorized"/>
            <filter val="main_billing_offer_id"/>
            <filter val="usage_sum_outbound_inter_voice_30days_mins"/>
            <filter val="usage_data_amount_timeblock5_past_90days"/>
            <filter val="superapp_mau_indicator"/>
            <filter val="travel_enthusiast_bucket"/>
            <filter val="online_learner_top_apps"/>
            <filter val="social_media_maverick_details"/>
            <filter val="network_monthly_top_1_data_location_region_code"/>
            <filter val="usage_top_loc_timeblock6_past_30days"/>
            <filter val="usage_data_amount_timeblock3_past_90days"/>
            <filter val="usage_data_amount_timeblock2_past_90days"/>
            <filter val="bpo_worker_indicator"/>
            <filter val="usage_top_loc_timeblock4_past_30days"/>
            <filter val="usage_top_loc_timeblock1_past_30days"/>
            <filter val="mdm_type_code"/>
            <filter val="usage_gcash_last_used_date_last_120days"/>
            <filter val="network_monthly_top_1_data_location_region"/>
            <filter val="local_entertainment_top_apps"/>
            <filter val="passion_point_entertainment_indicator"/>
            <filter val="account_credit_limit"/>
            <filter val="platinum_net_promoter_score"/>
            <filter val="sale_shopper_indicator"/>
            <filter val="availment_combo_latest_amount_past_30days"/>
            <filter val="core_billing_offer_desc"/>
            <filter val="liquor_lover_bucket"/>
            <filter val="mobility_index_average_baseline_weekend"/>
            <filter val="productivity_tools_user_total_data_usage_mb"/>
            <filter val="availment_mode_promo_amount_90days"/>
            <filter val="usage_data_mb_past_30days"/>
            <filter val="reload_latest_transaction_90days_date"/>
            <filter val="sim_serial_value"/>
            <filter val="network_monthly_top_1_location_town_code"/>
            <filter val="usage_gcash_transaction_count_last61_90days"/>
            <filter val="prepaid_spending_past_30days"/>
            <filter val="logistics_delivery_app_indicator"/>
            <filter val="job_hunter_details"/>
            <filter val="usage_vas_count_past_90days"/>
            <filter val="customer_contact_msisdn_value"/>
            <filter val="network_monthly_top_1_data_location_province"/>
            <filter val="sale_shopper_details"/>
            <filter val="assigned_handset_base_amount"/>
            <filter val="availment_combo_spend_past_30days"/>
            <filter val="usage_voice_intra_ppu_mins_90days"/>
            <filter val="usage_data_facebook_mb_past_30days"/>
            <filter val="multi_line_indicator"/>
            <filter val="network_monthly_top_1_data_location_town"/>
            <filter val="spending_segment"/>
            <filter val="video_streamer_details"/>
            <filter val="remaining_financial_account_credit_limit"/>
            <filter val="bb_installation_street_name"/>
            <filter val="usage_sms_roaming_ppu_amount_past_90days"/>
            <filter val="interaction_top_desc_count_30days"/>
            <filter val="online_reader_top_apps"/>
            <filter val="travel_enthusiast_top_apps"/>
            <filter val="insurance_caller_bucket"/>
            <filter val="usage_monthly_total_sms_sent"/>
            <filter val="assigned_handset_imei_value"/>
            <filter val="subscriber_contact_msisdn_value"/>
            <filter val="bb_app_active_user_30days_indicator"/>
            <filter val="usage_sms_inter_ppu_amount_90days"/>
            <filter val="tech_savvy_bucket"/>
            <filter val="restaurant_finder_indicator"/>
            <filter val="bb_segment"/>
            <filter val="online_reader_details"/>
            <filter val="network_element_name"/>
            <filter val="fashionista_details"/>
            <filter val="availment_data_amount_past_30days"/>
            <filter val="usage_sms_intra_consumable_count_90days"/>
            <filter val="online_seller_details"/>
            <filter val="household_segment"/>
            <filter val="availment_sms_bundle_exp_date_past_30days"/>
            <filter val="health_buff_bucket"/>
            <filter val="brand_sub_type_code"/>
            <filter val="foodie_online_delivery_top_apps"/>
            <filter val="prepaid_clv_overall_revenue"/>
            <filter val="postpaid_rightsizing_plan_msf"/>
            <filter val="online_seller_indicator"/>
            <filter val="usage_gcash_max_spent_amount_last_90days"/>
            <filter val="comics_reader_indicator"/>
            <filter val="home_latitude"/>
            <filter val="customer_preferred_contact_time"/>
            <filter val="caif_by_50pct_active_days_count_past_12mos"/>
            <filter val="insurance_app_indicator"/>
            <filter val="postpaid_arpu_90days"/>
            <filter val="insurance_caller_mode"/>
            <filter val="musician_details"/>
            <filter val="lifestyle_app_bucket"/>
            <filter val="comics_reader_top_apps"/>
            <filter val="postpaid_arpu_OC_90days"/>
            <filter val="availment_voice_latest_date_past_30days"/>
            <filter val="postpaid_arpu_OC_30days"/>
            <filter val="mobility_class_monthly"/>
            <filter val="network_monthly_top_1_voice_location_barangay_code"/>
            <filter val="postpaid_arpu_RC_90days"/>
            <filter val="social_media_maverick_top_apps"/>
            <filter val="clv_survival_mo24"/>
            <filter val="clv_survival_mo23"/>
            <filter val="clv_survival_mo22"/>
            <filter val="clv_survival_mo21"/>
            <filter val="network_monthly_top_1_voice_location_province_code"/>
            <filter val="globeone_first_reg_indicator"/>
            <filter val="online_freelancer_indicator"/>
            <filter val="productivity_tools_user_indicator"/>
            <filter val="primary_sim_indicator"/>
            <filter val="assigned_handset_model_name"/>
            <filter val="clv_survival_mo20"/>
            <filter val="book_worm_details"/>
            <filter val="contract_period_value"/>
            <filter val="usage_data_roaming_ppu_amount_past_90days"/>
            <filter val="tnvs_user_bucket"/>
            <filter val="billing_delivery_mode_code"/>
            <filter val="clv_survival_mo19"/>
            <filter val="clv_survival_mo18"/>
            <filter val="online_shopper_top_apps"/>
            <filter val="availment_data_amount_past_120days"/>
            <filter val="clv_survival_mo13"/>
            <filter val="usage_avg_data_quantity_p3m_bill_cycle_mb"/>
            <filter val="clv_survival_mo12"/>
            <filter val="clv_survival_mo11"/>
            <filter val="globeone_reload_count_7days"/>
            <filter val="caif_by_25pct_active_days_indicator"/>
            <filter val="usage_top_loc_timeblock6_past_60days"/>
            <filter val="clv_survival_mo10"/>
            <filter val="clv_survival_mo17"/>
            <filter val="clv_survival_mo16"/>
            <filter val="clv_survival_mo15"/>
            <filter val="clv_survival_mo14"/>
            <filter val="chi_value_score"/>
            <filter val="data_billing_offer_desc"/>
            <filter val="latest_collection_account_status_date"/>
            <filter val="tnvs_user_indicator"/>
            <filter val="arpu_value"/>
            <filter val="availment_data_count_past_30days"/>
            <filter val="usage_vas_ppu_count_past_90days"/>
            <filter val="usage_top_loc_timeblock1_past_60days"/>
            <filter val="network_monthly_top_1_location_town"/>
            <filter val="network_monthly_top_1_voice_location_region"/>
            <filter val="occupation_text_user_categorized"/>
            <filter val="usage_data_quantity_per_bill_cycle_mb"/>
            <filter val="previous_msf"/>
            <filter val="usage_data_amount_timeblock3_past_60days"/>
            <filter val="health_buff_indicator"/>
            <filter val="usage_gcash_transaction_count_last31_60days"/>
            <filter val="kid_friendly_app_user_bucket"/>
            <filter val="contract_type_description"/>
            <filter val="car_enthusiast_details"/>
            <filter val="international_shopper_top_apps"/>
            <filter val="interaction_top_desc_30days"/>
            <filter val="IMSI_number_value"/>
            <filter val="postpaid_rightsizing_tag"/>
            <filter val="usage_voice_inter_count_90days"/>
            <filter val="inactive_min_consec_days_past_90days"/>
            <filter val="thrifty_nanay_details"/>
            <filter val="arpu_category_code"/>
            <filter val="previous_contract_period_value"/>
            <filter val="handset_os_name_categorized"/>
            <filter val="customer_id"/>
            <filter val="car_dealer_caller_details"/>
            <filter val="bb_technology_value"/>
            <filter val="tnvs_user_details"/>
            <filter val="sim_device_migration_description"/>
            <filter val="basketball_fan_details"/>
            <filter val="crypto_wallet_user_top_apps"/>
            <filter val="lifetime_tenure_count"/>
            <filter val="usage_average_amount_past_120days"/>
            <filter val="online_seller_top1_app"/>
            <filter val="usage_data_amount_timeblock3_past_30days"/>
            <filter val="data_billing_offer_id"/>
            <filter val="availment_highest_denom_sku_90days"/>
            <filter val="usage_gcash_spent_amount_last_30days"/>
            <filter val="postpaid_current_gah_user_indicator"/>
            <filter val="usage_top_loc_timeblock6_past_90days"/>
            <filter val="hmo_member_top1_app"/>
            <filter val="prepaid_spending_arpu_past_90days"/>
            <filter val="derived_age_number_user"/>
            <filter val="usage_gcash_avg_transaction_count_last_90days"/>
            <filter val="affluence"/>
            <filter val="martial_arts_fan_indicator"/>
            <filter val="globeone_active_user_180days_indicator"/>
            <filter val="dating_around_bucket"/>
            <filter val="network_expansion_beyond_6mos_indicator"/>
            <filter val="loyalty_card_owner_details"/>
            <filter val="active_subscriber_1wk_indicator"/>
            <filter val="billing_offer_speed_mbps"/>
            <filter val="mobility_activity_entropy_monthly"/>
            <filter val="gross_service_revenue_indicative_amount_average_past_3mos"/>
            <filter val="bank_caller_indicator"/>
            <filter val="monthly_vas_UC"/>
            <filter val="network_expansion_6mos_indicator"/>
            <filter val="crypto_wallet_user_details"/>
            <filter val="aspiring_chef_details"/>
            <filter val="insurance_caller_indicator"/>
            <filter val="nps_detractor_indicator"/>
            <filter val="bill_number"/>
            <filter val="bpo_worker_details"/>
            <filter val="work_city_name"/>
            <filter val="network_monthly_top_1_voice_location_town"/>
            <filter val="digital_creative_top_apps"/>
            <filter val="gcash_user_consented_indicator"/>
            <filter val="availment_promo_count_past_30days"/>
            <filter val="health_conscious_indicator"/>
            <filter val="postpaid_arpu_OC_60days"/>
            <filter val="home_city_code"/>
            <filter val="spending_limit_amount"/>
            <filter val="network_monthly_top_1_sms_location_province_code"/>
            <filter val="postpaid_arpu_60days"/>
            <filter val="availment_data_count_past_120days"/>
            <filter val="fashionista_bucket"/>
            <filter val="postpaid_rightsizing_plan_id"/>
            <filter val="customer_preferred_contact_mode"/>
            <filter val="sim_lte_capable_indicator"/>
            <filter val="active_days_past_120days"/>
            <filter val="prepaid_spending_decline_past_90days"/>
            <filter val="work_barangay_name"/>
            <filter val="insurance_caller_details"/>
            <filter val="mobility_center_of_mass_latitude_monthly"/>
            <filter val="availment_no_poc_total_promo_amount_90days"/>
            <filter val="insurance_app_details"/>
            <filter val="billing_offer_desc"/>
            <filter val="usage_sms_roaming_consumable_count_past_90days"/>
            <filter val="no_pending_order_indicator"/>
            <filter val="news_pub_follower_details"/>
            <filter val="mds_journey2"/>
            <filter val="martial_arts_fan_bucket"/>
            <filter val="liquor_lover_top_apps"/>
            <filter val="ott_user_indicator"/>
            <filter val="birth_date_user"/>
            <filter val="beauty_skin_care_fan_bucket"/>
            <filter val="bb_data_sim_msisdn_value"/>
            <filter val="previous_billing_offer_desc"/>
            <filter val="unpaid_billed_amount"/>
            <filter val="payment_channel_mode_90days"/>
            <filter val="basketball_fan_top_apps"/>
            <filter val="superapp_redeem_nontelco_rewards_count_30days"/>
            <filter val="mobility_index_monthly"/>
            <filter val="health_conscious_details"/>
            <filter val="mobile_bridging_segment"/>
            <filter val="active_days_past_30days"/>
            <filter val="digital_creative_details"/>
            <filter val="usage_voice_roaming_ppu_mins_past_90days"/>
            <filter val="bb_download_speed_value_mbps"/>
            <filter val="latest_barring_reason"/>
            <filter val="usage_sms_intra_ppu_count_90days"/>
            <filter val="customer_facing_unit_type_code"/>
            <filter val="usage_data_count_past_120days"/>
            <filter val="home_barangay_code"/>
            <filter val="availment_data_bundle_exp_date_past_90days"/>
            <filter val="news_pub_follower_bucket"/>
            <filter val="musician_indicator"/>
            <filter val="coffee_lover_details"/>
            <filter val="usage_gcash_max_transaction_count_last_90days"/>
            <filter val="online_learner_indicator"/>
            <filter val="network_monthly_top_1_location_barangay"/>
            <filter val="interaction_ave_daily_duration_90days"/>
            <filter val="postpaid_churn_propensity_decile"/>
            <filter val="plant_parent_top_apps"/>
            <filter val="usage_total_amount_past_30days"/>
            <filter val="usage_monthly_vas_amount"/>
            <filter val="usage_vas_ppu_amount_past_90days"/>
            <filter val="customer_facing_unit_sub_type_code"/>
            <filter val="usage_data_count_past_90days"/>
            <filter val="prepaid_spending_decline_month_on_month"/>
            <filter val="usage_data_mb_rolling_120days_quantity"/>
            <filter val="mobility_radius_of_gyration_monthly"/>
            <filter val="insurance_top_apps"/>
            <filter val="womens_health_app_indicator"/>
            <filter val="prepaid_migration_propensity_decile"/>
            <filter val="foodie_online_delivery_bucket"/>
            <filter val="usage_voice_roaming_consumable_mins_past_90days"/>
            <filter val="monthly_excess_usage_fee_amount"/>
            <filter val="network_monthly_top_3_data_location_town"/>
            <filter val="usage_data_latest_date_past_120days"/>
            <filter val="beauty_skin_care_fan_top_apps"/>
            <filter val="open_service_request_count_30days"/>
            <filter val="subscriber_status_date"/>
            <filter val="clv_survival_quarterly_segment"/>
            <filter val="gcredit_user_indicator_last_120days"/>
            <filter val="availment_promo_decline_month_on_month"/>
            <filter val="occupation_text_categorized"/>
            <filter val="online_grocery_shopper_details"/>
            <filter val="subscriber_contact_landline_value"/>
            <filter val="mobility_index_average_baseline_weekday"/>
            <filter val="viber_user_indicator"/>
            <filter val="usage_sms_shift_indicator"/>
            <filter val="usage_sms_intra_ppu_amount_90days"/>
            <filter val="grab_driver_indicator"/>
            <filter val="bb_installation_city_name"/>
            <filter val="iot_user_top_apps"/>
            <filter val="usage_data_ppu_ave_amount_past_30days"/>
            <filter val="monthly_installment_oc"/>
            <filter val="online_seller_bucket"/>
            <filter val="top_data_cell_site_capability"/>
            <filter val="coffee_lover_indicator"/>
            <filter val="usage_top_loc_timeblock5_past_90days"/>
            <filter val="online_learner_details"/>
            <filter val="usage_top_loc_timeblock1_past_90days"/>
            <filter val="NPS_consistent_non_detractor_indicator"/>
            <filter val="passion_point_gaming_indicator"/>
            <filter val="globeone_promo_count_7days"/>
            <filter val="usage_top_loc_timeblock3_past_90days"/>
            <filter val="video_streamer_bucket"/>
            <filter val="availment_superapp_promo_count_30days"/>
            <filter val="online_gamer_details"/>
            <filter val="network_monthly_top_1_sms_location_province"/>
            <filter val="mobility_index_average_baseline_monthly"/>
            <filter val="platinum_subscriber_indicator"/>
            <filter val="dating_around_top_apps"/>
            <filter val="beauty_skin_care_fan_indicator"/>
            <filter val="bb_app_indicator"/>
            <filter val="platinum_net_promoter_score_indicator"/>
            <filter val="passion_point_social_indicator"/>
            <filter val="online_reader_indicator"/>
            <filter val="car_dealer_caller_indicator"/>
            <filter val="work_region_name"/>
            <filter val="video_streamer_top_apps"/>
            <filter val="content_creator_bucket"/>
            <filter val="online_gamer_bucket"/>
            <filter val="music_streamer_details"/>
            <filter val="missed_registration_score"/>
            <filter val="superapp_user_indicator"/>
            <filter val="last_name_user"/>
            <filter val="platinum_migration_arpu_12mos"/>
            <filter val="online_gamer_indicator"/>
            <filter val="bb_installation_building_name"/>
            <filter val="usage_data_consumable_mb_past_90days"/>
            <filter val="plant_parent_indicator"/>
            <filter val="product_type_description"/>
            <filter val="derived_age_number"/>
            <filter val="sim_tag"/>
            <filter val="globeone_reload_mode_amount_7days"/>
            <filter val="service_request_ave_tat_30days"/>
            <filter val="mobility_center_of_mass_longitude_monthly"/>
            <filter val="customer_contact_authorized_representative_name"/>
            <filter val="mds_journey"/>
            <filter val="sg_customer_segmentation"/>
            <filter val="4g_upgrade_indicator"/>
            <filter val="availment_promo_decline_past_90days"/>
            <filter val="handset_lte_capable_indicator"/>
            <filter val="usage_vas_consumable_count_past_90days"/>
            <filter val="customer_facing_unit_sub_type_description"/>
            <filter val="dito_website_visit_count_rolling_30days"/>
            <filter val="household_decision_tag"/>
            <filter val="avg_daily_dl_speed_3g_90days"/>
            <filter val="availment_voice_bundle_exp_date_past_30days"/>
            <filter val="customer_credit_limit"/>
            <filter val="sports_buddy_bucket"/>
            <filter val="civil_status_user"/>
            <filter val="network_monthly_top_1_voice_location_region_code"/>
            <filter val="tmapp_user_indicator"/>
            <filter val="age_bracket_name"/>
            <filter val="lifestage_aa"/>
            <filter val="comics_reader_details"/>
            <filter val="caif_by_50pct_active_days_indicator"/>
            <filter val="bb_installation_barangay_name"/>
            <filter val="gid_b2b"/>
            <filter val="gid_b2c"/>
            <filter val="usage_sms_roaming_ppu_count_past_90days"/>
            <filter val="local_entertainment_app_details"/>
            <filter val="inactive_avg_consec_days_last_90days"/>
            <filter val="core_revenue_average_amount_past_3mos"/>
            <filter val="usage_voice_roaming_count_past_90days"/>
            <filter val="interaction_top_channel_30days"/>
            <filter val="grab_driver_details"/>
            <filter val="usage_data_roaming_ppu_mb_past_90days"/>
            <filter val="subscriber_status_reason_key"/>
            <filter val="bb_plan_migration_type_value"/>
            <filter val="postpaid_arpu_UC_90days"/>
            <filter val="availment_sms_latest_date_past_30days"/>
            <filter val="address_zip_code"/>
            <filter val="usage_voice_roaming_ppu_amount_past_90days"/>
            <filter val="globeone_user_indicator"/>
            <filter val="productivity_tools_user_top_apps"/>
            <filter val="liquor_lover_details"/>
            <filter val="usage_data_amount_timeblock1_past_60days"/>
            <filter val="usage_data_amount_timeblock2_past_60days"/>
            <filter val="gross_service_revenue_indicative_amount_past_1mo"/>
            <filter val="usage_data_tiktok_mb_past_30days"/>
            <filter val="postpaid_bb_cross_sell_decile"/>
            <filter val="usage_data_amount_timeblock5_past_60days"/>
            <filter val="usage_data_amount_timeblock6_past_60days"/>
            <filter val="rewards_ussd_redemption_latest_date_90days"/>
            <filter val="brand_type_code"/>
            <filter val="occupation_text"/>
            <filter val="restaurant_finder_details"/>
            <filter val="health_conscious_bucket"/>
            <filter val="chi_happiness_score"/>
            <filter val="bank_caller_details"/>
            <filter val="international_shopper_bucket"/>
            <filter val="globeone_active_user_60days_indicator"/>
            <filter val="previous_brand_type_code"/>
            <filter val="days_past_due_bucket"/>
            <filter val="availment_amount_past_60days"/>
            <filter val="bb_installation_house_number"/>
            <filter val="usage_data_roaming_consumable_mb_past_90days"/>
            <filter val="NPS_topup_indicator"/>
            <filter val="interaction_count_30days"/>
            <filter val="womens_health_app_details"/>
            <filter val="online_reader_bucket"/>
            <filter val="restaurant_finder_bucket"/>
            <filter val="prepaid_spending_arpu_12weeks"/>
            <filter val="musician_top_apps"/>
            <filter val="home_region_name"/>
            <filter val="international_roam_charge_average_amount_past_2mos"/>
            <filter val="customer_contact_department_name"/>
            <filter val="area_prioritization_number"/>
            <filter val="clv_survival_quarterly_mo2"/>
            <filter val="clv_survival_quarterly_mo1"/>
            <filter val="availment_sms_latest_amount_past_30days"/>
            <filter val="clv_survival_quarterly_mo4"/>
            <filter val="news_pub_follower_top_apps"/>
            <filter val="clv_survival_quarterly_mo3"/>
            <filter val="tenure_count"/>
            <filter val="clv_survival_quarterly_mo6"/>
            <filter val="clv_survival_quarterly_mo5"/>
            <filter val="online_shopper_indicator"/>
            <filter val="road_warrior_details"/>
            <filter val="stock_trader_indicator"/>
            <filter val="digital_creative_indicator"/>
            <filter val="music_streamer_top_apps"/>
            <filter val="network_monthly_top_1_sms_location_town_code"/>
            <filter val="clv_survival_quarterly_mo8"/>
            <filter val="clv_survival_quarterly_mo7"/>
            <filter val="clv_survival_quarterly_mo9"/>
            <filter val="globe_website_visit_average_count_rolling_90days"/>
            <filter val="sale_shopper_bucket"/>
            <filter val="foodie_online_delivery_indicator"/>
            <filter val="bank_caller_mode"/>
            <filter val="bb_app_nominated_number_verified_indicator"/>
            <filter val="usage_top_loc_timeblock4_past_90days"/>
            <filter val="bpo_worker_bucket"/>
            <filter val="usage_voice_intra_ppu_amount_90days"/>
            <filter val="international_shopper_indicator"/>
            <filter val="bb_monthly_content_amount"/>
            <filter val="latest_collection_account_status_code"/>
            <filter val="bb_installation_postal_code"/>
            <filter val="social_media_maverick_bucket"/>
            <filter val="NPS_rewards_indicator"/>
            <filter val="passion_point_essentials_indicator"/>
            <filter val="bb_app_promo_amount_volume_booster_last_60days"/>
            <filter val="network_monthly_top_3_data_location_province"/>
            <filter val="gross_monthly_income_amount"/>
            <filter val="network_monthly_top_1_voice_location_town_code"/>
            <filter val="book_worm_bucket"/>
            <filter val="ott_user_top_apps"/>
            <filter val="postpaid_rightsizing_max_bill_90days"/>
            <filter val="globe_online_website_visit_count_rolling_30days"/>
            <filter val="loyalty_card_owner_mode"/>
            <filter val="usage_voice_inter_ppu_amount_90days"/>
            <filter val="job_hunter_indicator"/>
            <filter val="usage_voice_shift_indicator"/>
            <filter val="usage_data_ppu_ave_amount_past_120days"/>
            <filter val="usage_sms_intra_count_90days"/>
            <filter val="deposit_date"/>
            <filter val="customer_contact_first_name"/>
            <filter val="handset_os_name"/>
            <filter val="superapp_wau_indicator"/>
            <filter val="usage_data_ppu_amount_past_30days"/>
            <filter val="availment_data_days_past_90days"/>
            <filter val="mobility_index_daily"/>
            <filter val="kpop_fan_bucket"/>
            <filter val="usage_gcash_avg_spent_amount_last_90days"/>
            <filter val="chi_segment"/>
            <filter val="insurance_app_bucket"/>
            <filter val="remaining_subscriber_spending_limit"/>
            <filter val="aspiring_chef_bucket"/>
            <filter val="loyalty_card_owner_bucket"/>
            <filter val="usage_data_amount_timeblock4_past_90days"/>
            <filter val="owns_credit_card_indicator"/>
            <filter val="online_freelancer_details"/>
            <filter val="usage_data_amount_timeblock6_past_90days"/>
            <filter val="usage_data_rolling_90_days_mb"/>
            <filter val="customer_contact_last_name"/>
            <filter val="superapp_dau_indicator"/>
            <filter val="usage_top_loc_timeblock5_past_30days"/>
            <filter val="​caif_by_50pct_active_days_count_past_3mos"/>
            <filter val="usage_voice_intra_count_90days"/>
            <filter val="bb_app_data_amount_volume_booster_last_60days"/>
            <filter val="hpw_inactivity_score"/>
            <filter val="usage_data_amount_timeblock1_past_90days"/>
            <filter val="availment_no_poc_count_past_90days"/>
            <filter val="usage_top_loc_timeblock3_past_30days"/>
            <filter val="car_enthusiast_top_apps"/>
            <filter val="usage_top_loc_timeblock2_past_30days"/>
            <filter val="usage_average_data_quantity_rolling_90days_mb"/>
            <filter val="subscriber_status_code"/>
            <filter val="kid_friendly_top_apps"/>
            <filter val="last_promo_reg_date"/>
            <filter val="international_traveller_indicator"/>
            <filter val="gender_type_description_user"/>
            <filter val="total_paid_amount"/>
            <filter val="bb_data_sim_imsi_value"/>
            <filter val="usage_data_promo_latest_mb_past_90days"/>
            <filter val="telemedicine_details"/>
            <filter val="customer_contact_position"/>
            <filter val="address_house_bldg_name"/>
            <filter val="clv_overall_rank"/>
            <filter val="martial_arts_fan_top_apps"/>
            <filter val="crypto_wallet_user_indicator"/>
            <filter val="postpaid_arpu_UC_30days"/>
            <filter val="prepaid_spending_arpu_60days"/>
            <filter val="gambler_bucket"/>
            <filter val="gross_service_revenue_indicative_amount_average_past_2mos"/>
            <filter val="book_worm_top_apps"/>
            <filter val="video_streamer_indicator"/>
            <filter val="credit_card_user_bucket"/>
            <filter val="online_grocery_shopper_top_apps"/>
            <filter val="postpaid_churn_propensity_score"/>
            <filter val="home_city_name"/>
            <filter val="usage_gcash_spent_amount_last31_60days"/>
            <filter val="dating_around_details"/>
            <filter val="road_warrior_bucket"/>
            <filter val="sg_churn_propensity_decile"/>
            <filter val="coffee_lover_bucket"/>
            <filter val="online_learner_bucket"/>
            <filter val="credit_card_user_details"/>
            <filter val="work_city_code"/>
            <filter val="core_billing_offer_id"/>
            <filter val="availment_amount_past_30days"/>
            <filter val="platinum_migration_score"/>
            <filter val="network_expansion_3mos_indicator"/>
            <filter val="birth_date"/>
            <filter val="usage_data_rolling_30_days_quantity"/>
            <filter val="postpaid_arpu_RC_30days"/>
            <filter val="contract_start_date"/>
            <filter val="top_apps_burn"/>
            <filter val="credit_card_user_indicator"/>
            <filter val="network_monthly_top_1_location_province"/>
            <filter val="logistics_delivery_app_bucket"/>
            <filter val="owns_house_indicator"/>
            <filter val="availment_amount_past_120days"/>
            <filter val="availment_ave_days_between_promo_120days"/>
            <filter val="bb_app_promo_amount_volume_booster_last_30days"/>
            <filter val="avg_daily_latency_speed_lte_90days"/>
            <filter val="usage_data_active_days_past_30days"/>
            <filter val="psychographic_segment"/>
            <filter val="rewards_point_balance"/>
            <filter val="network_monthly_top_1_sms_location_town"/>
            <filter val="online_shopper_details"/>
            <filter val="remaining_contract_period_months"/>
            <filter val="total_amount"/>
            <filter val="travel_enthusiast_details"/>
            <filter val="bb_cabinet_id"/>
            <filter val="previous_contract_start_date"/>
            <filter val="content_creator_indicator"/>
            <filter val="bb_app_data_amount_volume_booster_last_30days"/>
            <filter val="lifestyle_app_indicator"/>
            <filter val="usage_data_shift_indicator"/>
            <filter val="availment_voice_latest_amount_past_30days"/>
            <filter val="bb_data_cap_freq_refresh_value"/>
            <filter val="interaction_top_channel_count_30days"/>
            <filter val="first_name_user"/>
            <filter val="tech_savvy_top_apps"/>
            <filter val="core_revenue_average_amount_past_2mos"/>
            <filter val="road_warrior_top_apps"/>
            <filter val="single_site_usage_indicator"/>
            <filter val="globeone_active_user_30days_indicator"/>
            <filter val="usage_data_roaming_count_past_90days"/>
            <filter val="chi_expectation_score"/>
            <filter val="availment_data_latest_amount_past_30days"/>
            <filter val="availment_promo_ave_past_90days"/>
            <filter val="gambler_top_apps"/>
            <filter val="network_monthly_top_1_data_location_barangay_code"/>
            <filter val="usage_voice_ppu_amount_past_90days"/>
            <filter val="usage_voice_ppu_amount_past_30days"/>
            <filter val="stock_trader_top_apps"/>
            <filter val="handset_manufacturer_name"/>
            <filter val="mobility_total_traveled_distance_weekly"/>
            <filter val="contract_type_code"/>
            <filter val="usage_sms_ppu_amount_past_90days"/>
            <filter val="sale_shopper_top_apps"/>
            <filter val="kid_friendly_app_user_details"/>
            <filter val="last_promo_expiry_date"/>
            <filter val="lifestyle_top_apps"/>
            <filter val="kpop_fan_top_apps"/>
            <filter val="address_barangay_name"/>
            <filter val="usage_voice_inter_ppu_mins_90days"/>
            <filter val="health_buff_top_apps"/>
            <filter val="home_location_urbanity_code"/>
            <filter val="prepaid_spending_arpu_120days"/>
            <filter val="postpaid_rightsizing_plan_name"/>
            <filter val="civil_status"/>
            <filter val="mobility_class_daily"/>
            <filter val="telemedicine_indicator"/>
            <filter val="inactive_max_consec_days_past_90days"/>
            <filter val="postpaid_contract_status_type"/>
            <filter val="home_province_name"/>
            <filter val="address_street_name"/>
            <filter val="superapp_share_count_30days"/>
            <filter val="msisdn_value"/>
            <filter val="home_barangay_name"/>
            <filter val="bb_plan_type_value"/>
            <filter val="network_monthly_top_1_data_location_province_code"/>
            <filter val="gambler_indicator"/>
            <filter val="bb_installation_province_name"/>
            <filter val="mobility_center_of_mass_longitude_weekly"/>
            <filter val="usage_top_loc_timeblock5_past_60days"/>
            <filter val="usage_data_active_days_past_90days"/>
            <filter val="online_banker_bucket"/>
            <filter val="bb_app_data_amount_volume_booster_last_90days"/>
            <filter val="middle_name_user"/>
            <filter val="sports_buddy_details"/>
            <filter val="handset_type_name"/>
            <filter val="usage_top_loc_timeblock2_past_60days"/>
            <filter val="owns_car_indicator"/>
            <filter val="sg_churn_propensity_score"/>
            <filter val="active_days_past_2days_indicator"/>
            <filter val="bb_distribution_point_id"/>
            <filter val="network_monthly_top_1_location_barangay_code"/>
            <filter val="beauty_skin_care_fan_details"/>
            <filter val="chi_indicator"/>
            <filter val="travel_enthusiast_indicator"/>
            <filter val="book_worm_indicator"/>
            <filter val="plant_parent_bucket"/>
            <filter val="grab_driver_bucket"/>
            <filter val="latest_surf_alert_status_30days"/>
            <filter val="lifestage"/>
            <filter val="usage_average_amount_past_30days"/>
            <filter val="music_streamer_indicator"/>
            <filter val="usage_data_amount_timeblock4_past_60days"/>
            <filter val="relational_nps_detractor_code"/>
            <filter val="mrf"/>
            <filter val="network_monthly_top_1_location_region_code"/>
            <filter val="availment_enhanced_past_4_clmweeks_indicator"/>
            <filter val="network_monthly_top_1_location_region"/>
            <filter val="usage_sms_inter_consumable_count_90days"/>
            <filter val="usage_sum_outbound_intra_voice_90days_mins"/>
            <filter val="age_bracket_name_user"/>
            <filter val="payment_category_description"/>
            <filter val="previous_balance_amount"/>
            <filter val="social_media_maverick_indicator"/>
            <filter val="usage_monthly_average_data_mb_past_90days"/>
            <filter val="postpaid_bb_cross_sell_score"/>
            <filter val="network_monthly_top_2_data_location_town"/>
            <filter val="home_longitude"/>
            <filter val="prepaid_spending_arpu_30days"/>
            <filter val="car_dealer_caller_mode"/>
            <filter val="usage_sms_inter_count_90days"/>
            <filter val="mobility_activity_entropy_weekly"/>
            <filter val="msf"/>
            <filter val="iot_user_details"/>
            <filter val="comics_reader_bucket"/>
            <filter val="aspiring_chef_top_apps"/>
            <filter val="globe_website_last_visit_date_rolling_90days"/>
            <filter val="last_data_ppu_date"/>
            <filter val="basketball_fan_bucket"/>
            <filter val="bb_app_nominated_email_verified_indicator"/>
            <filter val="thrifty_nanay_indicator"/>
            <filter val="last_core_ppu_date"/>
            <filter val="globeone_promo_mode_sku_7days"/>
            <filter val="active_latest_date_past_120days"/>
            <filter val="postpaid_arpu_UC_60days"/>
            <filter val="bb_previous_technology_value"/>
            <filter val="customer_contact_email_id"/>
            <filter val="hmo_member_indicator"/>
            <filter val="online_freelancer_bucket"/>
            <filter val="car_dealer_caller_bucket"/>
            <filter val="customer_facing_unit_type_description"/>
            <filter val="mobility_index_average_baseline_daily"/>
            <filter val="bank_caller_bucket"/>
            <filter val="car_enthusiast_indicator"/>
            <filter val="unbarred_by_payment_indicator"/>
            <filter val="usage_top_loc_timeblock2_past_90days"/>
            <filter val="gambler_details"/>
            <filter val="gender_type_description"/>
            <filter val="usage_data_delta_30days_60days_percent"/>
            <filter val="hmo_member_bucket"/>
            <filter val="liquor_lover_indicator"/>
            <filter val="usage_voice_inter_consumable_mins_90days"/>
            <filter val="period_coverage_end_date"/>
            <filter val="online_banker_indicator"/>
            <filter val="customer_contact_middle_name"/>
            <filter val="musician_bucket"/>
            <filter val="platinum_migration_decile"/>
            <filter val="dating_around_indicator"/>
            <filter val="restaurant_finder_top_apps"/>
            <filter val="online_gamer_top_apps"/>
            <filter val="avg_daily_dl_speed_lte_90days"/>
            <filter val="mobility_class_weekly"/>
            <filter val="spending_by_brand_bucket"/>
            <filter val="passion_point_sports_indicator"/>
            <filter val="financial_activities_amount"/>
            <filter val="middle_name"/>
            <filter val="job_hunter_bucket"/>
            <filter val="tech_savvy_details"/>
            <filter val="active_subscriber_indicator"/>
            <filter val="news_pub_follower_indicator"/>
            <filter val="hpw_inactivity_tag"/>
            <filter val="usage_sms_inter_ppu_count_90days"/>
            <filter val="martial_arts_fan_details"/>
            <filter val="mobility_index_weekly"/>
            <filter val="womens_health_app_bucket"/>
            <filter val="data_billing_offer_data_allocation"/>
          </filters>
        </filterColumn>
        <filterColumn colId="17">
          <filters>
            <filter val="reload_profile"/>
          </filters>
        </filterColumn>
      </autoFilter>
    </customSheetView>
    <customSheetView guid="{F49BD01F-F1D8-4C9A-B81C-2D842B37B535}" filter="1" showAutoFilter="1">
      <autoFilter ref="$A$1:$S$783"/>
    </customSheetView>
    <customSheetView guid="{1DAB321B-C9A5-41F1-8BE8-50629E57B4B4}" filter="1" showAutoFilter="1">
      <autoFilter ref="$A$1:$T$1050"/>
    </customSheetView>
    <customSheetView guid="{2998B474-13BD-47CC-90E7-D8162D7A4903}" filter="1" showAutoFilter="1">
      <autoFilter ref="$A$1:$T$1050"/>
    </customSheetView>
  </customSheetViews>
  <conditionalFormatting sqref="A1:A980 B1 A995:A1995">
    <cfRule type="expression" dxfId="0" priority="1">
      <formula>if(countif(A:A,A1)&gt;1,1,0)</formula>
    </cfRule>
  </conditionalFormatting>
  <conditionalFormatting sqref="A2:T980 A995:T1995">
    <cfRule type="expression" dxfId="1" priority="2">
      <formula>$A2="Y"</formula>
    </cfRule>
  </conditionalFormatting>
  <dataValidations>
    <dataValidation type="list" allowBlank="1" sqref="O341">
      <formula1>Reference!$B$1:$B$13</formula1>
    </dataValidation>
  </dataValidations>
  <hyperlinks>
    <hyperlink r:id="rId2" ref="H807"/>
  </hyperlinks>
  <printOptions gridLines="1" horizontalCentered="1"/>
  <pageMargins bottom="0.75" footer="0.0" header="0.0" left="0.7" right="0.7" top="0.75"/>
  <pageSetup fitToHeight="0" paperSize="14" cellComments="atEnd" orientation="landscape" pageOrder="overThenDown"/>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9.86"/>
    <col customWidth="1" min="2" max="2" width="19.43"/>
    <col customWidth="1" min="3" max="3" width="17.0"/>
    <col customWidth="1" min="4" max="4" width="18.43"/>
    <col customWidth="1" min="5" max="5" width="55.0"/>
    <col customWidth="1" min="15" max="16" width="15.86"/>
  </cols>
  <sheetData>
    <row r="1">
      <c r="A1" s="167" t="str">
        <f>IFERROR(__xludf.DUMMYFUNCTION("IMPORTRANGE(""https://docs.google.com/spreadsheets/d/1l-iYfI0QgEr79PyHxt6PzvSrO-8AcvmgKswY_DQKKlo/edit#gid=279667306"",""Subscriber Level - View!B:P"")"),"ATTRIBUTE NAME")</f>
        <v>ATTRIBUTE NAME</v>
      </c>
      <c r="B1" s="167" t="str">
        <f>IFERROR(__xludf.DUMMYFUNCTION("""COMPUTED_VALUE"""),"DATA CATEGORY")</f>
        <v>DATA CATEGORY</v>
      </c>
      <c r="C1" s="167" t="str">
        <f>IFERROR(__xludf.DUMMYFUNCTION("""COMPUTED_VALUE"""),"PII CATEGORY")</f>
        <v>PII CATEGORY</v>
      </c>
      <c r="D1" s="168" t="str">
        <f>IFERROR(__xludf.DUMMYFUNCTION("""COMPUTED_VALUE"""),"PII SUBCATEGORY")</f>
        <v>PII SUBCATEGORY</v>
      </c>
      <c r="E1" s="167" t="str">
        <f>IFERROR(__xludf.DUMMYFUNCTION("""COMPUTED_VALUE"""),"DEFINITION")</f>
        <v>DEFINITION</v>
      </c>
      <c r="F1" s="168" t="str">
        <f>IFERROR(__xludf.DUMMYFUNCTION("""COMPUTED_VALUE"""),"DERIVATION TYPE")</f>
        <v>DERIVATION TYPE</v>
      </c>
      <c r="G1" s="167" t="str">
        <f>IFERROR(__xludf.DUMMYFUNCTION("""COMPUTED_VALUE"""),"DATA TYPE")</f>
        <v>DATA TYPE</v>
      </c>
      <c r="H1" s="168" t="str">
        <f>IFERROR(__xludf.DUMMYFUNCTION("""COMPUTED_VALUE"""),"SAMPLE VALUES")</f>
        <v>SAMPLE VALUES</v>
      </c>
      <c r="I1" s="168" t="str">
        <f>IFERROR(__xludf.DUMMYFUNCTION("""COMPUTED_VALUE"""),"DATA OWNER")</f>
        <v>DATA OWNER</v>
      </c>
      <c r="J1" s="168" t="str">
        <f>IFERROR(__xludf.DUMMYFUNCTION("""COMPUTED_VALUE"""),"FREQUENCY OF REFRESH")</f>
        <v>FREQUENCY OF REFRESH</v>
      </c>
      <c r="K1" s="168" t="str">
        <f>IFERROR(__xludf.DUMMYFUNCTION("""COMPUTED_VALUE"""),"LATENCY")</f>
        <v>LATENCY</v>
      </c>
      <c r="L1" s="168" t="str">
        <f>IFERROR(__xludf.DUMMYFUNCTION("""COMPUTED_VALUE"""),"BRAND")</f>
        <v>BRAND</v>
      </c>
      <c r="M1" s="167" t="str">
        <f>IFERROR(__xludf.DUMMYFUNCTION("""COMPUTED_VALUE"""),"CFU")</f>
        <v>CFU</v>
      </c>
      <c r="N1" s="168" t="str">
        <f>IFERROR(__xludf.DUMMYFUNCTION("""COMPUTED_VALUE"""),"SUBJECT AREA")</f>
        <v>SUBJECT AREA</v>
      </c>
      <c r="O1" s="168" t="str">
        <f>IFERROR(__xludf.DUMMYFUNCTION("""COMPUTED_VALUE"""),"REDSHIFT TABLE")</f>
        <v>REDSHIFT TABLE</v>
      </c>
      <c r="P1" s="168"/>
    </row>
    <row r="2">
      <c r="A2" s="257" t="str">
        <f>IFERROR(__xludf.DUMMYFUNCTION("""COMPUTED_VALUE"""),"subscriber_id")</f>
        <v>subscriber_id</v>
      </c>
      <c r="B2" s="258" t="str">
        <f>IFERROR(__xludf.DUMMYFUNCTION("""COMPUTED_VALUE"""),"Globe ID")</f>
        <v>Globe ID</v>
      </c>
      <c r="C2" s="258" t="str">
        <f>IFERROR(__xludf.DUMMYFUNCTION("""COMPUTED_VALUE"""),"Non-PII")</f>
        <v>Non-PII</v>
      </c>
      <c r="D2" s="258" t="str">
        <f>IFERROR(__xludf.DUMMYFUNCTION("""COMPUTED_VALUE"""),"Non-PII")</f>
        <v>Non-PII</v>
      </c>
      <c r="E2" s="258" t="str">
        <f>IFERROR(__xludf.DUMMYFUNCTION("""COMPUTED_VALUE"""),"Unique subscriber identifier")</f>
        <v>Unique subscriber identifier</v>
      </c>
      <c r="F2" s="258" t="str">
        <f>IFERROR(__xludf.DUMMYFUNCTION("""COMPUTED_VALUE"""),"Direct Pull")</f>
        <v>Direct Pull</v>
      </c>
      <c r="G2" s="258" t="str">
        <f>IFERROR(__xludf.DUMMYFUNCTION("""COMPUTED_VALUE"""),"varchar(1000)")</f>
        <v>varchar(1000)</v>
      </c>
      <c r="H2" s="258">
        <f>IFERROR(__xludf.DUMMYFUNCTION("""COMPUTED_VALUE"""),5496688.0)</f>
        <v>5496688</v>
      </c>
      <c r="I2" s="258" t="str">
        <f>IFERROR(__xludf.DUMMYFUNCTION("""COMPUTED_VALUE"""),"EDO-UUP")</f>
        <v>EDO-UUP</v>
      </c>
      <c r="J2" s="258" t="str">
        <f>IFERROR(__xludf.DUMMYFUNCTION("""COMPUTED_VALUE"""),"Daily")</f>
        <v>Daily</v>
      </c>
      <c r="K2" s="258" t="str">
        <f>IFERROR(__xludf.DUMMYFUNCTION("""COMPUTED_VALUE"""),"day-1")</f>
        <v>day-1</v>
      </c>
      <c r="L2" s="258" t="str">
        <f>IFERROR(__xludf.DUMMYFUNCTION("""COMPUTED_VALUE"""),"GHP, GHP-PREPAID, TM, PW, GOMO, WIRELINE, BAYAN, GLOBE")</f>
        <v>GHP, GHP-PREPAID, TM, PW, GOMO, WIRELINE, BAYAN, GLOBE</v>
      </c>
      <c r="M2" s="258" t="str">
        <f>IFERROR(__xludf.DUMMYFUNCTION("""COMPUTED_VALUE"""),"Consumer, EG, SG, In house, IBG Traveler")</f>
        <v>Consumer, EG, SG, In house, IBG Traveler</v>
      </c>
      <c r="N2" s="258" t="str">
        <f>IFERROR(__xludf.DUMMYFUNCTION("""COMPUTED_VALUE"""),"customer")</f>
        <v>customer</v>
      </c>
      <c r="O2" s="258" t="str">
        <f>IFERROR(__xludf.DUMMYFUNCTION("""COMPUTED_VALUE"""),"customer_profile")</f>
        <v>customer_profile</v>
      </c>
      <c r="P2" s="258"/>
    </row>
    <row r="3">
      <c r="A3" s="257" t="str">
        <f>IFERROR(__xludf.DUMMYFUNCTION("""COMPUTED_VALUE"""),"msisdn_value")</f>
        <v>msisdn_value</v>
      </c>
      <c r="B3" s="258" t="str">
        <f>IFERROR(__xludf.DUMMYFUNCTION("""COMPUTED_VALUE"""),"Customer PII")</f>
        <v>Customer PII</v>
      </c>
      <c r="C3" s="258" t="str">
        <f>IFERROR(__xludf.DUMMYFUNCTION("""COMPUTED_VALUE"""),"Non-PII")</f>
        <v>Non-PII</v>
      </c>
      <c r="D3" s="258" t="str">
        <f>IFERROR(__xludf.DUMMYFUNCTION("""COMPUTED_VALUE"""),"Non-PII")</f>
        <v>Non-PII</v>
      </c>
      <c r="E3" s="258" t="str">
        <f>IFERROR(__xludf.DUMMYFUNCTION("""COMPUTED_VALUE"""),"Mobile number of the subscriber for wireless while for wireline it is the service ID/landline number")</f>
        <v>Mobile number of the subscriber for wireless while for wireline it is the service ID/landline number</v>
      </c>
      <c r="F3" s="258" t="str">
        <f>IFERROR(__xludf.DUMMYFUNCTION("""COMPUTED_VALUE"""),"Derived")</f>
        <v>Derived</v>
      </c>
      <c r="G3" s="258" t="str">
        <f>IFERROR(__xludf.DUMMYFUNCTION("""COMPUTED_VALUE"""),"varchar(1000)")</f>
        <v>varchar(1000)</v>
      </c>
      <c r="H3" s="258">
        <f>IFERROR(__xludf.DUMMYFUNCTION("""COMPUTED_VALUE"""),9.12E9)</f>
        <v>9120000000</v>
      </c>
      <c r="I3" s="258" t="str">
        <f>IFERROR(__xludf.DUMMYFUNCTION("""COMPUTED_VALUE"""),"NTG-CPEI")</f>
        <v>NTG-CPEI</v>
      </c>
      <c r="J3" s="258" t="str">
        <f>IFERROR(__xludf.DUMMYFUNCTION("""COMPUTED_VALUE"""),"Daily")</f>
        <v>Daily</v>
      </c>
      <c r="K3" s="258" t="str">
        <f>IFERROR(__xludf.DUMMYFUNCTION("""COMPUTED_VALUE"""),"")</f>
        <v/>
      </c>
      <c r="L3" s="258" t="str">
        <f>IFERROR(__xludf.DUMMYFUNCTION("""COMPUTED_VALUE"""),"GHP, GHP-PREPAID, TM, PW, GOMO, WIRELINE, BAYAN, GLOBE")</f>
        <v>GHP, GHP-PREPAID, TM, PW, GOMO, WIRELINE, BAYAN, GLOBE</v>
      </c>
      <c r="M3" s="258" t="str">
        <f>IFERROR(__xludf.DUMMYFUNCTION("""COMPUTED_VALUE"""),"Consumer, EG, SG, In house, IBG Traveler")</f>
        <v>Consumer, EG, SG, In house, IBG Traveler</v>
      </c>
      <c r="N3" s="258" t="str">
        <f>IFERROR(__xludf.DUMMYFUNCTION("""COMPUTED_VALUE"""),"customer")</f>
        <v>customer</v>
      </c>
      <c r="O3" s="258" t="str">
        <f>IFERROR(__xludf.DUMMYFUNCTION("""COMPUTED_VALUE"""),"customer_profile")</f>
        <v>customer_profile</v>
      </c>
      <c r="P3" s="258"/>
    </row>
    <row r="4">
      <c r="A4" s="257" t="str">
        <f>IFERROR(__xludf.DUMMYFUNCTION("""COMPUTED_VALUE"""),"IMSI_number_value")</f>
        <v>IMSI_number_value</v>
      </c>
      <c r="B4" s="258" t="str">
        <f>IFERROR(__xludf.DUMMYFUNCTION("""COMPUTED_VALUE"""),"Customer PII - Masked")</f>
        <v>Customer PII - Masked</v>
      </c>
      <c r="C4" s="258" t="str">
        <f>IFERROR(__xludf.DUMMYFUNCTION("""COMPUTED_VALUE"""),"Customer PII - Masked")</f>
        <v>Customer PII - Masked</v>
      </c>
      <c r="D4" s="258" t="str">
        <f>IFERROR(__xludf.DUMMYFUNCTION("""COMPUTED_VALUE"""),"Device")</f>
        <v>Device</v>
      </c>
      <c r="E4" s="258" t="str">
        <f>IFERROR(__xludf.DUMMYFUNCTION("""COMPUTED_VALUE"""),"Unique identifier of the SIM card")</f>
        <v>Unique identifier of the SIM card</v>
      </c>
      <c r="F4" s="258" t="str">
        <f>IFERROR(__xludf.DUMMYFUNCTION("""COMPUTED_VALUE"""),"Direct Pull")</f>
        <v>Direct Pull</v>
      </c>
      <c r="G4" s="258" t="str">
        <f>IFERROR(__xludf.DUMMYFUNCTION("""COMPUTED_VALUE"""),"bigint")</f>
        <v>bigint</v>
      </c>
      <c r="H4" s="258">
        <f>IFERROR(__xludf.DUMMYFUNCTION("""COMPUTED_VALUE"""),5.15020218394544E14)</f>
        <v>515020218394544</v>
      </c>
      <c r="I4" s="258" t="str">
        <f>IFERROR(__xludf.DUMMYFUNCTION("""COMPUTED_VALUE"""),"CMG")</f>
        <v>CMG</v>
      </c>
      <c r="J4" s="258" t="str">
        <f>IFERROR(__xludf.DUMMYFUNCTION("""COMPUTED_VALUE"""),"Daily")</f>
        <v>Daily</v>
      </c>
      <c r="K4" s="258" t="str">
        <f>IFERROR(__xludf.DUMMYFUNCTION("""COMPUTED_VALUE"""),"day-1")</f>
        <v>day-1</v>
      </c>
      <c r="L4" s="258" t="str">
        <f>IFERROR(__xludf.DUMMYFUNCTION("""COMPUTED_VALUE"""),"GHP, GHP-PREPAID, TM, PW, GOMO, WIRELINE")</f>
        <v>GHP, GHP-PREPAID, TM, PW, GOMO, WIRELINE</v>
      </c>
      <c r="M4" s="258" t="str">
        <f>IFERROR(__xludf.DUMMYFUNCTION("""COMPUTED_VALUE"""),"Consumer, EG, SG, In house, IBG Traveler")</f>
        <v>Consumer, EG, SG, In house, IBG Traveler</v>
      </c>
      <c r="N4" s="258" t="str">
        <f>IFERROR(__xludf.DUMMYFUNCTION("""COMPUTED_VALUE"""),"customer")</f>
        <v>customer</v>
      </c>
      <c r="O4" s="258" t="str">
        <f>IFERROR(__xludf.DUMMYFUNCTION("""COMPUTED_VALUE"""),"customer_profile")</f>
        <v>customer_profile</v>
      </c>
      <c r="P4" s="258"/>
    </row>
    <row r="5">
      <c r="A5" s="257" t="str">
        <f>IFERROR(__xludf.DUMMYFUNCTION("""COMPUTED_VALUE"""),"activation_date")</f>
        <v>activation_date</v>
      </c>
      <c r="B5" s="258" t="str">
        <f>IFERROR(__xludf.DUMMYFUNCTION("""COMPUTED_VALUE"""),"Globe ID")</f>
        <v>Globe ID</v>
      </c>
      <c r="C5" s="258" t="str">
        <f>IFERROR(__xludf.DUMMYFUNCTION("""COMPUTED_VALUE"""),"Non-PII")</f>
        <v>Non-PII</v>
      </c>
      <c r="D5" s="258" t="str">
        <f>IFERROR(__xludf.DUMMYFUNCTION("""COMPUTED_VALUE"""),"Non-PII")</f>
        <v>Non-PII</v>
      </c>
      <c r="E5" s="258" t="str">
        <f>IFERROR(__xludf.DUMMYFUNCTION("""COMPUTED_VALUE"""),"Date when the sim card is activated")</f>
        <v>Date when the sim card is activated</v>
      </c>
      <c r="F5" s="258" t="str">
        <f>IFERROR(__xludf.DUMMYFUNCTION("""COMPUTED_VALUE"""),"Direct Pull")</f>
        <v>Direct Pull</v>
      </c>
      <c r="G5" s="258" t="str">
        <f>IFERROR(__xludf.DUMMYFUNCTION("""COMPUTED_VALUE"""),"timestamp")</f>
        <v>timestamp</v>
      </c>
      <c r="H5" s="258">
        <f>IFERROR(__xludf.DUMMYFUNCTION("""COMPUTED_VALUE"""),40469.62163)</f>
        <v>40469.62163</v>
      </c>
      <c r="I5" s="258" t="str">
        <f>IFERROR(__xludf.DUMMYFUNCTION("""COMPUTED_VALUE"""),"EDO-UUP")</f>
        <v>EDO-UUP</v>
      </c>
      <c r="J5" s="258" t="str">
        <f>IFERROR(__xludf.DUMMYFUNCTION("""COMPUTED_VALUE"""),"Daily")</f>
        <v>Daily</v>
      </c>
      <c r="K5" s="258" t="str">
        <f>IFERROR(__xludf.DUMMYFUNCTION("""COMPUTED_VALUE"""),"")</f>
        <v/>
      </c>
      <c r="L5" s="258" t="str">
        <f>IFERROR(__xludf.DUMMYFUNCTION("""COMPUTED_VALUE"""),"GHP, GHP-PREPAID, TM, PW, GOMO, WIRELINE, BAYAN, GLOBE")</f>
        <v>GHP, GHP-PREPAID, TM, PW, GOMO, WIRELINE, BAYAN, GLOBE</v>
      </c>
      <c r="M5" s="258" t="str">
        <f>IFERROR(__xludf.DUMMYFUNCTION("""COMPUTED_VALUE"""),"Consumer, EG, SG, In house, IBG Traveler")</f>
        <v>Consumer, EG, SG, In house, IBG Traveler</v>
      </c>
      <c r="N5" s="258" t="str">
        <f>IFERROR(__xludf.DUMMYFUNCTION("""COMPUTED_VALUE"""),"customer")</f>
        <v>customer</v>
      </c>
      <c r="O5" s="258" t="str">
        <f>IFERROR(__xludf.DUMMYFUNCTION("""COMPUTED_VALUE"""),"customer_profile")</f>
        <v>customer_profile</v>
      </c>
      <c r="P5" s="258"/>
    </row>
    <row r="6">
      <c r="A6" s="257" t="str">
        <f>IFERROR(__xludf.DUMMYFUNCTION("""COMPUTED_VALUE"""),"main_billing_offer_id")</f>
        <v>main_billing_offer_id</v>
      </c>
      <c r="B6" s="258" t="str">
        <f>IFERROR(__xludf.DUMMYFUNCTION("""COMPUTED_VALUE"""),"Globe ID")</f>
        <v>Globe ID</v>
      </c>
      <c r="C6" s="258" t="str">
        <f>IFERROR(__xludf.DUMMYFUNCTION("""COMPUTED_VALUE"""),"Non-PII")</f>
        <v>Non-PII</v>
      </c>
      <c r="D6" s="258" t="str">
        <f>IFERROR(__xludf.DUMMYFUNCTION("""COMPUTED_VALUE"""),"Non-PII")</f>
        <v>Non-PII</v>
      </c>
      <c r="E6" s="258" t="str">
        <f>IFERROR(__xludf.DUMMYFUNCTION("""COMPUTED_VALUE"""),"The unique identifier of the main billing offer associated with the transaction.")</f>
        <v>The unique identifier of the main billing offer associated with the transaction.</v>
      </c>
      <c r="F6" s="258" t="str">
        <f>IFERROR(__xludf.DUMMYFUNCTION("""COMPUTED_VALUE"""),"Direct Pull")</f>
        <v>Direct Pull</v>
      </c>
      <c r="G6" s="258" t="str">
        <f>IFERROR(__xludf.DUMMYFUNCTION("""COMPUTED_VALUE"""),"varchar(1000)")</f>
        <v>varchar(1000)</v>
      </c>
      <c r="H6" s="258">
        <f>IFERROR(__xludf.DUMMYFUNCTION("""COMPUTED_VALUE"""),1.2072423E7)</f>
        <v>12072423</v>
      </c>
      <c r="I6" s="258" t="str">
        <f>IFERROR(__xludf.DUMMYFUNCTION("""COMPUTED_VALUE"""),"EDO-UUP")</f>
        <v>EDO-UUP</v>
      </c>
      <c r="J6" s="258" t="str">
        <f>IFERROR(__xludf.DUMMYFUNCTION("""COMPUTED_VALUE"""),"Daily")</f>
        <v>Daily</v>
      </c>
      <c r="K6" s="258" t="str">
        <f>IFERROR(__xludf.DUMMYFUNCTION("""COMPUTED_VALUE"""),"")</f>
        <v/>
      </c>
      <c r="L6" s="258" t="str">
        <f>IFERROR(__xludf.DUMMYFUNCTION("""COMPUTED_VALUE"""),"GHP, GHP-PREPAID, TM, PW, WIRELINE, BAYAN, GLOBE")</f>
        <v>GHP, GHP-PREPAID, TM, PW, WIRELINE, BAYAN, GLOBE</v>
      </c>
      <c r="M6" s="258" t="str">
        <f>IFERROR(__xludf.DUMMYFUNCTION("""COMPUTED_VALUE"""),"Consumer, EG, SG, In house, IBG Traveler")</f>
        <v>Consumer, EG, SG, In house, IBG Traveler</v>
      </c>
      <c r="N6" s="258" t="str">
        <f>IFERROR(__xludf.DUMMYFUNCTION("""COMPUTED_VALUE"""),"product")</f>
        <v>product</v>
      </c>
      <c r="O6" s="258" t="str">
        <f>IFERROR(__xludf.DUMMYFUNCTION("""COMPUTED_VALUE"""),"product_profile")</f>
        <v>product_profile</v>
      </c>
      <c r="P6" s="258"/>
    </row>
    <row r="7">
      <c r="A7" s="257" t="str">
        <f>IFERROR(__xludf.DUMMYFUNCTION("""COMPUTED_VALUE"""),"payment_category_code")</f>
        <v>payment_category_code</v>
      </c>
      <c r="B7" s="258" t="str">
        <f>IFERROR(__xludf.DUMMYFUNCTION("""COMPUTED_VALUE"""),"Globe ID")</f>
        <v>Globe ID</v>
      </c>
      <c r="C7" s="258" t="str">
        <f>IFERROR(__xludf.DUMMYFUNCTION("""COMPUTED_VALUE"""),"Non-PII")</f>
        <v>Non-PII</v>
      </c>
      <c r="D7" s="258" t="str">
        <f>IFERROR(__xludf.DUMMYFUNCTION("""COMPUTED_VALUE"""),"Non-PII")</f>
        <v>Non-PII</v>
      </c>
      <c r="E7" s="258" t="str">
        <f>IFERROR(__xludf.DUMMYFUNCTION("""COMPUTED_VALUE"""),"Code that refers to the plan type of the subscriber
  Valid values:
  BOTH - Prepaid and Postpaid
  PRE - Prepaid
  POST - Postpaid")</f>
        <v>Code that refers to the plan type of the subscriber
  Valid values:
  BOTH - Prepaid and Postpaid
  PRE - Prepaid
  POST - Postpaid</v>
      </c>
      <c r="F7" s="258" t="str">
        <f>IFERROR(__xludf.DUMMYFUNCTION("""COMPUTED_VALUE"""),"Direct Pull")</f>
        <v>Direct Pull</v>
      </c>
      <c r="G7" s="258" t="str">
        <f>IFERROR(__xludf.DUMMYFUNCTION("""COMPUTED_VALUE"""),"varchar(1000)")</f>
        <v>varchar(1000)</v>
      </c>
      <c r="H7" s="258" t="str">
        <f>IFERROR(__xludf.DUMMYFUNCTION("""COMPUTED_VALUE"""),"PRE")</f>
        <v>PRE</v>
      </c>
      <c r="I7" s="258" t="str">
        <f>IFERROR(__xludf.DUMMYFUNCTION("""COMPUTED_VALUE"""),"EDO-UUP")</f>
        <v>EDO-UUP</v>
      </c>
      <c r="J7" s="258" t="str">
        <f>IFERROR(__xludf.DUMMYFUNCTION("""COMPUTED_VALUE"""),"Daily")</f>
        <v>Daily</v>
      </c>
      <c r="K7" s="258" t="str">
        <f>IFERROR(__xludf.DUMMYFUNCTION("""COMPUTED_VALUE"""),"")</f>
        <v/>
      </c>
      <c r="L7" s="258" t="str">
        <f>IFERROR(__xludf.DUMMYFUNCTION("""COMPUTED_VALUE"""),"GHP, GHP-PREPAID, TM, PW, GOMO, WIRELINE, BAYAN, GLOBE")</f>
        <v>GHP, GHP-PREPAID, TM, PW, GOMO, WIRELINE, BAYAN, GLOBE</v>
      </c>
      <c r="M7" s="258" t="str">
        <f>IFERROR(__xludf.DUMMYFUNCTION("""COMPUTED_VALUE"""),"Consumer, EG, SG, In house, IBG Traveler")</f>
        <v>Consumer, EG, SG, In house, IBG Traveler</v>
      </c>
      <c r="N7" s="258" t="str">
        <f>IFERROR(__xludf.DUMMYFUNCTION("""COMPUTED_VALUE"""),"payment")</f>
        <v>payment</v>
      </c>
      <c r="O7" s="258" t="str">
        <f>IFERROR(__xludf.DUMMYFUNCTION("""COMPUTED_VALUE"""),"payment_profile")</f>
        <v>payment_profile</v>
      </c>
      <c r="P7" s="258"/>
    </row>
    <row r="8">
      <c r="A8" s="257" t="str">
        <f>IFERROR(__xludf.DUMMYFUNCTION("""COMPUTED_VALUE"""),"customer_facing_unit_type_code")</f>
        <v>customer_facing_unit_type_code</v>
      </c>
      <c r="B8" s="258" t="str">
        <f>IFERROR(__xludf.DUMMYFUNCTION("""COMPUTED_VALUE"""),"Globe ID")</f>
        <v>Globe ID</v>
      </c>
      <c r="C8" s="258" t="str">
        <f>IFERROR(__xludf.DUMMYFUNCTION("""COMPUTED_VALUE"""),"Non-PII")</f>
        <v>Non-PII</v>
      </c>
      <c r="D8" s="258" t="str">
        <f>IFERROR(__xludf.DUMMYFUNCTION("""COMPUTED_VALUE"""),"Non-PII")</f>
        <v>Non-PII</v>
      </c>
      <c r="E8" s="258" t="str">
        <f>IFERROR(__xludf.DUMMYFUNCTION("""COMPUTED_VALUE"""),"Code that refers to which Customer Facing Unit (business) the customer is tagged.
  Valid Values:
  C - Consumer
  E - Enterprise
  S - Small and Medium Business
  I - In House")</f>
        <v>Code that refers to which Customer Facing Unit (business) the customer is tagged.
  Valid Values:
  C - Consumer
  E - Enterprise
  S - Small and Medium Business
  I - In House</v>
      </c>
      <c r="F8" s="258" t="str">
        <f>IFERROR(__xludf.DUMMYFUNCTION("""COMPUTED_VALUE"""),"Direct Pull / Derived")</f>
        <v>Direct Pull / Derived</v>
      </c>
      <c r="G8" s="258" t="str">
        <f>IFERROR(__xludf.DUMMYFUNCTION("""COMPUTED_VALUE"""),"varchar(1000)")</f>
        <v>varchar(1000)</v>
      </c>
      <c r="H8" s="258" t="str">
        <f>IFERROR(__xludf.DUMMYFUNCTION("""COMPUTED_VALUE"""),"C")</f>
        <v>C</v>
      </c>
      <c r="I8" s="258" t="str">
        <f>IFERROR(__xludf.DUMMYFUNCTION("""COMPUTED_VALUE"""),"EDO-UUP")</f>
        <v>EDO-UUP</v>
      </c>
      <c r="J8" s="258" t="str">
        <f>IFERROR(__xludf.DUMMYFUNCTION("""COMPUTED_VALUE"""),"Daily")</f>
        <v>Daily</v>
      </c>
      <c r="K8" s="258" t="str">
        <f>IFERROR(__xludf.DUMMYFUNCTION("""COMPUTED_VALUE"""),"day-1")</f>
        <v>day-1</v>
      </c>
      <c r="L8" s="258" t="str">
        <f>IFERROR(__xludf.DUMMYFUNCTION("""COMPUTED_VALUE"""),"GHP, GHP-PREPAID, TM, PW, GOMO, WIRELINE, BAYAN, GLOBE")</f>
        <v>GHP, GHP-PREPAID, TM, PW, GOMO, WIRELINE, BAYAN, GLOBE</v>
      </c>
      <c r="M8" s="258" t="str">
        <f>IFERROR(__xludf.DUMMYFUNCTION("""COMPUTED_VALUE"""),"Consumer, EG, SG, In house, IBG Traveler")</f>
        <v>Consumer, EG, SG, In house, IBG Traveler</v>
      </c>
      <c r="N8" s="258" t="str">
        <f>IFERROR(__xludf.DUMMYFUNCTION("""COMPUTED_VALUE"""),"customer")</f>
        <v>customer</v>
      </c>
      <c r="O8" s="258" t="str">
        <f>IFERROR(__xludf.DUMMYFUNCTION("""COMPUTED_VALUE"""),"customer_profile")</f>
        <v>customer_profile</v>
      </c>
      <c r="P8" s="258"/>
    </row>
    <row r="9">
      <c r="A9" s="257" t="str">
        <f>IFERROR(__xludf.DUMMYFUNCTION("""COMPUTED_VALUE"""),"main_address_id")</f>
        <v>main_address_id</v>
      </c>
      <c r="B9" s="258" t="str">
        <f>IFERROR(__xludf.DUMMYFUNCTION("""COMPUTED_VALUE"""),"Globe ID")</f>
        <v>Globe ID</v>
      </c>
      <c r="C9" s="258" t="str">
        <f>IFERROR(__xludf.DUMMYFUNCTION("""COMPUTED_VALUE"""),"Non-PII")</f>
        <v>Non-PII</v>
      </c>
      <c r="D9" s="258" t="str">
        <f>IFERROR(__xludf.DUMMYFUNCTION("""COMPUTED_VALUE"""),"Non-PII")</f>
        <v>Non-PII</v>
      </c>
      <c r="E9" s="258" t="str">
        <f>IFERROR(__xludf.DUMMYFUNCTION("""COMPUTED_VALUE"""),"Subscriber address code")</f>
        <v>Subscriber address code</v>
      </c>
      <c r="F9" s="258" t="str">
        <f>IFERROR(__xludf.DUMMYFUNCTION("""COMPUTED_VALUE"""),"Direct Pull")</f>
        <v>Direct Pull</v>
      </c>
      <c r="G9" s="258" t="str">
        <f>IFERROR(__xludf.DUMMYFUNCTION("""COMPUTED_VALUE"""),"varchar(1000)")</f>
        <v>varchar(1000)</v>
      </c>
      <c r="H9" s="258" t="str">
        <f>IFERROR(__xludf.DUMMYFUNCTION("""COMPUTED_VALUE"""),"A608618972")</f>
        <v>A608618972</v>
      </c>
      <c r="I9" s="258" t="str">
        <f>IFERROR(__xludf.DUMMYFUNCTION("""COMPUTED_VALUE"""),"EDO-UUP")</f>
        <v>EDO-UUP</v>
      </c>
      <c r="J9" s="258" t="str">
        <f>IFERROR(__xludf.DUMMYFUNCTION("""COMPUTED_VALUE"""),"Daily")</f>
        <v>Daily</v>
      </c>
      <c r="K9" s="258" t="str">
        <f>IFERROR(__xludf.DUMMYFUNCTION("""COMPUTED_VALUE"""),"")</f>
        <v/>
      </c>
      <c r="L9" s="258" t="str">
        <f>IFERROR(__xludf.DUMMYFUNCTION("""COMPUTED_VALUE"""),"GHP, GHP-PREPAID, TM, PW, WIRELINE")</f>
        <v>GHP, GHP-PREPAID, TM, PW, WIRELINE</v>
      </c>
      <c r="M9" s="258" t="str">
        <f>IFERROR(__xludf.DUMMYFUNCTION("""COMPUTED_VALUE"""),"Consumer, EG, SG, In house, IBG Traveler")</f>
        <v>Consumer, EG, SG, In house, IBG Traveler</v>
      </c>
      <c r="N9" s="258" t="str">
        <f>IFERROR(__xludf.DUMMYFUNCTION("""COMPUTED_VALUE"""),"customer")</f>
        <v>customer</v>
      </c>
      <c r="O9" s="258" t="str">
        <f>IFERROR(__xludf.DUMMYFUNCTION("""COMPUTED_VALUE"""),"customer_profile")</f>
        <v>customer_profile</v>
      </c>
      <c r="P9" s="258"/>
    </row>
    <row r="10">
      <c r="A10" s="257" t="str">
        <f>IFERROR(__xludf.DUMMYFUNCTION("""COMPUTED_VALUE"""),"main_contact_id")</f>
        <v>main_contact_id</v>
      </c>
      <c r="B10" s="258" t="str">
        <f>IFERROR(__xludf.DUMMYFUNCTION("""COMPUTED_VALUE"""),"Globe ID")</f>
        <v>Globe ID</v>
      </c>
      <c r="C10" s="258" t="str">
        <f>IFERROR(__xludf.DUMMYFUNCTION("""COMPUTED_VALUE"""),"Non-PII")</f>
        <v>Non-PII</v>
      </c>
      <c r="D10" s="258" t="str">
        <f>IFERROR(__xludf.DUMMYFUNCTION("""COMPUTED_VALUE"""),"Non-PII")</f>
        <v>Non-PII</v>
      </c>
      <c r="E10" s="258" t="str">
        <f>IFERROR(__xludf.DUMMYFUNCTION("""COMPUTED_VALUE"""),"Subscriber contact code")</f>
        <v>Subscriber contact code</v>
      </c>
      <c r="F10" s="258" t="str">
        <f>IFERROR(__xludf.DUMMYFUNCTION("""COMPUTED_VALUE"""),"Direct Pull")</f>
        <v>Direct Pull</v>
      </c>
      <c r="G10" s="258" t="str">
        <f>IFERROR(__xludf.DUMMYFUNCTION("""COMPUTED_VALUE"""),"varchar(1000)")</f>
        <v>varchar(1000)</v>
      </c>
      <c r="H10" s="258">
        <f>IFERROR(__xludf.DUMMYFUNCTION("""COMPUTED_VALUE"""),2537254.0)</f>
        <v>2537254</v>
      </c>
      <c r="I10" s="258" t="str">
        <f>IFERROR(__xludf.DUMMYFUNCTION("""COMPUTED_VALUE"""),"EDO-UUP")</f>
        <v>EDO-UUP</v>
      </c>
      <c r="J10" s="258" t="str">
        <f>IFERROR(__xludf.DUMMYFUNCTION("""COMPUTED_VALUE"""),"Daily")</f>
        <v>Daily</v>
      </c>
      <c r="K10" s="258" t="str">
        <f>IFERROR(__xludf.DUMMYFUNCTION("""COMPUTED_VALUE"""),"")</f>
        <v/>
      </c>
      <c r="L10" s="258" t="str">
        <f>IFERROR(__xludf.DUMMYFUNCTION("""COMPUTED_VALUE"""),"GHP, GHP-PREPAID, TM, PW, WIRELINE")</f>
        <v>GHP, GHP-PREPAID, TM, PW, WIRELINE</v>
      </c>
      <c r="M10" s="258" t="str">
        <f>IFERROR(__xludf.DUMMYFUNCTION("""COMPUTED_VALUE"""),"Consumer, EG, SG, In house, IBG Traveler")</f>
        <v>Consumer, EG, SG, In house, IBG Traveler</v>
      </c>
      <c r="N10" s="258" t="str">
        <f>IFERROR(__xludf.DUMMYFUNCTION("""COMPUTED_VALUE"""),"customer")</f>
        <v>customer</v>
      </c>
      <c r="O10" s="258" t="str">
        <f>IFERROR(__xludf.DUMMYFUNCTION("""COMPUTED_VALUE"""),"customer_profile")</f>
        <v>customer_profile</v>
      </c>
      <c r="P10" s="258"/>
    </row>
    <row r="11">
      <c r="A11" s="257" t="str">
        <f>IFERROR(__xludf.DUMMYFUNCTION("""COMPUTED_VALUE"""),"brand_sub_type_code")</f>
        <v>brand_sub_type_code</v>
      </c>
      <c r="B11" s="258" t="str">
        <f>IFERROR(__xludf.DUMMYFUNCTION("""COMPUTED_VALUE"""),"Globe ID")</f>
        <v>Globe ID</v>
      </c>
      <c r="C11" s="258" t="str">
        <f>IFERROR(__xludf.DUMMYFUNCTION("""COMPUTED_VALUE"""),"Non-PII")</f>
        <v>Non-PII</v>
      </c>
      <c r="D11" s="258" t="str">
        <f>IFERROR(__xludf.DUMMYFUNCTION("""COMPUTED_VALUE"""),"Non-PII")</f>
        <v>Non-PII</v>
      </c>
      <c r="E11" s="258" t="str">
        <f>IFERROR(__xludf.DUMMYFUNCTION("""COMPUTED_VALUE"""),"Subscriber brand based from credit score")</f>
        <v>Subscriber brand based from credit score</v>
      </c>
      <c r="F11" s="258" t="str">
        <f>IFERROR(__xludf.DUMMYFUNCTION("""COMPUTED_VALUE"""),"Direct Pull")</f>
        <v>Direct Pull</v>
      </c>
      <c r="G11" s="258" t="str">
        <f>IFERROR(__xludf.DUMMYFUNCTION("""COMPUTED_VALUE"""),"varchar(1000)")</f>
        <v>varchar(1000)</v>
      </c>
      <c r="H11" s="258" t="str">
        <f>IFERROR(__xludf.DUMMYFUNCTION("""COMPUTED_VALUE"""),"TM-REGULAR")</f>
        <v>TM-REGULAR</v>
      </c>
      <c r="I11" s="258" t="str">
        <f>IFERROR(__xludf.DUMMYFUNCTION("""COMPUTED_VALUE"""),"EDO-UUP")</f>
        <v>EDO-UUP</v>
      </c>
      <c r="J11" s="258" t="str">
        <f>IFERROR(__xludf.DUMMYFUNCTION("""COMPUTED_VALUE"""),"Daily")</f>
        <v>Daily</v>
      </c>
      <c r="K11" s="258" t="str">
        <f>IFERROR(__xludf.DUMMYFUNCTION("""COMPUTED_VALUE"""),"day-1")</f>
        <v>day-1</v>
      </c>
      <c r="L11" s="258" t="str">
        <f>IFERROR(__xludf.DUMMYFUNCTION("""COMPUTED_VALUE"""),"GHP, GHP-PREPAID, TM, PW, GOMO")</f>
        <v>GHP, GHP-PREPAID, TM, PW, GOMO</v>
      </c>
      <c r="M11" s="258" t="str">
        <f>IFERROR(__xludf.DUMMYFUNCTION("""COMPUTED_VALUE"""),"Consumer, EG, SG, In house, IBG Traveler")</f>
        <v>Consumer, EG, SG, In house, IBG Traveler</v>
      </c>
      <c r="N11" s="258" t="str">
        <f>IFERROR(__xludf.DUMMYFUNCTION("""COMPUTED_VALUE"""),"customer")</f>
        <v>customer</v>
      </c>
      <c r="O11" s="258" t="str">
        <f>IFERROR(__xludf.DUMMYFUNCTION("""COMPUTED_VALUE"""),"customer_profile")</f>
        <v>customer_profile</v>
      </c>
      <c r="P11" s="258"/>
    </row>
    <row r="12">
      <c r="A12" s="257" t="str">
        <f>IFERROR(__xludf.DUMMYFUNCTION("""COMPUTED_VALUE"""),"subscriber_status_code")</f>
        <v>subscriber_status_code</v>
      </c>
      <c r="B12" s="258" t="str">
        <f>IFERROR(__xludf.DUMMYFUNCTION("""COMPUTED_VALUE"""),"Globe ID")</f>
        <v>Globe ID</v>
      </c>
      <c r="C12" s="258" t="str">
        <f>IFERROR(__xludf.DUMMYFUNCTION("""COMPUTED_VALUE"""),"Non-PII")</f>
        <v>Non-PII</v>
      </c>
      <c r="D12" s="258" t="str">
        <f>IFERROR(__xludf.DUMMYFUNCTION("""COMPUTED_VALUE"""),"Non-PII")</f>
        <v>Non-PII</v>
      </c>
      <c r="E12" s="258" t="str">
        <f>IFERROR(__xludf.DUMMYFUNCTION("""COMPUTED_VALUE"""),"Subscriber's subscription status.
  Valid Values: 
  A - ACTIVE
  C - CANCELLED 
  D - OD_SUS_FROM_SUSPEND 
  L - OD_CANCEL 
  N - NOT_APPLICATIVE 
  P - PREACTIVE 
  R - RESERVED
  S - SUSPENDED
  T - TERMINATED")</f>
        <v>Subscriber's subscription status.
  Valid Values: 
  A - ACTIVE
  C - CANCELLED 
  D - OD_SUS_FROM_SUSPEND 
  L - OD_CANCEL 
  N - NOT_APPLICATIVE 
  P - PREACTIVE 
  R - RESERVED
  S - SUSPENDED
  T - TERMINATED</v>
      </c>
      <c r="F12" s="258" t="str">
        <f>IFERROR(__xludf.DUMMYFUNCTION("""COMPUTED_VALUE"""),"Direct Pull")</f>
        <v>Direct Pull</v>
      </c>
      <c r="G12" s="258" t="str">
        <f>IFERROR(__xludf.DUMMYFUNCTION("""COMPUTED_VALUE"""),"varchar(1000)")</f>
        <v>varchar(1000)</v>
      </c>
      <c r="H12" s="258" t="str">
        <f>IFERROR(__xludf.DUMMYFUNCTION("""COMPUTED_VALUE"""),"A")</f>
        <v>A</v>
      </c>
      <c r="I12" s="258" t="str">
        <f>IFERROR(__xludf.DUMMYFUNCTION("""COMPUTED_VALUE"""),"EDO-UUP")</f>
        <v>EDO-UUP</v>
      </c>
      <c r="J12" s="258" t="str">
        <f>IFERROR(__xludf.DUMMYFUNCTION("""COMPUTED_VALUE"""),"Daily")</f>
        <v>Daily</v>
      </c>
      <c r="K12" s="258" t="str">
        <f>IFERROR(__xludf.DUMMYFUNCTION("""COMPUTED_VALUE"""),"day-1")</f>
        <v>day-1</v>
      </c>
      <c r="L12" s="258" t="str">
        <f>IFERROR(__xludf.DUMMYFUNCTION("""COMPUTED_VALUE"""),"GHP, GHP-PREPAID, TM, PW, GOMO, WIRELINE, BAYAN, GLOBE")</f>
        <v>GHP, GHP-PREPAID, TM, PW, GOMO, WIRELINE, BAYAN, GLOBE</v>
      </c>
      <c r="M12" s="258" t="str">
        <f>IFERROR(__xludf.DUMMYFUNCTION("""COMPUTED_VALUE"""),"Consumer, EG, SG, In house, IBG Traveler")</f>
        <v>Consumer, EG, SG, In house, IBG Traveler</v>
      </c>
      <c r="N12" s="258" t="str">
        <f>IFERROR(__xludf.DUMMYFUNCTION("""COMPUTED_VALUE"""),"customer")</f>
        <v>customer</v>
      </c>
      <c r="O12" s="258" t="str">
        <f>IFERROR(__xludf.DUMMYFUNCTION("""COMPUTED_VALUE"""),"customer_profile")</f>
        <v>customer_profile</v>
      </c>
      <c r="P12" s="258"/>
    </row>
    <row r="13">
      <c r="A13" s="257" t="str">
        <f>IFERROR(__xludf.DUMMYFUNCTION("""COMPUTED_VALUE"""),"segment_id")</f>
        <v>segment_id</v>
      </c>
      <c r="B13" s="258" t="str">
        <f>IFERROR(__xludf.DUMMYFUNCTION("""COMPUTED_VALUE"""),"Globe ID")</f>
        <v>Globe ID</v>
      </c>
      <c r="C13" s="258" t="str">
        <f>IFERROR(__xludf.DUMMYFUNCTION("""COMPUTED_VALUE"""),"Non-PII")</f>
        <v>Non-PII</v>
      </c>
      <c r="D13" s="258" t="str">
        <f>IFERROR(__xludf.DUMMYFUNCTION("""COMPUTED_VALUE"""),"Non-PII")</f>
        <v>Non-PII</v>
      </c>
      <c r="E13" s="258" t="str">
        <f>IFERROR(__xludf.DUMMYFUNCTION("""COMPUTED_VALUE"""),"Combination of all corresponding keys of subscriber's brand, sub-brand, customer type, customer sub type and product type in number format, which is then to be used in lookup table. Primarily being used by DPA as CFU identifier")</f>
        <v>Combination of all corresponding keys of subscriber's brand, sub-brand, customer type, customer sub type and product type in number format, which is then to be used in lookup table. Primarily being used by DPA as CFU identifier</v>
      </c>
      <c r="F13" s="258" t="str">
        <f>IFERROR(__xludf.DUMMYFUNCTION("""COMPUTED_VALUE"""),"Direct Pull")</f>
        <v>Direct Pull</v>
      </c>
      <c r="G13" s="258" t="str">
        <f>IFERROR(__xludf.DUMMYFUNCTION("""COMPUTED_VALUE"""),"integer")</f>
        <v>integer</v>
      </c>
      <c r="H13" s="258">
        <f>IFERROR(__xludf.DUMMYFUNCTION("""COMPUTED_VALUE"""),1.0)</f>
        <v>1</v>
      </c>
      <c r="I13" s="258" t="str">
        <f>IFERROR(__xludf.DUMMYFUNCTION("""COMPUTED_VALUE"""),"DPA")</f>
        <v>DPA</v>
      </c>
      <c r="J13" s="258" t="str">
        <f>IFERROR(__xludf.DUMMYFUNCTION("""COMPUTED_VALUE"""),"Daily")</f>
        <v>Daily</v>
      </c>
      <c r="K13" s="258" t="str">
        <f>IFERROR(__xludf.DUMMYFUNCTION("""COMPUTED_VALUE"""),"")</f>
        <v/>
      </c>
      <c r="L13" s="258" t="str">
        <f>IFERROR(__xludf.DUMMYFUNCTION("""COMPUTED_VALUE"""),"GHP, GHP-PREPAID, TM, PW")</f>
        <v>GHP, GHP-PREPAID, TM, PW</v>
      </c>
      <c r="M13" s="258" t="str">
        <f>IFERROR(__xludf.DUMMYFUNCTION("""COMPUTED_VALUE"""),"Consumer, EG, SG, In house, IBG Traveler")</f>
        <v>Consumer, EG, SG, In house, IBG Traveler</v>
      </c>
      <c r="N13" s="258" t="str">
        <f>IFERROR(__xludf.DUMMYFUNCTION("""COMPUTED_VALUE"""),"customer")</f>
        <v>customer</v>
      </c>
      <c r="O13" s="258" t="str">
        <f>IFERROR(__xludf.DUMMYFUNCTION("""COMPUTED_VALUE"""),"customer_profile")</f>
        <v>customer_profile</v>
      </c>
      <c r="P13" s="258"/>
    </row>
    <row r="14">
      <c r="A14" s="257" t="str">
        <f>IFERROR(__xludf.DUMMYFUNCTION("""COMPUTED_VALUE"""),"product_type_description")</f>
        <v>product_type_description</v>
      </c>
      <c r="B14" s="258" t="str">
        <f>IFERROR(__xludf.DUMMYFUNCTION("""COMPUTED_VALUE"""),"Globe ID")</f>
        <v>Globe ID</v>
      </c>
      <c r="C14" s="258" t="str">
        <f>IFERROR(__xludf.DUMMYFUNCTION("""COMPUTED_VALUE"""),"Non-PII")</f>
        <v>Non-PII</v>
      </c>
      <c r="D14" s="258" t="str">
        <f>IFERROR(__xludf.DUMMYFUNCTION("""COMPUTED_VALUE"""),"Non-PII")</f>
        <v>Non-PII</v>
      </c>
      <c r="E14" s="258" t="str">
        <f>IFERROR(__xludf.DUMMYFUNCTION("""COMPUTED_VALUE"""),"Description of subscriber's product type")</f>
        <v>Description of subscriber's product type</v>
      </c>
      <c r="F14" s="258" t="str">
        <f>IFERROR(__xludf.DUMMYFUNCTION("""COMPUTED_VALUE"""),"Direct Pull")</f>
        <v>Direct Pull</v>
      </c>
      <c r="G14" s="258" t="str">
        <f>IFERROR(__xludf.DUMMYFUNCTION("""COMPUTED_VALUE"""),"varchar(1000)")</f>
        <v>varchar(1000)</v>
      </c>
      <c r="H14" s="258" t="str">
        <f>IFERROR(__xludf.DUMMYFUNCTION("""COMPUTED_VALUE"""),"GSM-PBX")</f>
        <v>GSM-PBX</v>
      </c>
      <c r="I14" s="258" t="str">
        <f>IFERROR(__xludf.DUMMYFUNCTION("""COMPUTED_VALUE"""),"EDO-UUP")</f>
        <v>EDO-UUP</v>
      </c>
      <c r="J14" s="258" t="str">
        <f>IFERROR(__xludf.DUMMYFUNCTION("""COMPUTED_VALUE"""),"Daily")</f>
        <v>Daily</v>
      </c>
      <c r="K14" s="258" t="str">
        <f>IFERROR(__xludf.DUMMYFUNCTION("""COMPUTED_VALUE"""),"")</f>
        <v/>
      </c>
      <c r="L14" s="258" t="str">
        <f>IFERROR(__xludf.DUMMYFUNCTION("""COMPUTED_VALUE"""),"GHP, GHP-PREPAID, TM, PW, GOMO, WIRELINE")</f>
        <v>GHP, GHP-PREPAID, TM, PW, GOMO, WIRELINE</v>
      </c>
      <c r="M14" s="258" t="str">
        <f>IFERROR(__xludf.DUMMYFUNCTION("""COMPUTED_VALUE"""),"Consumer, EG, SG, In house, IBG Traveler")</f>
        <v>Consumer, EG, SG, In house, IBG Traveler</v>
      </c>
      <c r="N14" s="258" t="str">
        <f>IFERROR(__xludf.DUMMYFUNCTION("""COMPUTED_VALUE"""),"product")</f>
        <v>product</v>
      </c>
      <c r="O14" s="258" t="str">
        <f>IFERROR(__xludf.DUMMYFUNCTION("""COMPUTED_VALUE"""),"product_profile")</f>
        <v>product_profile</v>
      </c>
      <c r="P14" s="258"/>
    </row>
    <row r="15">
      <c r="A15" s="257" t="str">
        <f>IFERROR(__xludf.DUMMYFUNCTION("""COMPUTED_VALUE"""),"brand_type_code")</f>
        <v>brand_type_code</v>
      </c>
      <c r="B15" s="258" t="str">
        <f>IFERROR(__xludf.DUMMYFUNCTION("""COMPUTED_VALUE"""),"Globe ID")</f>
        <v>Globe ID</v>
      </c>
      <c r="C15" s="258" t="str">
        <f>IFERROR(__xludf.DUMMYFUNCTION("""COMPUTED_VALUE"""),"Non-PII")</f>
        <v>Non-PII</v>
      </c>
      <c r="D15" s="258" t="str">
        <f>IFERROR(__xludf.DUMMYFUNCTION("""COMPUTED_VALUE"""),"Non-PII")</f>
        <v>Non-PII</v>
      </c>
      <c r="E15" s="258" t="str">
        <f>IFERROR(__xludf.DUMMYFUNCTION("""COMPUTED_VALUE"""),"Brand to which subscriber has been tagged. Values are GHP-PREPAID, GHP, TM, PW, WIRELINE, BAYAN and GLOBE")</f>
        <v>Brand to which subscriber has been tagged. Values are GHP-PREPAID, GHP, TM, PW, WIRELINE, BAYAN and GLOBE</v>
      </c>
      <c r="F15" s="258" t="str">
        <f>IFERROR(__xludf.DUMMYFUNCTION("""COMPUTED_VALUE"""),"Direct Pull")</f>
        <v>Direct Pull</v>
      </c>
      <c r="G15" s="258" t="str">
        <f>IFERROR(__xludf.DUMMYFUNCTION("""COMPUTED_VALUE"""),"varchar(1000)")</f>
        <v>varchar(1000)</v>
      </c>
      <c r="H15" s="258" t="str">
        <f>IFERROR(__xludf.DUMMYFUNCTION("""COMPUTED_VALUE"""),"TM")</f>
        <v>TM</v>
      </c>
      <c r="I15" s="258" t="str">
        <f>IFERROR(__xludf.DUMMYFUNCTION("""COMPUTED_VALUE"""),"EDO-UUP")</f>
        <v>EDO-UUP</v>
      </c>
      <c r="J15" s="258" t="str">
        <f>IFERROR(__xludf.DUMMYFUNCTION("""COMPUTED_VALUE"""),"Daily")</f>
        <v>Daily</v>
      </c>
      <c r="K15" s="258" t="str">
        <f>IFERROR(__xludf.DUMMYFUNCTION("""COMPUTED_VALUE"""),"day-1")</f>
        <v>day-1</v>
      </c>
      <c r="L15" s="258" t="str">
        <f>IFERROR(__xludf.DUMMYFUNCTION("""COMPUTED_VALUE"""),"GHP, GHP-PREPAID, TM, PW, GOMO, WIRELINE, BAYAN, GLOBE")</f>
        <v>GHP, GHP-PREPAID, TM, PW, GOMO, WIRELINE, BAYAN, GLOBE</v>
      </c>
      <c r="M15" s="258" t="str">
        <f>IFERROR(__xludf.DUMMYFUNCTION("""COMPUTED_VALUE"""),"Consumer, EG, SG, In house, IBG Traveler")</f>
        <v>Consumer, EG, SG, In house, IBG Traveler</v>
      </c>
      <c r="N15" s="258" t="str">
        <f>IFERROR(__xludf.DUMMYFUNCTION("""COMPUTED_VALUE"""),"customer")</f>
        <v>customer</v>
      </c>
      <c r="O15" s="258" t="str">
        <f>IFERROR(__xludf.DUMMYFUNCTION("""COMPUTED_VALUE"""),"customer_profile")</f>
        <v>customer_profile</v>
      </c>
      <c r="P15" s="258"/>
    </row>
    <row r="16">
      <c r="A16" s="257" t="str">
        <f>IFERROR(__xludf.DUMMYFUNCTION("""COMPUTED_VALUE"""),"international_traveller_indicator")</f>
        <v>international_traveller_indicator</v>
      </c>
      <c r="B16" s="258" t="str">
        <f>IFERROR(__xludf.DUMMYFUNCTION("""COMPUTED_VALUE"""),"Behavioral")</f>
        <v>Behavioral</v>
      </c>
      <c r="C16" s="258" t="str">
        <f>IFERROR(__xludf.DUMMYFUNCTION("""COMPUTED_VALUE"""),"Non-PII")</f>
        <v>Non-PII</v>
      </c>
      <c r="D16" s="258" t="str">
        <f>IFERROR(__xludf.DUMMYFUNCTION("""COMPUTED_VALUE"""),"Non-PII")</f>
        <v>Non-PII</v>
      </c>
      <c r="E16" s="258" t="str">
        <f>IFERROR(__xludf.DUMMYFUNCTION("""COMPUTED_VALUE"""),"Derived indicator if a subscriber is an international traveler based on promo availment and usage.")</f>
        <v>Derived indicator if a subscriber is an international traveler based on promo availment and usage.</v>
      </c>
      <c r="F16" s="258" t="str">
        <f>IFERROR(__xludf.DUMMYFUNCTION("""COMPUTED_VALUE"""),"Derived")</f>
        <v>Derived</v>
      </c>
      <c r="G16" s="258" t="str">
        <f>IFERROR(__xludf.DUMMYFUNCTION("""COMPUTED_VALUE"""),"boolean")</f>
        <v>boolean</v>
      </c>
      <c r="H16" s="258" t="b">
        <f>IFERROR(__xludf.DUMMYFUNCTION("""COMPUTED_VALUE"""),TRUE)</f>
        <v>1</v>
      </c>
      <c r="I16" s="258" t="str">
        <f>IFERROR(__xludf.DUMMYFUNCTION("""COMPUTED_VALUE"""),"DPA")</f>
        <v>DPA</v>
      </c>
      <c r="J16" s="258" t="str">
        <f>IFERROR(__xludf.DUMMYFUNCTION("""COMPUTED_VALUE"""),"Daily")</f>
        <v>Daily</v>
      </c>
      <c r="K16" s="258" t="str">
        <f>IFERROR(__xludf.DUMMYFUNCTION("""COMPUTED_VALUE"""),"")</f>
        <v/>
      </c>
      <c r="L16" s="258" t="str">
        <f>IFERROR(__xludf.DUMMYFUNCTION("""COMPUTED_VALUE"""),"GHP, GHP-PREPAID, TM")</f>
        <v>GHP, GHP-PREPAID, TM</v>
      </c>
      <c r="M16" s="258" t="str">
        <f>IFERROR(__xludf.DUMMYFUNCTION("""COMPUTED_VALUE"""),"Consumer, EG, SG, In house, IBG Traveler")</f>
        <v>Consumer, EG, SG, In house, IBG Traveler</v>
      </c>
      <c r="N16" s="258" t="str">
        <f>IFERROR(__xludf.DUMMYFUNCTION("""COMPUTED_VALUE"""),"availment")</f>
        <v>availment</v>
      </c>
      <c r="O16" s="258" t="str">
        <f>IFERROR(__xludf.DUMMYFUNCTION("""COMPUTED_VALUE"""),"availment_profile")</f>
        <v>availment_profile</v>
      </c>
      <c r="P16" s="258"/>
    </row>
    <row r="17">
      <c r="A17" s="257" t="str">
        <f>IFERROR(__xludf.DUMMYFUNCTION("""COMPUTED_VALUE"""),"active_days_past_2days_indicator")</f>
        <v>active_days_past_2days_indicator</v>
      </c>
      <c r="B17" s="258" t="str">
        <f>IFERROR(__xludf.DUMMYFUNCTION("""COMPUTED_VALUE"""),"Behavioral")</f>
        <v>Behavioral</v>
      </c>
      <c r="C17" s="258" t="str">
        <f>IFERROR(__xludf.DUMMYFUNCTION("""COMPUTED_VALUE"""),"Non-PII")</f>
        <v>Non-PII</v>
      </c>
      <c r="D17" s="258" t="str">
        <f>IFERROR(__xludf.DUMMYFUNCTION("""COMPUTED_VALUE"""),"Non-PII")</f>
        <v>Non-PII</v>
      </c>
      <c r="E17" s="258" t="str">
        <f>IFERROR(__xludf.DUMMYFUNCTION("""COMPUTED_VALUE"""),"Indicator if a subscriber is active for the past 2 days based on promo availment and topup activities.")</f>
        <v>Indicator if a subscriber is active for the past 2 days based on promo availment and topup activities.</v>
      </c>
      <c r="F17" s="258" t="str">
        <f>IFERROR(__xludf.DUMMYFUNCTION("""COMPUTED_VALUE"""),"Derived")</f>
        <v>Derived</v>
      </c>
      <c r="G17" s="258" t="str">
        <f>IFERROR(__xludf.DUMMYFUNCTION("""COMPUTED_VALUE"""),"boolean")</f>
        <v>boolean</v>
      </c>
      <c r="H17" s="258" t="b">
        <f>IFERROR(__xludf.DUMMYFUNCTION("""COMPUTED_VALUE"""),TRUE)</f>
        <v>1</v>
      </c>
      <c r="I17" s="258" t="str">
        <f>IFERROR(__xludf.DUMMYFUNCTION("""COMPUTED_VALUE"""),"FVT")</f>
        <v>FVT</v>
      </c>
      <c r="J17" s="258" t="str">
        <f>IFERROR(__xludf.DUMMYFUNCTION("""COMPUTED_VALUE"""),"Daily")</f>
        <v>Daily</v>
      </c>
      <c r="K17" s="258" t="str">
        <f>IFERROR(__xludf.DUMMYFUNCTION("""COMPUTED_VALUE"""),"")</f>
        <v/>
      </c>
      <c r="L17" s="258" t="str">
        <f>IFERROR(__xludf.DUMMYFUNCTION("""COMPUTED_VALUE"""),"GHP, GHP-PREPAID, TM, PW, GOMO, WIRELINE")</f>
        <v>GHP, GHP-PREPAID, TM, PW, GOMO, WIRELINE</v>
      </c>
      <c r="M17" s="258" t="str">
        <f>IFERROR(__xludf.DUMMYFUNCTION("""COMPUTED_VALUE"""),"Consumer, EG, SG, In house, IBG Traveler")</f>
        <v>Consumer, EG, SG, In house, IBG Traveler</v>
      </c>
      <c r="N17" s="258" t="str">
        <f>IFERROR(__xludf.DUMMYFUNCTION("""COMPUTED_VALUE"""),"usage")</f>
        <v>usage</v>
      </c>
      <c r="O17" s="258" t="str">
        <f>IFERROR(__xludf.DUMMYFUNCTION("""COMPUTED_VALUE"""),"usage_profile")</f>
        <v>usage_profile</v>
      </c>
      <c r="P17" s="258"/>
    </row>
    <row r="18">
      <c r="A18" s="257" t="str">
        <f>IFERROR(__xludf.DUMMYFUNCTION("""COMPUTED_VALUE"""),"availment_enhanced_past_4_clmweeks_indicator")</f>
        <v>availment_enhanced_past_4_clmweeks_indicator</v>
      </c>
      <c r="B18" s="258" t="str">
        <f>IFERROR(__xludf.DUMMYFUNCTION("""COMPUTED_VALUE"""),"Campaign History")</f>
        <v>Campaign History</v>
      </c>
      <c r="C18" s="258" t="str">
        <f>IFERROR(__xludf.DUMMYFUNCTION("""COMPUTED_VALUE"""),"Non-PII")</f>
        <v>Non-PII</v>
      </c>
      <c r="D18" s="258" t="str">
        <f>IFERROR(__xludf.DUMMYFUNCTION("""COMPUTED_VALUE"""),"Non-PII")</f>
        <v>Non-PII</v>
      </c>
      <c r="E18" s="258" t="str">
        <f>IFERROR(__xludf.DUMMYFUNCTION("""COMPUTED_VALUE"""),"Indicator if a subscriber has an overlapping promo availment on top of his/her any existing promo for the past 4 weeks.")</f>
        <v>Indicator if a subscriber has an overlapping promo availment on top of his/her any existing promo for the past 4 weeks.</v>
      </c>
      <c r="F18" s="258" t="str">
        <f>IFERROR(__xludf.DUMMYFUNCTION("""COMPUTED_VALUE"""),"Derived")</f>
        <v>Derived</v>
      </c>
      <c r="G18" s="258" t="str">
        <f>IFERROR(__xludf.DUMMYFUNCTION("""COMPUTED_VALUE"""),"boolean")</f>
        <v>boolean</v>
      </c>
      <c r="H18" s="258" t="b">
        <f>IFERROR(__xludf.DUMMYFUNCTION("""COMPUTED_VALUE"""),TRUE)</f>
        <v>1</v>
      </c>
      <c r="I18" s="258" t="str">
        <f>IFERROR(__xludf.DUMMYFUNCTION("""COMPUTED_VALUE"""),"FVT")</f>
        <v>FVT</v>
      </c>
      <c r="J18" s="258" t="str">
        <f>IFERROR(__xludf.DUMMYFUNCTION("""COMPUTED_VALUE"""),"Daily")</f>
        <v>Daily</v>
      </c>
      <c r="K18" s="258" t="str">
        <f>IFERROR(__xludf.DUMMYFUNCTION("""COMPUTED_VALUE"""),"")</f>
        <v/>
      </c>
      <c r="L18" s="258" t="str">
        <f>IFERROR(__xludf.DUMMYFUNCTION("""COMPUTED_VALUE"""),"GHP-PREPAID, TM, PW")</f>
        <v>GHP-PREPAID, TM, PW</v>
      </c>
      <c r="M18" s="258" t="str">
        <f>IFERROR(__xludf.DUMMYFUNCTION("""COMPUTED_VALUE"""),"Consumer, EG, SG, IBG Traveler")</f>
        <v>Consumer, EG, SG, IBG Traveler</v>
      </c>
      <c r="N18" s="258" t="str">
        <f>IFERROR(__xludf.DUMMYFUNCTION("""COMPUTED_VALUE"""),"availment")</f>
        <v>availment</v>
      </c>
      <c r="O18" s="258" t="str">
        <f>IFERROR(__xludf.DUMMYFUNCTION("""COMPUTED_VALUE"""),"availment_profile")</f>
        <v>availment_profile</v>
      </c>
      <c r="P18" s="258"/>
    </row>
    <row r="19">
      <c r="A19" s="257" t="str">
        <f>IFERROR(__xludf.DUMMYFUNCTION("""COMPUTED_VALUE"""),"gcash_user_indicator")</f>
        <v>gcash_user_indicator</v>
      </c>
      <c r="B19" s="258" t="str">
        <f>IFERROR(__xludf.DUMMYFUNCTION("""COMPUTED_VALUE"""),"Behavioral")</f>
        <v>Behavioral</v>
      </c>
      <c r="C19" s="258" t="str">
        <f>IFERROR(__xludf.DUMMYFUNCTION("""COMPUTED_VALUE"""),"Non-PII")</f>
        <v>Non-PII</v>
      </c>
      <c r="D19" s="258" t="str">
        <f>IFERROR(__xludf.DUMMYFUNCTION("""COMPUTED_VALUE"""),"Non-PII")</f>
        <v>Non-PII</v>
      </c>
      <c r="E19" s="258" t="str">
        <f>IFERROR(__xludf.DUMMYFUNCTION("""COMPUTED_VALUE"""),"Indicates that the subscriber is a registered GCASH user. Flags subscriber as true if subscriber is a registered GCASH user, else false")</f>
        <v>Indicates that the subscriber is a registered GCASH user. Flags subscriber as true if subscriber is a registered GCASH user, else false</v>
      </c>
      <c r="F19" s="258" t="str">
        <f>IFERROR(__xludf.DUMMYFUNCTION("""COMPUTED_VALUE"""),"Direct Pull")</f>
        <v>Direct Pull</v>
      </c>
      <c r="G19" s="258" t="str">
        <f>IFERROR(__xludf.DUMMYFUNCTION("""COMPUTED_VALUE"""),"boolean")</f>
        <v>boolean</v>
      </c>
      <c r="H19" s="258" t="b">
        <f>IFERROR(__xludf.DUMMYFUNCTION("""COMPUTED_VALUE"""),TRUE)</f>
        <v>1</v>
      </c>
      <c r="I19" s="258" t="str">
        <f>IFERROR(__xludf.DUMMYFUNCTION("""COMPUTED_VALUE"""),"EDO-DI")</f>
        <v>EDO-DI</v>
      </c>
      <c r="J19" s="258" t="str">
        <f>IFERROR(__xludf.DUMMYFUNCTION("""COMPUTED_VALUE"""),"Daily")</f>
        <v>Daily</v>
      </c>
      <c r="K19" s="258" t="str">
        <f>IFERROR(__xludf.DUMMYFUNCTION("""COMPUTED_VALUE"""),"")</f>
        <v/>
      </c>
      <c r="L19" s="258" t="str">
        <f>IFERROR(__xludf.DUMMYFUNCTION("""COMPUTED_VALUE"""),"GHP, GHP-PREPAID, TM, PW, GOMO")</f>
        <v>GHP, GHP-PREPAID, TM, PW, GOMO</v>
      </c>
      <c r="M19" s="258" t="str">
        <f>IFERROR(__xludf.DUMMYFUNCTION("""COMPUTED_VALUE"""),"Consumer, EG, SG, In house, IBG Traveler")</f>
        <v>Consumer, EG, SG, In house, IBG Traveler</v>
      </c>
      <c r="N19" s="258" t="str">
        <f>IFERROR(__xludf.DUMMYFUNCTION("""COMPUTED_VALUE"""),"product")</f>
        <v>product</v>
      </c>
      <c r="O19" s="258" t="str">
        <f>IFERROR(__xludf.DUMMYFUNCTION("""COMPUTED_VALUE"""),"product_profile")</f>
        <v>product_profile</v>
      </c>
      <c r="P19" s="258"/>
    </row>
    <row r="20">
      <c r="A20" s="257" t="str">
        <f>IFERROR(__xludf.DUMMYFUNCTION("""COMPUTED_VALUE"""),"lock_in_end_date")</f>
        <v>lock_in_end_date</v>
      </c>
      <c r="B20" s="258" t="str">
        <f>IFERROR(__xludf.DUMMYFUNCTION("""COMPUTED_VALUE"""),"Globe ID")</f>
        <v>Globe ID</v>
      </c>
      <c r="C20" s="258" t="str">
        <f>IFERROR(__xludf.DUMMYFUNCTION("""COMPUTED_VALUE"""),"Non-PII")</f>
        <v>Non-PII</v>
      </c>
      <c r="D20" s="258" t="str">
        <f>IFERROR(__xludf.DUMMYFUNCTION("""COMPUTED_VALUE"""),"Non-PII")</f>
        <v>Non-PII</v>
      </c>
      <c r="E20" s="258" t="str">
        <f>IFERROR(__xludf.DUMMYFUNCTION("""COMPUTED_VALUE"""),"Contract expiry date of the subscriber. Format: YYYY-MM-DD")</f>
        <v>Contract expiry date of the subscriber. Format: YYYY-MM-DD</v>
      </c>
      <c r="F20" s="258" t="str">
        <f>IFERROR(__xludf.DUMMYFUNCTION("""COMPUTED_VALUE"""),"Direct Pull")</f>
        <v>Direct Pull</v>
      </c>
      <c r="G20" s="258" t="str">
        <f>IFERROR(__xludf.DUMMYFUNCTION("""COMPUTED_VALUE"""),"timestamp")</f>
        <v>timestamp</v>
      </c>
      <c r="H20" s="258">
        <f>IFERROR(__xludf.DUMMYFUNCTION("""COMPUTED_VALUE"""),40131.52979)</f>
        <v>40131.52979</v>
      </c>
      <c r="I20" s="258" t="str">
        <f>IFERROR(__xludf.DUMMYFUNCTION("""COMPUTED_VALUE"""),"EDO-UUP")</f>
        <v>EDO-UUP</v>
      </c>
      <c r="J20" s="258" t="str">
        <f>IFERROR(__xludf.DUMMYFUNCTION("""COMPUTED_VALUE"""),"Daily")</f>
        <v>Daily</v>
      </c>
      <c r="K20" s="258" t="str">
        <f>IFERROR(__xludf.DUMMYFUNCTION("""COMPUTED_VALUE"""),"")</f>
        <v/>
      </c>
      <c r="L20" s="258" t="str">
        <f>IFERROR(__xludf.DUMMYFUNCTION("""COMPUTED_VALUE"""),"GHP, WIRELINE")</f>
        <v>GHP, WIRELINE</v>
      </c>
      <c r="M20" s="258" t="str">
        <f>IFERROR(__xludf.DUMMYFUNCTION("""COMPUTED_VALUE"""),"Consumer, EG, SG, In house")</f>
        <v>Consumer, EG, SG, In house</v>
      </c>
      <c r="N20" s="258" t="str">
        <f>IFERROR(__xludf.DUMMYFUNCTION("""COMPUTED_VALUE"""),"contract")</f>
        <v>contract</v>
      </c>
      <c r="O20" s="258" t="str">
        <f>IFERROR(__xludf.DUMMYFUNCTION("""COMPUTED_VALUE"""),"contract_profile")</f>
        <v>contract_profile</v>
      </c>
      <c r="P20" s="258"/>
    </row>
    <row r="21">
      <c r="A21" s="257" t="str">
        <f>IFERROR(__xludf.DUMMYFUNCTION("""COMPUTED_VALUE"""),"last_core_ppu_date")</f>
        <v>last_core_ppu_date</v>
      </c>
      <c r="B21" s="258" t="str">
        <f>IFERROR(__xludf.DUMMYFUNCTION("""COMPUTED_VALUE"""),"Behavioral")</f>
        <v>Behavioral</v>
      </c>
      <c r="C21" s="258" t="str">
        <f>IFERROR(__xludf.DUMMYFUNCTION("""COMPUTED_VALUE"""),"Non-PII")</f>
        <v>Non-PII</v>
      </c>
      <c r="D21" s="258" t="str">
        <f>IFERROR(__xludf.DUMMYFUNCTION("""COMPUTED_VALUE"""),"Non-PII")</f>
        <v>Non-PII</v>
      </c>
      <c r="E21" s="258" t="str">
        <f>IFERROR(__xludf.DUMMYFUNCTION("""COMPUTED_VALUE"""),"Latest core pay-per-use date for past 90 days")</f>
        <v>Latest core pay-per-use date for past 90 days</v>
      </c>
      <c r="F21" s="258" t="str">
        <f>IFERROR(__xludf.DUMMYFUNCTION("""COMPUTED_VALUE"""),"Derived")</f>
        <v>Derived</v>
      </c>
      <c r="G21" s="258" t="str">
        <f>IFERROR(__xludf.DUMMYFUNCTION("""COMPUTED_VALUE"""),"timestamp")</f>
        <v>timestamp</v>
      </c>
      <c r="H21" s="258">
        <f>IFERROR(__xludf.DUMMYFUNCTION("""COMPUTED_VALUE"""),38197.0)</f>
        <v>38197</v>
      </c>
      <c r="I21" s="258" t="str">
        <f>IFERROR(__xludf.DUMMYFUNCTION("""COMPUTED_VALUE"""),"FVT")</f>
        <v>FVT</v>
      </c>
      <c r="J21" s="258" t="str">
        <f>IFERROR(__xludf.DUMMYFUNCTION("""COMPUTED_VALUE"""),"Daily")</f>
        <v>Daily</v>
      </c>
      <c r="K21" s="258" t="str">
        <f>IFERROR(__xludf.DUMMYFUNCTION("""COMPUTED_VALUE"""),"")</f>
        <v/>
      </c>
      <c r="L21" s="258" t="str">
        <f>IFERROR(__xludf.DUMMYFUNCTION("""COMPUTED_VALUE"""),"GHP, GHP-PREPAID, TM, PW, WIRELINE")</f>
        <v>GHP, GHP-PREPAID, TM, PW, WIRELINE</v>
      </c>
      <c r="M21" s="258" t="str">
        <f>IFERROR(__xludf.DUMMYFUNCTION("""COMPUTED_VALUE"""),"Consumer, EG, SG, In house, IBG Traveler")</f>
        <v>Consumer, EG, SG, In house, IBG Traveler</v>
      </c>
      <c r="N21" s="258" t="str">
        <f>IFERROR(__xludf.DUMMYFUNCTION("""COMPUTED_VALUE"""),"usage")</f>
        <v>usage</v>
      </c>
      <c r="O21" s="258" t="str">
        <f>IFERROR(__xludf.DUMMYFUNCTION("""COMPUTED_VALUE"""),"usage_profile")</f>
        <v>usage_profile</v>
      </c>
      <c r="P21" s="258"/>
    </row>
    <row r="22">
      <c r="A22" s="257" t="str">
        <f>IFERROR(__xludf.DUMMYFUNCTION("""COMPUTED_VALUE"""),"arpu_category_code")</f>
        <v>arpu_category_code</v>
      </c>
      <c r="B22" s="258" t="str">
        <f>IFERROR(__xludf.DUMMYFUNCTION("""COMPUTED_VALUE"""),"Profitability")</f>
        <v>Profitability</v>
      </c>
      <c r="C22" s="258" t="str">
        <f>IFERROR(__xludf.DUMMYFUNCTION("""COMPUTED_VALUE"""),"Non-PII")</f>
        <v>Non-PII</v>
      </c>
      <c r="D22" s="258" t="str">
        <f>IFERROR(__xludf.DUMMYFUNCTION("""COMPUTED_VALUE"""),"Non-PII")</f>
        <v>Non-PII</v>
      </c>
      <c r="E22" s="258" t="str">
        <f>IFERROR(__xludf.DUMMYFUNCTION("""COMPUTED_VALUE"""),"Code that refers to the average revenue per user/subscriber
  Postpaid: One-time Charge + Recurring Charge + Usage Charge 
  Prepaid: promo registration + Pay-per-use + credit expired
  e.g. A - Php 8,000 and up 
  B - Php 7,000 to Php 7,999 
  C - Php"&amp;" 6000 to Php 6999 
  D - Php 5000 to Php 5999 
  E - Php 4000 to Php 4999 
  F - Php 3000 to Php 3999 
  G - Php 2000 to Php 2999 
  H - Php 1,000 to Php 1,999 
  I - Php 300 to Php 999 
  J - below Php 300")</f>
        <v>Code that refers to the average revenue per user/subscriber
  Postpaid: One-time Charge + Recurring Charge + Usage Charge 
  Prepaid: promo registration + Pay-per-use + credit expired
  e.g. A - Php 8,000 and up 
  B - Php 7,000 to Php 7,999 
  C - Php 6000 to Php 6999 
  D - Php 5000 to Php 5999 
  E - Php 4000 to Php 4999 
  F - Php 3000 to Php 3999 
  G - Php 2000 to Php 2999 
  H - Php 1,000 to Php 1,999 
  I - Php 300 to Php 999 
  J - below Php 300</v>
      </c>
      <c r="F22" s="258" t="str">
        <f>IFERROR(__xludf.DUMMYFUNCTION("""COMPUTED_VALUE"""),"Derived")</f>
        <v>Derived</v>
      </c>
      <c r="G22" s="258" t="str">
        <f>IFERROR(__xludf.DUMMYFUNCTION("""COMPUTED_VALUE"""),"varchar(1000)")</f>
        <v>varchar(1000)</v>
      </c>
      <c r="H22" s="258" t="str">
        <f>IFERROR(__xludf.DUMMYFUNCTION("""COMPUTED_VALUE"""),"A")</f>
        <v>A</v>
      </c>
      <c r="I22" s="258" t="str">
        <f>IFERROR(__xludf.DUMMYFUNCTION("""COMPUTED_VALUE"""),"EDO-DI")</f>
        <v>EDO-DI</v>
      </c>
      <c r="J22" s="258" t="str">
        <f>IFERROR(__xludf.DUMMYFUNCTION("""COMPUTED_VALUE"""),"Monthly")</f>
        <v>Monthly</v>
      </c>
      <c r="K22" s="258" t="str">
        <f>IFERROR(__xludf.DUMMYFUNCTION("""COMPUTED_VALUE"""),"")</f>
        <v/>
      </c>
      <c r="L22" s="258" t="str">
        <f>IFERROR(__xludf.DUMMYFUNCTION("""COMPUTED_VALUE"""),"GHP, GHP-PREPAID, TM, PW, WIRELINE")</f>
        <v>GHP, GHP-PREPAID, TM, PW, WIRELINE</v>
      </c>
      <c r="M22" s="258" t="str">
        <f>IFERROR(__xludf.DUMMYFUNCTION("""COMPUTED_VALUE"""),"Consumer, EG, SG, In house, IBG Traveler")</f>
        <v>Consumer, EG, SG, In house, IBG Traveler</v>
      </c>
      <c r="N22" s="258" t="str">
        <f>IFERROR(__xludf.DUMMYFUNCTION("""COMPUTED_VALUE"""),"revenue")</f>
        <v>revenue</v>
      </c>
      <c r="O22" s="258" t="str">
        <f>IFERROR(__xludf.DUMMYFUNCTION("""COMPUTED_VALUE"""),"revenue_profile")</f>
        <v>revenue_profile</v>
      </c>
      <c r="P22" s="258"/>
    </row>
    <row r="23">
      <c r="A23" s="257" t="str">
        <f>IFERROR(__xludf.DUMMYFUNCTION("""COMPUTED_VALUE"""),"last_data_ppu_date")</f>
        <v>last_data_ppu_date</v>
      </c>
      <c r="B23" s="258" t="str">
        <f>IFERROR(__xludf.DUMMYFUNCTION("""COMPUTED_VALUE"""),"Behavioral")</f>
        <v>Behavioral</v>
      </c>
      <c r="C23" s="258" t="str">
        <f>IFERROR(__xludf.DUMMYFUNCTION("""COMPUTED_VALUE"""),"Non-PII")</f>
        <v>Non-PII</v>
      </c>
      <c r="D23" s="258" t="str">
        <f>IFERROR(__xludf.DUMMYFUNCTION("""COMPUTED_VALUE"""),"Non-PII")</f>
        <v>Non-PII</v>
      </c>
      <c r="E23" s="258" t="str">
        <f>IFERROR(__xludf.DUMMYFUNCTION("""COMPUTED_VALUE"""),"Latest data pay-per-use date for past 90 days")</f>
        <v>Latest data pay-per-use date for past 90 days</v>
      </c>
      <c r="F23" s="258" t="str">
        <f>IFERROR(__xludf.DUMMYFUNCTION("""COMPUTED_VALUE"""),"Derived")</f>
        <v>Derived</v>
      </c>
      <c r="G23" s="258" t="str">
        <f>IFERROR(__xludf.DUMMYFUNCTION("""COMPUTED_VALUE"""),"timestamp")</f>
        <v>timestamp</v>
      </c>
      <c r="H23" s="258">
        <f>IFERROR(__xludf.DUMMYFUNCTION("""COMPUTED_VALUE"""),40417.48922)</f>
        <v>40417.48922</v>
      </c>
      <c r="I23" s="258" t="str">
        <f>IFERROR(__xludf.DUMMYFUNCTION("""COMPUTED_VALUE"""),"FVT")</f>
        <v>FVT</v>
      </c>
      <c r="J23" s="258" t="str">
        <f>IFERROR(__xludf.DUMMYFUNCTION("""COMPUTED_VALUE"""),"Daily")</f>
        <v>Daily</v>
      </c>
      <c r="K23" s="258" t="str">
        <f>IFERROR(__xludf.DUMMYFUNCTION("""COMPUTED_VALUE"""),"")</f>
        <v/>
      </c>
      <c r="L23" s="258" t="str">
        <f>IFERROR(__xludf.DUMMYFUNCTION("""COMPUTED_VALUE"""),"GHP, GHP-PREPAID, TM, PW")</f>
        <v>GHP, GHP-PREPAID, TM, PW</v>
      </c>
      <c r="M23" s="258" t="str">
        <f>IFERROR(__xludf.DUMMYFUNCTION("""COMPUTED_VALUE"""),"Consumer, EG, SG, In house, IBG Traveler")</f>
        <v>Consumer, EG, SG, In house, IBG Traveler</v>
      </c>
      <c r="N23" s="258" t="str">
        <f>IFERROR(__xludf.DUMMYFUNCTION("""COMPUTED_VALUE"""),"usage")</f>
        <v>usage</v>
      </c>
      <c r="O23" s="258" t="str">
        <f>IFERROR(__xludf.DUMMYFUNCTION("""COMPUTED_VALUE"""),"usage_profile")</f>
        <v>usage_profile</v>
      </c>
      <c r="P23" s="258"/>
    </row>
    <row r="24">
      <c r="A24" s="257" t="str">
        <f>IFERROR(__xludf.DUMMYFUNCTION("""COMPUTED_VALUE"""),"last_promo_reg_date")</f>
        <v>last_promo_reg_date</v>
      </c>
      <c r="B24" s="258" t="str">
        <f>IFERROR(__xludf.DUMMYFUNCTION("""COMPUTED_VALUE"""),"Campaign History")</f>
        <v>Campaign History</v>
      </c>
      <c r="C24" s="258" t="str">
        <f>IFERROR(__xludf.DUMMYFUNCTION("""COMPUTED_VALUE"""),"Non-PII")</f>
        <v>Non-PII</v>
      </c>
      <c r="D24" s="258" t="str">
        <f>IFERROR(__xludf.DUMMYFUNCTION("""COMPUTED_VALUE"""),"Non-PII")</f>
        <v>Non-PII</v>
      </c>
      <c r="E24" s="258" t="str">
        <f>IFERROR(__xludf.DUMMYFUNCTION("""COMPUTED_VALUE"""),"Latest promo registration date availed by the subscriber for past 90 days")</f>
        <v>Latest promo registration date availed by the subscriber for past 90 days</v>
      </c>
      <c r="F24" s="258" t="str">
        <f>IFERROR(__xludf.DUMMYFUNCTION("""COMPUTED_VALUE"""),"Derived")</f>
        <v>Derived</v>
      </c>
      <c r="G24" s="258" t="str">
        <f>IFERROR(__xludf.DUMMYFUNCTION("""COMPUTED_VALUE"""),"timestamp")</f>
        <v>timestamp</v>
      </c>
      <c r="H24" s="258">
        <f>IFERROR(__xludf.DUMMYFUNCTION("""COMPUTED_VALUE"""),40155.461)</f>
        <v>40155.461</v>
      </c>
      <c r="I24" s="258" t="str">
        <f>IFERROR(__xludf.DUMMYFUNCTION("""COMPUTED_VALUE"""),"FVT")</f>
        <v>FVT</v>
      </c>
      <c r="J24" s="258" t="str">
        <f>IFERROR(__xludf.DUMMYFUNCTION("""COMPUTED_VALUE"""),"Daily")</f>
        <v>Daily</v>
      </c>
      <c r="K24" s="258" t="str">
        <f>IFERROR(__xludf.DUMMYFUNCTION("""COMPUTED_VALUE"""),"")</f>
        <v/>
      </c>
      <c r="L24" s="258" t="str">
        <f>IFERROR(__xludf.DUMMYFUNCTION("""COMPUTED_VALUE"""),"GHP-PREPAID, TM, PW")</f>
        <v>GHP-PREPAID, TM, PW</v>
      </c>
      <c r="M24" s="258" t="str">
        <f>IFERROR(__xludf.DUMMYFUNCTION("""COMPUTED_VALUE"""),"Consumer, EG, SG, IBG Traveler")</f>
        <v>Consumer, EG, SG, IBG Traveler</v>
      </c>
      <c r="N24" s="258" t="str">
        <f>IFERROR(__xludf.DUMMYFUNCTION("""COMPUTED_VALUE"""),"availment")</f>
        <v>availment</v>
      </c>
      <c r="O24" s="258" t="str">
        <f>IFERROR(__xludf.DUMMYFUNCTION("""COMPUTED_VALUE"""),"availment_profile")</f>
        <v>availment_profile</v>
      </c>
      <c r="P24" s="258"/>
    </row>
    <row r="25">
      <c r="A25" s="257" t="str">
        <f>IFERROR(__xludf.DUMMYFUNCTION("""COMPUTED_VALUE"""),"last_promo_reg_name")</f>
        <v>last_promo_reg_name</v>
      </c>
      <c r="B25" s="258" t="str">
        <f>IFERROR(__xludf.DUMMYFUNCTION("""COMPUTED_VALUE"""),"Campaign History")</f>
        <v>Campaign History</v>
      </c>
      <c r="C25" s="258" t="str">
        <f>IFERROR(__xludf.DUMMYFUNCTION("""COMPUTED_VALUE"""),"Non-PII")</f>
        <v>Non-PII</v>
      </c>
      <c r="D25" s="258" t="str">
        <f>IFERROR(__xludf.DUMMYFUNCTION("""COMPUTED_VALUE"""),"Non-PII")</f>
        <v>Non-PII</v>
      </c>
      <c r="E25" s="258" t="str">
        <f>IFERROR(__xludf.DUMMYFUNCTION("""COMPUTED_VALUE"""),"Latest promo registered name availed by the subscriber for past 90 days")</f>
        <v>Latest promo registered name availed by the subscriber for past 90 days</v>
      </c>
      <c r="F25" s="258" t="str">
        <f>IFERROR(__xludf.DUMMYFUNCTION("""COMPUTED_VALUE"""),"Derived")</f>
        <v>Derived</v>
      </c>
      <c r="G25" s="258" t="str">
        <f>IFERROR(__xludf.DUMMYFUNCTION("""COMPUTED_VALUE"""),"varchar(1000)")</f>
        <v>varchar(1000)</v>
      </c>
      <c r="H25" s="258" t="str">
        <f>IFERROR(__xludf.DUMMYFUNCTION("""COMPUTED_VALUE"""),"COMBO15_TM_GOYA15")</f>
        <v>COMBO15_TM_GOYA15</v>
      </c>
      <c r="I25" s="258" t="str">
        <f>IFERROR(__xludf.DUMMYFUNCTION("""COMPUTED_VALUE"""),"FVT")</f>
        <v>FVT</v>
      </c>
      <c r="J25" s="258" t="str">
        <f>IFERROR(__xludf.DUMMYFUNCTION("""COMPUTED_VALUE"""),"Daily")</f>
        <v>Daily</v>
      </c>
      <c r="K25" s="258" t="str">
        <f>IFERROR(__xludf.DUMMYFUNCTION("""COMPUTED_VALUE"""),"")</f>
        <v/>
      </c>
      <c r="L25" s="258" t="str">
        <f>IFERROR(__xludf.DUMMYFUNCTION("""COMPUTED_VALUE"""),"GHP-PREPAID, TM, PW")</f>
        <v>GHP-PREPAID, TM, PW</v>
      </c>
      <c r="M25" s="258" t="str">
        <f>IFERROR(__xludf.DUMMYFUNCTION("""COMPUTED_VALUE"""),"Consumer, EG, SG, IBG Traveler")</f>
        <v>Consumer, EG, SG, IBG Traveler</v>
      </c>
      <c r="N25" s="258" t="str">
        <f>IFERROR(__xludf.DUMMYFUNCTION("""COMPUTED_VALUE"""),"availment")</f>
        <v>availment</v>
      </c>
      <c r="O25" s="258" t="str">
        <f>IFERROR(__xludf.DUMMYFUNCTION("""COMPUTED_VALUE"""),"availment_profile")</f>
        <v>availment_profile</v>
      </c>
      <c r="P25" s="258"/>
    </row>
    <row r="26">
      <c r="A26" s="257" t="str">
        <f>IFERROR(__xludf.DUMMYFUNCTION("""COMPUTED_VALUE"""),"reload_average_txn_interval_rolling_90_days")</f>
        <v>reload_average_txn_interval_rolling_90_days</v>
      </c>
      <c r="B26" s="258" t="str">
        <f>IFERROR(__xludf.DUMMYFUNCTION("""COMPUTED_VALUE"""),"Behavioral")</f>
        <v>Behavioral</v>
      </c>
      <c r="C26" s="258" t="str">
        <f>IFERROR(__xludf.DUMMYFUNCTION("""COMPUTED_VALUE"""),"Non-PII")</f>
        <v>Non-PII</v>
      </c>
      <c r="D26" s="258" t="str">
        <f>IFERROR(__xludf.DUMMYFUNCTION("""COMPUTED_VALUE"""),"Non-PII")</f>
        <v>Non-PII</v>
      </c>
      <c r="E26" s="258" t="str">
        <f>IFERROR(__xludf.DUMMYFUNCTION("""COMPUTED_VALUE"""),"Subscriber's average no. of days in between top-ups for the past 90 days")</f>
        <v>Subscriber's average no. of days in between top-ups for the past 90 days</v>
      </c>
      <c r="F26" s="258" t="str">
        <f>IFERROR(__xludf.DUMMYFUNCTION("""COMPUTED_VALUE"""),"Derived")</f>
        <v>Derived</v>
      </c>
      <c r="G26" s="258" t="str">
        <f>IFERROR(__xludf.DUMMYFUNCTION("""COMPUTED_VALUE"""),"integer")</f>
        <v>integer</v>
      </c>
      <c r="H26" s="258">
        <f>IFERROR(__xludf.DUMMYFUNCTION("""COMPUTED_VALUE"""),9.0)</f>
        <v>9</v>
      </c>
      <c r="I26" s="258" t="str">
        <f>IFERROR(__xludf.DUMMYFUNCTION("""COMPUTED_VALUE"""),"FVT")</f>
        <v>FVT</v>
      </c>
      <c r="J26" s="258" t="str">
        <f>IFERROR(__xludf.DUMMYFUNCTION("""COMPUTED_VALUE"""),"Daily")</f>
        <v>Daily</v>
      </c>
      <c r="K26" s="258" t="str">
        <f>IFERROR(__xludf.DUMMYFUNCTION("""COMPUTED_VALUE"""),"")</f>
        <v/>
      </c>
      <c r="L26" s="258" t="str">
        <f>IFERROR(__xludf.DUMMYFUNCTION("""COMPUTED_VALUE"""),"GHP-PREPAID, TM, PW")</f>
        <v>GHP-PREPAID, TM, PW</v>
      </c>
      <c r="M26" s="258" t="str">
        <f>IFERROR(__xludf.DUMMYFUNCTION("""COMPUTED_VALUE"""),"Consumer, EG, SG, IBG Traveler")</f>
        <v>Consumer, EG, SG, IBG Traveler</v>
      </c>
      <c r="N26" s="258" t="str">
        <f>IFERROR(__xludf.DUMMYFUNCTION("""COMPUTED_VALUE"""),"reload")</f>
        <v>reload</v>
      </c>
      <c r="O26" s="258" t="str">
        <f>IFERROR(__xludf.DUMMYFUNCTION("""COMPUTED_VALUE"""),"reload_profile")</f>
        <v>reload_profile</v>
      </c>
      <c r="P26" s="258"/>
    </row>
    <row r="27">
      <c r="A27" s="257" t="str">
        <f>IFERROR(__xludf.DUMMYFUNCTION("""COMPUTED_VALUE"""),"previous_payment_category_key")</f>
        <v>previous_payment_category_key</v>
      </c>
      <c r="B27" s="258" t="str">
        <f>IFERROR(__xludf.DUMMYFUNCTION("""COMPUTED_VALUE"""),"Globe ID")</f>
        <v>Globe ID</v>
      </c>
      <c r="C27" s="258" t="str">
        <f>IFERROR(__xludf.DUMMYFUNCTION("""COMPUTED_VALUE"""),"Non-PII")</f>
        <v>Non-PII</v>
      </c>
      <c r="D27" s="258" t="str">
        <f>IFERROR(__xludf.DUMMYFUNCTION("""COMPUTED_VALUE"""),"Non-PII")</f>
        <v>Non-PII</v>
      </c>
      <c r="E27" s="258" t="str">
        <f>IFERROR(__xludf.DUMMYFUNCTION("""COMPUTED_VALUE"""),"Carrier plan type description of migrated or re-assigned subscriber")</f>
        <v>Carrier plan type description of migrated or re-assigned subscriber</v>
      </c>
      <c r="F27" s="258" t="str">
        <f>IFERROR(__xludf.DUMMYFUNCTION("""COMPUTED_VALUE"""),"Direct Pull")</f>
        <v>Direct Pull</v>
      </c>
      <c r="G27" s="258" t="str">
        <f>IFERROR(__xludf.DUMMYFUNCTION("""COMPUTED_VALUE"""),"varchar(1000)")</f>
        <v>varchar(1000)</v>
      </c>
      <c r="H27" s="258" t="str">
        <f>IFERROR(__xludf.DUMMYFUNCTION("""COMPUTED_VALUE"""),"POST")</f>
        <v>POST</v>
      </c>
      <c r="I27" s="258" t="str">
        <f>IFERROR(__xludf.DUMMYFUNCTION("""COMPUTED_VALUE"""),"EDO-UUP")</f>
        <v>EDO-UUP</v>
      </c>
      <c r="J27" s="258" t="str">
        <f>IFERROR(__xludf.DUMMYFUNCTION("""COMPUTED_VALUE"""),"Daily")</f>
        <v>Daily</v>
      </c>
      <c r="K27" s="258" t="str">
        <f>IFERROR(__xludf.DUMMYFUNCTION("""COMPUTED_VALUE"""),"")</f>
        <v/>
      </c>
      <c r="L27" s="258" t="str">
        <f>IFERROR(__xludf.DUMMYFUNCTION("""COMPUTED_VALUE"""),"GHP, GHP-PREPAID, TM, PW, GOMO, WIRELINE")</f>
        <v>GHP, GHP-PREPAID, TM, PW, GOMO, WIRELINE</v>
      </c>
      <c r="M27" s="258" t="str">
        <f>IFERROR(__xludf.DUMMYFUNCTION("""COMPUTED_VALUE"""),"Consumer, EG, SG, In house")</f>
        <v>Consumer, EG, SG, In house</v>
      </c>
      <c r="N27" s="258" t="str">
        <f>IFERROR(__xludf.DUMMYFUNCTION("""COMPUTED_VALUE"""),"payment")</f>
        <v>payment</v>
      </c>
      <c r="O27" s="258" t="str">
        <f>IFERROR(__xludf.DUMMYFUNCTION("""COMPUTED_VALUE"""),"payment_profile")</f>
        <v>payment_profile</v>
      </c>
      <c r="P27" s="258"/>
    </row>
    <row r="28">
      <c r="A28" s="257" t="str">
        <f>IFERROR(__xludf.DUMMYFUNCTION("""COMPUTED_VALUE"""),"previous_subscriber_key")</f>
        <v>previous_subscriber_key</v>
      </c>
      <c r="B28" s="258" t="str">
        <f>IFERROR(__xludf.DUMMYFUNCTION("""COMPUTED_VALUE"""),"Globe ID")</f>
        <v>Globe ID</v>
      </c>
      <c r="C28" s="258" t="str">
        <f>IFERROR(__xludf.DUMMYFUNCTION("""COMPUTED_VALUE"""),"Non-PII")</f>
        <v>Non-PII</v>
      </c>
      <c r="D28" s="258" t="str">
        <f>IFERROR(__xludf.DUMMYFUNCTION("""COMPUTED_VALUE"""),"Non-PII")</f>
        <v>Non-PII</v>
      </c>
      <c r="E28" s="258" t="str">
        <f>IFERROR(__xludf.DUMMYFUNCTION("""COMPUTED_VALUE"""),"Previous subscriber identifier for migrated or re-assigned subscriber")</f>
        <v>Previous subscriber identifier for migrated or re-assigned subscriber</v>
      </c>
      <c r="F28" s="258" t="str">
        <f>IFERROR(__xludf.DUMMYFUNCTION("""COMPUTED_VALUE"""),"Direct Pull")</f>
        <v>Direct Pull</v>
      </c>
      <c r="G28" s="258" t="str">
        <f>IFERROR(__xludf.DUMMYFUNCTION("""COMPUTED_VALUE"""),"varchar(1000)")</f>
        <v>varchar(1000)</v>
      </c>
      <c r="H28" s="258">
        <f>IFERROR(__xludf.DUMMYFUNCTION("""COMPUTED_VALUE"""),9.41E8)</f>
        <v>941000000</v>
      </c>
      <c r="I28" s="258" t="str">
        <f>IFERROR(__xludf.DUMMYFUNCTION("""COMPUTED_VALUE"""),"EDO-UUP")</f>
        <v>EDO-UUP</v>
      </c>
      <c r="J28" s="258" t="str">
        <f>IFERROR(__xludf.DUMMYFUNCTION("""COMPUTED_VALUE"""),"Daily")</f>
        <v>Daily</v>
      </c>
      <c r="K28" s="258" t="str">
        <f>IFERROR(__xludf.DUMMYFUNCTION("""COMPUTED_VALUE"""),"")</f>
        <v/>
      </c>
      <c r="L28" s="258" t="str">
        <f>IFERROR(__xludf.DUMMYFUNCTION("""COMPUTED_VALUE"""),"GHP, WIRELINE")</f>
        <v>GHP, WIRELINE</v>
      </c>
      <c r="M28" s="258" t="str">
        <f>IFERROR(__xludf.DUMMYFUNCTION("""COMPUTED_VALUE"""),"Consumer, EG, SG, In house")</f>
        <v>Consumer, EG, SG, In house</v>
      </c>
      <c r="N28" s="258" t="str">
        <f>IFERROR(__xludf.DUMMYFUNCTION("""COMPUTED_VALUE"""),"customer")</f>
        <v>customer</v>
      </c>
      <c r="O28" s="258" t="str">
        <f>IFERROR(__xludf.DUMMYFUNCTION("""COMPUTED_VALUE"""),"customer_profile")</f>
        <v>customer_profile</v>
      </c>
      <c r="P28" s="258"/>
    </row>
    <row r="29">
      <c r="A29" s="257" t="str">
        <f>IFERROR(__xludf.DUMMYFUNCTION("""COMPUTED_VALUE"""),"primary_resource_type_key")</f>
        <v>primary_resource_type_key</v>
      </c>
      <c r="B29" s="258" t="str">
        <f>IFERROR(__xludf.DUMMYFUNCTION("""COMPUTED_VALUE"""),"Globe ID")</f>
        <v>Globe ID</v>
      </c>
      <c r="C29" s="258" t="str">
        <f>IFERROR(__xludf.DUMMYFUNCTION("""COMPUTED_VALUE"""),"Non-PII")</f>
        <v>Non-PII</v>
      </c>
      <c r="D29" s="258" t="str">
        <f>IFERROR(__xludf.DUMMYFUNCTION("""COMPUTED_VALUE"""),"Non-PII")</f>
        <v>Non-PII</v>
      </c>
      <c r="E29" s="258" t="str">
        <f>IFERROR(__xludf.DUMMYFUNCTION("""COMPUTED_VALUE"""),"The type(s) of data resource(s) associated to a subscriber
  Valid Values:
  DUO - Duo Number
  EFAX - EFAX
  I - IMSI number
  IP - IP Address
  LTP - Load Tipid Plan
  P - Primo
  S - SIM card number
  SDIR - Super US Direct Number
  VOIP - VOIP Number
"&amp;"  C - Voice Line MSISDN")</f>
        <v>The type(s) of data resource(s) associated to a subscriber
  Valid Values:
  DUO - Duo Number
  EFAX - EFAX
  I - IMSI number
  IP - IP Address
  LTP - Load Tipid Plan
  P - Primo
  S - SIM card number
  SDIR - Super US Direct Number
  VOIP - VOIP Number
  C - Voice Line MSISDN</v>
      </c>
      <c r="F29" s="258" t="str">
        <f>IFERROR(__xludf.DUMMYFUNCTION("""COMPUTED_VALUE"""),"Direct Pull")</f>
        <v>Direct Pull</v>
      </c>
      <c r="G29" s="258" t="str">
        <f>IFERROR(__xludf.DUMMYFUNCTION("""COMPUTED_VALUE"""),"varchar(1000)")</f>
        <v>varchar(1000)</v>
      </c>
      <c r="H29" s="258" t="str">
        <f>IFERROR(__xludf.DUMMYFUNCTION("""COMPUTED_VALUE"""),"C")</f>
        <v>C</v>
      </c>
      <c r="I29" s="258" t="str">
        <f>IFERROR(__xludf.DUMMYFUNCTION("""COMPUTED_VALUE"""),"EDO-UUP")</f>
        <v>EDO-UUP</v>
      </c>
      <c r="J29" s="258" t="str">
        <f>IFERROR(__xludf.DUMMYFUNCTION("""COMPUTED_VALUE"""),"Daily")</f>
        <v>Daily</v>
      </c>
      <c r="K29" s="258" t="str">
        <f>IFERROR(__xludf.DUMMYFUNCTION("""COMPUTED_VALUE"""),"")</f>
        <v/>
      </c>
      <c r="L29" s="258" t="str">
        <f>IFERROR(__xludf.DUMMYFUNCTION("""COMPUTED_VALUE"""),"GHP, GHP-PREPAID, TM, PW, GOMO, WIRELINE")</f>
        <v>GHP, GHP-PREPAID, TM, PW, GOMO, WIRELINE</v>
      </c>
      <c r="M29" s="258" t="str">
        <f>IFERROR(__xludf.DUMMYFUNCTION("""COMPUTED_VALUE"""),"Consumer, EG, SG, In house, IBG Traveler")</f>
        <v>Consumer, EG, SG, In house, IBG Traveler</v>
      </c>
      <c r="N29" s="258" t="str">
        <f>IFERROR(__xludf.DUMMYFUNCTION("""COMPUTED_VALUE"""),"customer")</f>
        <v>customer</v>
      </c>
      <c r="O29" s="258" t="str">
        <f>IFERROR(__xludf.DUMMYFUNCTION("""COMPUTED_VALUE"""),"customer_profile")</f>
        <v>customer_profile</v>
      </c>
      <c r="P29" s="258"/>
    </row>
    <row r="30">
      <c r="A30" s="257" t="str">
        <f>IFERROR(__xludf.DUMMYFUNCTION("""COMPUTED_VALUE"""),"subscriber_status_reason_key")</f>
        <v>subscriber_status_reason_key</v>
      </c>
      <c r="B30" s="258" t="str">
        <f>IFERROR(__xludf.DUMMYFUNCTION("""COMPUTED_VALUE"""),"Globe ID")</f>
        <v>Globe ID</v>
      </c>
      <c r="C30" s="258" t="str">
        <f>IFERROR(__xludf.DUMMYFUNCTION("""COMPUTED_VALUE"""),"Non-PII")</f>
        <v>Non-PII</v>
      </c>
      <c r="D30" s="258" t="str">
        <f>IFERROR(__xludf.DUMMYFUNCTION("""COMPUTED_VALUE"""),"Non-PII")</f>
        <v>Non-PII</v>
      </c>
      <c r="E30" s="258" t="str">
        <f>IFERROR(__xludf.DUMMYFUNCTION("""COMPUTED_VALUE"""),"Reason code of the subscriber status change")</f>
        <v>Reason code of the subscriber status change</v>
      </c>
      <c r="F30" s="258" t="str">
        <f>IFERROR(__xludf.DUMMYFUNCTION("""COMPUTED_VALUE"""),"Direct Pull")</f>
        <v>Direct Pull</v>
      </c>
      <c r="G30" s="258" t="str">
        <f>IFERROR(__xludf.DUMMYFUNCTION("""COMPUTED_VALUE"""),"varchar(1000)")</f>
        <v>varchar(1000)</v>
      </c>
      <c r="H30" s="258" t="str">
        <f>IFERROR(__xludf.DUMMYFUNCTION("""COMPUTED_VALUE"""),"14CREQ")</f>
        <v>14CREQ</v>
      </c>
      <c r="I30" s="258" t="str">
        <f>IFERROR(__xludf.DUMMYFUNCTION("""COMPUTED_VALUE"""),"DPA")</f>
        <v>DPA</v>
      </c>
      <c r="J30" s="258" t="str">
        <f>IFERROR(__xludf.DUMMYFUNCTION("""COMPUTED_VALUE"""),"Daily")</f>
        <v>Daily</v>
      </c>
      <c r="K30" s="258" t="str">
        <f>IFERROR(__xludf.DUMMYFUNCTION("""COMPUTED_VALUE"""),"")</f>
        <v/>
      </c>
      <c r="L30" s="258" t="str">
        <f>IFERROR(__xludf.DUMMYFUNCTION("""COMPUTED_VALUE"""),"GHP, GHP-PREPAID, TM, PW, GOMO, WIRELINE")</f>
        <v>GHP, GHP-PREPAID, TM, PW, GOMO, WIRELINE</v>
      </c>
      <c r="M30" s="258" t="str">
        <f>IFERROR(__xludf.DUMMYFUNCTION("""COMPUTED_VALUE"""),"Consumer, EG, SG, In house, IBG Traveler")</f>
        <v>Consumer, EG, SG, In house, IBG Traveler</v>
      </c>
      <c r="N30" s="258" t="str">
        <f>IFERROR(__xludf.DUMMYFUNCTION("""COMPUTED_VALUE"""),"customer")</f>
        <v>customer</v>
      </c>
      <c r="O30" s="258" t="str">
        <f>IFERROR(__xludf.DUMMYFUNCTION("""COMPUTED_VALUE"""),"customer_profile")</f>
        <v>customer_profile</v>
      </c>
      <c r="P30" s="258"/>
    </row>
    <row r="31">
      <c r="A31" s="257" t="str">
        <f>IFERROR(__xludf.DUMMYFUNCTION("""COMPUTED_VALUE"""),"reload_daily_average_rolling_90days_amount")</f>
        <v>reload_daily_average_rolling_90days_amount</v>
      </c>
      <c r="B31" s="258" t="str">
        <f>IFERROR(__xludf.DUMMYFUNCTION("""COMPUTED_VALUE"""),"Behavioral")</f>
        <v>Behavioral</v>
      </c>
      <c r="C31" s="258" t="str">
        <f>IFERROR(__xludf.DUMMYFUNCTION("""COMPUTED_VALUE"""),"Non-PII")</f>
        <v>Non-PII</v>
      </c>
      <c r="D31" s="258" t="str">
        <f>IFERROR(__xludf.DUMMYFUNCTION("""COMPUTED_VALUE"""),"Non-PII")</f>
        <v>Non-PII</v>
      </c>
      <c r="E31" s="258" t="str">
        <f>IFERROR(__xludf.DUMMYFUNCTION("""COMPUTED_VALUE"""),"Average top-up amount for the past 3 months (divided by distinct days with transactions)")</f>
        <v>Average top-up amount for the past 3 months (divided by distinct days with transactions)</v>
      </c>
      <c r="F31" s="258" t="str">
        <f>IFERROR(__xludf.DUMMYFUNCTION("""COMPUTED_VALUE"""),"Derived")</f>
        <v>Derived</v>
      </c>
      <c r="G31" s="258" t="str">
        <f>IFERROR(__xludf.DUMMYFUNCTION("""COMPUTED_VALUE"""),"numeric(21,2)")</f>
        <v>numeric(21,2)</v>
      </c>
      <c r="H31" s="258">
        <f>IFERROR(__xludf.DUMMYFUNCTION("""COMPUTED_VALUE"""),8.89)</f>
        <v>8.89</v>
      </c>
      <c r="I31" s="258" t="str">
        <f>IFERROR(__xludf.DUMMYFUNCTION("""COMPUTED_VALUE"""),"FVT")</f>
        <v>FVT</v>
      </c>
      <c r="J31" s="258" t="str">
        <f>IFERROR(__xludf.DUMMYFUNCTION("""COMPUTED_VALUE"""),"Daily")</f>
        <v>Daily</v>
      </c>
      <c r="K31" s="258" t="str">
        <f>IFERROR(__xludf.DUMMYFUNCTION("""COMPUTED_VALUE"""),"")</f>
        <v/>
      </c>
      <c r="L31" s="258" t="str">
        <f>IFERROR(__xludf.DUMMYFUNCTION("""COMPUTED_VALUE"""),"GHP-PREPAID, TM, PW")</f>
        <v>GHP-PREPAID, TM, PW</v>
      </c>
      <c r="M31" s="258" t="str">
        <f>IFERROR(__xludf.DUMMYFUNCTION("""COMPUTED_VALUE"""),"Consumer, EG, SG, IBG Traveler")</f>
        <v>Consumer, EG, SG, IBG Traveler</v>
      </c>
      <c r="N31" s="258" t="str">
        <f>IFERROR(__xludf.DUMMYFUNCTION("""COMPUTED_VALUE"""),"reload")</f>
        <v>reload</v>
      </c>
      <c r="O31" s="258" t="str">
        <f>IFERROR(__xludf.DUMMYFUNCTION("""COMPUTED_VALUE"""),"reload_profile")</f>
        <v>reload_profile</v>
      </c>
      <c r="P31" s="258"/>
    </row>
    <row r="32">
      <c r="A32" s="257" t="str">
        <f>IFERROR(__xludf.DUMMYFUNCTION("""COMPUTED_VALUE"""),"period_coverage_end_date")</f>
        <v>period_coverage_end_date</v>
      </c>
      <c r="B32" s="258" t="str">
        <f>IFERROR(__xludf.DUMMYFUNCTION("""COMPUTED_VALUE"""),"Customer PII")</f>
        <v>Customer PII</v>
      </c>
      <c r="C32" s="258" t="str">
        <f>IFERROR(__xludf.DUMMYFUNCTION("""COMPUTED_VALUE"""),"Non-PII")</f>
        <v>Non-PII</v>
      </c>
      <c r="D32" s="258" t="str">
        <f>IFERROR(__xludf.DUMMYFUNCTION("""COMPUTED_VALUE"""),"Non-PII")</f>
        <v>Non-PII</v>
      </c>
      <c r="E32" s="258" t="str">
        <f>IFERROR(__xludf.DUMMYFUNCTION("""COMPUTED_VALUE"""),"The end date of the billed period for the current invoice.")</f>
        <v>The end date of the billed period for the current invoice.</v>
      </c>
      <c r="F32" s="258" t="str">
        <f>IFERROR(__xludf.DUMMYFUNCTION("""COMPUTED_VALUE"""),"Direct Pull")</f>
        <v>Direct Pull</v>
      </c>
      <c r="G32" s="258" t="str">
        <f>IFERROR(__xludf.DUMMYFUNCTION("""COMPUTED_VALUE"""),"timestamp")</f>
        <v>timestamp</v>
      </c>
      <c r="H32" s="258">
        <f>IFERROR(__xludf.DUMMYFUNCTION("""COMPUTED_VALUE"""),42354.33333)</f>
        <v>42354.33333</v>
      </c>
      <c r="I32" s="258" t="str">
        <f>IFERROR(__xludf.DUMMYFUNCTION("""COMPUTED_VALUE"""),"BB")</f>
        <v>BB</v>
      </c>
      <c r="J32" s="258" t="str">
        <f>IFERROR(__xludf.DUMMYFUNCTION("""COMPUTED_VALUE"""),"Monthly")</f>
        <v>Monthly</v>
      </c>
      <c r="K32" s="258" t="str">
        <f>IFERROR(__xludf.DUMMYFUNCTION("""COMPUTED_VALUE"""),"")</f>
        <v/>
      </c>
      <c r="L32" s="258" t="str">
        <f>IFERROR(__xludf.DUMMYFUNCTION("""COMPUTED_VALUE"""),"GHP, WIRELINE, BAYAN, GLOBE")</f>
        <v>GHP, WIRELINE, BAYAN, GLOBE</v>
      </c>
      <c r="M32" s="258" t="str">
        <f>IFERROR(__xludf.DUMMYFUNCTION("""COMPUTED_VALUE"""),"Consumer, EG, SG, In house")</f>
        <v>Consumer, EG, SG, In house</v>
      </c>
      <c r="N32" s="258" t="str">
        <f>IFERROR(__xludf.DUMMYFUNCTION("""COMPUTED_VALUE"""),"invoice")</f>
        <v>invoice</v>
      </c>
      <c r="O32" s="258" t="str">
        <f>IFERROR(__xludf.DUMMYFUNCTION("""COMPUTED_VALUE"""),"invoice_profile")</f>
        <v>invoice_profile</v>
      </c>
      <c r="P32" s="258"/>
    </row>
    <row r="33">
      <c r="A33" s="257" t="str">
        <f>IFERROR(__xludf.DUMMYFUNCTION("""COMPUTED_VALUE"""),"due_date")</f>
        <v>due_date</v>
      </c>
      <c r="B33" s="258" t="str">
        <f>IFERROR(__xludf.DUMMYFUNCTION("""COMPUTED_VALUE"""),"Customer PII")</f>
        <v>Customer PII</v>
      </c>
      <c r="C33" s="258" t="str">
        <f>IFERROR(__xludf.DUMMYFUNCTION("""COMPUTED_VALUE"""),"Non-PII")</f>
        <v>Non-PII</v>
      </c>
      <c r="D33" s="258" t="str">
        <f>IFERROR(__xludf.DUMMYFUNCTION("""COMPUTED_VALUE"""),"Non-PII")</f>
        <v>Non-PII</v>
      </c>
      <c r="E33" s="258" t="str">
        <f>IFERROR(__xludf.DUMMYFUNCTION("""COMPUTED_VALUE"""),"Due date of the subscriber's bill for the current billing cycle")</f>
        <v>Due date of the subscriber's bill for the current billing cycle</v>
      </c>
      <c r="F33" s="258" t="str">
        <f>IFERROR(__xludf.DUMMYFUNCTION("""COMPUTED_VALUE"""),"Direct Pull")</f>
        <v>Direct Pull</v>
      </c>
      <c r="G33" s="258" t="str">
        <f>IFERROR(__xludf.DUMMYFUNCTION("""COMPUTED_VALUE"""),"timestamp")</f>
        <v>timestamp</v>
      </c>
      <c r="H33" s="258">
        <f>IFERROR(__xludf.DUMMYFUNCTION("""COMPUTED_VALUE"""),40155.461)</f>
        <v>40155.461</v>
      </c>
      <c r="I33" s="258" t="str">
        <f>IFERROR(__xludf.DUMMYFUNCTION("""COMPUTED_VALUE"""),"BB")</f>
        <v>BB</v>
      </c>
      <c r="J33" s="258" t="str">
        <f>IFERROR(__xludf.DUMMYFUNCTION("""COMPUTED_VALUE"""),"Monthly")</f>
        <v>Monthly</v>
      </c>
      <c r="K33" s="258" t="str">
        <f>IFERROR(__xludf.DUMMYFUNCTION("""COMPUTED_VALUE"""),"")</f>
        <v/>
      </c>
      <c r="L33" s="258" t="str">
        <f>IFERROR(__xludf.DUMMYFUNCTION("""COMPUTED_VALUE"""),"GHP, WIRELINE, BAYAN, GLOBE")</f>
        <v>GHP, WIRELINE, BAYAN, GLOBE</v>
      </c>
      <c r="M33" s="258" t="str">
        <f>IFERROR(__xludf.DUMMYFUNCTION("""COMPUTED_VALUE"""),"Consumer, EG, SG, In house")</f>
        <v>Consumer, EG, SG, In house</v>
      </c>
      <c r="N33" s="258" t="str">
        <f>IFERROR(__xludf.DUMMYFUNCTION("""COMPUTED_VALUE"""),"invoice")</f>
        <v>invoice</v>
      </c>
      <c r="O33" s="258" t="str">
        <f>IFERROR(__xludf.DUMMYFUNCTION("""COMPUTED_VALUE"""),"invoice_profile")</f>
        <v>invoice_profile</v>
      </c>
      <c r="P33" s="258"/>
    </row>
    <row r="34">
      <c r="A34" s="257" t="str">
        <f>IFERROR(__xludf.DUMMYFUNCTION("""COMPUTED_VALUE"""),"financial_activities_amount")</f>
        <v>financial_activities_amount</v>
      </c>
      <c r="B34" s="258" t="str">
        <f>IFERROR(__xludf.DUMMYFUNCTION("""COMPUTED_VALUE"""),"Customer PII")</f>
        <v>Customer PII</v>
      </c>
      <c r="C34" s="258" t="str">
        <f>IFERROR(__xludf.DUMMYFUNCTION("""COMPUTED_VALUE"""),"Non-PII")</f>
        <v>Non-PII</v>
      </c>
      <c r="D34" s="258" t="str">
        <f>IFERROR(__xludf.DUMMYFUNCTION("""COMPUTED_VALUE"""),"Non-PII")</f>
        <v>Non-PII</v>
      </c>
      <c r="E34" s="258" t="str">
        <f>IFERROR(__xludf.DUMMYFUNCTION("""COMPUTED_VALUE"""),"Total amount of the financial activities, including tax, for the completed billing cycle of a postpaid subscriber")</f>
        <v>Total amount of the financial activities, including tax, for the completed billing cycle of a postpaid subscriber</v>
      </c>
      <c r="F34" s="258" t="str">
        <f>IFERROR(__xludf.DUMMYFUNCTION("""COMPUTED_VALUE"""),"Direct Pull")</f>
        <v>Direct Pull</v>
      </c>
      <c r="G34" s="258" t="str">
        <f>IFERROR(__xludf.DUMMYFUNCTION("""COMPUTED_VALUE"""),"numeric(38,2)")</f>
        <v>numeric(38,2)</v>
      </c>
      <c r="H34" s="258">
        <f>IFERROR(__xludf.DUMMYFUNCTION("""COMPUTED_VALUE"""),50.0)</f>
        <v>50</v>
      </c>
      <c r="I34" s="258" t="str">
        <f>IFERROR(__xludf.DUMMYFUNCTION("""COMPUTED_VALUE"""),"CBRM")</f>
        <v>CBRM</v>
      </c>
      <c r="J34" s="258" t="str">
        <f>IFERROR(__xludf.DUMMYFUNCTION("""COMPUTED_VALUE"""),"Monthly")</f>
        <v>Monthly</v>
      </c>
      <c r="K34" s="258" t="str">
        <f>IFERROR(__xludf.DUMMYFUNCTION("""COMPUTED_VALUE"""),"")</f>
        <v/>
      </c>
      <c r="L34" s="258" t="str">
        <f>IFERROR(__xludf.DUMMYFUNCTION("""COMPUTED_VALUE"""),"GHP, WIRELINE")</f>
        <v>GHP, WIRELINE</v>
      </c>
      <c r="M34" s="258" t="str">
        <f>IFERROR(__xludf.DUMMYFUNCTION("""COMPUTED_VALUE"""),"Consumer, EG, SG, In house")</f>
        <v>Consumer, EG, SG, In house</v>
      </c>
      <c r="N34" s="258" t="str">
        <f>IFERROR(__xludf.DUMMYFUNCTION("""COMPUTED_VALUE"""),"invoice")</f>
        <v>invoice</v>
      </c>
      <c r="O34" s="258" t="str">
        <f>IFERROR(__xludf.DUMMYFUNCTION("""COMPUTED_VALUE"""),"invoice_profile")</f>
        <v>invoice_profile</v>
      </c>
      <c r="P34" s="258"/>
    </row>
    <row r="35">
      <c r="A35" s="257" t="str">
        <f>IFERROR(__xludf.DUMMYFUNCTION("""COMPUTED_VALUE"""),"previous_balance_amount")</f>
        <v>previous_balance_amount</v>
      </c>
      <c r="B35" s="258" t="str">
        <f>IFERROR(__xludf.DUMMYFUNCTION("""COMPUTED_VALUE"""),"Customer PII")</f>
        <v>Customer PII</v>
      </c>
      <c r="C35" s="258" t="str">
        <f>IFERROR(__xludf.DUMMYFUNCTION("""COMPUTED_VALUE"""),"Non-PII")</f>
        <v>Non-PII</v>
      </c>
      <c r="D35" s="258" t="str">
        <f>IFERROR(__xludf.DUMMYFUNCTION("""COMPUTED_VALUE"""),"Non-PII")</f>
        <v>Non-PII</v>
      </c>
      <c r="E35" s="258" t="str">
        <f>IFERROR(__xludf.DUMMYFUNCTION("""COMPUTED_VALUE"""),"Total amount due from the previous billing statement for postpaid or wireline subscriber")</f>
        <v>Total amount due from the previous billing statement for postpaid or wireline subscriber</v>
      </c>
      <c r="F35" s="258" t="str">
        <f>IFERROR(__xludf.DUMMYFUNCTION("""COMPUTED_VALUE"""),"Direct Pull")</f>
        <v>Direct Pull</v>
      </c>
      <c r="G35" s="258" t="str">
        <f>IFERROR(__xludf.DUMMYFUNCTION("""COMPUTED_VALUE"""),"numeric(38,2)")</f>
        <v>numeric(38,2)</v>
      </c>
      <c r="H35" s="258">
        <f>IFERROR(__xludf.DUMMYFUNCTION("""COMPUTED_VALUE"""),2265.61)</f>
        <v>2265.61</v>
      </c>
      <c r="I35" s="258" t="str">
        <f>IFERROR(__xludf.DUMMYFUNCTION("""COMPUTED_VALUE"""),"EDO-UUP")</f>
        <v>EDO-UUP</v>
      </c>
      <c r="J35" s="258" t="str">
        <f>IFERROR(__xludf.DUMMYFUNCTION("""COMPUTED_VALUE"""),"Monthly")</f>
        <v>Monthly</v>
      </c>
      <c r="K35" s="258" t="str">
        <f>IFERROR(__xludf.DUMMYFUNCTION("""COMPUTED_VALUE"""),"")</f>
        <v/>
      </c>
      <c r="L35" s="258" t="str">
        <f>IFERROR(__xludf.DUMMYFUNCTION("""COMPUTED_VALUE"""),"GHP, WIRELINE")</f>
        <v>GHP, WIRELINE</v>
      </c>
      <c r="M35" s="258" t="str">
        <f>IFERROR(__xludf.DUMMYFUNCTION("""COMPUTED_VALUE"""),"Consumer, EG, SG, In house")</f>
        <v>Consumer, EG, SG, In house</v>
      </c>
      <c r="N35" s="258" t="str">
        <f>IFERROR(__xludf.DUMMYFUNCTION("""COMPUTED_VALUE"""),"invoice")</f>
        <v>invoice</v>
      </c>
      <c r="O35" s="258" t="str">
        <f>IFERROR(__xludf.DUMMYFUNCTION("""COMPUTED_VALUE"""),"invoice_profile")</f>
        <v>invoice_profile</v>
      </c>
      <c r="P35" s="258"/>
    </row>
    <row r="36">
      <c r="A36" s="257" t="str">
        <f>IFERROR(__xludf.DUMMYFUNCTION("""COMPUTED_VALUE"""),"total_amount")</f>
        <v>total_amount</v>
      </c>
      <c r="B36" s="258" t="str">
        <f>IFERROR(__xludf.DUMMYFUNCTION("""COMPUTED_VALUE"""),"Customer PII")</f>
        <v>Customer PII</v>
      </c>
      <c r="C36" s="258" t="str">
        <f>IFERROR(__xludf.DUMMYFUNCTION("""COMPUTED_VALUE"""),"Non-PII")</f>
        <v>Non-PII</v>
      </c>
      <c r="D36" s="258" t="str">
        <f>IFERROR(__xludf.DUMMYFUNCTION("""COMPUTED_VALUE"""),"Non-PII")</f>
        <v>Non-PII</v>
      </c>
      <c r="E36" s="258" t="str">
        <f>IFERROR(__xludf.DUMMYFUNCTION("""COMPUTED_VALUE"""),"Total of all new charges and credits (including discounts) since the previous bill")</f>
        <v>Total of all new charges and credits (including discounts) since the previous bill</v>
      </c>
      <c r="F36" s="258" t="str">
        <f>IFERROR(__xludf.DUMMYFUNCTION("""COMPUTED_VALUE"""),"Direct Pull")</f>
        <v>Direct Pull</v>
      </c>
      <c r="G36" s="258" t="str">
        <f>IFERROR(__xludf.DUMMYFUNCTION("""COMPUTED_VALUE"""),"numeric(38,2)")</f>
        <v>numeric(38,2)</v>
      </c>
      <c r="H36" s="258">
        <f>IFERROR(__xludf.DUMMYFUNCTION("""COMPUTED_VALUE"""),1499.0)</f>
        <v>1499</v>
      </c>
      <c r="I36" s="258" t="str">
        <f>IFERROR(__xludf.DUMMYFUNCTION("""COMPUTED_VALUE"""),"CBRM")</f>
        <v>CBRM</v>
      </c>
      <c r="J36" s="258" t="str">
        <f>IFERROR(__xludf.DUMMYFUNCTION("""COMPUTED_VALUE"""),"Monthly")</f>
        <v>Monthly</v>
      </c>
      <c r="K36" s="258" t="str">
        <f>IFERROR(__xludf.DUMMYFUNCTION("""COMPUTED_VALUE"""),"")</f>
        <v/>
      </c>
      <c r="L36" s="258" t="str">
        <f>IFERROR(__xludf.DUMMYFUNCTION("""COMPUTED_VALUE"""),"GHP, WIRELINE")</f>
        <v>GHP, WIRELINE</v>
      </c>
      <c r="M36" s="258" t="str">
        <f>IFERROR(__xludf.DUMMYFUNCTION("""COMPUTED_VALUE"""),"Consumer, EG, SG, In house")</f>
        <v>Consumer, EG, SG, In house</v>
      </c>
      <c r="N36" s="258" t="str">
        <f>IFERROR(__xludf.DUMMYFUNCTION("""COMPUTED_VALUE"""),"invoice")</f>
        <v>invoice</v>
      </c>
      <c r="O36" s="258" t="str">
        <f>IFERROR(__xludf.DUMMYFUNCTION("""COMPUTED_VALUE"""),"invoice_profile")</f>
        <v>invoice_profile</v>
      </c>
      <c r="P36" s="258"/>
    </row>
    <row r="37">
      <c r="A37" s="257" t="str">
        <f>IFERROR(__xludf.DUMMYFUNCTION("""COMPUTED_VALUE"""),"total_due_amount")</f>
        <v>total_due_amount</v>
      </c>
      <c r="B37" s="258" t="str">
        <f>IFERROR(__xludf.DUMMYFUNCTION("""COMPUTED_VALUE"""),"Customer PII")</f>
        <v>Customer PII</v>
      </c>
      <c r="C37" s="258" t="str">
        <f>IFERROR(__xludf.DUMMYFUNCTION("""COMPUTED_VALUE"""),"Non-PII")</f>
        <v>Non-PII</v>
      </c>
      <c r="D37" s="258" t="str">
        <f>IFERROR(__xludf.DUMMYFUNCTION("""COMPUTED_VALUE"""),"Non-PII")</f>
        <v>Non-PII</v>
      </c>
      <c r="E37" s="258" t="str">
        <f>IFERROR(__xludf.DUMMYFUNCTION("""COMPUTED_VALUE"""),"Total amount required to be paid by the subscriber")</f>
        <v>Total amount required to be paid by the subscriber</v>
      </c>
      <c r="F37" s="258" t="str">
        <f>IFERROR(__xludf.DUMMYFUNCTION("""COMPUTED_VALUE"""),"Direct Pull")</f>
        <v>Direct Pull</v>
      </c>
      <c r="G37" s="258" t="str">
        <f>IFERROR(__xludf.DUMMYFUNCTION("""COMPUTED_VALUE"""),"numeric(38,2)")</f>
        <v>numeric(38,2)</v>
      </c>
      <c r="H37" s="258">
        <f>IFERROR(__xludf.DUMMYFUNCTION("""COMPUTED_VALUE"""),1498.61)</f>
        <v>1498.61</v>
      </c>
      <c r="I37" s="258" t="str">
        <f>IFERROR(__xludf.DUMMYFUNCTION("""COMPUTED_VALUE"""),"CBRM")</f>
        <v>CBRM</v>
      </c>
      <c r="J37" s="258" t="str">
        <f>IFERROR(__xludf.DUMMYFUNCTION("""COMPUTED_VALUE"""),"Monthly")</f>
        <v>Monthly</v>
      </c>
      <c r="K37" s="258" t="str">
        <f>IFERROR(__xludf.DUMMYFUNCTION("""COMPUTED_VALUE"""),"")</f>
        <v/>
      </c>
      <c r="L37" s="258" t="str">
        <f>IFERROR(__xludf.DUMMYFUNCTION("""COMPUTED_VALUE"""),"GHP, WIRELINE")</f>
        <v>GHP, WIRELINE</v>
      </c>
      <c r="M37" s="258" t="str">
        <f>IFERROR(__xludf.DUMMYFUNCTION("""COMPUTED_VALUE"""),"Consumer, EG, SG, In house")</f>
        <v>Consumer, EG, SG, In house</v>
      </c>
      <c r="N37" s="258" t="str">
        <f>IFERROR(__xludf.DUMMYFUNCTION("""COMPUTED_VALUE"""),"invoice")</f>
        <v>invoice</v>
      </c>
      <c r="O37" s="258" t="str">
        <f>IFERROR(__xludf.DUMMYFUNCTION("""COMPUTED_VALUE"""),"invoice_profile")</f>
        <v>invoice_profile</v>
      </c>
      <c r="P37" s="258"/>
    </row>
    <row r="38">
      <c r="A38" s="257" t="str">
        <f>IFERROR(__xludf.DUMMYFUNCTION("""COMPUTED_VALUE"""),"billing_offer_desc")</f>
        <v>billing_offer_desc</v>
      </c>
      <c r="B38" s="258" t="str">
        <f>IFERROR(__xludf.DUMMYFUNCTION("""COMPUTED_VALUE"""),"Globe ID")</f>
        <v>Globe ID</v>
      </c>
      <c r="C38" s="258" t="str">
        <f>IFERROR(__xludf.DUMMYFUNCTION("""COMPUTED_VALUE"""),"Non-PII")</f>
        <v>Non-PII</v>
      </c>
      <c r="D38" s="258" t="str">
        <f>IFERROR(__xludf.DUMMYFUNCTION("""COMPUTED_VALUE"""),"Non-PII")</f>
        <v>Non-PII</v>
      </c>
      <c r="E38" s="258" t="str">
        <f>IFERROR(__xludf.DUMMYFUNCTION("""COMPUTED_VALUE"""),"Subscriber's Main Plan")</f>
        <v>Subscriber's Main Plan</v>
      </c>
      <c r="F38" s="258" t="str">
        <f>IFERROR(__xludf.DUMMYFUNCTION("""COMPUTED_VALUE"""),"Direct Pull")</f>
        <v>Direct Pull</v>
      </c>
      <c r="G38" s="258" t="str">
        <f>IFERROR(__xludf.DUMMYFUNCTION("""COMPUTED_VALUE"""),"varchar(1000)")</f>
        <v>varchar(1000)</v>
      </c>
      <c r="H38" s="258" t="str">
        <f>IFERROR(__xludf.DUMMYFUNCTION("""COMPUTED_VALUE"""),"ThePLAN 799")</f>
        <v>ThePLAN 799</v>
      </c>
      <c r="I38" s="258" t="str">
        <f>IFERROR(__xludf.DUMMYFUNCTION("""COMPUTED_VALUE"""),"CBRM")</f>
        <v>CBRM</v>
      </c>
      <c r="J38" s="258" t="str">
        <f>IFERROR(__xludf.DUMMYFUNCTION("""COMPUTED_VALUE"""),"Daily")</f>
        <v>Daily</v>
      </c>
      <c r="K38" s="258" t="str">
        <f>IFERROR(__xludf.DUMMYFUNCTION("""COMPUTED_VALUE"""),"")</f>
        <v/>
      </c>
      <c r="L38" s="258" t="str">
        <f>IFERROR(__xludf.DUMMYFUNCTION("""COMPUTED_VALUE"""),"GHP, GHP-PREPAID, PW, WIRELINE, BAYAN, GLOBE")</f>
        <v>GHP, GHP-PREPAID, PW, WIRELINE, BAYAN, GLOBE</v>
      </c>
      <c r="M38" s="258" t="str">
        <f>IFERROR(__xludf.DUMMYFUNCTION("""COMPUTED_VALUE"""),"Consumer, EG, SG, In house, IBG Traveler")</f>
        <v>Consumer, EG, SG, In house, IBG Traveler</v>
      </c>
      <c r="N38" s="258" t="str">
        <f>IFERROR(__xludf.DUMMYFUNCTION("""COMPUTED_VALUE"""),"product")</f>
        <v>product</v>
      </c>
      <c r="O38" s="258" t="str">
        <f>IFERROR(__xludf.DUMMYFUNCTION("""COMPUTED_VALUE"""),"product_profile")</f>
        <v>product_profile</v>
      </c>
      <c r="P38" s="258"/>
    </row>
    <row r="39">
      <c r="A39" s="257" t="str">
        <f>IFERROR(__xludf.DUMMYFUNCTION("""COMPUTED_VALUE"""),"msf")</f>
        <v>msf</v>
      </c>
      <c r="B39" s="258" t="str">
        <f>IFERROR(__xludf.DUMMYFUNCTION("""COMPUTED_VALUE"""),"Globe ID")</f>
        <v>Globe ID</v>
      </c>
      <c r="C39" s="258" t="str">
        <f>IFERROR(__xludf.DUMMYFUNCTION("""COMPUTED_VALUE"""),"Non-PII")</f>
        <v>Non-PII</v>
      </c>
      <c r="D39" s="258" t="str">
        <f>IFERROR(__xludf.DUMMYFUNCTION("""COMPUTED_VALUE"""),"Non-PII")</f>
        <v>Non-PII</v>
      </c>
      <c r="E39" s="258" t="str">
        <f>IFERROR(__xludf.DUMMYFUNCTION("""COMPUTED_VALUE"""),"Monthly service fee of a subscriber (inclusive of tax)")</f>
        <v>Monthly service fee of a subscriber (inclusive of tax)</v>
      </c>
      <c r="F39" s="258" t="str">
        <f>IFERROR(__xludf.DUMMYFUNCTION("""COMPUTED_VALUE"""),"Direct Pull")</f>
        <v>Direct Pull</v>
      </c>
      <c r="G39" s="258" t="str">
        <f>IFERROR(__xludf.DUMMYFUNCTION("""COMPUTED_VALUE"""),"numeric(19,4)")</f>
        <v>numeric(19,4)</v>
      </c>
      <c r="H39" s="258">
        <f>IFERROR(__xludf.DUMMYFUNCTION("""COMPUTED_VALUE"""),133.1008)</f>
        <v>133.1008</v>
      </c>
      <c r="I39" s="258" t="str">
        <f>IFERROR(__xludf.DUMMYFUNCTION("""COMPUTED_VALUE"""),"FVT")</f>
        <v>FVT</v>
      </c>
      <c r="J39" s="258" t="str">
        <f>IFERROR(__xludf.DUMMYFUNCTION("""COMPUTED_VALUE"""),"Daily")</f>
        <v>Daily</v>
      </c>
      <c r="K39" s="258" t="str">
        <f>IFERROR(__xludf.DUMMYFUNCTION("""COMPUTED_VALUE"""),"")</f>
        <v/>
      </c>
      <c r="L39" s="258" t="str">
        <f>IFERROR(__xludf.DUMMYFUNCTION("""COMPUTED_VALUE"""),"GHP, GHP-PREPAID, TM, PW, GOMO, WIRELINE, BAYAN, GLOBE")</f>
        <v>GHP, GHP-PREPAID, TM, PW, GOMO, WIRELINE, BAYAN, GLOBE</v>
      </c>
      <c r="M39" s="258" t="str">
        <f>IFERROR(__xludf.DUMMYFUNCTION("""COMPUTED_VALUE"""),"Consumer, EG, SG, In house, IBG Traveler")</f>
        <v>Consumer, EG, SG, In house, IBG Traveler</v>
      </c>
      <c r="N39" s="258" t="str">
        <f>IFERROR(__xludf.DUMMYFUNCTION("""COMPUTED_VALUE"""),"contract")</f>
        <v>contract</v>
      </c>
      <c r="O39" s="258" t="str">
        <f>IFERROR(__xludf.DUMMYFUNCTION("""COMPUTED_VALUE"""),"contract_profile")</f>
        <v>contract_profile</v>
      </c>
      <c r="P39" s="258"/>
    </row>
    <row r="40">
      <c r="A40" s="257" t="str">
        <f>IFERROR(__xludf.DUMMYFUNCTION("""COMPUTED_VALUE"""),"spending_limit_amount")</f>
        <v>spending_limit_amount</v>
      </c>
      <c r="B40" s="258" t="str">
        <f>IFERROR(__xludf.DUMMYFUNCTION("""COMPUTED_VALUE"""),"Customer PII")</f>
        <v>Customer PII</v>
      </c>
      <c r="C40" s="258" t="str">
        <f>IFERROR(__xludf.DUMMYFUNCTION("""COMPUTED_VALUE"""),"Non-PII")</f>
        <v>Non-PII</v>
      </c>
      <c r="D40" s="258" t="str">
        <f>IFERROR(__xludf.DUMMYFUNCTION("""COMPUTED_VALUE"""),"Non-PII")</f>
        <v>Non-PII</v>
      </c>
      <c r="E40" s="258" t="str">
        <f>IFERROR(__xludf.DUMMYFUNCTION("""COMPUTED_VALUE"""),"Subscription Spending Limit (SSL) Balance allowance between the subscriber's Credit Limit and all monthly recurring fees")</f>
        <v>Subscription Spending Limit (SSL) Balance allowance between the subscriber's Credit Limit and all monthly recurring fees</v>
      </c>
      <c r="F40" s="258" t="str">
        <f>IFERROR(__xludf.DUMMYFUNCTION("""COMPUTED_VALUE"""),"Direct Pull")</f>
        <v>Direct Pull</v>
      </c>
      <c r="G40" s="258" t="str">
        <f>IFERROR(__xludf.DUMMYFUNCTION("""COMPUTED_VALUE"""),"numeric(38,2)")</f>
        <v>numeric(38,2)</v>
      </c>
      <c r="H40" s="258">
        <f>IFERROR(__xludf.DUMMYFUNCTION("""COMPUTED_VALUE"""),800.0)</f>
        <v>800</v>
      </c>
      <c r="I40" s="258" t="str">
        <f>IFERROR(__xludf.DUMMYFUNCTION("""COMPUTED_VALUE"""),"CBRM")</f>
        <v>CBRM</v>
      </c>
      <c r="J40" s="258" t="str">
        <f>IFERROR(__xludf.DUMMYFUNCTION("""COMPUTED_VALUE"""),"Daily")</f>
        <v>Daily</v>
      </c>
      <c r="K40" s="258" t="str">
        <f>IFERROR(__xludf.DUMMYFUNCTION("""COMPUTED_VALUE"""),"")</f>
        <v/>
      </c>
      <c r="L40" s="258" t="str">
        <f>IFERROR(__xludf.DUMMYFUNCTION("""COMPUTED_VALUE"""),"GHP, GOMO, WIRELINE")</f>
        <v>GHP, GOMO, WIRELINE</v>
      </c>
      <c r="M40" s="258" t="str">
        <f>IFERROR(__xludf.DUMMYFUNCTION("""COMPUTED_VALUE"""),"Consumer, EG, SG, In house")</f>
        <v>Consumer, EG, SG, In house</v>
      </c>
      <c r="N40" s="258" t="str">
        <f>IFERROR(__xludf.DUMMYFUNCTION("""COMPUTED_VALUE"""),"customer")</f>
        <v>customer</v>
      </c>
      <c r="O40" s="258" t="str">
        <f>IFERROR(__xludf.DUMMYFUNCTION("""COMPUTED_VALUE"""),"customer_profile")</f>
        <v>customer_profile</v>
      </c>
      <c r="P40" s="258"/>
    </row>
    <row r="41">
      <c r="A41" s="257" t="str">
        <f>IFERROR(__xludf.DUMMYFUNCTION("""COMPUTED_VALUE"""),"reload_daily_max_rolling_30days_amount")</f>
        <v>reload_daily_max_rolling_30days_amount</v>
      </c>
      <c r="B41" s="258" t="str">
        <f>IFERROR(__xludf.DUMMYFUNCTION("""COMPUTED_VALUE"""),"Behavioral")</f>
        <v>Behavioral</v>
      </c>
      <c r="C41" s="258" t="str">
        <f>IFERROR(__xludf.DUMMYFUNCTION("""COMPUTED_VALUE"""),"Non-PII")</f>
        <v>Non-PII</v>
      </c>
      <c r="D41" s="258" t="str">
        <f>IFERROR(__xludf.DUMMYFUNCTION("""COMPUTED_VALUE"""),"Non-PII")</f>
        <v>Non-PII</v>
      </c>
      <c r="E41" s="258" t="str">
        <f>IFERROR(__xludf.DUMMYFUNCTION("""COMPUTED_VALUE"""),"Maximum daily reload amount for the past rolling 30 days")</f>
        <v>Maximum daily reload amount for the past rolling 30 days</v>
      </c>
      <c r="F41" s="258" t="str">
        <f>IFERROR(__xludf.DUMMYFUNCTION("""COMPUTED_VALUE"""),"Derived")</f>
        <v>Derived</v>
      </c>
      <c r="G41" s="258" t="str">
        <f>IFERROR(__xludf.DUMMYFUNCTION("""COMPUTED_VALUE"""),"numeric(21,2)")</f>
        <v>numeric(21,2)</v>
      </c>
      <c r="H41" s="258">
        <f>IFERROR(__xludf.DUMMYFUNCTION("""COMPUTED_VALUE"""),460.0)</f>
        <v>460</v>
      </c>
      <c r="I41" s="258" t="str">
        <f>IFERROR(__xludf.DUMMYFUNCTION("""COMPUTED_VALUE"""),"FVT")</f>
        <v>FVT</v>
      </c>
      <c r="J41" s="258" t="str">
        <f>IFERROR(__xludf.DUMMYFUNCTION("""COMPUTED_VALUE"""),"Daily")</f>
        <v>Daily</v>
      </c>
      <c r="K41" s="258" t="str">
        <f>IFERROR(__xludf.DUMMYFUNCTION("""COMPUTED_VALUE"""),"")</f>
        <v/>
      </c>
      <c r="L41" s="258" t="str">
        <f>IFERROR(__xludf.DUMMYFUNCTION("""COMPUTED_VALUE"""),"GHP-PREPAID, TM, PW")</f>
        <v>GHP-PREPAID, TM, PW</v>
      </c>
      <c r="M41" s="258" t="str">
        <f>IFERROR(__xludf.DUMMYFUNCTION("""COMPUTED_VALUE"""),"Consumer, EG, SG, IBG Traveler")</f>
        <v>Consumer, EG, SG, IBG Traveler</v>
      </c>
      <c r="N41" s="258" t="str">
        <f>IFERROR(__xludf.DUMMYFUNCTION("""COMPUTED_VALUE"""),"reload")</f>
        <v>reload</v>
      </c>
      <c r="O41" s="258" t="str">
        <f>IFERROR(__xludf.DUMMYFUNCTION("""COMPUTED_VALUE"""),"reload_profile")</f>
        <v>reload_profile</v>
      </c>
      <c r="P41" s="258"/>
    </row>
    <row r="42">
      <c r="A42" s="257" t="str">
        <f>IFERROR(__xludf.DUMMYFUNCTION("""COMPUTED_VALUE"""),"postpaid_churn_propensity_score")</f>
        <v>postpaid_churn_propensity_score</v>
      </c>
      <c r="B42" s="258" t="str">
        <f>IFERROR(__xludf.DUMMYFUNCTION("""COMPUTED_VALUE"""),"Loyalty &amp; Retention")</f>
        <v>Loyalty &amp; Retention</v>
      </c>
      <c r="C42" s="258" t="str">
        <f>IFERROR(__xludf.DUMMYFUNCTION("""COMPUTED_VALUE"""),"Non-PII")</f>
        <v>Non-PII</v>
      </c>
      <c r="D42" s="258" t="str">
        <f>IFERROR(__xludf.DUMMYFUNCTION("""COMPUTED_VALUE"""),"Non-PII")</f>
        <v>Non-PII</v>
      </c>
      <c r="E42" s="258" t="str">
        <f>IFERROR(__xludf.DUMMYFUNCTION("""COMPUTED_VALUE"""),"Propensity of a postpaid subscriber to churn based on propensity score")</f>
        <v>Propensity of a postpaid subscriber to churn based on propensity score</v>
      </c>
      <c r="F42" s="258" t="str">
        <f>IFERROR(__xludf.DUMMYFUNCTION("""COMPUTED_VALUE"""),"Inferred")</f>
        <v>Inferred</v>
      </c>
      <c r="G42" s="258" t="str">
        <f>IFERROR(__xludf.DUMMYFUNCTION("""COMPUTED_VALUE"""),"numeric(19,15)")</f>
        <v>numeric(19,15)</v>
      </c>
      <c r="H42" s="258">
        <f>IFERROR(__xludf.DUMMYFUNCTION("""COMPUTED_VALUE"""),0.0049)</f>
        <v>0.0049</v>
      </c>
      <c r="I42" s="258" t="str">
        <f>IFERROR(__xludf.DUMMYFUNCTION("""COMPUTED_VALUE"""),"MSH")</f>
        <v>MSH</v>
      </c>
      <c r="J42" s="258" t="str">
        <f>IFERROR(__xludf.DUMMYFUNCTION("""COMPUTED_VALUE"""),"Monthly")</f>
        <v>Monthly</v>
      </c>
      <c r="K42" s="258" t="str">
        <f>IFERROR(__xludf.DUMMYFUNCTION("""COMPUTED_VALUE"""),"")</f>
        <v/>
      </c>
      <c r="L42" s="258" t="str">
        <f>IFERROR(__xludf.DUMMYFUNCTION("""COMPUTED_VALUE"""),"GHP")</f>
        <v>GHP</v>
      </c>
      <c r="M42" s="258" t="str">
        <f>IFERROR(__xludf.DUMMYFUNCTION("""COMPUTED_VALUE"""),"Consumer")</f>
        <v>Consumer</v>
      </c>
      <c r="N42" s="258" t="str">
        <f>IFERROR(__xludf.DUMMYFUNCTION("""COMPUTED_VALUE"""),"revenue")</f>
        <v>revenue</v>
      </c>
      <c r="O42" s="258" t="str">
        <f>IFERROR(__xludf.DUMMYFUNCTION("""COMPUTED_VALUE"""),"revenue_profile")</f>
        <v>revenue_profile</v>
      </c>
      <c r="P42" s="258"/>
    </row>
    <row r="43">
      <c r="A43" s="257" t="str">
        <f>IFERROR(__xludf.DUMMYFUNCTION("""COMPUTED_VALUE"""),"postpaid_churn_propensity_decile")</f>
        <v>postpaid_churn_propensity_decile</v>
      </c>
      <c r="B43" s="258" t="str">
        <f>IFERROR(__xludf.DUMMYFUNCTION("""COMPUTED_VALUE"""),"Loyalty &amp; Retention")</f>
        <v>Loyalty &amp; Retention</v>
      </c>
      <c r="C43" s="258" t="str">
        <f>IFERROR(__xludf.DUMMYFUNCTION("""COMPUTED_VALUE"""),"Non-PII")</f>
        <v>Non-PII</v>
      </c>
      <c r="D43" s="258" t="str">
        <f>IFERROR(__xludf.DUMMYFUNCTION("""COMPUTED_VALUE"""),"Non-PII")</f>
        <v>Non-PII</v>
      </c>
      <c r="E43" s="258" t="str">
        <f>IFERROR(__xludf.DUMMYFUNCTION("""COMPUTED_VALUE"""),"Propensity of a postpaid subscriber to churn based on propensity decile. 1 as the highest while 10 is the lowest.")</f>
        <v>Propensity of a postpaid subscriber to churn based on propensity decile. 1 as the highest while 10 is the lowest.</v>
      </c>
      <c r="F43" s="258" t="str">
        <f>IFERROR(__xludf.DUMMYFUNCTION("""COMPUTED_VALUE"""),"Inferred")</f>
        <v>Inferred</v>
      </c>
      <c r="G43" s="258" t="str">
        <f>IFERROR(__xludf.DUMMYFUNCTION("""COMPUTED_VALUE"""),"integer")</f>
        <v>integer</v>
      </c>
      <c r="H43" s="258">
        <f>IFERROR(__xludf.DUMMYFUNCTION("""COMPUTED_VALUE"""),1.0)</f>
        <v>1</v>
      </c>
      <c r="I43" s="258" t="str">
        <f>IFERROR(__xludf.DUMMYFUNCTION("""COMPUTED_VALUE"""),"MSH")</f>
        <v>MSH</v>
      </c>
      <c r="J43" s="258" t="str">
        <f>IFERROR(__xludf.DUMMYFUNCTION("""COMPUTED_VALUE"""),"Monthly")</f>
        <v>Monthly</v>
      </c>
      <c r="K43" s="258" t="str">
        <f>IFERROR(__xludf.DUMMYFUNCTION("""COMPUTED_VALUE"""),"")</f>
        <v/>
      </c>
      <c r="L43" s="258" t="str">
        <f>IFERROR(__xludf.DUMMYFUNCTION("""COMPUTED_VALUE"""),"GHP")</f>
        <v>GHP</v>
      </c>
      <c r="M43" s="258" t="str">
        <f>IFERROR(__xludf.DUMMYFUNCTION("""COMPUTED_VALUE"""),"Consumer")</f>
        <v>Consumer</v>
      </c>
      <c r="N43" s="258" t="str">
        <f>IFERROR(__xludf.DUMMYFUNCTION("""COMPUTED_VALUE"""),"revenue")</f>
        <v>revenue</v>
      </c>
      <c r="O43" s="258" t="str">
        <f>IFERROR(__xludf.DUMMYFUNCTION("""COMPUTED_VALUE"""),"revenue_profile")</f>
        <v>revenue_profile</v>
      </c>
      <c r="P43" s="258"/>
    </row>
    <row r="44">
      <c r="A44" s="257" t="str">
        <f>IFERROR(__xludf.DUMMYFUNCTION("""COMPUTED_VALUE"""),"sim_lte_capable_indicator")</f>
        <v>sim_lte_capable_indicator</v>
      </c>
      <c r="B44" s="258" t="str">
        <f>IFERROR(__xludf.DUMMYFUNCTION("""COMPUTED_VALUE"""),"Behavioral")</f>
        <v>Behavioral</v>
      </c>
      <c r="C44" s="258" t="str">
        <f>IFERROR(__xludf.DUMMYFUNCTION("""COMPUTED_VALUE"""),"Non-PII")</f>
        <v>Non-PII</v>
      </c>
      <c r="D44" s="258" t="str">
        <f>IFERROR(__xludf.DUMMYFUNCTION("""COMPUTED_VALUE"""),"Non-PII")</f>
        <v>Non-PII</v>
      </c>
      <c r="E44" s="258" t="str">
        <f>IFERROR(__xludf.DUMMYFUNCTION("""COMPUTED_VALUE"""),"Indicator if a subcriber's issued sim card is LTE capable")</f>
        <v>Indicator if a subcriber's issued sim card is LTE capable</v>
      </c>
      <c r="F44" s="258" t="str">
        <f>IFERROR(__xludf.DUMMYFUNCTION("""COMPUTED_VALUE"""),"Derived")</f>
        <v>Derived</v>
      </c>
      <c r="G44" s="258" t="str">
        <f>IFERROR(__xludf.DUMMYFUNCTION("""COMPUTED_VALUE"""),"boolean")</f>
        <v>boolean</v>
      </c>
      <c r="H44" s="258" t="b">
        <f>IFERROR(__xludf.DUMMYFUNCTION("""COMPUTED_VALUE"""),TRUE)</f>
        <v>1</v>
      </c>
      <c r="I44" s="258" t="str">
        <f>IFERROR(__xludf.DUMMYFUNCTION("""COMPUTED_VALUE"""),"EDO-UUP")</f>
        <v>EDO-UUP</v>
      </c>
      <c r="J44" s="258" t="str">
        <f>IFERROR(__xludf.DUMMYFUNCTION("""COMPUTED_VALUE"""),"Daily")</f>
        <v>Daily</v>
      </c>
      <c r="K44" s="258" t="str">
        <f>IFERROR(__xludf.DUMMYFUNCTION("""COMPUTED_VALUE"""),"")</f>
        <v/>
      </c>
      <c r="L44" s="258" t="str">
        <f>IFERROR(__xludf.DUMMYFUNCTION("""COMPUTED_VALUE"""),"GHP, GHP-PREPAID, TM, PW")</f>
        <v>GHP, GHP-PREPAID, TM, PW</v>
      </c>
      <c r="M44" s="258" t="str">
        <f>IFERROR(__xludf.DUMMYFUNCTION("""COMPUTED_VALUE"""),"Consumer, EG, SG, In house, IBG Traveler")</f>
        <v>Consumer, EG, SG, In house, IBG Traveler</v>
      </c>
      <c r="N44" s="258" t="str">
        <f>IFERROR(__xludf.DUMMYFUNCTION("""COMPUTED_VALUE"""),"product")</f>
        <v>product</v>
      </c>
      <c r="O44" s="258" t="str">
        <f>IFERROR(__xludf.DUMMYFUNCTION("""COMPUTED_VALUE"""),"product_profile")</f>
        <v>product_profile</v>
      </c>
      <c r="P44" s="258"/>
    </row>
    <row r="45">
      <c r="A45" s="257" t="str">
        <f>IFERROR(__xludf.DUMMYFUNCTION("""COMPUTED_VALUE"""),"contract_type_code")</f>
        <v>contract_type_code</v>
      </c>
      <c r="B45" s="258" t="str">
        <f>IFERROR(__xludf.DUMMYFUNCTION("""COMPUTED_VALUE"""),"Globe ID")</f>
        <v>Globe ID</v>
      </c>
      <c r="C45" s="258" t="str">
        <f>IFERROR(__xludf.DUMMYFUNCTION("""COMPUTED_VALUE"""),"Non-PII")</f>
        <v>Non-PII</v>
      </c>
      <c r="D45" s="258" t="str">
        <f>IFERROR(__xludf.DUMMYFUNCTION("""COMPUTED_VALUE"""),"Non-PII")</f>
        <v>Non-PII</v>
      </c>
      <c r="E45" s="258" t="str">
        <f>IFERROR(__xludf.DUMMYFUNCTION("""COMPUTED_VALUE"""),"Indicator that a subscriber's contract is locked-in to Globe or not")</f>
        <v>Indicator that a subscriber's contract is locked-in to Globe or not</v>
      </c>
      <c r="F45" s="258" t="str">
        <f>IFERROR(__xludf.DUMMYFUNCTION("""COMPUTED_VALUE"""),"Derived")</f>
        <v>Derived</v>
      </c>
      <c r="G45" s="258" t="str">
        <f>IFERROR(__xludf.DUMMYFUNCTION("""COMPUTED_VALUE"""),"varchar(1000)")</f>
        <v>varchar(1000)</v>
      </c>
      <c r="H45" s="258" t="str">
        <f>IFERROR(__xludf.DUMMYFUNCTION("""COMPUTED_VALUE"""),"OB")</f>
        <v>OB</v>
      </c>
      <c r="I45" s="258" t="str">
        <f>IFERROR(__xludf.DUMMYFUNCTION("""COMPUTED_VALUE"""),"EDO-UUP")</f>
        <v>EDO-UUP</v>
      </c>
      <c r="J45" s="258" t="str">
        <f>IFERROR(__xludf.DUMMYFUNCTION("""COMPUTED_VALUE"""),"Daily")</f>
        <v>Daily</v>
      </c>
      <c r="K45" s="258" t="str">
        <f>IFERROR(__xludf.DUMMYFUNCTION("""COMPUTED_VALUE"""),"")</f>
        <v/>
      </c>
      <c r="L45" s="258" t="str">
        <f>IFERROR(__xludf.DUMMYFUNCTION("""COMPUTED_VALUE"""),"GHP, WIRELINE")</f>
        <v>GHP, WIRELINE</v>
      </c>
      <c r="M45" s="258" t="str">
        <f>IFERROR(__xludf.DUMMYFUNCTION("""COMPUTED_VALUE"""),"Consumer, EG, SG, In house")</f>
        <v>Consumer, EG, SG, In house</v>
      </c>
      <c r="N45" s="258" t="str">
        <f>IFERROR(__xludf.DUMMYFUNCTION("""COMPUTED_VALUE"""),"contract")</f>
        <v>contract</v>
      </c>
      <c r="O45" s="258" t="str">
        <f>IFERROR(__xludf.DUMMYFUNCTION("""COMPUTED_VALUE"""),"contract_profile")</f>
        <v>contract_profile</v>
      </c>
      <c r="P45" s="258"/>
    </row>
    <row r="46">
      <c r="A46" s="257" t="str">
        <f>IFERROR(__xludf.DUMMYFUNCTION("""COMPUTED_VALUE"""),"account_credit_limit")</f>
        <v>account_credit_limit</v>
      </c>
      <c r="B46" s="258" t="str">
        <f>IFERROR(__xludf.DUMMYFUNCTION("""COMPUTED_VALUE"""),"Customer PII")</f>
        <v>Customer PII</v>
      </c>
      <c r="C46" s="258" t="str">
        <f>IFERROR(__xludf.DUMMYFUNCTION("""COMPUTED_VALUE"""),"Non-PII")</f>
        <v>Non-PII</v>
      </c>
      <c r="D46" s="258" t="str">
        <f>IFERROR(__xludf.DUMMYFUNCTION("""COMPUTED_VALUE"""),"Non-PII")</f>
        <v>Non-PII</v>
      </c>
      <c r="E46" s="258" t="str">
        <f>IFERROR(__xludf.DUMMYFUNCTION("""COMPUTED_VALUE"""),"Financial Account Spending Limit (FASL)Used as a control which determines the allowable plan for the customer")</f>
        <v>Financial Account Spending Limit (FASL)Used as a control which determines the allowable plan for the customer</v>
      </c>
      <c r="F46" s="258" t="str">
        <f>IFERROR(__xludf.DUMMYFUNCTION("""COMPUTED_VALUE"""),"Direct Pull")</f>
        <v>Direct Pull</v>
      </c>
      <c r="G46" s="258" t="str">
        <f>IFERROR(__xludf.DUMMYFUNCTION("""COMPUTED_VALUE"""),"numeric(38,2)")</f>
        <v>numeric(38,2)</v>
      </c>
      <c r="H46" s="258">
        <f>IFERROR(__xludf.DUMMYFUNCTION("""COMPUTED_VALUE"""),1796.0)</f>
        <v>1796</v>
      </c>
      <c r="I46" s="258" t="str">
        <f>IFERROR(__xludf.DUMMYFUNCTION("""COMPUTED_VALUE"""),"CBRM")</f>
        <v>CBRM</v>
      </c>
      <c r="J46" s="258" t="str">
        <f>IFERROR(__xludf.DUMMYFUNCTION("""COMPUTED_VALUE"""),"Daily")</f>
        <v>Daily</v>
      </c>
      <c r="K46" s="258" t="str">
        <f>IFERROR(__xludf.DUMMYFUNCTION("""COMPUTED_VALUE"""),"")</f>
        <v/>
      </c>
      <c r="L46" s="258" t="str">
        <f>IFERROR(__xludf.DUMMYFUNCTION("""COMPUTED_VALUE"""),"GHP, WIRELINE")</f>
        <v>GHP, WIRELINE</v>
      </c>
      <c r="M46" s="258" t="str">
        <f>IFERROR(__xludf.DUMMYFUNCTION("""COMPUTED_VALUE"""),"Consumer, EG, SG, In house")</f>
        <v>Consumer, EG, SG, In house</v>
      </c>
      <c r="N46" s="258" t="str">
        <f>IFERROR(__xludf.DUMMYFUNCTION("""COMPUTED_VALUE"""),"financial_account")</f>
        <v>financial_account</v>
      </c>
      <c r="O46" s="258" t="str">
        <f>IFERROR(__xludf.DUMMYFUNCTION("""COMPUTED_VALUE"""),"financial_account_profile")</f>
        <v>financial_account_profile</v>
      </c>
      <c r="P46" s="258"/>
    </row>
    <row r="47">
      <c r="A47" s="257" t="str">
        <f>IFERROR(__xludf.DUMMYFUNCTION("""COMPUTED_VALUE"""),"customer_credit_limit")</f>
        <v>customer_credit_limit</v>
      </c>
      <c r="B47" s="258" t="str">
        <f>IFERROR(__xludf.DUMMYFUNCTION("""COMPUTED_VALUE"""),"Customer PII")</f>
        <v>Customer PII</v>
      </c>
      <c r="C47" s="258" t="str">
        <f>IFERROR(__xludf.DUMMYFUNCTION("""COMPUTED_VALUE"""),"Non-PII")</f>
        <v>Non-PII</v>
      </c>
      <c r="D47" s="258" t="str">
        <f>IFERROR(__xludf.DUMMYFUNCTION("""COMPUTED_VALUE"""),"Non-PII")</f>
        <v>Non-PII</v>
      </c>
      <c r="E47" s="258" t="str">
        <f>IFERROR(__xludf.DUMMYFUNCTION("""COMPUTED_VALUE"""),"Customer Spending Limit (CSL)- Amount automatically assigned based on the Gross Monthly Income (GMI)
  - Maximum financial exposure Globe is willing to give customers based on PMI depending on the type of customer")</f>
        <v>Customer Spending Limit (CSL)- Amount automatically assigned based on the Gross Monthly Income (GMI)
  - Maximum financial exposure Globe is willing to give customers based on PMI depending on the type of customer</v>
      </c>
      <c r="F47" s="258" t="str">
        <f>IFERROR(__xludf.DUMMYFUNCTION("""COMPUTED_VALUE"""),"Direct Pull")</f>
        <v>Direct Pull</v>
      </c>
      <c r="G47" s="258" t="str">
        <f>IFERROR(__xludf.DUMMYFUNCTION("""COMPUTED_VALUE"""),"numeric(38,2)")</f>
        <v>numeric(38,2)</v>
      </c>
      <c r="H47" s="258">
        <f>IFERROR(__xludf.DUMMYFUNCTION("""COMPUTED_VALUE"""),343.33)</f>
        <v>343.33</v>
      </c>
      <c r="I47" s="258" t="str">
        <f>IFERROR(__xludf.DUMMYFUNCTION("""COMPUTED_VALUE"""),"CBRM")</f>
        <v>CBRM</v>
      </c>
      <c r="J47" s="258" t="str">
        <f>IFERROR(__xludf.DUMMYFUNCTION("""COMPUTED_VALUE"""),"Daily")</f>
        <v>Daily</v>
      </c>
      <c r="K47" s="258" t="str">
        <f>IFERROR(__xludf.DUMMYFUNCTION("""COMPUTED_VALUE"""),"")</f>
        <v/>
      </c>
      <c r="L47" s="258" t="str">
        <f>IFERROR(__xludf.DUMMYFUNCTION("""COMPUTED_VALUE"""),"GHP, WIRELINE, BAYAN, GLOBE")</f>
        <v>GHP, WIRELINE, BAYAN, GLOBE</v>
      </c>
      <c r="M47" s="258" t="str">
        <f>IFERROR(__xludf.DUMMYFUNCTION("""COMPUTED_VALUE"""),"Consumer, EG, SG, In house")</f>
        <v>Consumer, EG, SG, In house</v>
      </c>
      <c r="N47" s="258" t="str">
        <f>IFERROR(__xludf.DUMMYFUNCTION("""COMPUTED_VALUE"""),"customer")</f>
        <v>customer</v>
      </c>
      <c r="O47" s="258" t="str">
        <f>IFERROR(__xludf.DUMMYFUNCTION("""COMPUTED_VALUE"""),"customer_profile")</f>
        <v>customer_profile</v>
      </c>
      <c r="P47" s="258"/>
    </row>
    <row r="48">
      <c r="A48" s="257" t="str">
        <f>IFERROR(__xludf.DUMMYFUNCTION("""COMPUTED_VALUE"""),"mrf")</f>
        <v>mrf</v>
      </c>
      <c r="B48" s="258" t="str">
        <f>IFERROR(__xludf.DUMMYFUNCTION("""COMPUTED_VALUE"""),"Globe ID")</f>
        <v>Globe ID</v>
      </c>
      <c r="C48" s="258" t="str">
        <f>IFERROR(__xludf.DUMMYFUNCTION("""COMPUTED_VALUE"""),"Non-PII")</f>
        <v>Non-PII</v>
      </c>
      <c r="D48" s="258" t="str">
        <f>IFERROR(__xludf.DUMMYFUNCTION("""COMPUTED_VALUE"""),"Non-PII")</f>
        <v>Non-PII</v>
      </c>
      <c r="E48" s="258" t="str">
        <f>IFERROR(__xludf.DUMMYFUNCTION("""COMPUTED_VALUE"""),"Monthly Recurring Fee of the subscriber, (base plan + other usage recurring charges) - based from actual incurred charges")</f>
        <v>Monthly Recurring Fee of the subscriber, (base plan + other usage recurring charges) - based from actual incurred charges</v>
      </c>
      <c r="F48" s="258" t="str">
        <f>IFERROR(__xludf.DUMMYFUNCTION("""COMPUTED_VALUE"""),"Derived")</f>
        <v>Derived</v>
      </c>
      <c r="G48" s="258" t="str">
        <f>IFERROR(__xludf.DUMMYFUNCTION("""COMPUTED_VALUE"""),"numeric(19,4)")</f>
        <v>numeric(19,4)</v>
      </c>
      <c r="H48" s="258">
        <f>IFERROR(__xludf.DUMMYFUNCTION("""COMPUTED_VALUE"""),3023.0)</f>
        <v>3023</v>
      </c>
      <c r="I48" s="258" t="str">
        <f>IFERROR(__xludf.DUMMYFUNCTION("""COMPUTED_VALUE"""),"FVT")</f>
        <v>FVT</v>
      </c>
      <c r="J48" s="258" t="str">
        <f>IFERROR(__xludf.DUMMYFUNCTION("""COMPUTED_VALUE"""),"Monthly")</f>
        <v>Monthly</v>
      </c>
      <c r="K48" s="258" t="str">
        <f>IFERROR(__xludf.DUMMYFUNCTION("""COMPUTED_VALUE"""),"")</f>
        <v/>
      </c>
      <c r="L48" s="258" t="str">
        <f>IFERROR(__xludf.DUMMYFUNCTION("""COMPUTED_VALUE"""),"GHP, WIRELINE")</f>
        <v>GHP, WIRELINE</v>
      </c>
      <c r="M48" s="258" t="str">
        <f>IFERROR(__xludf.DUMMYFUNCTION("""COMPUTED_VALUE"""),"Consumer, EG, SG, In house")</f>
        <v>Consumer, EG, SG, In house</v>
      </c>
      <c r="N48" s="258" t="str">
        <f>IFERROR(__xludf.DUMMYFUNCTION("""COMPUTED_VALUE"""),"invoice")</f>
        <v>invoice</v>
      </c>
      <c r="O48" s="258" t="str">
        <f>IFERROR(__xludf.DUMMYFUNCTION("""COMPUTED_VALUE"""),"invoice_profile")</f>
        <v>invoice_profile</v>
      </c>
      <c r="P48" s="258"/>
    </row>
    <row r="49">
      <c r="A49" s="257" t="str">
        <f>IFERROR(__xludf.DUMMYFUNCTION("""COMPUTED_VALUE"""),"handset_lte_capable_indicator")</f>
        <v>handset_lte_capable_indicator</v>
      </c>
      <c r="B49" s="258" t="str">
        <f>IFERROR(__xludf.DUMMYFUNCTION("""COMPUTED_VALUE"""),"Behavioral")</f>
        <v>Behavioral</v>
      </c>
      <c r="C49" s="258" t="str">
        <f>IFERROR(__xludf.DUMMYFUNCTION("""COMPUTED_VALUE"""),"Non-PII")</f>
        <v>Non-PII</v>
      </c>
      <c r="D49" s="258" t="str">
        <f>IFERROR(__xludf.DUMMYFUNCTION("""COMPUTED_VALUE"""),"Non-PII")</f>
        <v>Non-PII</v>
      </c>
      <c r="E49" s="258" t="str">
        <f>IFERROR(__xludf.DUMMYFUNCTION("""COMPUTED_VALUE"""),"Indicator if a subscriber's handset device is LTE capable based from data usage for a month")</f>
        <v>Indicator if a subscriber's handset device is LTE capable based from data usage for a month</v>
      </c>
      <c r="F49" s="258" t="str">
        <f>IFERROR(__xludf.DUMMYFUNCTION("""COMPUTED_VALUE"""),"Derived")</f>
        <v>Derived</v>
      </c>
      <c r="G49" s="258" t="str">
        <f>IFERROR(__xludf.DUMMYFUNCTION("""COMPUTED_VALUE"""),"boolean")</f>
        <v>boolean</v>
      </c>
      <c r="H49" s="258" t="b">
        <f>IFERROR(__xludf.DUMMYFUNCTION("""COMPUTED_VALUE"""),TRUE)</f>
        <v>1</v>
      </c>
      <c r="I49" s="258" t="str">
        <f>IFERROR(__xludf.DUMMYFUNCTION("""COMPUTED_VALUE"""),"DPA")</f>
        <v>DPA</v>
      </c>
      <c r="J49" s="258" t="str">
        <f>IFERROR(__xludf.DUMMYFUNCTION("""COMPUTED_VALUE"""),"Daily")</f>
        <v>Daily</v>
      </c>
      <c r="K49" s="258" t="str">
        <f>IFERROR(__xludf.DUMMYFUNCTION("""COMPUTED_VALUE"""),"")</f>
        <v/>
      </c>
      <c r="L49" s="258" t="str">
        <f>IFERROR(__xludf.DUMMYFUNCTION("""COMPUTED_VALUE"""),"GHP, GHP-PREPAID, TM, PW, GOMO, WIRELINE")</f>
        <v>GHP, GHP-PREPAID, TM, PW, GOMO, WIRELINE</v>
      </c>
      <c r="M49" s="258" t="str">
        <f>IFERROR(__xludf.DUMMYFUNCTION("""COMPUTED_VALUE"""),"Consumer, EG, SG, In house, IBG Traveler")</f>
        <v>Consumer, EG, SG, In house, IBG Traveler</v>
      </c>
      <c r="N49" s="258" t="str">
        <f>IFERROR(__xludf.DUMMYFUNCTION("""COMPUTED_VALUE"""),"network")</f>
        <v>network</v>
      </c>
      <c r="O49" s="258" t="str">
        <f>IFERROR(__xludf.DUMMYFUNCTION("""COMPUTED_VALUE"""),"network_profile")</f>
        <v>network_profile</v>
      </c>
      <c r="P49" s="258"/>
    </row>
    <row r="50">
      <c r="A50" s="257" t="str">
        <f>IFERROR(__xludf.DUMMYFUNCTION("""COMPUTED_VALUE"""),"gender_type_description")</f>
        <v>gender_type_description</v>
      </c>
      <c r="B50" s="258" t="str">
        <f>IFERROR(__xludf.DUMMYFUNCTION("""COMPUTED_VALUE"""),"Customer PII - Masked")</f>
        <v>Customer PII - Masked</v>
      </c>
      <c r="C50" s="258" t="str">
        <f>IFERROR(__xludf.DUMMYFUNCTION("""COMPUTED_VALUE"""),"Customer PII - Masked")</f>
        <v>Customer PII - Masked</v>
      </c>
      <c r="D50" s="258" t="str">
        <f>IFERROR(__xludf.DUMMYFUNCTION("""COMPUTED_VALUE"""),"Confidential")</f>
        <v>Confidential</v>
      </c>
      <c r="E50" s="258" t="str">
        <f>IFERROR(__xludf.DUMMYFUNCTION("""COMPUTED_VALUE"""),"Gender of a subscriber (Postpaid - Actual and Prepaid - inferred)")</f>
        <v>Gender of a subscriber (Postpaid - Actual and Prepaid - inferred)</v>
      </c>
      <c r="F50" s="258" t="str">
        <f>IFERROR(__xludf.DUMMYFUNCTION("""COMPUTED_VALUE"""),"Inferred")</f>
        <v>Inferred</v>
      </c>
      <c r="G50" s="258" t="str">
        <f>IFERROR(__xludf.DUMMYFUNCTION("""COMPUTED_VALUE"""),"varchar(1000)")</f>
        <v>varchar(1000)</v>
      </c>
      <c r="H50" s="258" t="str">
        <f>IFERROR(__xludf.DUMMYFUNCTION("""COMPUTED_VALUE"""),"Male")</f>
        <v>Male</v>
      </c>
      <c r="I50" s="258" t="str">
        <f>IFERROR(__xludf.DUMMYFUNCTION("""COMPUTED_VALUE"""),"EDO-AA")</f>
        <v>EDO-AA</v>
      </c>
      <c r="J50" s="258" t="str">
        <f>IFERROR(__xludf.DUMMYFUNCTION("""COMPUTED_VALUE"""),"Daily
Monthly")</f>
        <v>Daily
Monthly</v>
      </c>
      <c r="K50" s="258" t="str">
        <f>IFERROR(__xludf.DUMMYFUNCTION("""COMPUTED_VALUE"""),"")</f>
        <v/>
      </c>
      <c r="L50" s="258" t="str">
        <f>IFERROR(__xludf.DUMMYFUNCTION("""COMPUTED_VALUE"""),"GHP, GHP-PREPAID, TM, PW, GOMO, WIRELINE, BAYAN, GLOBE")</f>
        <v>GHP, GHP-PREPAID, TM, PW, GOMO, WIRELINE, BAYAN, GLOBE</v>
      </c>
      <c r="M50" s="258" t="str">
        <f>IFERROR(__xludf.DUMMYFUNCTION("""COMPUTED_VALUE"""),"Consumer, EG, SG, In house, IBG Traveler")</f>
        <v>Consumer, EG, SG, In house, IBG Traveler</v>
      </c>
      <c r="N50" s="258" t="str">
        <f>IFERROR(__xludf.DUMMYFUNCTION("""COMPUTED_VALUE"""),"customer")</f>
        <v>customer</v>
      </c>
      <c r="O50" s="258" t="str">
        <f>IFERROR(__xludf.DUMMYFUNCTION("""COMPUTED_VALUE"""),"customer_profile")</f>
        <v>customer_profile</v>
      </c>
      <c r="P50" s="258"/>
    </row>
    <row r="51">
      <c r="A51" s="257" t="str">
        <f>IFERROR(__xludf.DUMMYFUNCTION("""COMPUTED_VALUE"""),"gross_monthly_income_amount")</f>
        <v>gross_monthly_income_amount</v>
      </c>
      <c r="B51" s="258" t="str">
        <f>IFERROR(__xludf.DUMMYFUNCTION("""COMPUTED_VALUE"""),"Customer PII")</f>
        <v>Customer PII</v>
      </c>
      <c r="C51" s="258" t="str">
        <f>IFERROR(__xludf.DUMMYFUNCTION("""COMPUTED_VALUE"""),"Non-PII")</f>
        <v>Non-PII</v>
      </c>
      <c r="D51" s="258" t="str">
        <f>IFERROR(__xludf.DUMMYFUNCTION("""COMPUTED_VALUE"""),"Non-PII")</f>
        <v>Non-PII</v>
      </c>
      <c r="E51" s="258" t="str">
        <f>IFERROR(__xludf.DUMMYFUNCTION("""COMPUTED_VALUE"""),"Gross monthly income earned by a subscriber")</f>
        <v>Gross monthly income earned by a subscriber</v>
      </c>
      <c r="F51" s="258" t="str">
        <f>IFERROR(__xludf.DUMMYFUNCTION("""COMPUTED_VALUE"""),"Direct Pull")</f>
        <v>Direct Pull</v>
      </c>
      <c r="G51" s="258" t="str">
        <f>IFERROR(__xludf.DUMMYFUNCTION("""COMPUTED_VALUE"""),"numeric(38,2)")</f>
        <v>numeric(38,2)</v>
      </c>
      <c r="H51" s="258">
        <f>IFERROR(__xludf.DUMMYFUNCTION("""COMPUTED_VALUE"""),20000.0)</f>
        <v>20000</v>
      </c>
      <c r="I51" s="258" t="str">
        <f>IFERROR(__xludf.DUMMYFUNCTION("""COMPUTED_VALUE"""),"CBRM")</f>
        <v>CBRM</v>
      </c>
      <c r="J51" s="258" t="str">
        <f>IFERROR(__xludf.DUMMYFUNCTION("""COMPUTED_VALUE"""),"Daily")</f>
        <v>Daily</v>
      </c>
      <c r="K51" s="258" t="str">
        <f>IFERROR(__xludf.DUMMYFUNCTION("""COMPUTED_VALUE"""),"")</f>
        <v/>
      </c>
      <c r="L51" s="258" t="str">
        <f>IFERROR(__xludf.DUMMYFUNCTION("""COMPUTED_VALUE"""),"GHP, GHP-PREPAID, TM, PW, GOMO, WIRELINE, BAYAN, GLOBE")</f>
        <v>GHP, GHP-PREPAID, TM, PW, GOMO, WIRELINE, BAYAN, GLOBE</v>
      </c>
      <c r="M51" s="258" t="str">
        <f>IFERROR(__xludf.DUMMYFUNCTION("""COMPUTED_VALUE"""),"Consumer, EG, SG, In house, IBG Traveler")</f>
        <v>Consumer, EG, SG, In house, IBG Traveler</v>
      </c>
      <c r="N51" s="258" t="str">
        <f>IFERROR(__xludf.DUMMYFUNCTION("""COMPUTED_VALUE"""),"customer")</f>
        <v>customer</v>
      </c>
      <c r="O51" s="258" t="str">
        <f>IFERROR(__xludf.DUMMYFUNCTION("""COMPUTED_VALUE"""),"customer_profile")</f>
        <v>customer_profile</v>
      </c>
      <c r="P51" s="258"/>
    </row>
    <row r="52">
      <c r="A52" s="257" t="str">
        <f>IFERROR(__xludf.DUMMYFUNCTION("""COMPUTED_VALUE"""),"bill_number")</f>
        <v>bill_number</v>
      </c>
      <c r="B52" s="258" t="str">
        <f>IFERROR(__xludf.DUMMYFUNCTION("""COMPUTED_VALUE"""),"Behavioral")</f>
        <v>Behavioral</v>
      </c>
      <c r="C52" s="258" t="str">
        <f>IFERROR(__xludf.DUMMYFUNCTION("""COMPUTED_VALUE"""),"Non-PII")</f>
        <v>Non-PII</v>
      </c>
      <c r="D52" s="258" t="str">
        <f>IFERROR(__xludf.DUMMYFUNCTION("""COMPUTED_VALUE"""),"Non-PII")</f>
        <v>Non-PII</v>
      </c>
      <c r="E52" s="258" t="str">
        <f>IFERROR(__xludf.DUMMYFUNCTION("""COMPUTED_VALUE"""),"A unique sequence number identifying the record of Statement of Account (SOA)")</f>
        <v>A unique sequence number identifying the record of Statement of Account (SOA)</v>
      </c>
      <c r="F52" s="258" t="str">
        <f>IFERROR(__xludf.DUMMYFUNCTION("""COMPUTED_VALUE"""),"Direct Pull")</f>
        <v>Direct Pull</v>
      </c>
      <c r="G52" s="258" t="str">
        <f>IFERROR(__xludf.DUMMYFUNCTION("""COMPUTED_VALUE"""),"varchar(1000)")</f>
        <v>varchar(1000)</v>
      </c>
      <c r="H52" s="258">
        <f>IFERROR(__xludf.DUMMYFUNCTION("""COMPUTED_VALUE"""),5.26E8)</f>
        <v>526000000</v>
      </c>
      <c r="I52" s="258" t="str">
        <f>IFERROR(__xludf.DUMMYFUNCTION("""COMPUTED_VALUE"""),"EDO-UUP")</f>
        <v>EDO-UUP</v>
      </c>
      <c r="J52" s="258" t="str">
        <f>IFERROR(__xludf.DUMMYFUNCTION("""COMPUTED_VALUE"""),"Monthly")</f>
        <v>Monthly</v>
      </c>
      <c r="K52" s="258" t="str">
        <f>IFERROR(__xludf.DUMMYFUNCTION("""COMPUTED_VALUE"""),"")</f>
        <v/>
      </c>
      <c r="L52" s="258" t="str">
        <f>IFERROR(__xludf.DUMMYFUNCTION("""COMPUTED_VALUE"""),"GHP, WIRELINE")</f>
        <v>GHP, WIRELINE</v>
      </c>
      <c r="M52" s="258" t="str">
        <f>IFERROR(__xludf.DUMMYFUNCTION("""COMPUTED_VALUE"""),"Consumer, EG, SG, In house")</f>
        <v>Consumer, EG, SG, In house</v>
      </c>
      <c r="N52" s="258" t="str">
        <f>IFERROR(__xludf.DUMMYFUNCTION("""COMPUTED_VALUE"""),"invoice")</f>
        <v>invoice</v>
      </c>
      <c r="O52" s="258" t="str">
        <f>IFERROR(__xludf.DUMMYFUNCTION("""COMPUTED_VALUE"""),"invoice_profile")</f>
        <v>invoice_profile</v>
      </c>
      <c r="P52" s="258"/>
    </row>
    <row r="53">
      <c r="A53" s="257" t="str">
        <f>IFERROR(__xludf.DUMMYFUNCTION("""COMPUTED_VALUE"""),"customer_facing_unit_type_description")</f>
        <v>customer_facing_unit_type_description</v>
      </c>
      <c r="B53" s="258" t="str">
        <f>IFERROR(__xludf.DUMMYFUNCTION("""COMPUTED_VALUE"""),"Globe ID")</f>
        <v>Globe ID</v>
      </c>
      <c r="C53" s="258" t="str">
        <f>IFERROR(__xludf.DUMMYFUNCTION("""COMPUTED_VALUE"""),"Non-PII")</f>
        <v>Non-PII</v>
      </c>
      <c r="D53" s="258" t="str">
        <f>IFERROR(__xludf.DUMMYFUNCTION("""COMPUTED_VALUE"""),"Non-PII")</f>
        <v>Non-PII</v>
      </c>
      <c r="E53" s="258" t="str">
        <f>IFERROR(__xludf.DUMMYFUNCTION("""COMPUTED_VALUE"""),"The customer group in which the subscriber belongs to.
  Valid Values:
  Consumer
  Enterprise
  Small and Medium Business
  In House")</f>
        <v>The customer group in which the subscriber belongs to.
  Valid Values:
  Consumer
  Enterprise
  Small and Medium Business
  In House</v>
      </c>
      <c r="F53" s="258" t="str">
        <f>IFERROR(__xludf.DUMMYFUNCTION("""COMPUTED_VALUE"""),"Derived")</f>
        <v>Derived</v>
      </c>
      <c r="G53" s="258" t="str">
        <f>IFERROR(__xludf.DUMMYFUNCTION("""COMPUTED_VALUE"""),"varchar(1000)")</f>
        <v>varchar(1000)</v>
      </c>
      <c r="H53" s="258" t="str">
        <f>IFERROR(__xludf.DUMMYFUNCTION("""COMPUTED_VALUE"""),"Consumer")</f>
        <v>Consumer</v>
      </c>
      <c r="I53" s="258" t="str">
        <f>IFERROR(__xludf.DUMMYFUNCTION("""COMPUTED_VALUE"""),"EDO-UUP")</f>
        <v>EDO-UUP</v>
      </c>
      <c r="J53" s="258" t="str">
        <f>IFERROR(__xludf.DUMMYFUNCTION("""COMPUTED_VALUE"""),"Daily")</f>
        <v>Daily</v>
      </c>
      <c r="K53" s="258" t="str">
        <f>IFERROR(__xludf.DUMMYFUNCTION("""COMPUTED_VALUE"""),"")</f>
        <v/>
      </c>
      <c r="L53" s="258" t="str">
        <f>IFERROR(__xludf.DUMMYFUNCTION("""COMPUTED_VALUE"""),"GHP, GHP-PREPAID, TM, PW, GOMO, WIRELINE, BAYAN, GLOBE")</f>
        <v>GHP, GHP-PREPAID, TM, PW, GOMO, WIRELINE, BAYAN, GLOBE</v>
      </c>
      <c r="M53" s="258" t="str">
        <f>IFERROR(__xludf.DUMMYFUNCTION("""COMPUTED_VALUE"""),"Consumer, EG, SG, In house, IBG Traveler")</f>
        <v>Consumer, EG, SG, In house, IBG Traveler</v>
      </c>
      <c r="N53" s="258" t="str">
        <f>IFERROR(__xludf.DUMMYFUNCTION("""COMPUTED_VALUE"""),"customer")</f>
        <v>customer</v>
      </c>
      <c r="O53" s="258" t="str">
        <f>IFERROR(__xludf.DUMMYFUNCTION("""COMPUTED_VALUE"""),"customer_profile")</f>
        <v>customer_profile</v>
      </c>
      <c r="P53" s="258"/>
    </row>
    <row r="54" ht="225.0" customHeight="1">
      <c r="A54" s="257" t="str">
        <f>IFERROR(__xludf.DUMMYFUNCTION("""COMPUTED_VALUE"""),"customer_facing_unit_sub_type_description")</f>
        <v>customer_facing_unit_sub_type_description</v>
      </c>
      <c r="B54" s="258" t="str">
        <f>IFERROR(__xludf.DUMMYFUNCTION("""COMPUTED_VALUE"""),"Globe ID")</f>
        <v>Globe ID</v>
      </c>
      <c r="C54" s="258" t="str">
        <f>IFERROR(__xludf.DUMMYFUNCTION("""COMPUTED_VALUE"""),"Non-PII")</f>
        <v>Non-PII</v>
      </c>
      <c r="D54" s="258" t="str">
        <f>IFERROR(__xludf.DUMMYFUNCTION("""COMPUTED_VALUE"""),"Non-PII")</f>
        <v>Non-PII</v>
      </c>
      <c r="E54" s="258" t="str">
        <f>IFERROR(__xludf.DUMMYFUNCTION("""COMPUTED_VALUE"""),"The customer sub-type group in which the subscriber belongs to.
 Valid Values:
 Consumer - Blue
 Consumer - Employee
 Consumer - Hybrid
 Consumer - Hybrid MVNO
 Consumer - Platinum
 Consumer - Platinum Blue
 Consumer - Platinum Elite
 Consumer - Platinum "&amp;"Premier
 Consumer - Regular
 Consumer - Super Home Phone / Home Phone
 Consumer - VIP
 Enterprise - Corporate
 Enterprise - Hybrid
 Enterprise - Individual
 IBG - Traveler
 In House - Executive
 In House - Regular
 SMB - Corp Partner
 SMB - Corp Preferred"&amp;"
 SMB - Corp Premium 1
 SMB - Corp Premium 2
 SMB - Individual Partner
 SMB - Individual VIP
 SMB - MA - Corporate
 SMB - MA - Individual
 SMB - MD - Corporate
 SMB - MD - Individual")</f>
        <v>The customer sub-type group in which the subscriber belongs to.
 Valid Values:
 Consumer - Blue
 Consumer - Employee
 Consumer - Hybrid
 Consumer - Hybrid MVNO
 Consumer - Platinum
 Consumer - Platinum Blue
 Consumer - Platinum Elite
 Consumer - Platinum Premier
 Consumer - Regular
 Consumer - Super Home Phone / Home Phone
 Consumer - VIP
 Enterprise - Corporate
 Enterprise - Hybrid
 Enterprise - Individual
 IBG - Traveler
 In House - Executive
 In House - Regular
 SMB - Corp Partner
 SMB - Corp Preferred
 SMB - Corp Premium 1
 SMB - Corp Premium 2
 SMB - Individual Partner
 SMB - Individual VIP
 SMB - MA - Corporate
 SMB - MA - Individual
 SMB - MD - Corporate
 SMB - MD - Individual</v>
      </c>
      <c r="F54" s="258" t="str">
        <f>IFERROR(__xludf.DUMMYFUNCTION("""COMPUTED_VALUE"""),"Direct Pull")</f>
        <v>Direct Pull</v>
      </c>
      <c r="G54" s="258" t="str">
        <f>IFERROR(__xludf.DUMMYFUNCTION("""COMPUTED_VALUE"""),"varchar(1000)")</f>
        <v>varchar(1000)</v>
      </c>
      <c r="H54" s="258" t="str">
        <f>IFERROR(__xludf.DUMMYFUNCTION("""COMPUTED_VALUE"""),"Consumer - Regular")</f>
        <v>Consumer - Regular</v>
      </c>
      <c r="I54" s="258" t="str">
        <f>IFERROR(__xludf.DUMMYFUNCTION("""COMPUTED_VALUE"""),"EDO-UUP")</f>
        <v>EDO-UUP</v>
      </c>
      <c r="J54" s="258" t="str">
        <f>IFERROR(__xludf.DUMMYFUNCTION("""COMPUTED_VALUE"""),"Daily")</f>
        <v>Daily</v>
      </c>
      <c r="K54" s="258" t="str">
        <f>IFERROR(__xludf.DUMMYFUNCTION("""COMPUTED_VALUE"""),"")</f>
        <v/>
      </c>
      <c r="L54" s="258" t="str">
        <f>IFERROR(__xludf.DUMMYFUNCTION("""COMPUTED_VALUE"""),"GHP, GHP-PREPAID, TM, PW, GOMO, WIRELINE, BAYAN, GLOBE")</f>
        <v>GHP, GHP-PREPAID, TM, PW, GOMO, WIRELINE, BAYAN, GLOBE</v>
      </c>
      <c r="M54" s="258" t="str">
        <f>IFERROR(__xludf.DUMMYFUNCTION("""COMPUTED_VALUE"""),"Consumer, EG, SG, In house, IBG Traveler")</f>
        <v>Consumer, EG, SG, In house, IBG Traveler</v>
      </c>
      <c r="N54" s="258" t="str">
        <f>IFERROR(__xludf.DUMMYFUNCTION("""COMPUTED_VALUE"""),"customer")</f>
        <v>customer</v>
      </c>
      <c r="O54" s="258" t="str">
        <f>IFERROR(__xludf.DUMMYFUNCTION("""COMPUTED_VALUE"""),"customer_profile")</f>
        <v>customer_profile</v>
      </c>
      <c r="P54" s="258"/>
    </row>
    <row r="55">
      <c r="A55" s="257" t="str">
        <f>IFERROR(__xludf.DUMMYFUNCTION("""COMPUTED_VALUE"""),"payment_date")</f>
        <v>payment_date</v>
      </c>
      <c r="B55" s="258" t="str">
        <f>IFERROR(__xludf.DUMMYFUNCTION("""COMPUTED_VALUE"""),"Customer PII")</f>
        <v>Customer PII</v>
      </c>
      <c r="C55" s="258" t="str">
        <f>IFERROR(__xludf.DUMMYFUNCTION("""COMPUTED_VALUE"""),"Non-PII")</f>
        <v>Non-PII</v>
      </c>
      <c r="D55" s="258" t="str">
        <f>IFERROR(__xludf.DUMMYFUNCTION("""COMPUTED_VALUE"""),"Non-PII")</f>
        <v>Non-PII</v>
      </c>
      <c r="E55" s="258" t="str">
        <f>IFERROR(__xludf.DUMMYFUNCTION("""COMPUTED_VALUE"""),"Latest payment done by subscriber for past 30 days")</f>
        <v>Latest payment done by subscriber for past 30 days</v>
      </c>
      <c r="F55" s="258" t="str">
        <f>IFERROR(__xludf.DUMMYFUNCTION("""COMPUTED_VALUE"""),"Derived")</f>
        <v>Derived</v>
      </c>
      <c r="G55" s="258" t="str">
        <f>IFERROR(__xludf.DUMMYFUNCTION("""COMPUTED_VALUE"""),"timestamp")</f>
        <v>timestamp</v>
      </c>
      <c r="H55" s="258">
        <f>IFERROR(__xludf.DUMMYFUNCTION("""COMPUTED_VALUE"""),42354.33333)</f>
        <v>42354.33333</v>
      </c>
      <c r="I55" s="258" t="str">
        <f>IFERROR(__xludf.DUMMYFUNCTION("""COMPUTED_VALUE"""),"FVT CRM BB Postpaid")</f>
        <v>FVT CRM BB Postpaid</v>
      </c>
      <c r="J55" s="258" t="str">
        <f>IFERROR(__xludf.DUMMYFUNCTION("""COMPUTED_VALUE"""),"Daily")</f>
        <v>Daily</v>
      </c>
      <c r="K55" s="258" t="str">
        <f>IFERROR(__xludf.DUMMYFUNCTION("""COMPUTED_VALUE"""),"")</f>
        <v/>
      </c>
      <c r="L55" s="258" t="str">
        <f>IFERROR(__xludf.DUMMYFUNCTION("""COMPUTED_VALUE"""),"GHP, WIRELINE, BAYAN, GLOBE")</f>
        <v>GHP, WIRELINE, BAYAN, GLOBE</v>
      </c>
      <c r="M55" s="258" t="str">
        <f>IFERROR(__xludf.DUMMYFUNCTION("""COMPUTED_VALUE"""),"Consumer, EG, SG, In house")</f>
        <v>Consumer, EG, SG, In house</v>
      </c>
      <c r="N55" s="258" t="str">
        <f>IFERROR(__xludf.DUMMYFUNCTION("""COMPUTED_VALUE"""),"payment")</f>
        <v>payment</v>
      </c>
      <c r="O55" s="258" t="str">
        <f>IFERROR(__xludf.DUMMYFUNCTION("""COMPUTED_VALUE"""),"payment_profile")</f>
        <v>payment_profile</v>
      </c>
      <c r="P55" s="258"/>
    </row>
    <row r="56">
      <c r="A56" s="257" t="str">
        <f>IFERROR(__xludf.DUMMYFUNCTION("""COMPUTED_VALUE"""),"bill_email")</f>
        <v>bill_email</v>
      </c>
      <c r="B56" s="258" t="str">
        <f>IFERROR(__xludf.DUMMYFUNCTION("""COMPUTED_VALUE"""),"Customer PII - Masked")</f>
        <v>Customer PII - Masked</v>
      </c>
      <c r="C56" s="258" t="str">
        <f>IFERROR(__xludf.DUMMYFUNCTION("""COMPUTED_VALUE"""),"Customer PII - Masked")</f>
        <v>Customer PII - Masked</v>
      </c>
      <c r="D56" s="258" t="str">
        <f>IFERROR(__xludf.DUMMYFUNCTION("""COMPUTED_VALUE"""),"Contact")</f>
        <v>Contact</v>
      </c>
      <c r="E56" s="258" t="str">
        <f>IFERROR(__xludf.DUMMYFUNCTION("""COMPUTED_VALUE"""),"Email address where the subscriber receives his/her monthly bill")</f>
        <v>Email address where the subscriber receives his/her monthly bill</v>
      </c>
      <c r="F56" s="258" t="str">
        <f>IFERROR(__xludf.DUMMYFUNCTION("""COMPUTED_VALUE"""),"Direct Pull")</f>
        <v>Direct Pull</v>
      </c>
      <c r="G56" s="258" t="str">
        <f>IFERROR(__xludf.DUMMYFUNCTION("""COMPUTED_VALUE"""),"varchar(1000)")</f>
        <v>varchar(1000)</v>
      </c>
      <c r="H56" s="258" t="str">
        <f>IFERROR(__xludf.DUMMYFUNCTION("""COMPUTED_VALUE"""),"ASDQF@YAHOO.COM")</f>
        <v>ASDQF@YAHOO.COM</v>
      </c>
      <c r="I56" s="258" t="str">
        <f>IFERROR(__xludf.DUMMYFUNCTION("""COMPUTED_VALUE"""),"CBRM")</f>
        <v>CBRM</v>
      </c>
      <c r="J56" s="258" t="str">
        <f>IFERROR(__xludf.DUMMYFUNCTION("""COMPUTED_VALUE"""),"Daily")</f>
        <v>Daily</v>
      </c>
      <c r="K56" s="258" t="str">
        <f>IFERROR(__xludf.DUMMYFUNCTION("""COMPUTED_VALUE"""),"")</f>
        <v/>
      </c>
      <c r="L56" s="258" t="str">
        <f>IFERROR(__xludf.DUMMYFUNCTION("""COMPUTED_VALUE"""),"GHP, WIRELINE")</f>
        <v>GHP, WIRELINE</v>
      </c>
      <c r="M56" s="258" t="str">
        <f>IFERROR(__xludf.DUMMYFUNCTION("""COMPUTED_VALUE"""),"Consumer, EG, SG, In house")</f>
        <v>Consumer, EG, SG, In house</v>
      </c>
      <c r="N56" s="258" t="str">
        <f>IFERROR(__xludf.DUMMYFUNCTION("""COMPUTED_VALUE"""),"financial_account")</f>
        <v>financial_account</v>
      </c>
      <c r="O56" s="258" t="str">
        <f>IFERROR(__xludf.DUMMYFUNCTION("""COMPUTED_VALUE"""),"financial_account_profile")</f>
        <v>financial_account_profile</v>
      </c>
      <c r="P56" s="258"/>
    </row>
    <row r="57">
      <c r="A57" s="257" t="str">
        <f>IFERROR(__xludf.DUMMYFUNCTION("""COMPUTED_VALUE"""),"customer_facing_unit_sub_type_code")</f>
        <v>customer_facing_unit_sub_type_code</v>
      </c>
      <c r="B57" s="258" t="str">
        <f>IFERROR(__xludf.DUMMYFUNCTION("""COMPUTED_VALUE"""),"Globe ID")</f>
        <v>Globe ID</v>
      </c>
      <c r="C57" s="258" t="str">
        <f>IFERROR(__xludf.DUMMYFUNCTION("""COMPUTED_VALUE"""),"Non-PII")</f>
        <v>Non-PII</v>
      </c>
      <c r="D57" s="258" t="str">
        <f>IFERROR(__xludf.DUMMYFUNCTION("""COMPUTED_VALUE"""),"Non-PII")</f>
        <v>Non-PII</v>
      </c>
      <c r="E57" s="258" t="str">
        <f>IFERROR(__xludf.DUMMYFUNCTION("""COMPUTED_VALUE"""),"Unique indicator whether a subscriber is Platinum, Hybrid, Elite, Blue, Corporate, Regular and its code")</f>
        <v>Unique indicator whether a subscriber is Platinum, Hybrid, Elite, Blue, Corporate, Regular and its code</v>
      </c>
      <c r="F57" s="258" t="str">
        <f>IFERROR(__xludf.DUMMYFUNCTION("""COMPUTED_VALUE"""),"Direct Pull")</f>
        <v>Direct Pull</v>
      </c>
      <c r="G57" s="258" t="str">
        <f>IFERROR(__xludf.DUMMYFUNCTION("""COMPUTED_VALUE"""),"varchar(1000)")</f>
        <v>varchar(1000)</v>
      </c>
      <c r="H57" s="258" t="str">
        <f>IFERROR(__xludf.DUMMYFUNCTION("""COMPUTED_VALUE"""),"R")</f>
        <v>R</v>
      </c>
      <c r="I57" s="258" t="str">
        <f>IFERROR(__xludf.DUMMYFUNCTION("""COMPUTED_VALUE"""),"EDO-UUP")</f>
        <v>EDO-UUP</v>
      </c>
      <c r="J57" s="258" t="str">
        <f>IFERROR(__xludf.DUMMYFUNCTION("""COMPUTED_VALUE"""),"Daily")</f>
        <v>Daily</v>
      </c>
      <c r="K57" s="258" t="str">
        <f>IFERROR(__xludf.DUMMYFUNCTION("""COMPUTED_VALUE"""),"day-1")</f>
        <v>day-1</v>
      </c>
      <c r="L57" s="258" t="str">
        <f>IFERROR(__xludf.DUMMYFUNCTION("""COMPUTED_VALUE"""),"GHP, GHP-PREPAID, TM, PW, GOMO, WIRELINE")</f>
        <v>GHP, GHP-PREPAID, TM, PW, GOMO, WIRELINE</v>
      </c>
      <c r="M57" s="258" t="str">
        <f>IFERROR(__xludf.DUMMYFUNCTION("""COMPUTED_VALUE"""),"Consumer, EG, SG, In house, IBG Traveler")</f>
        <v>Consumer, EG, SG, In house, IBG Traveler</v>
      </c>
      <c r="N57" s="258" t="str">
        <f>IFERROR(__xludf.DUMMYFUNCTION("""COMPUTED_VALUE"""),"customer")</f>
        <v>customer</v>
      </c>
      <c r="O57" s="258" t="str">
        <f>IFERROR(__xludf.DUMMYFUNCTION("""COMPUTED_VALUE"""),"customer_profile")</f>
        <v>customer_profile</v>
      </c>
      <c r="P57" s="258"/>
    </row>
    <row r="58">
      <c r="A58" s="257" t="str">
        <f>IFERROR(__xludf.DUMMYFUNCTION("""COMPUTED_VALUE"""),"subscriber_status_date")</f>
        <v>subscriber_status_date</v>
      </c>
      <c r="B58" s="258" t="str">
        <f>IFERROR(__xludf.DUMMYFUNCTION("""COMPUTED_VALUE"""),"Globe ID")</f>
        <v>Globe ID</v>
      </c>
      <c r="C58" s="258" t="str">
        <f>IFERROR(__xludf.DUMMYFUNCTION("""COMPUTED_VALUE"""),"Non-PII")</f>
        <v>Non-PII</v>
      </c>
      <c r="D58" s="258" t="str">
        <f>IFERROR(__xludf.DUMMYFUNCTION("""COMPUTED_VALUE"""),"Non-PII")</f>
        <v>Non-PII</v>
      </c>
      <c r="E58" s="258" t="str">
        <f>IFERROR(__xludf.DUMMYFUNCTION("""COMPUTED_VALUE"""),"Date when the current subscriber status becomes effective")</f>
        <v>Date when the current subscriber status becomes effective</v>
      </c>
      <c r="F58" s="258" t="str">
        <f>IFERROR(__xludf.DUMMYFUNCTION("""COMPUTED_VALUE"""),"Direct Pull")</f>
        <v>Direct Pull</v>
      </c>
      <c r="G58" s="258" t="str">
        <f>IFERROR(__xludf.DUMMYFUNCTION("""COMPUTED_VALUE"""),"timestamp")</f>
        <v>timestamp</v>
      </c>
      <c r="H58" s="258">
        <f>IFERROR(__xludf.DUMMYFUNCTION("""COMPUTED_VALUE"""),42354.33333)</f>
        <v>42354.33333</v>
      </c>
      <c r="I58" s="258" t="str">
        <f>IFERROR(__xludf.DUMMYFUNCTION("""COMPUTED_VALUE"""),"EDO-UUP")</f>
        <v>EDO-UUP</v>
      </c>
      <c r="J58" s="258" t="str">
        <f>IFERROR(__xludf.DUMMYFUNCTION("""COMPUTED_VALUE"""),"Daily")</f>
        <v>Daily</v>
      </c>
      <c r="K58" s="258" t="str">
        <f>IFERROR(__xludf.DUMMYFUNCTION("""COMPUTED_VALUE"""),"")</f>
        <v/>
      </c>
      <c r="L58" s="258" t="str">
        <f>IFERROR(__xludf.DUMMYFUNCTION("""COMPUTED_VALUE"""),"GHP, GHP-PREPAID, TM, PW, GOMO, WIRELINE")</f>
        <v>GHP, GHP-PREPAID, TM, PW, GOMO, WIRELINE</v>
      </c>
      <c r="M58" s="258" t="str">
        <f>IFERROR(__xludf.DUMMYFUNCTION("""COMPUTED_VALUE"""),"Consumer, EG, SG, In house, IBG Traveler")</f>
        <v>Consumer, EG, SG, In house, IBG Traveler</v>
      </c>
      <c r="N58" s="258" t="str">
        <f>IFERROR(__xludf.DUMMYFUNCTION("""COMPUTED_VALUE"""),"customer")</f>
        <v>customer</v>
      </c>
      <c r="O58" s="258" t="str">
        <f>IFERROR(__xludf.DUMMYFUNCTION("""COMPUTED_VALUE"""),"customer_profile")</f>
        <v>customer_profile</v>
      </c>
      <c r="P58" s="258"/>
    </row>
    <row r="59">
      <c r="A59" s="257" t="str">
        <f>IFERROR(__xludf.DUMMYFUNCTION("""COMPUTED_VALUE"""),"reload_daily_total_rolling_30days_amount")</f>
        <v>reload_daily_total_rolling_30days_amount</v>
      </c>
      <c r="B59" s="258" t="str">
        <f>IFERROR(__xludf.DUMMYFUNCTION("""COMPUTED_VALUE"""),"Behavioral")</f>
        <v>Behavioral</v>
      </c>
      <c r="C59" s="258" t="str">
        <f>IFERROR(__xludf.DUMMYFUNCTION("""COMPUTED_VALUE"""),"Non-PII")</f>
        <v>Non-PII</v>
      </c>
      <c r="D59" s="258" t="str">
        <f>IFERROR(__xludf.DUMMYFUNCTION("""COMPUTED_VALUE"""),"Non-PII")</f>
        <v>Non-PII</v>
      </c>
      <c r="E59" s="258" t="str">
        <f>IFERROR(__xludf.DUMMYFUNCTION("""COMPUTED_VALUE"""),"Total daily reload amount for the last rolling 30 days")</f>
        <v>Total daily reload amount for the last rolling 30 days</v>
      </c>
      <c r="F59" s="258" t="str">
        <f>IFERROR(__xludf.DUMMYFUNCTION("""COMPUTED_VALUE"""),"Derived")</f>
        <v>Derived</v>
      </c>
      <c r="G59" s="258" t="str">
        <f>IFERROR(__xludf.DUMMYFUNCTION("""COMPUTED_VALUE"""),"numeric(21,2)")</f>
        <v>numeric(21,2)</v>
      </c>
      <c r="H59" s="258">
        <f>IFERROR(__xludf.DUMMYFUNCTION("""COMPUTED_VALUE"""),9630.0)</f>
        <v>9630</v>
      </c>
      <c r="I59" s="258" t="str">
        <f>IFERROR(__xludf.DUMMYFUNCTION("""COMPUTED_VALUE"""),"FVT")</f>
        <v>FVT</v>
      </c>
      <c r="J59" s="258" t="str">
        <f>IFERROR(__xludf.DUMMYFUNCTION("""COMPUTED_VALUE"""),"Daily")</f>
        <v>Daily</v>
      </c>
      <c r="K59" s="258" t="str">
        <f>IFERROR(__xludf.DUMMYFUNCTION("""COMPUTED_VALUE"""),"")</f>
        <v/>
      </c>
      <c r="L59" s="258" t="str">
        <f>IFERROR(__xludf.DUMMYFUNCTION("""COMPUTED_VALUE"""),"GHP-PREPAID, TM, PW")</f>
        <v>GHP-PREPAID, TM, PW</v>
      </c>
      <c r="M59" s="258" t="str">
        <f>IFERROR(__xludf.DUMMYFUNCTION("""COMPUTED_VALUE"""),"Consumer, EG, SG, IBG Traveler")</f>
        <v>Consumer, EG, SG, IBG Traveler</v>
      </c>
      <c r="N59" s="258" t="str">
        <f>IFERROR(__xludf.DUMMYFUNCTION("""COMPUTED_VALUE"""),"reload")</f>
        <v>reload</v>
      </c>
      <c r="O59" s="258" t="str">
        <f>IFERROR(__xludf.DUMMYFUNCTION("""COMPUTED_VALUE"""),"reload_profile")</f>
        <v>reload_profile</v>
      </c>
      <c r="P59" s="258"/>
    </row>
    <row r="60">
      <c r="A60" s="257" t="str">
        <f>IFERROR(__xludf.DUMMYFUNCTION("""COMPUTED_VALUE"""),"billing_delivery_mode_code")</f>
        <v>billing_delivery_mode_code</v>
      </c>
      <c r="B60" s="258" t="str">
        <f>IFERROR(__xludf.DUMMYFUNCTION("""COMPUTED_VALUE"""),"Globe ID")</f>
        <v>Globe ID</v>
      </c>
      <c r="C60" s="258" t="str">
        <f>IFERROR(__xludf.DUMMYFUNCTION("""COMPUTED_VALUE"""),"Non-PII")</f>
        <v>Non-PII</v>
      </c>
      <c r="D60" s="258" t="str">
        <f>IFERROR(__xludf.DUMMYFUNCTION("""COMPUTED_VALUE"""),"Non-PII")</f>
        <v>Non-PII</v>
      </c>
      <c r="E60" s="258" t="str">
        <f>IFERROR(__xludf.DUMMYFUNCTION("""COMPUTED_VALUE"""),"Unique code to indicate the billing delivery mode either email or physical billing of a subscriber")</f>
        <v>Unique code to indicate the billing delivery mode either email or physical billing of a subscriber</v>
      </c>
      <c r="F60" s="258" t="str">
        <f>IFERROR(__xludf.DUMMYFUNCTION("""COMPUTED_VALUE"""),"Direct Pull")</f>
        <v>Direct Pull</v>
      </c>
      <c r="G60" s="258" t="str">
        <f>IFERROR(__xludf.DUMMYFUNCTION("""COMPUTED_VALUE"""),"varchar(1000)")</f>
        <v>varchar(1000)</v>
      </c>
      <c r="H60" s="258" t="str">
        <f>IFERROR(__xludf.DUMMYFUNCTION("""COMPUTED_VALUE"""),"0E")</f>
        <v>0E</v>
      </c>
      <c r="I60" s="258" t="str">
        <f>IFERROR(__xludf.DUMMYFUNCTION("""COMPUTED_VALUE"""),"CBRM")</f>
        <v>CBRM</v>
      </c>
      <c r="J60" s="258" t="str">
        <f>IFERROR(__xludf.DUMMYFUNCTION("""COMPUTED_VALUE"""),"Daily")</f>
        <v>Daily</v>
      </c>
      <c r="K60" s="258" t="str">
        <f>IFERROR(__xludf.DUMMYFUNCTION("""COMPUTED_VALUE"""),"")</f>
        <v/>
      </c>
      <c r="L60" s="258" t="str">
        <f>IFERROR(__xludf.DUMMYFUNCTION("""COMPUTED_VALUE"""),"GHP, WIRELINE")</f>
        <v>GHP, WIRELINE</v>
      </c>
      <c r="M60" s="258" t="str">
        <f>IFERROR(__xludf.DUMMYFUNCTION("""COMPUTED_VALUE"""),"Consumer, EG, SG, In house")</f>
        <v>Consumer, EG, SG, In house</v>
      </c>
      <c r="N60" s="258" t="str">
        <f>IFERROR(__xludf.DUMMYFUNCTION("""COMPUTED_VALUE"""),"financial_account")</f>
        <v>financial_account</v>
      </c>
      <c r="O60" s="258" t="str">
        <f>IFERROR(__xludf.DUMMYFUNCTION("""COMPUTED_VALUE"""),"financial_account_profile")</f>
        <v>financial_account_profile</v>
      </c>
      <c r="P60" s="258"/>
    </row>
    <row r="61">
      <c r="A61" s="257" t="str">
        <f>IFERROR(__xludf.DUMMYFUNCTION("""COMPUTED_VALUE"""),"reload_latest_transaction_90days_date")</f>
        <v>reload_latest_transaction_90days_date</v>
      </c>
      <c r="B61" s="258" t="str">
        <f>IFERROR(__xludf.DUMMYFUNCTION("""COMPUTED_VALUE"""),"Behavioral")</f>
        <v>Behavioral</v>
      </c>
      <c r="C61" s="258" t="str">
        <f>IFERROR(__xludf.DUMMYFUNCTION("""COMPUTED_VALUE"""),"Non-PII")</f>
        <v>Non-PII</v>
      </c>
      <c r="D61" s="258" t="str">
        <f>IFERROR(__xludf.DUMMYFUNCTION("""COMPUTED_VALUE"""),"Non-PII")</f>
        <v>Non-PII</v>
      </c>
      <c r="E61" s="258" t="str">
        <f>IFERROR(__xludf.DUMMYFUNCTION("""COMPUTED_VALUE"""),"Latest reload transaction date of subscriber within 90 days.")</f>
        <v>Latest reload transaction date of subscriber within 90 days.</v>
      </c>
      <c r="F61" s="258" t="str">
        <f>IFERROR(__xludf.DUMMYFUNCTION("""COMPUTED_VALUE"""),"Derived")</f>
        <v>Derived</v>
      </c>
      <c r="G61" s="258" t="str">
        <f>IFERROR(__xludf.DUMMYFUNCTION("""COMPUTED_VALUE"""),"timestamp")</f>
        <v>timestamp</v>
      </c>
      <c r="H61" s="258">
        <f>IFERROR(__xludf.DUMMYFUNCTION("""COMPUTED_VALUE"""),40469.62163)</f>
        <v>40469.62163</v>
      </c>
      <c r="I61" s="258" t="str">
        <f>IFERROR(__xludf.DUMMYFUNCTION("""COMPUTED_VALUE"""),"FVT")</f>
        <v>FVT</v>
      </c>
      <c r="J61" s="258" t="str">
        <f>IFERROR(__xludf.DUMMYFUNCTION("""COMPUTED_VALUE"""),"Daily")</f>
        <v>Daily</v>
      </c>
      <c r="K61" s="258" t="str">
        <f>IFERROR(__xludf.DUMMYFUNCTION("""COMPUTED_VALUE"""),"")</f>
        <v/>
      </c>
      <c r="L61" s="258" t="str">
        <f>IFERROR(__xludf.DUMMYFUNCTION("""COMPUTED_VALUE"""),"GHP-PREPAID, TM, PW")</f>
        <v>GHP-PREPAID, TM, PW</v>
      </c>
      <c r="M61" s="258" t="str">
        <f>IFERROR(__xludf.DUMMYFUNCTION("""COMPUTED_VALUE"""),"Consumer, EG, SG, IBG Traveler")</f>
        <v>Consumer, EG, SG, IBG Traveler</v>
      </c>
      <c r="N61" s="258" t="str">
        <f>IFERROR(__xludf.DUMMYFUNCTION("""COMPUTED_VALUE"""),"reload")</f>
        <v>reload</v>
      </c>
      <c r="O61" s="258" t="str">
        <f>IFERROR(__xludf.DUMMYFUNCTION("""COMPUTED_VALUE"""),"reload_profile")</f>
        <v>reload_profile</v>
      </c>
      <c r="P61" s="258"/>
    </row>
    <row r="62">
      <c r="A62" s="257" t="str">
        <f>IFERROR(__xludf.DUMMYFUNCTION("""COMPUTED_VALUE"""),"contract_start_date")</f>
        <v>contract_start_date</v>
      </c>
      <c r="B62" s="258" t="str">
        <f>IFERROR(__xludf.DUMMYFUNCTION("""COMPUTED_VALUE"""),"Globe ID")</f>
        <v>Globe ID</v>
      </c>
      <c r="C62" s="258" t="str">
        <f>IFERROR(__xludf.DUMMYFUNCTION("""COMPUTED_VALUE"""),"Non-PII")</f>
        <v>Non-PII</v>
      </c>
      <c r="D62" s="258" t="str">
        <f>IFERROR(__xludf.DUMMYFUNCTION("""COMPUTED_VALUE"""),"Non-PII")</f>
        <v>Non-PII</v>
      </c>
      <c r="E62" s="258" t="str">
        <f>IFERROR(__xludf.DUMMYFUNCTION("""COMPUTED_VALUE"""),"Contract start date of the postpaid subscriber")</f>
        <v>Contract start date of the postpaid subscriber</v>
      </c>
      <c r="F62" s="258" t="str">
        <f>IFERROR(__xludf.DUMMYFUNCTION("""COMPUTED_VALUE"""),"Direct Pull")</f>
        <v>Direct Pull</v>
      </c>
      <c r="G62" s="258" t="str">
        <f>IFERROR(__xludf.DUMMYFUNCTION("""COMPUTED_VALUE"""),"timestamp")</f>
        <v>timestamp</v>
      </c>
      <c r="H62" s="258">
        <f>IFERROR(__xludf.DUMMYFUNCTION("""COMPUTED_VALUE"""),42354.33333)</f>
        <v>42354.33333</v>
      </c>
      <c r="I62" s="258" t="str">
        <f>IFERROR(__xludf.DUMMYFUNCTION("""COMPUTED_VALUE"""),"EDO-UUP")</f>
        <v>EDO-UUP</v>
      </c>
      <c r="J62" s="258" t="str">
        <f>IFERROR(__xludf.DUMMYFUNCTION("""COMPUTED_VALUE"""),"Daily")</f>
        <v>Daily</v>
      </c>
      <c r="K62" s="258" t="str">
        <f>IFERROR(__xludf.DUMMYFUNCTION("""COMPUTED_VALUE"""),"")</f>
        <v/>
      </c>
      <c r="L62" s="258" t="str">
        <f>IFERROR(__xludf.DUMMYFUNCTION("""COMPUTED_VALUE"""),"GHP, WIRELINE, BAYAN, GLOBE")</f>
        <v>GHP, WIRELINE, BAYAN, GLOBE</v>
      </c>
      <c r="M62" s="258" t="str">
        <f>IFERROR(__xludf.DUMMYFUNCTION("""COMPUTED_VALUE"""),"Consumer, EG, SG, In house")</f>
        <v>Consumer, EG, SG, In house</v>
      </c>
      <c r="N62" s="258" t="str">
        <f>IFERROR(__xludf.DUMMYFUNCTION("""COMPUTED_VALUE"""),"contract")</f>
        <v>contract</v>
      </c>
      <c r="O62" s="258" t="str">
        <f>IFERROR(__xludf.DUMMYFUNCTION("""COMPUTED_VALUE"""),"contract_profile")</f>
        <v>contract_profile</v>
      </c>
      <c r="P62" s="258"/>
    </row>
    <row r="63">
      <c r="A63" s="257" t="str">
        <f>IFERROR(__xludf.DUMMYFUNCTION("""COMPUTED_VALUE"""),"reload_max_tu_tra_rolling_30_days_amount")</f>
        <v>reload_max_tu_tra_rolling_30_days_amount</v>
      </c>
      <c r="B63" s="258" t="str">
        <f>IFERROR(__xludf.DUMMYFUNCTION("""COMPUTED_VALUE"""),"Behavioral")</f>
        <v>Behavioral</v>
      </c>
      <c r="C63" s="258" t="str">
        <f>IFERROR(__xludf.DUMMYFUNCTION("""COMPUTED_VALUE"""),"Non-PII")</f>
        <v>Non-PII</v>
      </c>
      <c r="D63" s="258" t="str">
        <f>IFERROR(__xludf.DUMMYFUNCTION("""COMPUTED_VALUE"""),"Non-PII")</f>
        <v>Non-PII</v>
      </c>
      <c r="E63" s="258" t="str">
        <f>IFERROR(__xludf.DUMMYFUNCTION("""COMPUTED_VALUE"""),"Maximum top-up amount for the past 30 days")</f>
        <v>Maximum top-up amount for the past 30 days</v>
      </c>
      <c r="F63" s="258" t="str">
        <f>IFERROR(__xludf.DUMMYFUNCTION("""COMPUTED_VALUE"""),"Derived")</f>
        <v>Derived</v>
      </c>
      <c r="G63" s="258" t="str">
        <f>IFERROR(__xludf.DUMMYFUNCTION("""COMPUTED_VALUE"""),"numeric(21,2)")</f>
        <v>numeric(21,2)</v>
      </c>
      <c r="H63" s="258">
        <f>IFERROR(__xludf.DUMMYFUNCTION("""COMPUTED_VALUE"""),100.0)</f>
        <v>100</v>
      </c>
      <c r="I63" s="258" t="str">
        <f>IFERROR(__xludf.DUMMYFUNCTION("""COMPUTED_VALUE"""),"FVT")</f>
        <v>FVT</v>
      </c>
      <c r="J63" s="258" t="str">
        <f>IFERROR(__xludf.DUMMYFUNCTION("""COMPUTED_VALUE"""),"Daily")</f>
        <v>Daily</v>
      </c>
      <c r="K63" s="258" t="str">
        <f>IFERROR(__xludf.DUMMYFUNCTION("""COMPUTED_VALUE"""),"")</f>
        <v/>
      </c>
      <c r="L63" s="258" t="str">
        <f>IFERROR(__xludf.DUMMYFUNCTION("""COMPUTED_VALUE"""),"GHP-PREPAID, TM, PW")</f>
        <v>GHP-PREPAID, TM, PW</v>
      </c>
      <c r="M63" s="258" t="str">
        <f>IFERROR(__xludf.DUMMYFUNCTION("""COMPUTED_VALUE"""),"Consumer, EG, SG, IBG Traveler")</f>
        <v>Consumer, EG, SG, IBG Traveler</v>
      </c>
      <c r="N63" s="258" t="str">
        <f>IFERROR(__xludf.DUMMYFUNCTION("""COMPUTED_VALUE"""),"reload")</f>
        <v>reload</v>
      </c>
      <c r="O63" s="258" t="str">
        <f>IFERROR(__xludf.DUMMYFUNCTION("""COMPUTED_VALUE"""),"reload_profile")</f>
        <v>reload_profile</v>
      </c>
      <c r="P63" s="258"/>
    </row>
    <row r="64">
      <c r="A64" s="257" t="str">
        <f>IFERROR(__xludf.DUMMYFUNCTION("""COMPUTED_VALUE"""),"reload_max_tu_tra_rolling_90_days_amount")</f>
        <v>reload_max_tu_tra_rolling_90_days_amount</v>
      </c>
      <c r="B64" s="258" t="str">
        <f>IFERROR(__xludf.DUMMYFUNCTION("""COMPUTED_VALUE"""),"Behavioral")</f>
        <v>Behavioral</v>
      </c>
      <c r="C64" s="258" t="str">
        <f>IFERROR(__xludf.DUMMYFUNCTION("""COMPUTED_VALUE"""),"Non-PII")</f>
        <v>Non-PII</v>
      </c>
      <c r="D64" s="258" t="str">
        <f>IFERROR(__xludf.DUMMYFUNCTION("""COMPUTED_VALUE"""),"Non-PII")</f>
        <v>Non-PII</v>
      </c>
      <c r="E64" s="258" t="str">
        <f>IFERROR(__xludf.DUMMYFUNCTION("""COMPUTED_VALUE"""),"Maximum top-up amount for the past 90 days")</f>
        <v>Maximum top-up amount for the past 90 days</v>
      </c>
      <c r="F64" s="258" t="str">
        <f>IFERROR(__xludf.DUMMYFUNCTION("""COMPUTED_VALUE"""),"Derived")</f>
        <v>Derived</v>
      </c>
      <c r="G64" s="258" t="str">
        <f>IFERROR(__xludf.DUMMYFUNCTION("""COMPUTED_VALUE"""),"numeric(21,2)")</f>
        <v>numeric(21,2)</v>
      </c>
      <c r="H64" s="258">
        <f>IFERROR(__xludf.DUMMYFUNCTION("""COMPUTED_VALUE"""),100.0)</f>
        <v>100</v>
      </c>
      <c r="I64" s="258" t="str">
        <f>IFERROR(__xludf.DUMMYFUNCTION("""COMPUTED_VALUE"""),"FVT")</f>
        <v>FVT</v>
      </c>
      <c r="J64" s="258" t="str">
        <f>IFERROR(__xludf.DUMMYFUNCTION("""COMPUTED_VALUE"""),"Daily")</f>
        <v>Daily</v>
      </c>
      <c r="K64" s="258" t="str">
        <f>IFERROR(__xludf.DUMMYFUNCTION("""COMPUTED_VALUE"""),"")</f>
        <v/>
      </c>
      <c r="L64" s="258" t="str">
        <f>IFERROR(__xludf.DUMMYFUNCTION("""COMPUTED_VALUE"""),"GHP-PREPAID, TM, PW")</f>
        <v>GHP-PREPAID, TM, PW</v>
      </c>
      <c r="M64" s="258" t="str">
        <f>IFERROR(__xludf.DUMMYFUNCTION("""COMPUTED_VALUE"""),"Consumer, EG, SG, IBG Traveler")</f>
        <v>Consumer, EG, SG, IBG Traveler</v>
      </c>
      <c r="N64" s="258" t="str">
        <f>IFERROR(__xludf.DUMMYFUNCTION("""COMPUTED_VALUE"""),"reload")</f>
        <v>reload</v>
      </c>
      <c r="O64" s="258" t="str">
        <f>IFERROR(__xludf.DUMMYFUNCTION("""COMPUTED_VALUE"""),"reload_profile")</f>
        <v>reload_profile</v>
      </c>
      <c r="P64" s="258"/>
    </row>
    <row r="65">
      <c r="A65" s="257" t="str">
        <f>IFERROR(__xludf.DUMMYFUNCTION("""COMPUTED_VALUE"""),"reload_mode_tu_tra_rolling_30_days_amount")</f>
        <v>reload_mode_tu_tra_rolling_30_days_amount</v>
      </c>
      <c r="B65" s="258" t="str">
        <f>IFERROR(__xludf.DUMMYFUNCTION("""COMPUTED_VALUE"""),"Behavioral")</f>
        <v>Behavioral</v>
      </c>
      <c r="C65" s="258" t="str">
        <f>IFERROR(__xludf.DUMMYFUNCTION("""COMPUTED_VALUE"""),"Non-PII")</f>
        <v>Non-PII</v>
      </c>
      <c r="D65" s="258" t="str">
        <f>IFERROR(__xludf.DUMMYFUNCTION("""COMPUTED_VALUE"""),"Non-PII")</f>
        <v>Non-PII</v>
      </c>
      <c r="E65" s="258" t="str">
        <f>IFERROR(__xludf.DUMMYFUNCTION("""COMPUTED_VALUE"""),"Most frequent Top-up amount availed for the past 30 days")</f>
        <v>Most frequent Top-up amount availed for the past 30 days</v>
      </c>
      <c r="F65" s="258" t="str">
        <f>IFERROR(__xludf.DUMMYFUNCTION("""COMPUTED_VALUE"""),"Derived")</f>
        <v>Derived</v>
      </c>
      <c r="G65" s="258" t="str">
        <f>IFERROR(__xludf.DUMMYFUNCTION("""COMPUTED_VALUE"""),"numeric(21,2)")</f>
        <v>numeric(21,2)</v>
      </c>
      <c r="H65" s="258">
        <f>IFERROR(__xludf.DUMMYFUNCTION("""COMPUTED_VALUE"""),15.0)</f>
        <v>15</v>
      </c>
      <c r="I65" s="258" t="str">
        <f>IFERROR(__xludf.DUMMYFUNCTION("""COMPUTED_VALUE"""),"FVT")</f>
        <v>FVT</v>
      </c>
      <c r="J65" s="258" t="str">
        <f>IFERROR(__xludf.DUMMYFUNCTION("""COMPUTED_VALUE"""),"Daily")</f>
        <v>Daily</v>
      </c>
      <c r="K65" s="258" t="str">
        <f>IFERROR(__xludf.DUMMYFUNCTION("""COMPUTED_VALUE"""),"")</f>
        <v/>
      </c>
      <c r="L65" s="258" t="str">
        <f>IFERROR(__xludf.DUMMYFUNCTION("""COMPUTED_VALUE"""),"GHP-PREPAID, TM, PW")</f>
        <v>GHP-PREPAID, TM, PW</v>
      </c>
      <c r="M65" s="258" t="str">
        <f>IFERROR(__xludf.DUMMYFUNCTION("""COMPUTED_VALUE"""),"Consumer, EG, SG, IBG Traveler")</f>
        <v>Consumer, EG, SG, IBG Traveler</v>
      </c>
      <c r="N65" s="258" t="str">
        <f>IFERROR(__xludf.DUMMYFUNCTION("""COMPUTED_VALUE"""),"reload")</f>
        <v>reload</v>
      </c>
      <c r="O65" s="258" t="str">
        <f>IFERROR(__xludf.DUMMYFUNCTION("""COMPUTED_VALUE"""),"reload_profile")</f>
        <v>reload_profile</v>
      </c>
      <c r="P65" s="258"/>
    </row>
    <row r="66">
      <c r="A66" s="257" t="str">
        <f>IFERROR(__xludf.DUMMYFUNCTION("""COMPUTED_VALUE"""),"reload_mode_tu_tra_rolling_90_days_amount")</f>
        <v>reload_mode_tu_tra_rolling_90_days_amount</v>
      </c>
      <c r="B66" s="258" t="str">
        <f>IFERROR(__xludf.DUMMYFUNCTION("""COMPUTED_VALUE"""),"Behavioral")</f>
        <v>Behavioral</v>
      </c>
      <c r="C66" s="258" t="str">
        <f>IFERROR(__xludf.DUMMYFUNCTION("""COMPUTED_VALUE"""),"Non-PII")</f>
        <v>Non-PII</v>
      </c>
      <c r="D66" s="258" t="str">
        <f>IFERROR(__xludf.DUMMYFUNCTION("""COMPUTED_VALUE"""),"Non-PII")</f>
        <v>Non-PII</v>
      </c>
      <c r="E66" s="258" t="str">
        <f>IFERROR(__xludf.DUMMYFUNCTION("""COMPUTED_VALUE"""),"Most frequent Top-up amount availed for the past 90 days")</f>
        <v>Most frequent Top-up amount availed for the past 90 days</v>
      </c>
      <c r="F66" s="258" t="str">
        <f>IFERROR(__xludf.DUMMYFUNCTION("""COMPUTED_VALUE"""),"Derived")</f>
        <v>Derived</v>
      </c>
      <c r="G66" s="258" t="str">
        <f>IFERROR(__xludf.DUMMYFUNCTION("""COMPUTED_VALUE"""),"numeric(21,2)")</f>
        <v>numeric(21,2)</v>
      </c>
      <c r="H66" s="258">
        <f>IFERROR(__xludf.DUMMYFUNCTION("""COMPUTED_VALUE"""),25.0)</f>
        <v>25</v>
      </c>
      <c r="I66" s="258" t="str">
        <f>IFERROR(__xludf.DUMMYFUNCTION("""COMPUTED_VALUE"""),"FVT")</f>
        <v>FVT</v>
      </c>
      <c r="J66" s="258" t="str">
        <f>IFERROR(__xludf.DUMMYFUNCTION("""COMPUTED_VALUE"""),"Daily")</f>
        <v>Daily</v>
      </c>
      <c r="K66" s="258" t="str">
        <f>IFERROR(__xludf.DUMMYFUNCTION("""COMPUTED_VALUE"""),"")</f>
        <v/>
      </c>
      <c r="L66" s="258" t="str">
        <f>IFERROR(__xludf.DUMMYFUNCTION("""COMPUTED_VALUE"""),"GHP-PREPAID, TM, PW")</f>
        <v>GHP-PREPAID, TM, PW</v>
      </c>
      <c r="M66" s="258" t="str">
        <f>IFERROR(__xludf.DUMMYFUNCTION("""COMPUTED_VALUE"""),"Consumer, EG, SG, IBG Traveler")</f>
        <v>Consumer, EG, SG, IBG Traveler</v>
      </c>
      <c r="N66" s="258" t="str">
        <f>IFERROR(__xludf.DUMMYFUNCTION("""COMPUTED_VALUE"""),"reload")</f>
        <v>reload</v>
      </c>
      <c r="O66" s="258" t="str">
        <f>IFERROR(__xludf.DUMMYFUNCTION("""COMPUTED_VALUE"""),"reload_profile")</f>
        <v>reload_profile</v>
      </c>
      <c r="P66" s="258"/>
    </row>
    <row r="67">
      <c r="A67" s="257" t="str">
        <f>IFERROR(__xludf.DUMMYFUNCTION("""COMPUTED_VALUE"""),"reload_monthly_average_rolling_90days_amount")</f>
        <v>reload_monthly_average_rolling_90days_amount</v>
      </c>
      <c r="B67" s="258" t="str">
        <f>IFERROR(__xludf.DUMMYFUNCTION("""COMPUTED_VALUE"""),"Behavioral")</f>
        <v>Behavioral</v>
      </c>
      <c r="C67" s="258" t="str">
        <f>IFERROR(__xludf.DUMMYFUNCTION("""COMPUTED_VALUE"""),"Non-PII")</f>
        <v>Non-PII</v>
      </c>
      <c r="D67" s="258" t="str">
        <f>IFERROR(__xludf.DUMMYFUNCTION("""COMPUTED_VALUE"""),"Non-PII")</f>
        <v>Non-PII</v>
      </c>
      <c r="E67" s="258" t="str">
        <f>IFERROR(__xludf.DUMMYFUNCTION("""COMPUTED_VALUE"""),"Average top-up amount for the past rolling 90 days (divided by 3 months)")</f>
        <v>Average top-up amount for the past rolling 90 days (divided by 3 months)</v>
      </c>
      <c r="F67" s="258" t="str">
        <f>IFERROR(__xludf.DUMMYFUNCTION("""COMPUTED_VALUE"""),"Derived")</f>
        <v>Derived</v>
      </c>
      <c r="G67" s="258" t="str">
        <f>IFERROR(__xludf.DUMMYFUNCTION("""COMPUTED_VALUE"""),"numeric(21,2)")</f>
        <v>numeric(21,2)</v>
      </c>
      <c r="H67" s="258">
        <f>IFERROR(__xludf.DUMMYFUNCTION("""COMPUTED_VALUE"""),289425.0)</f>
        <v>289425</v>
      </c>
      <c r="I67" s="258" t="str">
        <f>IFERROR(__xludf.DUMMYFUNCTION("""COMPUTED_VALUE"""),"FVT")</f>
        <v>FVT</v>
      </c>
      <c r="J67" s="258" t="str">
        <f>IFERROR(__xludf.DUMMYFUNCTION("""COMPUTED_VALUE"""),"Daily")</f>
        <v>Daily</v>
      </c>
      <c r="K67" s="258" t="str">
        <f>IFERROR(__xludf.DUMMYFUNCTION("""COMPUTED_VALUE"""),"")</f>
        <v/>
      </c>
      <c r="L67" s="258" t="str">
        <f>IFERROR(__xludf.DUMMYFUNCTION("""COMPUTED_VALUE"""),"GHP-PREPAID, TM, PW")</f>
        <v>GHP-PREPAID, TM, PW</v>
      </c>
      <c r="M67" s="258" t="str">
        <f>IFERROR(__xludf.DUMMYFUNCTION("""COMPUTED_VALUE"""),"Consumer, EG, SG, IBG Traveler")</f>
        <v>Consumer, EG, SG, IBG Traveler</v>
      </c>
      <c r="N67" s="258" t="str">
        <f>IFERROR(__xludf.DUMMYFUNCTION("""COMPUTED_VALUE"""),"reload")</f>
        <v>reload</v>
      </c>
      <c r="O67" s="258" t="str">
        <f>IFERROR(__xludf.DUMMYFUNCTION("""COMPUTED_VALUE"""),"reload_profile")</f>
        <v>reload_profile</v>
      </c>
      <c r="P67" s="258"/>
    </row>
    <row r="68">
      <c r="A68" s="257" t="str">
        <f>IFERROR(__xludf.DUMMYFUNCTION("""COMPUTED_VALUE"""),"reload_most_availed_rolling_30days_amount")</f>
        <v>reload_most_availed_rolling_30days_amount</v>
      </c>
      <c r="B68" s="258" t="str">
        <f>IFERROR(__xludf.DUMMYFUNCTION("""COMPUTED_VALUE"""),"Behavioral")</f>
        <v>Behavioral</v>
      </c>
      <c r="C68" s="258" t="str">
        <f>IFERROR(__xludf.DUMMYFUNCTION("""COMPUTED_VALUE"""),"Non-PII")</f>
        <v>Non-PII</v>
      </c>
      <c r="D68" s="258" t="str">
        <f>IFERROR(__xludf.DUMMYFUNCTION("""COMPUTED_VALUE"""),"Non-PII")</f>
        <v>Non-PII</v>
      </c>
      <c r="E68" s="258" t="str">
        <f>IFERROR(__xludf.DUMMYFUNCTION("""COMPUTED_VALUE"""),"Amount of most availed reload of the subscriber within 30 days")</f>
        <v>Amount of most availed reload of the subscriber within 30 days</v>
      </c>
      <c r="F68" s="258" t="str">
        <f>IFERROR(__xludf.DUMMYFUNCTION("""COMPUTED_VALUE"""),"Derived")</f>
        <v>Derived</v>
      </c>
      <c r="G68" s="258" t="str">
        <f>IFERROR(__xludf.DUMMYFUNCTION("""COMPUTED_VALUE"""),"numeric(21,2)")</f>
        <v>numeric(21,2)</v>
      </c>
      <c r="H68" s="258">
        <f>IFERROR(__xludf.DUMMYFUNCTION("""COMPUTED_VALUE"""),370.0)</f>
        <v>370</v>
      </c>
      <c r="I68" s="258" t="str">
        <f>IFERROR(__xludf.DUMMYFUNCTION("""COMPUTED_VALUE"""),"FVT")</f>
        <v>FVT</v>
      </c>
      <c r="J68" s="258" t="str">
        <f>IFERROR(__xludf.DUMMYFUNCTION("""COMPUTED_VALUE"""),"Daily")</f>
        <v>Daily</v>
      </c>
      <c r="K68" s="258" t="str">
        <f>IFERROR(__xludf.DUMMYFUNCTION("""COMPUTED_VALUE"""),"")</f>
        <v/>
      </c>
      <c r="L68" s="258" t="str">
        <f>IFERROR(__xludf.DUMMYFUNCTION("""COMPUTED_VALUE"""),"GHP-PREPAID, TM, PW")</f>
        <v>GHP-PREPAID, TM, PW</v>
      </c>
      <c r="M68" s="258" t="str">
        <f>IFERROR(__xludf.DUMMYFUNCTION("""COMPUTED_VALUE"""),"Consumer, EG, SG, IBG Traveler")</f>
        <v>Consumer, EG, SG, IBG Traveler</v>
      </c>
      <c r="N68" s="258" t="str">
        <f>IFERROR(__xludf.DUMMYFUNCTION("""COMPUTED_VALUE"""),"reload")</f>
        <v>reload</v>
      </c>
      <c r="O68" s="258" t="str">
        <f>IFERROR(__xludf.DUMMYFUNCTION("""COMPUTED_VALUE"""),"reload_profile")</f>
        <v>reload_profile</v>
      </c>
      <c r="P68" s="258"/>
    </row>
    <row r="69">
      <c r="A69" s="257" t="str">
        <f>IFERROR(__xludf.DUMMYFUNCTION("""COMPUTED_VALUE"""),"home_barangay_name")</f>
        <v>home_barangay_name</v>
      </c>
      <c r="B69" s="258" t="str">
        <f>IFERROR(__xludf.DUMMYFUNCTION("""COMPUTED_VALUE"""),"Customer PII")</f>
        <v>Customer PII</v>
      </c>
      <c r="C69" s="258" t="str">
        <f>IFERROR(__xludf.DUMMYFUNCTION("""COMPUTED_VALUE"""),"Non-PII")</f>
        <v>Non-PII</v>
      </c>
      <c r="D69" s="258" t="str">
        <f>IFERROR(__xludf.DUMMYFUNCTION("""COMPUTED_VALUE"""),"Non-PII")</f>
        <v>Non-PII</v>
      </c>
      <c r="E69" s="258" t="str">
        <f>IFERROR(__xludf.DUMMYFUNCTION("""COMPUTED_VALUE"""),"Inferred barangay location from which the home address of the subscriber is found. The inferred location is pulled from the available latched cellsites data of the subscriber within the timeframe specified (10pm to 5am).")</f>
        <v>Inferred barangay location from which the home address of the subscriber is found. The inferred location is pulled from the available latched cellsites data of the subscriber within the timeframe specified (10pm to 5am).</v>
      </c>
      <c r="F69" s="258" t="str">
        <f>IFERROR(__xludf.DUMMYFUNCTION("""COMPUTED_VALUE"""),"Inferred")</f>
        <v>Inferred</v>
      </c>
      <c r="G69" s="258" t="str">
        <f>IFERROR(__xludf.DUMMYFUNCTION("""COMPUTED_VALUE"""),"varchar(1000)")</f>
        <v>varchar(1000)</v>
      </c>
      <c r="H69" s="258" t="str">
        <f>IFERROR(__xludf.DUMMYFUNCTION("""COMPUTED_VALUE"""),"Caupasan (Pob.)")</f>
        <v>Caupasan (Pob.)</v>
      </c>
      <c r="I69" s="258" t="str">
        <f>IFERROR(__xludf.DUMMYFUNCTION("""COMPUTED_VALUE"""),"EDO-AA")</f>
        <v>EDO-AA</v>
      </c>
      <c r="J69" s="258" t="str">
        <f>IFERROR(__xludf.DUMMYFUNCTION("""COMPUTED_VALUE"""),"Monthly")</f>
        <v>Monthly</v>
      </c>
      <c r="K69" s="258" t="str">
        <f>IFERROR(__xludf.DUMMYFUNCTION("""COMPUTED_VALUE"""),"")</f>
        <v/>
      </c>
      <c r="L69" s="258" t="str">
        <f>IFERROR(__xludf.DUMMYFUNCTION("""COMPUTED_VALUE"""),"GHP, GHP-PREPAID, TM, PW, GOMO, WIRELINE")</f>
        <v>GHP, GHP-PREPAID, TM, PW, GOMO, WIRELINE</v>
      </c>
      <c r="M69" s="258" t="str">
        <f>IFERROR(__xludf.DUMMYFUNCTION("""COMPUTED_VALUE"""),"Consumer, EG, SG, In house, IBG Traveler")</f>
        <v>Consumer, EG, SG, In house, IBG Traveler</v>
      </c>
      <c r="N69" s="258" t="str">
        <f>IFERROR(__xludf.DUMMYFUNCTION("""COMPUTED_VALUE"""),"network")</f>
        <v>network</v>
      </c>
      <c r="O69" s="258" t="str">
        <f>IFERROR(__xludf.DUMMYFUNCTION("""COMPUTED_VALUE"""),"network_profile")</f>
        <v>network_profile</v>
      </c>
      <c r="P69" s="258"/>
    </row>
    <row r="70">
      <c r="A70" s="257" t="str">
        <f>IFERROR(__xludf.DUMMYFUNCTION("""COMPUTED_VALUE"""),"home_city_name")</f>
        <v>home_city_name</v>
      </c>
      <c r="B70" s="258" t="str">
        <f>IFERROR(__xludf.DUMMYFUNCTION("""COMPUTED_VALUE"""),"Customer PII")</f>
        <v>Customer PII</v>
      </c>
      <c r="C70" s="258" t="str">
        <f>IFERROR(__xludf.DUMMYFUNCTION("""COMPUTED_VALUE"""),"Non-PII")</f>
        <v>Non-PII</v>
      </c>
      <c r="D70" s="258" t="str">
        <f>IFERROR(__xludf.DUMMYFUNCTION("""COMPUTED_VALUE"""),"Non-PII")</f>
        <v>Non-PII</v>
      </c>
      <c r="E70" s="258" t="str">
        <f>IFERROR(__xludf.DUMMYFUNCTION("""COMPUTED_VALUE"""),"Inferred city location from which the home address of the subscriber is found. The inferred location is pulled from the available latched cellsites data of the subscriber within the timeframe specified (10pm to 5am).")</f>
        <v>Inferred city location from which the home address of the subscriber is found. The inferred location is pulled from the available latched cellsites data of the subscriber within the timeframe specified (10pm to 5am).</v>
      </c>
      <c r="F70" s="258" t="str">
        <f>IFERROR(__xludf.DUMMYFUNCTION("""COMPUTED_VALUE"""),"Inferred")</f>
        <v>Inferred</v>
      </c>
      <c r="G70" s="258" t="str">
        <f>IFERROR(__xludf.DUMMYFUNCTION("""COMPUTED_VALUE"""),"varchar(1000)")</f>
        <v>varchar(1000)</v>
      </c>
      <c r="H70" s="258" t="str">
        <f>IFERROR(__xludf.DUMMYFUNCTION("""COMPUTED_VALUE"""),"DANGLAS")</f>
        <v>DANGLAS</v>
      </c>
      <c r="I70" s="258" t="str">
        <f>IFERROR(__xludf.DUMMYFUNCTION("""COMPUTED_VALUE"""),"EDO-AA")</f>
        <v>EDO-AA</v>
      </c>
      <c r="J70" s="258" t="str">
        <f>IFERROR(__xludf.DUMMYFUNCTION("""COMPUTED_VALUE"""),"Monthly")</f>
        <v>Monthly</v>
      </c>
      <c r="K70" s="258" t="str">
        <f>IFERROR(__xludf.DUMMYFUNCTION("""COMPUTED_VALUE"""),"")</f>
        <v/>
      </c>
      <c r="L70" s="258" t="str">
        <f>IFERROR(__xludf.DUMMYFUNCTION("""COMPUTED_VALUE"""),"GHP, GHP-PREPAID, TM, PW, GOMO, WIRELINE")</f>
        <v>GHP, GHP-PREPAID, TM, PW, GOMO, WIRELINE</v>
      </c>
      <c r="M70" s="258" t="str">
        <f>IFERROR(__xludf.DUMMYFUNCTION("""COMPUTED_VALUE"""),"Consumer, EG, SG, In house, IBG Traveler")</f>
        <v>Consumer, EG, SG, In house, IBG Traveler</v>
      </c>
      <c r="N70" s="258" t="str">
        <f>IFERROR(__xludf.DUMMYFUNCTION("""COMPUTED_VALUE"""),"network")</f>
        <v>network</v>
      </c>
      <c r="O70" s="258" t="str">
        <f>IFERROR(__xludf.DUMMYFUNCTION("""COMPUTED_VALUE"""),"network_profile")</f>
        <v>network_profile</v>
      </c>
      <c r="P70" s="258"/>
    </row>
    <row r="71">
      <c r="A71" s="257" t="str">
        <f>IFERROR(__xludf.DUMMYFUNCTION("""COMPUTED_VALUE"""),"home_province_name")</f>
        <v>home_province_name</v>
      </c>
      <c r="B71" s="258" t="str">
        <f>IFERROR(__xludf.DUMMYFUNCTION("""COMPUTED_VALUE"""),"Customer PII")</f>
        <v>Customer PII</v>
      </c>
      <c r="C71" s="258" t="str">
        <f>IFERROR(__xludf.DUMMYFUNCTION("""COMPUTED_VALUE"""),"Non-PII")</f>
        <v>Non-PII</v>
      </c>
      <c r="D71" s="258" t="str">
        <f>IFERROR(__xludf.DUMMYFUNCTION("""COMPUTED_VALUE"""),"Non-PII")</f>
        <v>Non-PII</v>
      </c>
      <c r="E71" s="258" t="str">
        <f>IFERROR(__xludf.DUMMYFUNCTION("""COMPUTED_VALUE"""),"Inferred province location from which the home address of the subscriber is found. The inferred location is pulled from the available latched cellsites data of the subscriber within the timeframe specified (10pm to 5am).")</f>
        <v>Inferred province location from which the home address of the subscriber is found. The inferred location is pulled from the available latched cellsites data of the subscriber within the timeframe specified (10pm to 5am).</v>
      </c>
      <c r="F71" s="258" t="str">
        <f>IFERROR(__xludf.DUMMYFUNCTION("""COMPUTED_VALUE"""),"Inferred")</f>
        <v>Inferred</v>
      </c>
      <c r="G71" s="258" t="str">
        <f>IFERROR(__xludf.DUMMYFUNCTION("""COMPUTED_VALUE"""),"varchar(1000)")</f>
        <v>varchar(1000)</v>
      </c>
      <c r="H71" s="258" t="str">
        <f>IFERROR(__xludf.DUMMYFUNCTION("""COMPUTED_VALUE"""),"ABRA")</f>
        <v>ABRA</v>
      </c>
      <c r="I71" s="258" t="str">
        <f>IFERROR(__xludf.DUMMYFUNCTION("""COMPUTED_VALUE"""),"EDO-AA")</f>
        <v>EDO-AA</v>
      </c>
      <c r="J71" s="258" t="str">
        <f>IFERROR(__xludf.DUMMYFUNCTION("""COMPUTED_VALUE"""),"Monthly")</f>
        <v>Monthly</v>
      </c>
      <c r="K71" s="258" t="str">
        <f>IFERROR(__xludf.DUMMYFUNCTION("""COMPUTED_VALUE"""),"")</f>
        <v/>
      </c>
      <c r="L71" s="258" t="str">
        <f>IFERROR(__xludf.DUMMYFUNCTION("""COMPUTED_VALUE"""),"GHP, GHP-PREPAID, TM, PW, GOMO, WIRELINE")</f>
        <v>GHP, GHP-PREPAID, TM, PW, GOMO, WIRELINE</v>
      </c>
      <c r="M71" s="258" t="str">
        <f>IFERROR(__xludf.DUMMYFUNCTION("""COMPUTED_VALUE"""),"Consumer, EG, SG, In house, IBG Traveler")</f>
        <v>Consumer, EG, SG, In house, IBG Traveler</v>
      </c>
      <c r="N71" s="258" t="str">
        <f>IFERROR(__xludf.DUMMYFUNCTION("""COMPUTED_VALUE"""),"network")</f>
        <v>network</v>
      </c>
      <c r="O71" s="258" t="str">
        <f>IFERROR(__xludf.DUMMYFUNCTION("""COMPUTED_VALUE"""),"network_profile")</f>
        <v>network_profile</v>
      </c>
      <c r="P71" s="258"/>
    </row>
    <row r="72">
      <c r="A72" s="257" t="str">
        <f>IFERROR(__xludf.DUMMYFUNCTION("""COMPUTED_VALUE"""),"home_region_name")</f>
        <v>home_region_name</v>
      </c>
      <c r="B72" s="258" t="str">
        <f>IFERROR(__xludf.DUMMYFUNCTION("""COMPUTED_VALUE"""),"Customer PII")</f>
        <v>Customer PII</v>
      </c>
      <c r="C72" s="258" t="str">
        <f>IFERROR(__xludf.DUMMYFUNCTION("""COMPUTED_VALUE"""),"Non-PII")</f>
        <v>Non-PII</v>
      </c>
      <c r="D72" s="258" t="str">
        <f>IFERROR(__xludf.DUMMYFUNCTION("""COMPUTED_VALUE"""),"Non-PII")</f>
        <v>Non-PII</v>
      </c>
      <c r="E72" s="258" t="str">
        <f>IFERROR(__xludf.DUMMYFUNCTION("""COMPUTED_VALUE"""),"Inferred region location from which the home address of the subscriber is found. The inferred location is pulled from the available latched cellsites data of the subscriber within the timeframe specified (10pm to 5am).")</f>
        <v>Inferred region location from which the home address of the subscriber is found. The inferred location is pulled from the available latched cellsites data of the subscriber within the timeframe specified (10pm to 5am).</v>
      </c>
      <c r="F72" s="258" t="str">
        <f>IFERROR(__xludf.DUMMYFUNCTION("""COMPUTED_VALUE"""),"Inferred")</f>
        <v>Inferred</v>
      </c>
      <c r="G72" s="258" t="str">
        <f>IFERROR(__xludf.DUMMYFUNCTION("""COMPUTED_VALUE"""),"varchar(1000)")</f>
        <v>varchar(1000)</v>
      </c>
      <c r="H72" s="258" t="str">
        <f>IFERROR(__xludf.DUMMYFUNCTION("""COMPUTED_VALUE"""),"CAR - Cordillera Administrative Region")</f>
        <v>CAR - Cordillera Administrative Region</v>
      </c>
      <c r="I72" s="258" t="str">
        <f>IFERROR(__xludf.DUMMYFUNCTION("""COMPUTED_VALUE"""),"EDO-AA")</f>
        <v>EDO-AA</v>
      </c>
      <c r="J72" s="258" t="str">
        <f>IFERROR(__xludf.DUMMYFUNCTION("""COMPUTED_VALUE"""),"Monthly")</f>
        <v>Monthly</v>
      </c>
      <c r="K72" s="258" t="str">
        <f>IFERROR(__xludf.DUMMYFUNCTION("""COMPUTED_VALUE"""),"")</f>
        <v/>
      </c>
      <c r="L72" s="258" t="str">
        <f>IFERROR(__xludf.DUMMYFUNCTION("""COMPUTED_VALUE"""),"GHP, GHP-PREPAID, TM, PW, GOMO, WIRELINE")</f>
        <v>GHP, GHP-PREPAID, TM, PW, GOMO, WIRELINE</v>
      </c>
      <c r="M72" s="258" t="str">
        <f>IFERROR(__xludf.DUMMYFUNCTION("""COMPUTED_VALUE"""),"Consumer, EG, SG, In house, IBG Traveler")</f>
        <v>Consumer, EG, SG, In house, IBG Traveler</v>
      </c>
      <c r="N72" s="258" t="str">
        <f>IFERROR(__xludf.DUMMYFUNCTION("""COMPUTED_VALUE"""),"network")</f>
        <v>network</v>
      </c>
      <c r="O72" s="258" t="str">
        <f>IFERROR(__xludf.DUMMYFUNCTION("""COMPUTED_VALUE"""),"network_profile")</f>
        <v>network_profile</v>
      </c>
      <c r="P72" s="258"/>
    </row>
    <row r="73">
      <c r="A73" s="257" t="str">
        <f>IFERROR(__xludf.DUMMYFUNCTION("""COMPUTED_VALUE"""),"work_barangay_name")</f>
        <v>work_barangay_name</v>
      </c>
      <c r="B73" s="258" t="str">
        <f>IFERROR(__xludf.DUMMYFUNCTION("""COMPUTED_VALUE"""),"Customer PII")</f>
        <v>Customer PII</v>
      </c>
      <c r="C73" s="258" t="str">
        <f>IFERROR(__xludf.DUMMYFUNCTION("""COMPUTED_VALUE"""),"Non-PII")</f>
        <v>Non-PII</v>
      </c>
      <c r="D73" s="258" t="str">
        <f>IFERROR(__xludf.DUMMYFUNCTION("""COMPUTED_VALUE"""),"Non-PII")</f>
        <v>Non-PII</v>
      </c>
      <c r="E73" s="258" t="str">
        <f>IFERROR(__xludf.DUMMYFUNCTION("""COMPUTED_VALUE"""),"Inferred barangay location from which the work address of the subscriber is found. The inferred location is pulled from the available latched cellsites data of the subscriber within the timeframe specified (10am to 4pm).")</f>
        <v>Inferred barangay location from which the work address of the subscriber is found. The inferred location is pulled from the available latched cellsites data of the subscriber within the timeframe specified (10am to 4pm).</v>
      </c>
      <c r="F73" s="258" t="str">
        <f>IFERROR(__xludf.DUMMYFUNCTION("""COMPUTED_VALUE"""),"Inferred")</f>
        <v>Inferred</v>
      </c>
      <c r="G73" s="258" t="str">
        <f>IFERROR(__xludf.DUMMYFUNCTION("""COMPUTED_VALUE"""),"varchar(1000)")</f>
        <v>varchar(1000)</v>
      </c>
      <c r="H73" s="258" t="str">
        <f>IFERROR(__xludf.DUMMYFUNCTION("""COMPUTED_VALUE"""),"Caupasan (Pob.)")</f>
        <v>Caupasan (Pob.)</v>
      </c>
      <c r="I73" s="258" t="str">
        <f>IFERROR(__xludf.DUMMYFUNCTION("""COMPUTED_VALUE"""),"EDO-AA")</f>
        <v>EDO-AA</v>
      </c>
      <c r="J73" s="258" t="str">
        <f>IFERROR(__xludf.DUMMYFUNCTION("""COMPUTED_VALUE"""),"Monthly")</f>
        <v>Monthly</v>
      </c>
      <c r="K73" s="258" t="str">
        <f>IFERROR(__xludf.DUMMYFUNCTION("""COMPUTED_VALUE"""),"")</f>
        <v/>
      </c>
      <c r="L73" s="258" t="str">
        <f>IFERROR(__xludf.DUMMYFUNCTION("""COMPUTED_VALUE"""),"GHP, GHP-PREPAID, TM, PW, GOMO, WIRELINE")</f>
        <v>GHP, GHP-PREPAID, TM, PW, GOMO, WIRELINE</v>
      </c>
      <c r="M73" s="258" t="str">
        <f>IFERROR(__xludf.DUMMYFUNCTION("""COMPUTED_VALUE"""),"Consumer, EG, SG, In house, IBG Traveler")</f>
        <v>Consumer, EG, SG, In house, IBG Traveler</v>
      </c>
      <c r="N73" s="258" t="str">
        <f>IFERROR(__xludf.DUMMYFUNCTION("""COMPUTED_VALUE"""),"network")</f>
        <v>network</v>
      </c>
      <c r="O73" s="258" t="str">
        <f>IFERROR(__xludf.DUMMYFUNCTION("""COMPUTED_VALUE"""),"network_profile")</f>
        <v>network_profile</v>
      </c>
      <c r="P73" s="258"/>
    </row>
    <row r="74">
      <c r="A74" s="257" t="str">
        <f>IFERROR(__xludf.DUMMYFUNCTION("""COMPUTED_VALUE"""),"work_city_name")</f>
        <v>work_city_name</v>
      </c>
      <c r="B74" s="258" t="str">
        <f>IFERROR(__xludf.DUMMYFUNCTION("""COMPUTED_VALUE"""),"Customer PII")</f>
        <v>Customer PII</v>
      </c>
      <c r="C74" s="258" t="str">
        <f>IFERROR(__xludf.DUMMYFUNCTION("""COMPUTED_VALUE"""),"Non-PII")</f>
        <v>Non-PII</v>
      </c>
      <c r="D74" s="258" t="str">
        <f>IFERROR(__xludf.DUMMYFUNCTION("""COMPUTED_VALUE"""),"Non-PII")</f>
        <v>Non-PII</v>
      </c>
      <c r="E74" s="258" t="str">
        <f>IFERROR(__xludf.DUMMYFUNCTION("""COMPUTED_VALUE"""),"Inferred city location from which the work address of the subscriber is found. The inferred location is pulled from the available latched cellsites data of the subscriber within the timeframe specified (10am to 4pm).")</f>
        <v>Inferred city location from which the work address of the subscriber is found. The inferred location is pulled from the available latched cellsites data of the subscriber within the timeframe specified (10am to 4pm).</v>
      </c>
      <c r="F74" s="258" t="str">
        <f>IFERROR(__xludf.DUMMYFUNCTION("""COMPUTED_VALUE"""),"Inferred")</f>
        <v>Inferred</v>
      </c>
      <c r="G74" s="258" t="str">
        <f>IFERROR(__xludf.DUMMYFUNCTION("""COMPUTED_VALUE"""),"varchar(1000)")</f>
        <v>varchar(1000)</v>
      </c>
      <c r="H74" s="258" t="str">
        <f>IFERROR(__xludf.DUMMYFUNCTION("""COMPUTED_VALUE"""),"DANGLAS")</f>
        <v>DANGLAS</v>
      </c>
      <c r="I74" s="258" t="str">
        <f>IFERROR(__xludf.DUMMYFUNCTION("""COMPUTED_VALUE"""),"EDO-AA")</f>
        <v>EDO-AA</v>
      </c>
      <c r="J74" s="258" t="str">
        <f>IFERROR(__xludf.DUMMYFUNCTION("""COMPUTED_VALUE"""),"Monthly")</f>
        <v>Monthly</v>
      </c>
      <c r="K74" s="258" t="str">
        <f>IFERROR(__xludf.DUMMYFUNCTION("""COMPUTED_VALUE"""),"")</f>
        <v/>
      </c>
      <c r="L74" s="258" t="str">
        <f>IFERROR(__xludf.DUMMYFUNCTION("""COMPUTED_VALUE"""),"GHP, GHP-PREPAID, TM, PW, GOMO, WIRELINE")</f>
        <v>GHP, GHP-PREPAID, TM, PW, GOMO, WIRELINE</v>
      </c>
      <c r="M74" s="258" t="str">
        <f>IFERROR(__xludf.DUMMYFUNCTION("""COMPUTED_VALUE"""),"Consumer, EG, SG, In house, IBG Traveler")</f>
        <v>Consumer, EG, SG, In house, IBG Traveler</v>
      </c>
      <c r="N74" s="258" t="str">
        <f>IFERROR(__xludf.DUMMYFUNCTION("""COMPUTED_VALUE"""),"network")</f>
        <v>network</v>
      </c>
      <c r="O74" s="258" t="str">
        <f>IFERROR(__xludf.DUMMYFUNCTION("""COMPUTED_VALUE"""),"network_profile")</f>
        <v>network_profile</v>
      </c>
      <c r="P74" s="258"/>
    </row>
    <row r="75">
      <c r="A75" s="257" t="str">
        <f>IFERROR(__xludf.DUMMYFUNCTION("""COMPUTED_VALUE"""),"work_province_name")</f>
        <v>work_province_name</v>
      </c>
      <c r="B75" s="258" t="str">
        <f>IFERROR(__xludf.DUMMYFUNCTION("""COMPUTED_VALUE"""),"Customer PII")</f>
        <v>Customer PII</v>
      </c>
      <c r="C75" s="258" t="str">
        <f>IFERROR(__xludf.DUMMYFUNCTION("""COMPUTED_VALUE"""),"Non-PII")</f>
        <v>Non-PII</v>
      </c>
      <c r="D75" s="258" t="str">
        <f>IFERROR(__xludf.DUMMYFUNCTION("""COMPUTED_VALUE"""),"Non-PII")</f>
        <v>Non-PII</v>
      </c>
      <c r="E75" s="258" t="str">
        <f>IFERROR(__xludf.DUMMYFUNCTION("""COMPUTED_VALUE"""),"Inferred province location from which the work address of the subscriber is found. The inferred location is pulled from the available latched cellsites data of the subscriber within the timeframe specified (10am to 4pm).")</f>
        <v>Inferred province location from which the work address of the subscriber is found. The inferred location is pulled from the available latched cellsites data of the subscriber within the timeframe specified (10am to 4pm).</v>
      </c>
      <c r="F75" s="258" t="str">
        <f>IFERROR(__xludf.DUMMYFUNCTION("""COMPUTED_VALUE"""),"Inferred")</f>
        <v>Inferred</v>
      </c>
      <c r="G75" s="258" t="str">
        <f>IFERROR(__xludf.DUMMYFUNCTION("""COMPUTED_VALUE"""),"varchar(1000)")</f>
        <v>varchar(1000)</v>
      </c>
      <c r="H75" s="258" t="str">
        <f>IFERROR(__xludf.DUMMYFUNCTION("""COMPUTED_VALUE"""),"ABRA")</f>
        <v>ABRA</v>
      </c>
      <c r="I75" s="258" t="str">
        <f>IFERROR(__xludf.DUMMYFUNCTION("""COMPUTED_VALUE"""),"EDO-AA")</f>
        <v>EDO-AA</v>
      </c>
      <c r="J75" s="258" t="str">
        <f>IFERROR(__xludf.DUMMYFUNCTION("""COMPUTED_VALUE"""),"Monthly")</f>
        <v>Monthly</v>
      </c>
      <c r="K75" s="258" t="str">
        <f>IFERROR(__xludf.DUMMYFUNCTION("""COMPUTED_VALUE"""),"")</f>
        <v/>
      </c>
      <c r="L75" s="258" t="str">
        <f>IFERROR(__xludf.DUMMYFUNCTION("""COMPUTED_VALUE"""),"GHP, GHP-PREPAID, TM, PW, GOMO, WIRELINE")</f>
        <v>GHP, GHP-PREPAID, TM, PW, GOMO, WIRELINE</v>
      </c>
      <c r="M75" s="258" t="str">
        <f>IFERROR(__xludf.DUMMYFUNCTION("""COMPUTED_VALUE"""),"Consumer, EG, SG, In house, IBG Traveler")</f>
        <v>Consumer, EG, SG, In house, IBG Traveler</v>
      </c>
      <c r="N75" s="258" t="str">
        <f>IFERROR(__xludf.DUMMYFUNCTION("""COMPUTED_VALUE"""),"network")</f>
        <v>network</v>
      </c>
      <c r="O75" s="258" t="str">
        <f>IFERROR(__xludf.DUMMYFUNCTION("""COMPUTED_VALUE"""),"network_profile")</f>
        <v>network_profile</v>
      </c>
      <c r="P75" s="258"/>
    </row>
    <row r="76">
      <c r="A76" s="257" t="str">
        <f>IFERROR(__xludf.DUMMYFUNCTION("""COMPUTED_VALUE"""),"work_region_name")</f>
        <v>work_region_name</v>
      </c>
      <c r="B76" s="258" t="str">
        <f>IFERROR(__xludf.DUMMYFUNCTION("""COMPUTED_VALUE"""),"Customer PII")</f>
        <v>Customer PII</v>
      </c>
      <c r="C76" s="258" t="str">
        <f>IFERROR(__xludf.DUMMYFUNCTION("""COMPUTED_VALUE"""),"Non-PII")</f>
        <v>Non-PII</v>
      </c>
      <c r="D76" s="258" t="str">
        <f>IFERROR(__xludf.DUMMYFUNCTION("""COMPUTED_VALUE"""),"Non-PII")</f>
        <v>Non-PII</v>
      </c>
      <c r="E76" s="258" t="str">
        <f>IFERROR(__xludf.DUMMYFUNCTION("""COMPUTED_VALUE"""),"Inferred region location from which the work address of the subscriber is found. The inferred location is pulled from the available latched cellsites data of the subscriber within the timeframe specified (10am to 4pm).")</f>
        <v>Inferred region location from which the work address of the subscriber is found. The inferred location is pulled from the available latched cellsites data of the subscriber within the timeframe specified (10am to 4pm).</v>
      </c>
      <c r="F76" s="258" t="str">
        <f>IFERROR(__xludf.DUMMYFUNCTION("""COMPUTED_VALUE"""),"Inferred")</f>
        <v>Inferred</v>
      </c>
      <c r="G76" s="258" t="str">
        <f>IFERROR(__xludf.DUMMYFUNCTION("""COMPUTED_VALUE"""),"varchar(1000)")</f>
        <v>varchar(1000)</v>
      </c>
      <c r="H76" s="258" t="str">
        <f>IFERROR(__xludf.DUMMYFUNCTION("""COMPUTED_VALUE"""),"CAR - Cordillera Administrative Region")</f>
        <v>CAR - Cordillera Administrative Region</v>
      </c>
      <c r="I76" s="258" t="str">
        <f>IFERROR(__xludf.DUMMYFUNCTION("""COMPUTED_VALUE"""),"EDO-AA")</f>
        <v>EDO-AA</v>
      </c>
      <c r="J76" s="258" t="str">
        <f>IFERROR(__xludf.DUMMYFUNCTION("""COMPUTED_VALUE"""),"Monthly")</f>
        <v>Monthly</v>
      </c>
      <c r="K76" s="258" t="str">
        <f>IFERROR(__xludf.DUMMYFUNCTION("""COMPUTED_VALUE"""),"")</f>
        <v/>
      </c>
      <c r="L76" s="258" t="str">
        <f>IFERROR(__xludf.DUMMYFUNCTION("""COMPUTED_VALUE"""),"GHP, GHP-PREPAID, TM, PW, GOMO, WIRELINE")</f>
        <v>GHP, GHP-PREPAID, TM, PW, GOMO, WIRELINE</v>
      </c>
      <c r="M76" s="258" t="str">
        <f>IFERROR(__xludf.DUMMYFUNCTION("""COMPUTED_VALUE"""),"Consumer, EG, SG, In house, IBG Traveler")</f>
        <v>Consumer, EG, SG, In house, IBG Traveler</v>
      </c>
      <c r="N76" s="258" t="str">
        <f>IFERROR(__xludf.DUMMYFUNCTION("""COMPUTED_VALUE"""),"network")</f>
        <v>network</v>
      </c>
      <c r="O76" s="258" t="str">
        <f>IFERROR(__xludf.DUMMYFUNCTION("""COMPUTED_VALUE"""),"network_profile")</f>
        <v>network_profile</v>
      </c>
      <c r="P76" s="258"/>
    </row>
    <row r="77">
      <c r="A77" s="257" t="str">
        <f>IFERROR(__xludf.DUMMYFUNCTION("""COMPUTED_VALUE"""),"tenure_count")</f>
        <v>tenure_count</v>
      </c>
      <c r="B77" s="258" t="str">
        <f>IFERROR(__xludf.DUMMYFUNCTION("""COMPUTED_VALUE"""),"Loyalty &amp; Retention")</f>
        <v>Loyalty &amp; Retention</v>
      </c>
      <c r="C77" s="258" t="str">
        <f>IFERROR(__xludf.DUMMYFUNCTION("""COMPUTED_VALUE"""),"Non-PII")</f>
        <v>Non-PII</v>
      </c>
      <c r="D77" s="258" t="str">
        <f>IFERROR(__xludf.DUMMYFUNCTION("""COMPUTED_VALUE"""),"Non-PII")</f>
        <v>Non-PII</v>
      </c>
      <c r="E77" s="258" t="str">
        <f>IFERROR(__xludf.DUMMYFUNCTION("""COMPUTED_VALUE"""),"Tenure count of years from activation date of the subscriber to the current date")</f>
        <v>Tenure count of years from activation date of the subscriber to the current date</v>
      </c>
      <c r="F77" s="258" t="str">
        <f>IFERROR(__xludf.DUMMYFUNCTION("""COMPUTED_VALUE"""),"Derived")</f>
        <v>Derived</v>
      </c>
      <c r="G77" s="258" t="str">
        <f>IFERROR(__xludf.DUMMYFUNCTION("""COMPUTED_VALUE"""),"bigint")</f>
        <v>bigint</v>
      </c>
      <c r="H77" s="258">
        <f>IFERROR(__xludf.DUMMYFUNCTION("""COMPUTED_VALUE"""),12.0)</f>
        <v>12</v>
      </c>
      <c r="I77" s="258" t="str">
        <f>IFERROR(__xludf.DUMMYFUNCTION("""COMPUTED_VALUE"""),"EDO-DI")</f>
        <v>EDO-DI</v>
      </c>
      <c r="J77" s="258" t="str">
        <f>IFERROR(__xludf.DUMMYFUNCTION("""COMPUTED_VALUE"""),"Daily")</f>
        <v>Daily</v>
      </c>
      <c r="K77" s="258" t="str">
        <f>IFERROR(__xludf.DUMMYFUNCTION("""COMPUTED_VALUE"""),"")</f>
        <v/>
      </c>
      <c r="L77" s="258" t="str">
        <f>IFERROR(__xludf.DUMMYFUNCTION("""COMPUTED_VALUE"""),"GHP, GHP-PREPAID, TM, PW, GOMO, WIRELINE, BAYAN, GLOBE")</f>
        <v>GHP, GHP-PREPAID, TM, PW, GOMO, WIRELINE, BAYAN, GLOBE</v>
      </c>
      <c r="M77" s="258" t="str">
        <f>IFERROR(__xludf.DUMMYFUNCTION("""COMPUTED_VALUE"""),"Consumer, EG, SG, In house, IBG Traveler")</f>
        <v>Consumer, EG, SG, In house, IBG Traveler</v>
      </c>
      <c r="N77" s="258" t="str">
        <f>IFERROR(__xludf.DUMMYFUNCTION("""COMPUTED_VALUE"""),"customer")</f>
        <v>customer</v>
      </c>
      <c r="O77" s="258" t="str">
        <f>IFERROR(__xludf.DUMMYFUNCTION("""COMPUTED_VALUE"""),"customer_profile")</f>
        <v>customer_profile</v>
      </c>
      <c r="P77" s="258"/>
    </row>
    <row r="78">
      <c r="A78" s="257" t="str">
        <f>IFERROR(__xludf.DUMMYFUNCTION("""COMPUTED_VALUE"""),"owns_credit_card_indicator")</f>
        <v>owns_credit_card_indicator</v>
      </c>
      <c r="B78" s="258" t="str">
        <f>IFERROR(__xludf.DUMMYFUNCTION("""COMPUTED_VALUE"""),"Behavioral")</f>
        <v>Behavioral</v>
      </c>
      <c r="C78" s="258" t="str">
        <f>IFERROR(__xludf.DUMMYFUNCTION("""COMPUTED_VALUE"""),"Non-PII")</f>
        <v>Non-PII</v>
      </c>
      <c r="D78" s="258" t="str">
        <f>IFERROR(__xludf.DUMMYFUNCTION("""COMPUTED_VALUE"""),"Non-PII")</f>
        <v>Non-PII</v>
      </c>
      <c r="E78" s="258" t="str">
        <f>IFERROR(__xludf.DUMMYFUNCTION("""COMPUTED_VALUE"""),"Indicator for a subscriber who owns a credit card")</f>
        <v>Indicator for a subscriber who owns a credit card</v>
      </c>
      <c r="F78" s="258" t="str">
        <f>IFERROR(__xludf.DUMMYFUNCTION("""COMPUTED_VALUE"""),"Derived")</f>
        <v>Derived</v>
      </c>
      <c r="G78" s="258" t="str">
        <f>IFERROR(__xludf.DUMMYFUNCTION("""COMPUTED_VALUE"""),"boolean")</f>
        <v>boolean</v>
      </c>
      <c r="H78" s="258" t="b">
        <f>IFERROR(__xludf.DUMMYFUNCTION("""COMPUTED_VALUE"""),TRUE)</f>
        <v>1</v>
      </c>
      <c r="I78" s="258" t="str">
        <f>IFERROR(__xludf.DUMMYFUNCTION("""COMPUTED_VALUE"""),"EDO-UUP")</f>
        <v>EDO-UUP</v>
      </c>
      <c r="J78" s="258" t="str">
        <f>IFERROR(__xludf.DUMMYFUNCTION("""COMPUTED_VALUE"""),"Daily")</f>
        <v>Daily</v>
      </c>
      <c r="K78" s="258" t="str">
        <f>IFERROR(__xludf.DUMMYFUNCTION("""COMPUTED_VALUE"""),"")</f>
        <v/>
      </c>
      <c r="L78" s="258" t="str">
        <f>IFERROR(__xludf.DUMMYFUNCTION("""COMPUTED_VALUE"""),"GHP, WIRELINE")</f>
        <v>GHP, WIRELINE</v>
      </c>
      <c r="M78" s="258" t="str">
        <f>IFERROR(__xludf.DUMMYFUNCTION("""COMPUTED_VALUE"""),"Consumer, EG, SG, In house")</f>
        <v>Consumer, EG, SG, In house</v>
      </c>
      <c r="N78" s="258" t="str">
        <f>IFERROR(__xludf.DUMMYFUNCTION("""COMPUTED_VALUE"""),"payment")</f>
        <v>payment</v>
      </c>
      <c r="O78" s="258" t="str">
        <f>IFERROR(__xludf.DUMMYFUNCTION("""COMPUTED_VALUE"""),"payment_profile")</f>
        <v>payment_profile</v>
      </c>
      <c r="P78" s="258"/>
    </row>
    <row r="79">
      <c r="A79" s="257" t="str">
        <f>IFERROR(__xludf.DUMMYFUNCTION("""COMPUTED_VALUE"""),"customer_email_address_text")</f>
        <v>customer_email_address_text</v>
      </c>
      <c r="B79" s="258" t="str">
        <f>IFERROR(__xludf.DUMMYFUNCTION("""COMPUTED_VALUE"""),"Customer PII - Masked")</f>
        <v>Customer PII - Masked</v>
      </c>
      <c r="C79" s="258" t="str">
        <f>IFERROR(__xludf.DUMMYFUNCTION("""COMPUTED_VALUE"""),"Customer PII - Masked")</f>
        <v>Customer PII - Masked</v>
      </c>
      <c r="D79" s="258" t="str">
        <f>IFERROR(__xludf.DUMMYFUNCTION("""COMPUTED_VALUE"""),"Contact")</f>
        <v>Contact</v>
      </c>
      <c r="E79" s="258" t="str">
        <f>IFERROR(__xludf.DUMMYFUNCTION("""COMPUTED_VALUE"""),"Email address of the customer from the point of application")</f>
        <v>Email address of the customer from the point of application</v>
      </c>
      <c r="F79" s="258" t="str">
        <f>IFERROR(__xludf.DUMMYFUNCTION("""COMPUTED_VALUE"""),"Direct Pull")</f>
        <v>Direct Pull</v>
      </c>
      <c r="G79" s="258" t="str">
        <f>IFERROR(__xludf.DUMMYFUNCTION("""COMPUTED_VALUE"""),"varchar(1000)")</f>
        <v>varchar(1000)</v>
      </c>
      <c r="H79" s="258" t="str">
        <f>IFERROR(__xludf.DUMMYFUNCTION("""COMPUTED_VALUE"""),"yeaurika@gmail.com")</f>
        <v>yeaurika@gmail.com</v>
      </c>
      <c r="I79" s="258" t="str">
        <f>IFERROR(__xludf.DUMMYFUNCTION("""COMPUTED_VALUE"""),"EDO-UUP")</f>
        <v>EDO-UUP</v>
      </c>
      <c r="J79" s="258" t="str">
        <f>IFERROR(__xludf.DUMMYFUNCTION("""COMPUTED_VALUE"""),"Daily")</f>
        <v>Daily</v>
      </c>
      <c r="K79" s="258" t="str">
        <f>IFERROR(__xludf.DUMMYFUNCTION("""COMPUTED_VALUE"""),"")</f>
        <v/>
      </c>
      <c r="L79" s="258" t="str">
        <f>IFERROR(__xludf.DUMMYFUNCTION("""COMPUTED_VALUE"""),"GHP, GHP-PREPAID, TM, PW, WIRELINE")</f>
        <v>GHP, GHP-PREPAID, TM, PW, WIRELINE</v>
      </c>
      <c r="M79" s="258" t="str">
        <f>IFERROR(__xludf.DUMMYFUNCTION("""COMPUTED_VALUE"""),"Consumer, EG, SG, In house, IBG Traveler")</f>
        <v>Consumer, EG, SG, In house, IBG Traveler</v>
      </c>
      <c r="N79" s="258" t="str">
        <f>IFERROR(__xludf.DUMMYFUNCTION("""COMPUTED_VALUE"""),"customer")</f>
        <v>customer</v>
      </c>
      <c r="O79" s="258" t="str">
        <f>IFERROR(__xludf.DUMMYFUNCTION("""COMPUTED_VALUE"""),"customer_profile")</f>
        <v>customer_profile</v>
      </c>
      <c r="P79" s="258"/>
    </row>
    <row r="80">
      <c r="A80" s="257" t="str">
        <f>IFERROR(__xludf.DUMMYFUNCTION("""COMPUTED_VALUE"""),"occupation_text")</f>
        <v>occupation_text</v>
      </c>
      <c r="B80" s="258" t="str">
        <f>IFERROR(__xludf.DUMMYFUNCTION("""COMPUTED_VALUE"""),"Demographic/Affluence")</f>
        <v>Demographic/Affluence</v>
      </c>
      <c r="C80" s="258" t="str">
        <f>IFERROR(__xludf.DUMMYFUNCTION("""COMPUTED_VALUE"""),"Non-PII")</f>
        <v>Non-PII</v>
      </c>
      <c r="D80" s="258" t="str">
        <f>IFERROR(__xludf.DUMMYFUNCTION("""COMPUTED_VALUE"""),"Non-PII")</f>
        <v>Non-PII</v>
      </c>
      <c r="E80" s="258" t="str">
        <f>IFERROR(__xludf.DUMMYFUNCTION("""COMPUTED_VALUE"""),"Occupation of the subscriber")</f>
        <v>Occupation of the subscriber</v>
      </c>
      <c r="F80" s="258" t="str">
        <f>IFERROR(__xludf.DUMMYFUNCTION("""COMPUTED_VALUE"""),"Direct Pull")</f>
        <v>Direct Pull</v>
      </c>
      <c r="G80" s="258" t="str">
        <f>IFERROR(__xludf.DUMMYFUNCTION("""COMPUTED_VALUE"""),"varchar(1000)")</f>
        <v>varchar(1000)</v>
      </c>
      <c r="H80" s="258" t="str">
        <f>IFERROR(__xludf.DUMMYFUNCTION("""COMPUTED_VALUE"""),"HR MANAGER")</f>
        <v>HR MANAGER</v>
      </c>
      <c r="I80" s="258" t="str">
        <f>IFERROR(__xludf.DUMMYFUNCTION("""COMPUTED_VALUE"""),"MSH")</f>
        <v>MSH</v>
      </c>
      <c r="J80" s="258" t="str">
        <f>IFERROR(__xludf.DUMMYFUNCTION("""COMPUTED_VALUE"""),"Daily")</f>
        <v>Daily</v>
      </c>
      <c r="K80" s="258" t="str">
        <f>IFERROR(__xludf.DUMMYFUNCTION("""COMPUTED_VALUE"""),"")</f>
        <v/>
      </c>
      <c r="L80" s="258" t="str">
        <f>IFERROR(__xludf.DUMMYFUNCTION("""COMPUTED_VALUE"""),"GHP, GHP-PREPAID, TM, PW, WIRELINE, BAYAN, GLOBE")</f>
        <v>GHP, GHP-PREPAID, TM, PW, WIRELINE, BAYAN, GLOBE</v>
      </c>
      <c r="M80" s="258" t="str">
        <f>IFERROR(__xludf.DUMMYFUNCTION("""COMPUTED_VALUE"""),"Consumer, EG, SG, IBG Traveler")</f>
        <v>Consumer, EG, SG, IBG Traveler</v>
      </c>
      <c r="N80" s="258" t="str">
        <f>IFERROR(__xludf.DUMMYFUNCTION("""COMPUTED_VALUE"""),"customer")</f>
        <v>customer</v>
      </c>
      <c r="O80" s="258" t="str">
        <f>IFERROR(__xludf.DUMMYFUNCTION("""COMPUTED_VALUE"""),"customer_profile")</f>
        <v>customer_profile</v>
      </c>
      <c r="P80" s="258"/>
    </row>
    <row r="81">
      <c r="A81" s="257" t="str">
        <f>IFERROR(__xludf.DUMMYFUNCTION("""COMPUTED_VALUE"""),"birth_date")</f>
        <v>birth_date</v>
      </c>
      <c r="B81" s="258" t="str">
        <f>IFERROR(__xludf.DUMMYFUNCTION("""COMPUTED_VALUE"""),"Customer PII - Masked")</f>
        <v>Customer PII - Masked</v>
      </c>
      <c r="C81" s="258" t="str">
        <f>IFERROR(__xludf.DUMMYFUNCTION("""COMPUTED_VALUE"""),"Customer PII - Masked")</f>
        <v>Customer PII - Masked</v>
      </c>
      <c r="D81" s="258" t="str">
        <f>IFERROR(__xludf.DUMMYFUNCTION("""COMPUTED_VALUE"""),"Birthdate")</f>
        <v>Birthdate</v>
      </c>
      <c r="E81" s="258" t="str">
        <f>IFERROR(__xludf.DUMMYFUNCTION("""COMPUTED_VALUE"""),"Birth date of the subscriber")</f>
        <v>Birth date of the subscriber</v>
      </c>
      <c r="F81" s="258" t="str">
        <f>IFERROR(__xludf.DUMMYFUNCTION("""COMPUTED_VALUE"""),"Direct Pull")</f>
        <v>Direct Pull</v>
      </c>
      <c r="G81" s="258" t="str">
        <f>IFERROR(__xludf.DUMMYFUNCTION("""COMPUTED_VALUE"""),"timestamp")</f>
        <v>timestamp</v>
      </c>
      <c r="H81" s="258">
        <f>IFERROR(__xludf.DUMMYFUNCTION("""COMPUTED_VALUE"""),40469.62163)</f>
        <v>40469.62163</v>
      </c>
      <c r="I81" s="258" t="str">
        <f>IFERROR(__xludf.DUMMYFUNCTION("""COMPUTED_VALUE"""),"MSH")</f>
        <v>MSH</v>
      </c>
      <c r="J81" s="258" t="str">
        <f>IFERROR(__xludf.DUMMYFUNCTION("""COMPUTED_VALUE"""),"Daily")</f>
        <v>Daily</v>
      </c>
      <c r="K81" s="258" t="str">
        <f>IFERROR(__xludf.DUMMYFUNCTION("""COMPUTED_VALUE"""),"")</f>
        <v/>
      </c>
      <c r="L81" s="258" t="str">
        <f>IFERROR(__xludf.DUMMYFUNCTION("""COMPUTED_VALUE"""),"GHP, GHP-PREPAID, TM, PW, GOMO, WIRELINE, BAYAN, GLOBE")</f>
        <v>GHP, GHP-PREPAID, TM, PW, GOMO, WIRELINE, BAYAN, GLOBE</v>
      </c>
      <c r="M81" s="258" t="str">
        <f>IFERROR(__xludf.DUMMYFUNCTION("""COMPUTED_VALUE"""),"Consumer, EG, SG, In house, IBG Traveler")</f>
        <v>Consumer, EG, SG, In house, IBG Traveler</v>
      </c>
      <c r="N81" s="258" t="str">
        <f>IFERROR(__xludf.DUMMYFUNCTION("""COMPUTED_VALUE"""),"customer")</f>
        <v>customer</v>
      </c>
      <c r="O81" s="258" t="str">
        <f>IFERROR(__xludf.DUMMYFUNCTION("""COMPUTED_VALUE"""),"customer_profile")</f>
        <v>customer_profile</v>
      </c>
      <c r="P81" s="258"/>
    </row>
    <row r="82">
      <c r="A82" s="257" t="str">
        <f>IFERROR(__xludf.DUMMYFUNCTION("""COMPUTED_VALUE"""),"customer_id")</f>
        <v>customer_id</v>
      </c>
      <c r="B82" s="258" t="str">
        <f>IFERROR(__xludf.DUMMYFUNCTION("""COMPUTED_VALUE"""),"Globe ID")</f>
        <v>Globe ID</v>
      </c>
      <c r="C82" s="258" t="str">
        <f>IFERROR(__xludf.DUMMYFUNCTION("""COMPUTED_VALUE"""),"Non-PII")</f>
        <v>Non-PII</v>
      </c>
      <c r="D82" s="258" t="str">
        <f>IFERROR(__xludf.DUMMYFUNCTION("""COMPUTED_VALUE"""),"Non-PII")</f>
        <v>Non-PII</v>
      </c>
      <c r="E82" s="258" t="str">
        <f>IFERROR(__xludf.DUMMYFUNCTION("""COMPUTED_VALUE"""),"The unique identifier of the customer")</f>
        <v>The unique identifier of the customer</v>
      </c>
      <c r="F82" s="258" t="str">
        <f>IFERROR(__xludf.DUMMYFUNCTION("""COMPUTED_VALUE"""),"Direct Pull")</f>
        <v>Direct Pull</v>
      </c>
      <c r="G82" s="258" t="str">
        <f>IFERROR(__xludf.DUMMYFUNCTION("""COMPUTED_VALUE"""),"varchar(1000)")</f>
        <v>varchar(1000)</v>
      </c>
      <c r="H82" s="258">
        <f>IFERROR(__xludf.DUMMYFUNCTION("""COMPUTED_VALUE"""),1024.0)</f>
        <v>1024</v>
      </c>
      <c r="I82" s="258" t="str">
        <f>IFERROR(__xludf.DUMMYFUNCTION("""COMPUTED_VALUE"""),"EDO-UUP")</f>
        <v>EDO-UUP</v>
      </c>
      <c r="J82" s="258" t="str">
        <f>IFERROR(__xludf.DUMMYFUNCTION("""COMPUTED_VALUE"""),"Daily")</f>
        <v>Daily</v>
      </c>
      <c r="K82" s="258" t="str">
        <f>IFERROR(__xludf.DUMMYFUNCTION("""COMPUTED_VALUE"""),"")</f>
        <v/>
      </c>
      <c r="L82" s="258" t="str">
        <f>IFERROR(__xludf.DUMMYFUNCTION("""COMPUTED_VALUE"""),"GHP, GHP-PREPAID, TM, PW, GOMO, WIRELINE, BAYAN, GLOBE")</f>
        <v>GHP, GHP-PREPAID, TM, PW, GOMO, WIRELINE, BAYAN, GLOBE</v>
      </c>
      <c r="M82" s="258" t="str">
        <f>IFERROR(__xludf.DUMMYFUNCTION("""COMPUTED_VALUE"""),"Consumer, EG, SG, In house, IBG Traveler")</f>
        <v>Consumer, EG, SG, In house, IBG Traveler</v>
      </c>
      <c r="N82" s="258" t="str">
        <f>IFERROR(__xludf.DUMMYFUNCTION("""COMPUTED_VALUE"""),"customer")</f>
        <v>customer</v>
      </c>
      <c r="O82" s="258" t="str">
        <f>IFERROR(__xludf.DUMMYFUNCTION("""COMPUTED_VALUE"""),"customer_profile")</f>
        <v>customer_profile</v>
      </c>
      <c r="P82" s="258"/>
    </row>
    <row r="83">
      <c r="A83" s="257" t="str">
        <f>IFERROR(__xludf.DUMMYFUNCTION("""COMPUTED_VALUE"""),"first_name")</f>
        <v>first_name</v>
      </c>
      <c r="B83" s="258" t="str">
        <f>IFERROR(__xludf.DUMMYFUNCTION("""COMPUTED_VALUE"""),"Customer PII - Masked")</f>
        <v>Customer PII - Masked</v>
      </c>
      <c r="C83" s="258" t="str">
        <f>IFERROR(__xludf.DUMMYFUNCTION("""COMPUTED_VALUE"""),"Customer PII - Masked")</f>
        <v>Customer PII - Masked</v>
      </c>
      <c r="D83" s="258" t="str">
        <f>IFERROR(__xludf.DUMMYFUNCTION("""COMPUTED_VALUE"""),"Contact")</f>
        <v>Contact</v>
      </c>
      <c r="E83" s="258" t="str">
        <f>IFERROR(__xludf.DUMMYFUNCTION("""COMPUTED_VALUE"""),"First name of the subscriber")</f>
        <v>First name of the subscriber</v>
      </c>
      <c r="F83" s="258" t="str">
        <f>IFERROR(__xludf.DUMMYFUNCTION("""COMPUTED_VALUE"""),"Direct Pull")</f>
        <v>Direct Pull</v>
      </c>
      <c r="G83" s="258" t="str">
        <f>IFERROR(__xludf.DUMMYFUNCTION("""COMPUTED_VALUE"""),"varchar(1000)")</f>
        <v>varchar(1000)</v>
      </c>
      <c r="H83" s="258" t="str">
        <f>IFERROR(__xludf.DUMMYFUNCTION("""COMPUTED_VALUE"""),"Juan")</f>
        <v>Juan</v>
      </c>
      <c r="I83" s="258" t="str">
        <f>IFERROR(__xludf.DUMMYFUNCTION("""COMPUTED_VALUE"""),"MSH")</f>
        <v>MSH</v>
      </c>
      <c r="J83" s="258" t="str">
        <f>IFERROR(__xludf.DUMMYFUNCTION("""COMPUTED_VALUE"""),"Daily")</f>
        <v>Daily</v>
      </c>
      <c r="K83" s="258" t="str">
        <f>IFERROR(__xludf.DUMMYFUNCTION("""COMPUTED_VALUE"""),"")</f>
        <v/>
      </c>
      <c r="L83" s="258" t="str">
        <f>IFERROR(__xludf.DUMMYFUNCTION("""COMPUTED_VALUE"""),"GHP, GHP-PREPAID, TM, PW, GOMO, WIRELINE, BAYAN, GLOBE")</f>
        <v>GHP, GHP-PREPAID, TM, PW, GOMO, WIRELINE, BAYAN, GLOBE</v>
      </c>
      <c r="M83" s="258" t="str">
        <f>IFERROR(__xludf.DUMMYFUNCTION("""COMPUTED_VALUE"""),"Consumer, EG, SG, In house, IBG Traveler")</f>
        <v>Consumer, EG, SG, In house, IBG Traveler</v>
      </c>
      <c r="N83" s="258" t="str">
        <f>IFERROR(__xludf.DUMMYFUNCTION("""COMPUTED_VALUE"""),"customer")</f>
        <v>customer</v>
      </c>
      <c r="O83" s="258" t="str">
        <f>IFERROR(__xludf.DUMMYFUNCTION("""COMPUTED_VALUE"""),"customer_profile")</f>
        <v>customer_profile</v>
      </c>
      <c r="P83" s="258"/>
    </row>
    <row r="84">
      <c r="A84" s="257" t="str">
        <f>IFERROR(__xludf.DUMMYFUNCTION("""COMPUTED_VALUE"""),"last_name")</f>
        <v>last_name</v>
      </c>
      <c r="B84" s="258" t="str">
        <f>IFERROR(__xludf.DUMMYFUNCTION("""COMPUTED_VALUE"""),"Customer PII - Masked")</f>
        <v>Customer PII - Masked</v>
      </c>
      <c r="C84" s="258" t="str">
        <f>IFERROR(__xludf.DUMMYFUNCTION("""COMPUTED_VALUE"""),"Customer PII - Masked")</f>
        <v>Customer PII - Masked</v>
      </c>
      <c r="D84" s="258" t="str">
        <f>IFERROR(__xludf.DUMMYFUNCTION("""COMPUTED_VALUE"""),"Contact")</f>
        <v>Contact</v>
      </c>
      <c r="E84" s="258" t="str">
        <f>IFERROR(__xludf.DUMMYFUNCTION("""COMPUTED_VALUE"""),"Last name of the subscriber")</f>
        <v>Last name of the subscriber</v>
      </c>
      <c r="F84" s="258" t="str">
        <f>IFERROR(__xludf.DUMMYFUNCTION("""COMPUTED_VALUE"""),"Direct Pull")</f>
        <v>Direct Pull</v>
      </c>
      <c r="G84" s="258" t="str">
        <f>IFERROR(__xludf.DUMMYFUNCTION("""COMPUTED_VALUE"""),"varchar(1000)")</f>
        <v>varchar(1000)</v>
      </c>
      <c r="H84" s="258" t="str">
        <f>IFERROR(__xludf.DUMMYFUNCTION("""COMPUTED_VALUE"""),"Dela Cruz")</f>
        <v>Dela Cruz</v>
      </c>
      <c r="I84" s="258" t="str">
        <f>IFERROR(__xludf.DUMMYFUNCTION("""COMPUTED_VALUE"""),"MSH")</f>
        <v>MSH</v>
      </c>
      <c r="J84" s="258" t="str">
        <f>IFERROR(__xludf.DUMMYFUNCTION("""COMPUTED_VALUE"""),"Daily")</f>
        <v>Daily</v>
      </c>
      <c r="K84" s="258" t="str">
        <f>IFERROR(__xludf.DUMMYFUNCTION("""COMPUTED_VALUE"""),"")</f>
        <v/>
      </c>
      <c r="L84" s="258" t="str">
        <f>IFERROR(__xludf.DUMMYFUNCTION("""COMPUTED_VALUE"""),"GHP, GHP-PREPAID, TM, PW, GOMO, WIRELINE, BAYAN, GLOBE")</f>
        <v>GHP, GHP-PREPAID, TM, PW, GOMO, WIRELINE, BAYAN, GLOBE</v>
      </c>
      <c r="M84" s="258" t="str">
        <f>IFERROR(__xludf.DUMMYFUNCTION("""COMPUTED_VALUE"""),"Consumer, EG, SG, In house, IBG Traveler")</f>
        <v>Consumer, EG, SG, In house, IBG Traveler</v>
      </c>
      <c r="N84" s="258" t="str">
        <f>IFERROR(__xludf.DUMMYFUNCTION("""COMPUTED_VALUE"""),"customer")</f>
        <v>customer</v>
      </c>
      <c r="O84" s="258" t="str">
        <f>IFERROR(__xludf.DUMMYFUNCTION("""COMPUTED_VALUE"""),"customer_profile")</f>
        <v>customer_profile</v>
      </c>
      <c r="P84" s="258"/>
    </row>
    <row r="85">
      <c r="A85" s="257" t="str">
        <f>IFERROR(__xludf.DUMMYFUNCTION("""COMPUTED_VALUE"""),"middle_name")</f>
        <v>middle_name</v>
      </c>
      <c r="B85" s="258" t="str">
        <f>IFERROR(__xludf.DUMMYFUNCTION("""COMPUTED_VALUE"""),"Customer PII - Masked")</f>
        <v>Customer PII - Masked</v>
      </c>
      <c r="C85" s="258" t="str">
        <f>IFERROR(__xludf.DUMMYFUNCTION("""COMPUTED_VALUE"""),"Customer PII - Masked")</f>
        <v>Customer PII - Masked</v>
      </c>
      <c r="D85" s="258" t="str">
        <f>IFERROR(__xludf.DUMMYFUNCTION("""COMPUTED_VALUE"""),"Contact")</f>
        <v>Contact</v>
      </c>
      <c r="E85" s="258" t="str">
        <f>IFERROR(__xludf.DUMMYFUNCTION("""COMPUTED_VALUE"""),"Middle name of the subscriber")</f>
        <v>Middle name of the subscriber</v>
      </c>
      <c r="F85" s="258" t="str">
        <f>IFERROR(__xludf.DUMMYFUNCTION("""COMPUTED_VALUE"""),"Direct Pull")</f>
        <v>Direct Pull</v>
      </c>
      <c r="G85" s="258" t="str">
        <f>IFERROR(__xludf.DUMMYFUNCTION("""COMPUTED_VALUE"""),"varchar(1000)")</f>
        <v>varchar(1000)</v>
      </c>
      <c r="H85" s="258" t="str">
        <f>IFERROR(__xludf.DUMMYFUNCTION("""COMPUTED_VALUE"""),"Smith")</f>
        <v>Smith</v>
      </c>
      <c r="I85" s="258" t="str">
        <f>IFERROR(__xludf.DUMMYFUNCTION("""COMPUTED_VALUE"""),"MSH")</f>
        <v>MSH</v>
      </c>
      <c r="J85" s="258" t="str">
        <f>IFERROR(__xludf.DUMMYFUNCTION("""COMPUTED_VALUE"""),"Daily")</f>
        <v>Daily</v>
      </c>
      <c r="K85" s="258" t="str">
        <f>IFERROR(__xludf.DUMMYFUNCTION("""COMPUTED_VALUE"""),"")</f>
        <v/>
      </c>
      <c r="L85" s="258" t="str">
        <f>IFERROR(__xludf.DUMMYFUNCTION("""COMPUTED_VALUE"""),"GHP, GHP-PREPAID, TM, PW, WIRELINE, BAYAN, GLOBE")</f>
        <v>GHP, GHP-PREPAID, TM, PW, WIRELINE, BAYAN, GLOBE</v>
      </c>
      <c r="M85" s="258" t="str">
        <f>IFERROR(__xludf.DUMMYFUNCTION("""COMPUTED_VALUE"""),"Consumer, EG, SG, In house, IBG Traveler")</f>
        <v>Consumer, EG, SG, In house, IBG Traveler</v>
      </c>
      <c r="N85" s="258" t="str">
        <f>IFERROR(__xludf.DUMMYFUNCTION("""COMPUTED_VALUE"""),"customer")</f>
        <v>customer</v>
      </c>
      <c r="O85" s="258" t="str">
        <f>IFERROR(__xludf.DUMMYFUNCTION("""COMPUTED_VALUE"""),"customer_profile")</f>
        <v>customer_profile</v>
      </c>
      <c r="P85" s="258"/>
    </row>
    <row r="86" ht="225.0" customHeight="1">
      <c r="A86" s="257" t="str">
        <f>IFERROR(__xludf.DUMMYFUNCTION("""COMPUTED_VALUE"""),"prepaid_balance_status_code")</f>
        <v>prepaid_balance_status_code</v>
      </c>
      <c r="B86" s="258" t="str">
        <f>IFERROR(__xludf.DUMMYFUNCTION("""COMPUTED_VALUE"""),"Behavioral")</f>
        <v>Behavioral</v>
      </c>
      <c r="C86" s="258" t="str">
        <f>IFERROR(__xludf.DUMMYFUNCTION("""COMPUTED_VALUE"""),"Non-PII")</f>
        <v>Non-PII</v>
      </c>
      <c r="D86" s="258" t="str">
        <f>IFERROR(__xludf.DUMMYFUNCTION("""COMPUTED_VALUE"""),"Non-PII")</f>
        <v>Non-PII</v>
      </c>
      <c r="E86" s="258" t="str">
        <f>IFERROR(__xludf.DUMMYFUNCTION("""COMPUTED_VALUE"""),"Prepaid balance status code. Indicates the subscriber prepaid balance status:
  O - Pre - Active
  Initial status after subscriber is created during the mass activation process. The sim and credit expiry date will be set based on defined policy and will b"&amp;"e an input to the bulk pre-activation process.
  A - Active 
  Status will change from ‘pre-active’ to ‘active’ once subscriber has done a first access on the network (as defined in the prepaid activation triggers). Subscriber will have access to incoming"&amp;" and outgoing services (e.g. calls, texts, and data) that can be used accordingly based on relevant offers. The sim and credit expiry date will be reset based on defined policy.
  N - Near Credit Expiry
  Status will change x days before credit expiration"&amp;" date based on defined policy. Subscriber will still have access to incoming and outgoing services.
  Status will change to ‘Active‘ when subscriber does a recharge.
  G - Credit Expiry
  Status will change once credit expiry date defined in the policy ha"&amp;"s been reached.
  After credit expiry, remaining balance on the main account is zeroed out. Subscriber will still have access to outgoing services and will only be able to access defined emergency and free access numbers.
  Status will change to ‘Active‘ "&amp;"when subscriber does a recharge.
  S - Near Subscription Expiry
  Status will change x days after credit expiry based on defined policy. Subscriber will still have access to outgoing services and will only be able to access defined emergency and free acce"&amp;"ss numbers. 
  Status will change to ‘Active‘ when subscriber does a recharge. 
  E - Expiry
  Status will change x days after credit expiry based on defined policy. Subscriber is permanently disconnected from the network and will not have access to any i"&amp;"ncoming and outgoing services.")</f>
        <v>Prepaid balance status code. Indicates the subscriber prepaid balance status:
  O - Pre - Active
  Initial status after subscriber is created during the mass activation process. The sim and credit expiry date will be set based on defined policy and will be an input to the bulk pre-activation process.
  A - Active 
  Status will change from ‘pre-active’ to ‘active’ once subscriber has done a first access on the network (as defined in the prepaid activation triggers). Subscriber will have access to incoming and outgoing services (e.g. calls, texts, and data) that can be used accordingly based on relevant offers. The sim and credit expiry date will be reset based on defined policy.
  N - Near Credit Expiry
  Status will change x days before credit expiration date based on defined policy. Subscriber will still have access to incoming and outgoing services.
  Status will change to ‘Active‘ when subscriber does a recharge.
  G - Credit Expiry
  Status will change once credit expiry date defined in the policy has been reached.
  After credit expiry, remaining balance on the main account is zeroed out. Subscriber will still have access to outgoing services and will only be able to access defined emergency and free access numbers.
  Status will change to ‘Active‘ when subscriber does a recharge.
  S - Near Subscription Expiry
  Status will change x days after credit expiry based on defined policy. Subscriber will still have access to outgoing services and will only be able to access defined emergency and free access numbers. 
  Status will change to ‘Active‘ when subscriber does a recharge. 
  E - Expiry
  Status will change x days after credit expiry based on defined policy. Subscriber is permanently disconnected from the network and will not have access to any incoming and outgoing services.</v>
      </c>
      <c r="F86" s="258" t="str">
        <f>IFERROR(__xludf.DUMMYFUNCTION("""COMPUTED_VALUE"""),"Direct Pull")</f>
        <v>Direct Pull</v>
      </c>
      <c r="G86" s="258" t="str">
        <f>IFERROR(__xludf.DUMMYFUNCTION("""COMPUTED_VALUE"""),"varchar(1000)")</f>
        <v>varchar(1000)</v>
      </c>
      <c r="H86" s="258" t="str">
        <f>IFERROR(__xludf.DUMMYFUNCTION("""COMPUTED_VALUE"""),"O")</f>
        <v>O</v>
      </c>
      <c r="I86" s="258" t="str">
        <f>IFERROR(__xludf.DUMMYFUNCTION("""COMPUTED_VALUE"""),"EDO-UUP")</f>
        <v>EDO-UUP</v>
      </c>
      <c r="J86" s="258" t="str">
        <f>IFERROR(__xludf.DUMMYFUNCTION("""COMPUTED_VALUE"""),"Daily")</f>
        <v>Daily</v>
      </c>
      <c r="K86" s="258" t="str">
        <f>IFERROR(__xludf.DUMMYFUNCTION("""COMPUTED_VALUE"""),"")</f>
        <v/>
      </c>
      <c r="L86" s="258" t="str">
        <f>IFERROR(__xludf.DUMMYFUNCTION("""COMPUTED_VALUE"""),"GHP-PREPAID, TM, PW")</f>
        <v>GHP-PREPAID, TM, PW</v>
      </c>
      <c r="M86" s="258" t="str">
        <f>IFERROR(__xludf.DUMMYFUNCTION("""COMPUTED_VALUE"""),"Consumer, EG, SG, IBG Traveler")</f>
        <v>Consumer, EG, SG, IBG Traveler</v>
      </c>
      <c r="N86" s="258" t="str">
        <f>IFERROR(__xludf.DUMMYFUNCTION("""COMPUTED_VALUE"""),"reload")</f>
        <v>reload</v>
      </c>
      <c r="O86" s="258" t="str">
        <f>IFERROR(__xludf.DUMMYFUNCTION("""COMPUTED_VALUE"""),"reload_profile")</f>
        <v>reload_profile</v>
      </c>
      <c r="P86" s="258"/>
    </row>
    <row r="87">
      <c r="A87" s="257" t="str">
        <f>IFERROR(__xludf.DUMMYFUNCTION("""COMPUTED_VALUE"""),"owns_car_indicator")</f>
        <v>owns_car_indicator</v>
      </c>
      <c r="B87" s="258" t="str">
        <f>IFERROR(__xludf.DUMMYFUNCTION("""COMPUTED_VALUE"""),"Behavioral")</f>
        <v>Behavioral</v>
      </c>
      <c r="C87" s="258" t="str">
        <f>IFERROR(__xludf.DUMMYFUNCTION("""COMPUTED_VALUE"""),"Non-PII")</f>
        <v>Non-PII</v>
      </c>
      <c r="D87" s="258" t="str">
        <f>IFERROR(__xludf.DUMMYFUNCTION("""COMPUTED_VALUE"""),"Non-PII")</f>
        <v>Non-PII</v>
      </c>
      <c r="E87" s="258" t="str">
        <f>IFERROR(__xludf.DUMMYFUNCTION("""COMPUTED_VALUE"""),"Indicator for a subscriber who owns a car")</f>
        <v>Indicator for a subscriber who owns a car</v>
      </c>
      <c r="F87" s="258" t="str">
        <f>IFERROR(__xludf.DUMMYFUNCTION("""COMPUTED_VALUE"""),"Derived")</f>
        <v>Derived</v>
      </c>
      <c r="G87" s="258" t="str">
        <f>IFERROR(__xludf.DUMMYFUNCTION("""COMPUTED_VALUE"""),"boolean")</f>
        <v>boolean</v>
      </c>
      <c r="H87" s="258" t="b">
        <f>IFERROR(__xludf.DUMMYFUNCTION("""COMPUTED_VALUE"""),TRUE)</f>
        <v>1</v>
      </c>
      <c r="I87" s="258" t="str">
        <f>IFERROR(__xludf.DUMMYFUNCTION("""COMPUTED_VALUE"""),"EDO-UUP")</f>
        <v>EDO-UUP</v>
      </c>
      <c r="J87" s="258" t="str">
        <f>IFERROR(__xludf.DUMMYFUNCTION("""COMPUTED_VALUE"""),"Daily")</f>
        <v>Daily</v>
      </c>
      <c r="K87" s="258" t="str">
        <f>IFERROR(__xludf.DUMMYFUNCTION("""COMPUTED_VALUE"""),"")</f>
        <v/>
      </c>
      <c r="L87" s="258" t="str">
        <f>IFERROR(__xludf.DUMMYFUNCTION("""COMPUTED_VALUE"""),"GHP, WIRELINE")</f>
        <v>GHP, WIRELINE</v>
      </c>
      <c r="M87" s="258" t="str">
        <f>IFERROR(__xludf.DUMMYFUNCTION("""COMPUTED_VALUE"""),"Consumer, EG, SG, In house, IBG Traveler")</f>
        <v>Consumer, EG, SG, In house, IBG Traveler</v>
      </c>
      <c r="N87" s="258" t="str">
        <f>IFERROR(__xludf.DUMMYFUNCTION("""COMPUTED_VALUE"""),"customer")</f>
        <v>customer</v>
      </c>
      <c r="O87" s="258" t="str">
        <f>IFERROR(__xludf.DUMMYFUNCTION("""COMPUTED_VALUE"""),"customer_profile")</f>
        <v>customer_profile</v>
      </c>
      <c r="P87" s="258"/>
    </row>
    <row r="88" ht="87.75" customHeight="1">
      <c r="A88" s="257" t="str">
        <f>IFERROR(__xludf.DUMMYFUNCTION("""COMPUTED_VALUE"""),"affluence")</f>
        <v>affluence</v>
      </c>
      <c r="B88" s="258" t="str">
        <f>IFERROR(__xludf.DUMMYFUNCTION("""COMPUTED_VALUE"""),"Demographic/Affluence")</f>
        <v>Demographic/Affluence</v>
      </c>
      <c r="C88" s="258" t="str">
        <f>IFERROR(__xludf.DUMMYFUNCTION("""COMPUTED_VALUE"""),"Non-PII")</f>
        <v>Non-PII</v>
      </c>
      <c r="D88" s="258" t="str">
        <f>IFERROR(__xludf.DUMMYFUNCTION("""COMPUTED_VALUE"""),"Non-PII")</f>
        <v>Non-PII</v>
      </c>
      <c r="E88" s="258" t="str">
        <f>IFERROR(__xludf.DUMMYFUNCTION("""COMPUTED_VALUE"""),"Affluence is a derived socio-economic status based on the Affluence and Lifestyle model. Segments are the following:
1: AFFLUENT - SEC A-B, Php 202,616 and above household income
2: EMERGING - SEC C, Php 40,523 - 202,615 household income
3: STRUGGLING -"&amp;" SEC D-E below Php 40,522 household income ")</f>
        <v>Affluence is a derived socio-economic status based on the Affluence and Lifestyle model. Segments are the following:
1: AFFLUENT - SEC A-B, Php 202,616 and above household income
2: EMERGING - SEC C, Php 40,523 - 202,615 household income
3: STRUGGLING - SEC D-E below Php 40,522 household income </v>
      </c>
      <c r="F88" s="258" t="str">
        <f>IFERROR(__xludf.DUMMYFUNCTION("""COMPUTED_VALUE"""),"Direct Pull")</f>
        <v>Direct Pull</v>
      </c>
      <c r="G88" s="258" t="str">
        <f>IFERROR(__xludf.DUMMYFUNCTION("""COMPUTED_VALUE"""),"varchar(1000)")</f>
        <v>varchar(1000)</v>
      </c>
      <c r="H88" s="258" t="str">
        <f>IFERROR(__xludf.DUMMYFUNCTION("""COMPUTED_VALUE"""),"2: EMERGING")</f>
        <v>2: EMERGING</v>
      </c>
      <c r="I88" s="258" t="str">
        <f>IFERROR(__xludf.DUMMYFUNCTION("""COMPUTED_VALUE"""),"MSH")</f>
        <v>MSH</v>
      </c>
      <c r="J88" s="258" t="str">
        <f>IFERROR(__xludf.DUMMYFUNCTION("""COMPUTED_VALUE"""),"Monthly")</f>
        <v>Monthly</v>
      </c>
      <c r="K88" s="258" t="str">
        <f>IFERROR(__xludf.DUMMYFUNCTION("""COMPUTED_VALUE"""),"mo-1")</f>
        <v>mo-1</v>
      </c>
      <c r="L88" s="258" t="str">
        <f>IFERROR(__xludf.DUMMYFUNCTION("""COMPUTED_VALUE"""),"GHP, WIRELINE")</f>
        <v>GHP, WIRELINE</v>
      </c>
      <c r="M88" s="258" t="str">
        <f>IFERROR(__xludf.DUMMYFUNCTION("""COMPUTED_VALUE"""),"Consumer")</f>
        <v>Consumer</v>
      </c>
      <c r="N88" s="258" t="str">
        <f>IFERROR(__xludf.DUMMYFUNCTION("""COMPUTED_VALUE"""),"customer")</f>
        <v>customer</v>
      </c>
      <c r="O88" s="258" t="str">
        <f>IFERROR(__xludf.DUMMYFUNCTION("""COMPUTED_VALUE"""),"customer_profile")</f>
        <v>customer_profile</v>
      </c>
      <c r="P88" s="258"/>
    </row>
    <row r="89">
      <c r="A89" s="257" t="str">
        <f>IFERROR(__xludf.DUMMYFUNCTION("""COMPUTED_VALUE"""),"lifestage")</f>
        <v>lifestage</v>
      </c>
      <c r="B89" s="258" t="str">
        <f>IFERROR(__xludf.DUMMYFUNCTION("""COMPUTED_VALUE"""),"Audience/Persona")</f>
        <v>Audience/Persona</v>
      </c>
      <c r="C89" s="258" t="str">
        <f>IFERROR(__xludf.DUMMYFUNCTION("""COMPUTED_VALUE"""),"Non-PII")</f>
        <v>Non-PII</v>
      </c>
      <c r="D89" s="258" t="str">
        <f>IFERROR(__xludf.DUMMYFUNCTION("""COMPUTED_VALUE"""),"Non-PII")</f>
        <v>Non-PII</v>
      </c>
      <c r="E89" s="258" t="str">
        <f>IFERROR(__xludf.DUMMYFUNCTION("""COMPUTED_VALUE"""),"Lifestage is a derived value based on the Affluence and Lifestyle model. Segments are the following:
 Student: Gen Z (&lt;20yrs old)
 Yuppie: Young Millennial (21-28yrs old likely single)
 Transitioner: Ageing Millennial (29-37yrs old); and Young Millennia"&amp;"l (21-28yrs old) who are married
 Balancer: Gen X (38-51 yrs. old likely married)
 Retiree: Baby Boomer (52yrs old &amp; above likely married)")</f>
        <v>Lifestage is a derived value based on the Affluence and Lifestyle model. Segments are the following:
 Student: Gen Z (&lt;20yrs old)
 Yuppie: Young Millennial (21-28yrs old likely single)
 Transitioner: Ageing Millennial (29-37yrs old); and Young Millennial (21-28yrs old) who are married
 Balancer: Gen X (38-51 yrs. old likely married)
 Retiree: Baby Boomer (52yrs old &amp; above likely married)</v>
      </c>
      <c r="F89" s="258" t="str">
        <f>IFERROR(__xludf.DUMMYFUNCTION("""COMPUTED_VALUE"""),"Direct Pull")</f>
        <v>Direct Pull</v>
      </c>
      <c r="G89" s="258" t="str">
        <f>IFERROR(__xludf.DUMMYFUNCTION("""COMPUTED_VALUE"""),"varchar(1000)")</f>
        <v>varchar(1000)</v>
      </c>
      <c r="H89" s="258" t="str">
        <f>IFERROR(__xludf.DUMMYFUNCTION("""COMPUTED_VALUE"""),"4: BALANCER")</f>
        <v>4: BALANCER</v>
      </c>
      <c r="I89" s="258" t="str">
        <f>IFERROR(__xludf.DUMMYFUNCTION("""COMPUTED_VALUE"""),"MSH")</f>
        <v>MSH</v>
      </c>
      <c r="J89" s="258" t="str">
        <f>IFERROR(__xludf.DUMMYFUNCTION("""COMPUTED_VALUE"""),"Monthly")</f>
        <v>Monthly</v>
      </c>
      <c r="K89" s="258" t="str">
        <f>IFERROR(__xludf.DUMMYFUNCTION("""COMPUTED_VALUE"""),"mo-1")</f>
        <v>mo-1</v>
      </c>
      <c r="L89" s="258" t="str">
        <f>IFERROR(__xludf.DUMMYFUNCTION("""COMPUTED_VALUE"""),"GHP, GHP-PREPAID, TM, WIRELINE")</f>
        <v>GHP, GHP-PREPAID, TM, WIRELINE</v>
      </c>
      <c r="M89" s="258" t="str">
        <f>IFERROR(__xludf.DUMMYFUNCTION("""COMPUTED_VALUE"""),"Consumer")</f>
        <v>Consumer</v>
      </c>
      <c r="N89" s="258" t="str">
        <f>IFERROR(__xludf.DUMMYFUNCTION("""COMPUTED_VALUE"""),"customer")</f>
        <v>customer</v>
      </c>
      <c r="O89" s="258" t="str">
        <f>IFERROR(__xludf.DUMMYFUNCTION("""COMPUTED_VALUE"""),"customer_profile")</f>
        <v>customer_profile</v>
      </c>
      <c r="P89" s="258"/>
    </row>
    <row r="90">
      <c r="A90" s="257" t="str">
        <f>IFERROR(__xludf.DUMMYFUNCTION("""COMPUTED_VALUE"""),"mds_journey")</f>
        <v>mds_journey</v>
      </c>
      <c r="B90" s="258" t="str">
        <f>IFERROR(__xludf.DUMMYFUNCTION("""COMPUTED_VALUE"""),"Behavioral")</f>
        <v>Behavioral</v>
      </c>
      <c r="C90" s="258" t="str">
        <f>IFERROR(__xludf.DUMMYFUNCTION("""COMPUTED_VALUE"""),"Non-PII")</f>
        <v>Non-PII</v>
      </c>
      <c r="D90" s="258" t="str">
        <f>IFERROR(__xludf.DUMMYFUNCTION("""COMPUTED_VALUE"""),"Non-PII")</f>
        <v>Non-PII</v>
      </c>
      <c r="E90" s="258" t="str">
        <f>IFERROR(__xludf.DUMMYFUNCTION("""COMPUTED_VALUE"""),"Subscriber tagging based on Mobile Data Spend (MDS) journey segmentation to determine how savvy the subscriber is in using MDS. The following segments are:
  - Education: Non MDS User
  - Trial A: Free MDS User with usage &lt;5MB
  - Trial B: Free MDS User w"&amp;"ith usage &gt;5MB
  - Value: Paid Light MDS User 
  - Investment: Paid Medium MDS User
  - Habit: Paid HIGH MDS User")</f>
        <v>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v>
      </c>
      <c r="F90" s="258" t="str">
        <f>IFERROR(__xludf.DUMMYFUNCTION("""COMPUTED_VALUE"""),"Direct Pull")</f>
        <v>Direct Pull</v>
      </c>
      <c r="G90" s="258" t="str">
        <f>IFERROR(__xludf.DUMMYFUNCTION("""COMPUTED_VALUE"""),"varchar(1000)")</f>
        <v>varchar(1000)</v>
      </c>
      <c r="H90" s="258" t="str">
        <f>IFERROR(__xludf.DUMMYFUNCTION("""COMPUTED_VALUE"""),"INVESTMENT")</f>
        <v>INVESTMENT</v>
      </c>
      <c r="I90" s="258" t="str">
        <f>IFERROR(__xludf.DUMMYFUNCTION("""COMPUTED_VALUE"""),"MSH")</f>
        <v>MSH</v>
      </c>
      <c r="J90" s="258" t="str">
        <f>IFERROR(__xludf.DUMMYFUNCTION("""COMPUTED_VALUE"""),"Monthly")</f>
        <v>Monthly</v>
      </c>
      <c r="K90" s="258" t="str">
        <f>IFERROR(__xludf.DUMMYFUNCTION("""COMPUTED_VALUE"""),"")</f>
        <v/>
      </c>
      <c r="L90" s="258" t="str">
        <f>IFERROR(__xludf.DUMMYFUNCTION("""COMPUTED_VALUE"""),"GHP, GHP-PREPAID, TM")</f>
        <v>GHP, GHP-PREPAID, TM</v>
      </c>
      <c r="M90" s="258" t="str">
        <f>IFERROR(__xludf.DUMMYFUNCTION("""COMPUTED_VALUE"""),"Consumer, IBG Traveler")</f>
        <v>Consumer, IBG Traveler</v>
      </c>
      <c r="N90" s="258" t="str">
        <f>IFERROR(__xludf.DUMMYFUNCTION("""COMPUTED_VALUE"""),"usage")</f>
        <v>usage</v>
      </c>
      <c r="O90" s="258" t="str">
        <f>IFERROR(__xludf.DUMMYFUNCTION("""COMPUTED_VALUE"""),"usage_profile")</f>
        <v>usage_profile</v>
      </c>
      <c r="P90" s="258"/>
    </row>
    <row r="91">
      <c r="A91" s="257" t="str">
        <f>IFERROR(__xludf.DUMMYFUNCTION("""COMPUTED_VALUE"""),"income_segment_code")</f>
        <v>income_segment_code</v>
      </c>
      <c r="B91" s="258" t="str">
        <f>IFERROR(__xludf.DUMMYFUNCTION("""COMPUTED_VALUE"""),"Demographic/Affluence")</f>
        <v>Demographic/Affluence</v>
      </c>
      <c r="C91" s="258" t="str">
        <f>IFERROR(__xludf.DUMMYFUNCTION("""COMPUTED_VALUE"""),"Non-PII")</f>
        <v>Non-PII</v>
      </c>
      <c r="D91" s="258" t="str">
        <f>IFERROR(__xludf.DUMMYFUNCTION("""COMPUTED_VALUE"""),"Non-PII")</f>
        <v>Non-PII</v>
      </c>
      <c r="E91" s="258" t="str">
        <f>IFERROR(__xludf.DUMMYFUNCTION("""COMPUTED_VALUE"""),"An income bracket of subscribers based on the amount of their income.
  A-B: 154750 - above
  C: 50250 - 154749
  D: 15917 - 50249
  E: below- 15916")</f>
        <v>An income bracket of subscribers based on the amount of their income.
  A-B: 154750 - above
  C: 50250 - 154749
  D: 15917 - 50249
  E: below- 15916</v>
      </c>
      <c r="F91" s="258" t="str">
        <f>IFERROR(__xludf.DUMMYFUNCTION("""COMPUTED_VALUE"""),"Direct Pull")</f>
        <v>Direct Pull</v>
      </c>
      <c r="G91" s="258" t="str">
        <f>IFERROR(__xludf.DUMMYFUNCTION("""COMPUTED_VALUE"""),"varchar(1000)")</f>
        <v>varchar(1000)</v>
      </c>
      <c r="H91" s="258" t="str">
        <f>IFERROR(__xludf.DUMMYFUNCTION("""COMPUTED_VALUE"""),"D")</f>
        <v>D</v>
      </c>
      <c r="I91" s="258" t="str">
        <f>IFERROR(__xludf.DUMMYFUNCTION("""COMPUTED_VALUE"""),"EDO-UUP")</f>
        <v>EDO-UUP</v>
      </c>
      <c r="J91" s="258" t="str">
        <f>IFERROR(__xludf.DUMMYFUNCTION("""COMPUTED_VALUE"""),"Daily")</f>
        <v>Daily</v>
      </c>
      <c r="K91" s="258" t="str">
        <f>IFERROR(__xludf.DUMMYFUNCTION("""COMPUTED_VALUE"""),"")</f>
        <v/>
      </c>
      <c r="L91" s="258" t="str">
        <f>IFERROR(__xludf.DUMMYFUNCTION("""COMPUTED_VALUE"""),"GHP, WIRELINE")</f>
        <v>GHP, WIRELINE</v>
      </c>
      <c r="M91" s="258" t="str">
        <f>IFERROR(__xludf.DUMMYFUNCTION("""COMPUTED_VALUE"""),"Consumer, EG, SG, In house")</f>
        <v>Consumer, EG, SG, In house</v>
      </c>
      <c r="N91" s="258" t="str">
        <f>IFERROR(__xludf.DUMMYFUNCTION("""COMPUTED_VALUE"""),"customer")</f>
        <v>customer</v>
      </c>
      <c r="O91" s="258" t="str">
        <f>IFERROR(__xludf.DUMMYFUNCTION("""COMPUTED_VALUE"""),"customer_profile")</f>
        <v>customer_profile</v>
      </c>
      <c r="P91" s="258"/>
    </row>
    <row r="92">
      <c r="A92" s="257" t="str">
        <f>IFERROR(__xludf.DUMMYFUNCTION("""COMPUTED_VALUE"""),"unpaid_billed_amount")</f>
        <v>unpaid_billed_amount</v>
      </c>
      <c r="B92" s="258" t="str">
        <f>IFERROR(__xludf.DUMMYFUNCTION("""COMPUTED_VALUE"""),"Customer PII")</f>
        <v>Customer PII</v>
      </c>
      <c r="C92" s="258" t="str">
        <f>IFERROR(__xludf.DUMMYFUNCTION("""COMPUTED_VALUE"""),"Non-PII")</f>
        <v>Non-PII</v>
      </c>
      <c r="D92" s="258" t="str">
        <f>IFERROR(__xludf.DUMMYFUNCTION("""COMPUTED_VALUE"""),"Non-PII")</f>
        <v>Non-PII</v>
      </c>
      <c r="E92" s="258" t="str">
        <f>IFERROR(__xludf.DUMMYFUNCTION("""COMPUTED_VALUE"""),"Sum of previous balance amount and financial activities amount of a subscriber")</f>
        <v>Sum of previous balance amount and financial activities amount of a subscriber</v>
      </c>
      <c r="F92" s="258" t="str">
        <f>IFERROR(__xludf.DUMMYFUNCTION("""COMPUTED_VALUE"""),"Derived")</f>
        <v>Derived</v>
      </c>
      <c r="G92" s="258" t="str">
        <f>IFERROR(__xludf.DUMMYFUNCTION("""COMPUTED_VALUE"""),"numeric(38,2)")</f>
        <v>numeric(38,2)</v>
      </c>
      <c r="H92" s="258">
        <f>IFERROR(__xludf.DUMMYFUNCTION("""COMPUTED_VALUE"""),20.25)</f>
        <v>20.25</v>
      </c>
      <c r="I92" s="258" t="str">
        <f>IFERROR(__xludf.DUMMYFUNCTION("""COMPUTED_VALUE"""),"PW")</f>
        <v>PW</v>
      </c>
      <c r="J92" s="258" t="str">
        <f>IFERROR(__xludf.DUMMYFUNCTION("""COMPUTED_VALUE"""),"Monthly")</f>
        <v>Monthly</v>
      </c>
      <c r="K92" s="258" t="str">
        <f>IFERROR(__xludf.DUMMYFUNCTION("""COMPUTED_VALUE"""),"")</f>
        <v/>
      </c>
      <c r="L92" s="258" t="str">
        <f>IFERROR(__xludf.DUMMYFUNCTION("""COMPUTED_VALUE"""),"GHP, WIRELINE, BAYAN, GLOBE")</f>
        <v>GHP, WIRELINE, BAYAN, GLOBE</v>
      </c>
      <c r="M92" s="258" t="str">
        <f>IFERROR(__xludf.DUMMYFUNCTION("""COMPUTED_VALUE"""),"Consumer, EG, SG, In house")</f>
        <v>Consumer, EG, SG, In house</v>
      </c>
      <c r="N92" s="258" t="str">
        <f>IFERROR(__xludf.DUMMYFUNCTION("""COMPUTED_VALUE"""),"invoice")</f>
        <v>invoice</v>
      </c>
      <c r="O92" s="258" t="str">
        <f>IFERROR(__xludf.DUMMYFUNCTION("""COMPUTED_VALUE"""),"invoice_profile")</f>
        <v>invoice_profile</v>
      </c>
      <c r="P92" s="258"/>
    </row>
    <row r="93">
      <c r="A93" s="257" t="str">
        <f>IFERROR(__xludf.DUMMYFUNCTION("""COMPUTED_VALUE"""),"active_subscriber_indicator")</f>
        <v>active_subscriber_indicator</v>
      </c>
      <c r="B93" s="258" t="str">
        <f>IFERROR(__xludf.DUMMYFUNCTION("""COMPUTED_VALUE"""),"Behavioral")</f>
        <v>Behavioral</v>
      </c>
      <c r="C93" s="258" t="str">
        <f>IFERROR(__xludf.DUMMYFUNCTION("""COMPUTED_VALUE"""),"Non-PII")</f>
        <v>Non-PII</v>
      </c>
      <c r="D93" s="258" t="str">
        <f>IFERROR(__xludf.DUMMYFUNCTION("""COMPUTED_VALUE"""),"Non-PII")</f>
        <v>Non-PII</v>
      </c>
      <c r="E93" s="258" t="str">
        <f>IFERROR(__xludf.DUMMYFUNCTION("""COMPUTED_VALUE"""),"Active subscribers with transaction in the past 2 weeks based from usage and reload transactions")</f>
        <v>Active subscribers with transaction in the past 2 weeks based from usage and reload transactions</v>
      </c>
      <c r="F93" s="258" t="str">
        <f>IFERROR(__xludf.DUMMYFUNCTION("""COMPUTED_VALUE"""),"Derived")</f>
        <v>Derived</v>
      </c>
      <c r="G93" s="258" t="str">
        <f>IFERROR(__xludf.DUMMYFUNCTION("""COMPUTED_VALUE"""),"boolean")</f>
        <v>boolean</v>
      </c>
      <c r="H93" s="258" t="b">
        <f>IFERROR(__xludf.DUMMYFUNCTION("""COMPUTED_VALUE"""),TRUE)</f>
        <v>1</v>
      </c>
      <c r="I93" s="258" t="str">
        <f>IFERROR(__xludf.DUMMYFUNCTION("""COMPUTED_VALUE"""),"EDO-UUP")</f>
        <v>EDO-UUP</v>
      </c>
      <c r="J93" s="258" t="str">
        <f>IFERROR(__xludf.DUMMYFUNCTION("""COMPUTED_VALUE"""),"Daily")</f>
        <v>Daily</v>
      </c>
      <c r="K93" s="258" t="str">
        <f>IFERROR(__xludf.DUMMYFUNCTION("""COMPUTED_VALUE"""),"")</f>
        <v/>
      </c>
      <c r="L93" s="258" t="str">
        <f>IFERROR(__xludf.DUMMYFUNCTION("""COMPUTED_VALUE"""),"GHP, GHP-PREPAID, TM, PW, GOMO, WIRELINE")</f>
        <v>GHP, GHP-PREPAID, TM, PW, GOMO, WIRELINE</v>
      </c>
      <c r="M93" s="258" t="str">
        <f>IFERROR(__xludf.DUMMYFUNCTION("""COMPUTED_VALUE"""),"Consumer, EG, SG, In house, IBG Traveler")</f>
        <v>Consumer, EG, SG, In house, IBG Traveler</v>
      </c>
      <c r="N93" s="258" t="str">
        <f>IFERROR(__xludf.DUMMYFUNCTION("""COMPUTED_VALUE"""),"usage")</f>
        <v>usage</v>
      </c>
      <c r="O93" s="258" t="str">
        <f>IFERROR(__xludf.DUMMYFUNCTION("""COMPUTED_VALUE"""),"usage_profile")</f>
        <v>usage_profile</v>
      </c>
      <c r="P93" s="258"/>
    </row>
    <row r="94">
      <c r="A94" s="257" t="str">
        <f>IFERROR(__xludf.DUMMYFUNCTION("""COMPUTED_VALUE"""),"usage_average_data_quantity_rolling_90days_mb")</f>
        <v>usage_average_data_quantity_rolling_90days_mb</v>
      </c>
      <c r="B94" s="258" t="str">
        <f>IFERROR(__xludf.DUMMYFUNCTION("""COMPUTED_VALUE"""),"Behavioral")</f>
        <v>Behavioral</v>
      </c>
      <c r="C94" s="258" t="str">
        <f>IFERROR(__xludf.DUMMYFUNCTION("""COMPUTED_VALUE"""),"Non-PII")</f>
        <v>Non-PII</v>
      </c>
      <c r="D94" s="258" t="str">
        <f>IFERROR(__xludf.DUMMYFUNCTION("""COMPUTED_VALUE"""),"Non-PII")</f>
        <v>Non-PII</v>
      </c>
      <c r="E94" s="258" t="str">
        <f>IFERROR(__xludf.DUMMYFUNCTION("""COMPUTED_VALUE"""),"Average mobile data (MDS) usage for the past 3 months in Megabytes (MB)")</f>
        <v>Average mobile data (MDS) usage for the past 3 months in Megabytes (MB)</v>
      </c>
      <c r="F94" s="258" t="str">
        <f>IFERROR(__xludf.DUMMYFUNCTION("""COMPUTED_VALUE"""),"Derived")</f>
        <v>Derived</v>
      </c>
      <c r="G94" s="258" t="str">
        <f>IFERROR(__xludf.DUMMYFUNCTION("""COMPUTED_VALUE"""),"bigint")</f>
        <v>bigint</v>
      </c>
      <c r="H94" s="258">
        <f>IFERROR(__xludf.DUMMYFUNCTION("""COMPUTED_VALUE"""),1844641.0)</f>
        <v>1844641</v>
      </c>
      <c r="I94" s="258" t="str">
        <f>IFERROR(__xludf.DUMMYFUNCTION("""COMPUTED_VALUE"""),"FVT")</f>
        <v>FVT</v>
      </c>
      <c r="J94" s="258" t="str">
        <f>IFERROR(__xludf.DUMMYFUNCTION("""COMPUTED_VALUE"""),"Daily")</f>
        <v>Daily</v>
      </c>
      <c r="K94" s="258" t="str">
        <f>IFERROR(__xludf.DUMMYFUNCTION("""COMPUTED_VALUE"""),"")</f>
        <v/>
      </c>
      <c r="L94" s="258" t="str">
        <f>IFERROR(__xludf.DUMMYFUNCTION("""COMPUTED_VALUE"""),"GHP, GHP-PREPAID, TM, PW, GOMO")</f>
        <v>GHP, GHP-PREPAID, TM, PW, GOMO</v>
      </c>
      <c r="M94" s="258" t="str">
        <f>IFERROR(__xludf.DUMMYFUNCTION("""COMPUTED_VALUE"""),"Consumer, EG, SG, In house, IBG Traveler")</f>
        <v>Consumer, EG, SG, In house, IBG Traveler</v>
      </c>
      <c r="N94" s="258" t="str">
        <f>IFERROR(__xludf.DUMMYFUNCTION("""COMPUTED_VALUE"""),"usage")</f>
        <v>usage</v>
      </c>
      <c r="O94" s="258" t="str">
        <f>IFERROR(__xludf.DUMMYFUNCTION("""COMPUTED_VALUE"""),"usage_profile")</f>
        <v>usage_profile</v>
      </c>
      <c r="P94" s="258"/>
    </row>
    <row r="95">
      <c r="A95" s="257" t="str">
        <f>IFERROR(__xludf.DUMMYFUNCTION("""COMPUTED_VALUE"""),"handset_os_name")</f>
        <v>handset_os_name</v>
      </c>
      <c r="B95" s="258" t="str">
        <f>IFERROR(__xludf.DUMMYFUNCTION("""COMPUTED_VALUE"""),"Globe ID")</f>
        <v>Globe ID</v>
      </c>
      <c r="C95" s="258" t="str">
        <f>IFERROR(__xludf.DUMMYFUNCTION("""COMPUTED_VALUE"""),"Non-PII")</f>
        <v>Non-PII</v>
      </c>
      <c r="D95" s="258" t="str">
        <f>IFERROR(__xludf.DUMMYFUNCTION("""COMPUTED_VALUE"""),"Non-PII")</f>
        <v>Non-PII</v>
      </c>
      <c r="E95" s="258" t="str">
        <f>IFERROR(__xludf.DUMMYFUNCTION("""COMPUTED_VALUE"""),"Operating System of the latest handset being used by the subscriber based sms, voice and all data usages for a month")</f>
        <v>Operating System of the latest handset being used by the subscriber based sms, voice and all data usages for a month</v>
      </c>
      <c r="F95" s="258" t="str">
        <f>IFERROR(__xludf.DUMMYFUNCTION("""COMPUTED_VALUE"""),"Derived")</f>
        <v>Derived</v>
      </c>
      <c r="G95" s="258" t="str">
        <f>IFERROR(__xludf.DUMMYFUNCTION("""COMPUTED_VALUE"""),"varchar(1000)")</f>
        <v>varchar(1000)</v>
      </c>
      <c r="H95" s="258" t="str">
        <f>IFERROR(__xludf.DUMMYFUNCTION("""COMPUTED_VALUE"""),"ANDROID")</f>
        <v>ANDROID</v>
      </c>
      <c r="I95" s="258" t="str">
        <f>IFERROR(__xludf.DUMMYFUNCTION("""COMPUTED_VALUE"""),"EDO-UUP")</f>
        <v>EDO-UUP</v>
      </c>
      <c r="J95" s="258" t="str">
        <f>IFERROR(__xludf.DUMMYFUNCTION("""COMPUTED_VALUE"""),"Daily")</f>
        <v>Daily</v>
      </c>
      <c r="K95" s="258" t="str">
        <f>IFERROR(__xludf.DUMMYFUNCTION("""COMPUTED_VALUE"""),"")</f>
        <v/>
      </c>
      <c r="L95" s="258" t="str">
        <f>IFERROR(__xludf.DUMMYFUNCTION("""COMPUTED_VALUE"""),"GHP, GHP-PREPAID, TM, PW, GOMO, WIRELINE")</f>
        <v>GHP, GHP-PREPAID, TM, PW, GOMO, WIRELINE</v>
      </c>
      <c r="M95" s="258" t="str">
        <f>IFERROR(__xludf.DUMMYFUNCTION("""COMPUTED_VALUE"""),"Consumer, EG, SG, In house, IBG Traveler")</f>
        <v>Consumer, EG, SG, In house, IBG Traveler</v>
      </c>
      <c r="N95" s="258" t="str">
        <f>IFERROR(__xludf.DUMMYFUNCTION("""COMPUTED_VALUE"""),"network")</f>
        <v>network</v>
      </c>
      <c r="O95" s="258" t="str">
        <f>IFERROR(__xludf.DUMMYFUNCTION("""COMPUTED_VALUE"""),"network_profile")</f>
        <v>network_profile</v>
      </c>
      <c r="P95" s="258"/>
    </row>
    <row r="96">
      <c r="A96" s="257" t="str">
        <f>IFERROR(__xludf.DUMMYFUNCTION("""COMPUTED_VALUE"""),"handset_manufacturer_name")</f>
        <v>handset_manufacturer_name</v>
      </c>
      <c r="B96" s="258" t="str">
        <f>IFERROR(__xludf.DUMMYFUNCTION("""COMPUTED_VALUE"""),"Globe ID")</f>
        <v>Globe ID</v>
      </c>
      <c r="C96" s="258" t="str">
        <f>IFERROR(__xludf.DUMMYFUNCTION("""COMPUTED_VALUE"""),"Non-PII")</f>
        <v>Non-PII</v>
      </c>
      <c r="D96" s="258" t="str">
        <f>IFERROR(__xludf.DUMMYFUNCTION("""COMPUTED_VALUE"""),"Non-PII")</f>
        <v>Non-PII</v>
      </c>
      <c r="E96" s="258" t="str">
        <f>IFERROR(__xludf.DUMMYFUNCTION("""COMPUTED_VALUE"""),"Manufacturer of latest device used based on sms, voice and data usages for a month")</f>
        <v>Manufacturer of latest device used based on sms, voice and data usages for a month</v>
      </c>
      <c r="F96" s="258" t="str">
        <f>IFERROR(__xludf.DUMMYFUNCTION("""COMPUTED_VALUE"""),"Derived")</f>
        <v>Derived</v>
      </c>
      <c r="G96" s="258" t="str">
        <f>IFERROR(__xludf.DUMMYFUNCTION("""COMPUTED_VALUE"""),"varchar(1000)")</f>
        <v>varchar(1000)</v>
      </c>
      <c r="H96" s="258" t="str">
        <f>IFERROR(__xludf.DUMMYFUNCTION("""COMPUTED_VALUE"""),"SAMSUNG")</f>
        <v>SAMSUNG</v>
      </c>
      <c r="I96" s="258" t="str">
        <f>IFERROR(__xludf.DUMMYFUNCTION("""COMPUTED_VALUE"""),"EDO-UUP")</f>
        <v>EDO-UUP</v>
      </c>
      <c r="J96" s="258" t="str">
        <f>IFERROR(__xludf.DUMMYFUNCTION("""COMPUTED_VALUE"""),"Daily")</f>
        <v>Daily</v>
      </c>
      <c r="K96" s="258" t="str">
        <f>IFERROR(__xludf.DUMMYFUNCTION("""COMPUTED_VALUE"""),"")</f>
        <v/>
      </c>
      <c r="L96" s="258" t="str">
        <f>IFERROR(__xludf.DUMMYFUNCTION("""COMPUTED_VALUE"""),"GHP, GHP-PREPAID, TM, PW, GOMO, WIRELINE")</f>
        <v>GHP, GHP-PREPAID, TM, PW, GOMO, WIRELINE</v>
      </c>
      <c r="M96" s="258" t="str">
        <f>IFERROR(__xludf.DUMMYFUNCTION("""COMPUTED_VALUE"""),"Consumer, EG, SG, In house, IBG Traveler")</f>
        <v>Consumer, EG, SG, In house, IBG Traveler</v>
      </c>
      <c r="N96" s="258" t="str">
        <f>IFERROR(__xludf.DUMMYFUNCTION("""COMPUTED_VALUE"""),"network")</f>
        <v>network</v>
      </c>
      <c r="O96" s="258" t="str">
        <f>IFERROR(__xludf.DUMMYFUNCTION("""COMPUTED_VALUE"""),"network_profile")</f>
        <v>network_profile</v>
      </c>
      <c r="P96" s="258"/>
    </row>
    <row r="97">
      <c r="A97" s="257" t="str">
        <f>IFERROR(__xludf.DUMMYFUNCTION("""COMPUTED_VALUE"""),"handset_model_name")</f>
        <v>handset_model_name</v>
      </c>
      <c r="B97" s="258" t="str">
        <f>IFERROR(__xludf.DUMMYFUNCTION("""COMPUTED_VALUE"""),"Globe ID")</f>
        <v>Globe ID</v>
      </c>
      <c r="C97" s="258" t="str">
        <f>IFERROR(__xludf.DUMMYFUNCTION("""COMPUTED_VALUE"""),"Non-PII")</f>
        <v>Non-PII</v>
      </c>
      <c r="D97" s="258" t="str">
        <f>IFERROR(__xludf.DUMMYFUNCTION("""COMPUTED_VALUE"""),"Non-PII")</f>
        <v>Non-PII</v>
      </c>
      <c r="E97" s="258" t="str">
        <f>IFERROR(__xludf.DUMMYFUNCTION("""COMPUTED_VALUE"""),"Phone model name of latest device used based on sms, voice and data usages for a month")</f>
        <v>Phone model name of latest device used based on sms, voice and data usages for a month</v>
      </c>
      <c r="F97" s="258" t="str">
        <f>IFERROR(__xludf.DUMMYFUNCTION("""COMPUTED_VALUE"""),"Derived")</f>
        <v>Derived</v>
      </c>
      <c r="G97" s="258" t="str">
        <f>IFERROR(__xludf.DUMMYFUNCTION("""COMPUTED_VALUE"""),"varchar(1000)")</f>
        <v>varchar(1000)</v>
      </c>
      <c r="H97" s="258" t="str">
        <f>IFERROR(__xludf.DUMMYFUNCTION("""COMPUTED_VALUE"""),"SM-J100H")</f>
        <v>SM-J100H</v>
      </c>
      <c r="I97" s="258" t="str">
        <f>IFERROR(__xludf.DUMMYFUNCTION("""COMPUTED_VALUE"""),"EDO-UUP")</f>
        <v>EDO-UUP</v>
      </c>
      <c r="J97" s="258" t="str">
        <f>IFERROR(__xludf.DUMMYFUNCTION("""COMPUTED_VALUE"""),"Daily")</f>
        <v>Daily</v>
      </c>
      <c r="K97" s="258" t="str">
        <f>IFERROR(__xludf.DUMMYFUNCTION("""COMPUTED_VALUE"""),"")</f>
        <v/>
      </c>
      <c r="L97" s="258" t="str">
        <f>IFERROR(__xludf.DUMMYFUNCTION("""COMPUTED_VALUE"""),"GHP, GHP-PREPAID, TM, PW, GOMO, WIRELINE")</f>
        <v>GHP, GHP-PREPAID, TM, PW, GOMO, WIRELINE</v>
      </c>
      <c r="M97" s="258" t="str">
        <f>IFERROR(__xludf.DUMMYFUNCTION("""COMPUTED_VALUE"""),"Consumer, EG, SG, In house, IBG Traveler")</f>
        <v>Consumer, EG, SG, In house, IBG Traveler</v>
      </c>
      <c r="N97" s="258" t="str">
        <f>IFERROR(__xludf.DUMMYFUNCTION("""COMPUTED_VALUE"""),"network")</f>
        <v>network</v>
      </c>
      <c r="O97" s="258" t="str">
        <f>IFERROR(__xludf.DUMMYFUNCTION("""COMPUTED_VALUE"""),"network_profile")</f>
        <v>network_profile</v>
      </c>
      <c r="P97" s="258"/>
    </row>
    <row r="98">
      <c r="A98" s="257" t="str">
        <f>IFERROR(__xludf.DUMMYFUNCTION("""COMPUTED_VALUE"""),"owns_house_indicator")</f>
        <v>owns_house_indicator</v>
      </c>
      <c r="B98" s="258" t="str">
        <f>IFERROR(__xludf.DUMMYFUNCTION("""COMPUTED_VALUE"""),"Behavioral")</f>
        <v>Behavioral</v>
      </c>
      <c r="C98" s="258" t="str">
        <f>IFERROR(__xludf.DUMMYFUNCTION("""COMPUTED_VALUE"""),"Non-PII")</f>
        <v>Non-PII</v>
      </c>
      <c r="D98" s="258" t="str">
        <f>IFERROR(__xludf.DUMMYFUNCTION("""COMPUTED_VALUE"""),"Non-PII")</f>
        <v>Non-PII</v>
      </c>
      <c r="E98" s="258" t="str">
        <f>IFERROR(__xludf.DUMMYFUNCTION("""COMPUTED_VALUE"""),"Indicator for a subscriber who owns a house")</f>
        <v>Indicator for a subscriber who owns a house</v>
      </c>
      <c r="F98" s="258" t="str">
        <f>IFERROR(__xludf.DUMMYFUNCTION("""COMPUTED_VALUE"""),"Derived")</f>
        <v>Derived</v>
      </c>
      <c r="G98" s="258" t="str">
        <f>IFERROR(__xludf.DUMMYFUNCTION("""COMPUTED_VALUE"""),"boolean")</f>
        <v>boolean</v>
      </c>
      <c r="H98" s="258" t="b">
        <f>IFERROR(__xludf.DUMMYFUNCTION("""COMPUTED_VALUE"""),TRUE)</f>
        <v>1</v>
      </c>
      <c r="I98" s="258" t="str">
        <f>IFERROR(__xludf.DUMMYFUNCTION("""COMPUTED_VALUE"""),"EDO-UUP")</f>
        <v>EDO-UUP</v>
      </c>
      <c r="J98" s="258" t="str">
        <f>IFERROR(__xludf.DUMMYFUNCTION("""COMPUTED_VALUE"""),"Daily")</f>
        <v>Daily</v>
      </c>
      <c r="K98" s="258" t="str">
        <f>IFERROR(__xludf.DUMMYFUNCTION("""COMPUTED_VALUE"""),"")</f>
        <v/>
      </c>
      <c r="L98" s="258" t="str">
        <f>IFERROR(__xludf.DUMMYFUNCTION("""COMPUTED_VALUE"""),"GHP, WIRELINE")</f>
        <v>GHP, WIRELINE</v>
      </c>
      <c r="M98" s="258" t="str">
        <f>IFERROR(__xludf.DUMMYFUNCTION("""COMPUTED_VALUE"""),"Consumer, EG, SG, In house")</f>
        <v>Consumer, EG, SG, In house</v>
      </c>
      <c r="N98" s="258" t="str">
        <f>IFERROR(__xludf.DUMMYFUNCTION("""COMPUTED_VALUE"""),"customer")</f>
        <v>customer</v>
      </c>
      <c r="O98" s="258" t="str">
        <f>IFERROR(__xludf.DUMMYFUNCTION("""COMPUTED_VALUE"""),"customer_profile")</f>
        <v>customer_profile</v>
      </c>
      <c r="P98" s="258"/>
    </row>
    <row r="99">
      <c r="A99" s="257" t="str">
        <f>IFERROR(__xludf.DUMMYFUNCTION("""COMPUTED_VALUE"""),"payment_category_description")</f>
        <v>payment_category_description</v>
      </c>
      <c r="B99" s="258" t="str">
        <f>IFERROR(__xludf.DUMMYFUNCTION("""COMPUTED_VALUE"""),"Globe ID")</f>
        <v>Globe ID</v>
      </c>
      <c r="C99" s="258" t="str">
        <f>IFERROR(__xludf.DUMMYFUNCTION("""COMPUTED_VALUE"""),"Non-PII")</f>
        <v>Non-PII</v>
      </c>
      <c r="D99" s="258" t="str">
        <f>IFERROR(__xludf.DUMMYFUNCTION("""COMPUTED_VALUE"""),"Non-PII")</f>
        <v>Non-PII</v>
      </c>
      <c r="E99" s="258" t="str">
        <f>IFERROR(__xludf.DUMMYFUNCTION("""COMPUTED_VALUE"""),"Carrier plan type description (GHP-POSTPAID, GHP-PREPAID)")</f>
        <v>Carrier plan type description (GHP-POSTPAID, GHP-PREPAID)</v>
      </c>
      <c r="F99" s="258" t="str">
        <f>IFERROR(__xludf.DUMMYFUNCTION("""COMPUTED_VALUE"""),"Direct Pull")</f>
        <v>Direct Pull</v>
      </c>
      <c r="G99" s="258" t="str">
        <f>IFERROR(__xludf.DUMMYFUNCTION("""COMPUTED_VALUE"""),"varchar(1000)")</f>
        <v>varchar(1000)</v>
      </c>
      <c r="H99" s="258" t="str">
        <f>IFERROR(__xludf.DUMMYFUNCTION("""COMPUTED_VALUE"""),"PREPAID")</f>
        <v>PREPAID</v>
      </c>
      <c r="I99" s="258" t="str">
        <f>IFERROR(__xludf.DUMMYFUNCTION("""COMPUTED_VALUE"""),"CBRM")</f>
        <v>CBRM</v>
      </c>
      <c r="J99" s="258" t="str">
        <f>IFERROR(__xludf.DUMMYFUNCTION("""COMPUTED_VALUE"""),"Daily")</f>
        <v>Daily</v>
      </c>
      <c r="K99" s="258" t="str">
        <f>IFERROR(__xludf.DUMMYFUNCTION("""COMPUTED_VALUE"""),"")</f>
        <v/>
      </c>
      <c r="L99" s="258" t="str">
        <f>IFERROR(__xludf.DUMMYFUNCTION("""COMPUTED_VALUE"""),"GHP, GHP-PREPAID, TM, PW, GOMO, WIRELINE, BAYAN, GLOBE")</f>
        <v>GHP, GHP-PREPAID, TM, PW, GOMO, WIRELINE, BAYAN, GLOBE</v>
      </c>
      <c r="M99" s="258" t="str">
        <f>IFERROR(__xludf.DUMMYFUNCTION("""COMPUTED_VALUE"""),"Consumer, EG, SG, In house, IBG Traveler")</f>
        <v>Consumer, EG, SG, In house, IBG Traveler</v>
      </c>
      <c r="N99" s="258" t="str">
        <f>IFERROR(__xludf.DUMMYFUNCTION("""COMPUTED_VALUE"""),"payment")</f>
        <v>payment</v>
      </c>
      <c r="O99" s="258" t="str">
        <f>IFERROR(__xludf.DUMMYFUNCTION("""COMPUTED_VALUE"""),"payment_profile")</f>
        <v>payment_profile</v>
      </c>
      <c r="P99" s="258"/>
    </row>
    <row r="100">
      <c r="A100" s="257" t="str">
        <f>IFERROR(__xludf.DUMMYFUNCTION("""COMPUTED_VALUE"""),"usage_data_rolling_30_days_quantity")</f>
        <v>usage_data_rolling_30_days_quantity</v>
      </c>
      <c r="B100" s="258" t="str">
        <f>IFERROR(__xludf.DUMMYFUNCTION("""COMPUTED_VALUE"""),"Behavioral")</f>
        <v>Behavioral</v>
      </c>
      <c r="C100" s="258" t="str">
        <f>IFERROR(__xludf.DUMMYFUNCTION("""COMPUTED_VALUE"""),"Non-PII")</f>
        <v>Non-PII</v>
      </c>
      <c r="D100" s="258" t="str">
        <f>IFERROR(__xludf.DUMMYFUNCTION("""COMPUTED_VALUE"""),"Non-PII")</f>
        <v>Non-PII</v>
      </c>
      <c r="E100" s="258" t="str">
        <f>IFERROR(__xludf.DUMMYFUNCTION("""COMPUTED_VALUE"""),"Data usage utilization for the past rolling 1 month")</f>
        <v>Data usage utilization for the past rolling 1 month</v>
      </c>
      <c r="F100" s="258" t="str">
        <f>IFERROR(__xludf.DUMMYFUNCTION("""COMPUTED_VALUE"""),"Derived")</f>
        <v>Derived</v>
      </c>
      <c r="G100" s="258" t="str">
        <f>IFERROR(__xludf.DUMMYFUNCTION("""COMPUTED_VALUE"""),"numeric(19,4)")</f>
        <v>numeric(19,4)</v>
      </c>
      <c r="H100" s="258">
        <f>IFERROR(__xludf.DUMMYFUNCTION("""COMPUTED_VALUE"""),1024.0)</f>
        <v>1024</v>
      </c>
      <c r="I100" s="258" t="str">
        <f>IFERROR(__xludf.DUMMYFUNCTION("""COMPUTED_VALUE"""),"FVT")</f>
        <v>FVT</v>
      </c>
      <c r="J100" s="258" t="str">
        <f>IFERROR(__xludf.DUMMYFUNCTION("""COMPUTED_VALUE"""),"Daily")</f>
        <v>Daily</v>
      </c>
      <c r="K100" s="258" t="str">
        <f>IFERROR(__xludf.DUMMYFUNCTION("""COMPUTED_VALUE"""),"")</f>
        <v/>
      </c>
      <c r="L100" s="258" t="str">
        <f>IFERROR(__xludf.DUMMYFUNCTION("""COMPUTED_VALUE"""),"GHP, GHP-PREPAID, TM, PW, GOMO")</f>
        <v>GHP, GHP-PREPAID, TM, PW, GOMO</v>
      </c>
      <c r="M100" s="258" t="str">
        <f>IFERROR(__xludf.DUMMYFUNCTION("""COMPUTED_VALUE"""),"Consumer, EG, SG, In house, IBG Traveler")</f>
        <v>Consumer, EG, SG, In house, IBG Traveler</v>
      </c>
      <c r="N100" s="258" t="str">
        <f>IFERROR(__xludf.DUMMYFUNCTION("""COMPUTED_VALUE"""),"usage")</f>
        <v>usage</v>
      </c>
      <c r="O100" s="258" t="str">
        <f>IFERROR(__xludf.DUMMYFUNCTION("""COMPUTED_VALUE"""),"usage_profile")</f>
        <v>usage_profile</v>
      </c>
      <c r="P100" s="258"/>
    </row>
    <row r="101">
      <c r="A101" s="257" t="str">
        <f>IFERROR(__xludf.DUMMYFUNCTION("""COMPUTED_VALUE"""),"credit_loan_scoring_date")</f>
        <v>credit_loan_scoring_date</v>
      </c>
      <c r="B101" s="258" t="str">
        <f>IFERROR(__xludf.DUMMYFUNCTION("""COMPUTED_VALUE"""),"Behavioral")</f>
        <v>Behavioral</v>
      </c>
      <c r="C101" s="258" t="str">
        <f>IFERROR(__xludf.DUMMYFUNCTION("""COMPUTED_VALUE"""),"Non-PII")</f>
        <v>Non-PII</v>
      </c>
      <c r="D101" s="258" t="str">
        <f>IFERROR(__xludf.DUMMYFUNCTION("""COMPUTED_VALUE"""),"Non-PII")</f>
        <v>Non-PII</v>
      </c>
      <c r="E101" s="258" t="str">
        <f>IFERROR(__xludf.DUMMYFUNCTION("""COMPUTED_VALUE"""),"The date as to when the score for the credit loan amount was made")</f>
        <v>The date as to when the score for the credit loan amount was made</v>
      </c>
      <c r="F101" s="258" t="str">
        <f>IFERROR(__xludf.DUMMYFUNCTION("""COMPUTED_VALUE"""),"Inferred")</f>
        <v>Inferred</v>
      </c>
      <c r="G101" s="258" t="str">
        <f>IFERROR(__xludf.DUMMYFUNCTION("""COMPUTED_VALUE"""),"timestamp")</f>
        <v>timestamp</v>
      </c>
      <c r="H101" s="258">
        <f>IFERROR(__xludf.DUMMYFUNCTION("""COMPUTED_VALUE"""),40469.62163)</f>
        <v>40469.62163</v>
      </c>
      <c r="I101" s="258" t="str">
        <f>IFERROR(__xludf.DUMMYFUNCTION("""COMPUTED_VALUE"""),"EDO-AA")</f>
        <v>EDO-AA</v>
      </c>
      <c r="J101" s="258" t="str">
        <f>IFERROR(__xludf.DUMMYFUNCTION("""COMPUTED_VALUE"""),"Monthly")</f>
        <v>Monthly</v>
      </c>
      <c r="K101" s="258" t="str">
        <f>IFERROR(__xludf.DUMMYFUNCTION("""COMPUTED_VALUE"""),"")</f>
        <v/>
      </c>
      <c r="L101" s="258" t="str">
        <f>IFERROR(__xludf.DUMMYFUNCTION("""COMPUTED_VALUE"""),"GHP-PREPAID, TM")</f>
        <v>GHP-PREPAID, TM</v>
      </c>
      <c r="M101" s="258" t="str">
        <f>IFERROR(__xludf.DUMMYFUNCTION("""COMPUTED_VALUE"""),"Consumer")</f>
        <v>Consumer</v>
      </c>
      <c r="N101" s="258" t="str">
        <f>IFERROR(__xludf.DUMMYFUNCTION("""COMPUTED_VALUE"""),"reload")</f>
        <v>reload</v>
      </c>
      <c r="O101" s="258" t="str">
        <f>IFERROR(__xludf.DUMMYFUNCTION("""COMPUTED_VALUE"""),"reload_profile")</f>
        <v>reload_profile</v>
      </c>
      <c r="P101" s="258"/>
    </row>
    <row r="102">
      <c r="A102" s="257" t="str">
        <f>IFERROR(__xludf.DUMMYFUNCTION("""COMPUTED_VALUE"""),"credit_loan_limit_amount")</f>
        <v>credit_loan_limit_amount</v>
      </c>
      <c r="B102" s="258" t="str">
        <f>IFERROR(__xludf.DUMMYFUNCTION("""COMPUTED_VALUE"""),"Behavioral")</f>
        <v>Behavioral</v>
      </c>
      <c r="C102" s="258" t="str">
        <f>IFERROR(__xludf.DUMMYFUNCTION("""COMPUTED_VALUE"""),"Non-PII")</f>
        <v>Non-PII</v>
      </c>
      <c r="D102" s="258" t="str">
        <f>IFERROR(__xludf.DUMMYFUNCTION("""COMPUTED_VALUE"""),"Non-PII")</f>
        <v>Non-PII</v>
      </c>
      <c r="E102" s="258" t="str">
        <f>IFERROR(__xludf.DUMMYFUNCTION("""COMPUTED_VALUE"""),"The amount of credit loan limit of a subscriber")</f>
        <v>The amount of credit loan limit of a subscriber</v>
      </c>
      <c r="F102" s="258" t="str">
        <f>IFERROR(__xludf.DUMMYFUNCTION("""COMPUTED_VALUE"""),"Inferred")</f>
        <v>Inferred</v>
      </c>
      <c r="G102" s="258" t="str">
        <f>IFERROR(__xludf.DUMMYFUNCTION("""COMPUTED_VALUE"""),"integer")</f>
        <v>integer</v>
      </c>
      <c r="H102" s="258">
        <f>IFERROR(__xludf.DUMMYFUNCTION("""COMPUTED_VALUE"""),50.0)</f>
        <v>50</v>
      </c>
      <c r="I102" s="258" t="str">
        <f>IFERROR(__xludf.DUMMYFUNCTION("""COMPUTED_VALUE"""),"EDO-AA")</f>
        <v>EDO-AA</v>
      </c>
      <c r="J102" s="258" t="str">
        <f>IFERROR(__xludf.DUMMYFUNCTION("""COMPUTED_VALUE"""),"Monthly")</f>
        <v>Monthly</v>
      </c>
      <c r="K102" s="258" t="str">
        <f>IFERROR(__xludf.DUMMYFUNCTION("""COMPUTED_VALUE"""),"")</f>
        <v/>
      </c>
      <c r="L102" s="258" t="str">
        <f>IFERROR(__xludf.DUMMYFUNCTION("""COMPUTED_VALUE"""),"GHP-PREPAID, TM")</f>
        <v>GHP-PREPAID, TM</v>
      </c>
      <c r="M102" s="258" t="str">
        <f>IFERROR(__xludf.DUMMYFUNCTION("""COMPUTED_VALUE"""),"Consumer")</f>
        <v>Consumer</v>
      </c>
      <c r="N102" s="258" t="str">
        <f>IFERROR(__xludf.DUMMYFUNCTION("""COMPUTED_VALUE"""),"reload")</f>
        <v>reload</v>
      </c>
      <c r="O102" s="258" t="str">
        <f>IFERROR(__xludf.DUMMYFUNCTION("""COMPUTED_VALUE"""),"reload_profile")</f>
        <v>reload_profile</v>
      </c>
      <c r="P102" s="258"/>
    </row>
    <row r="103">
      <c r="A103" s="257" t="str">
        <f>IFERROR(__xludf.DUMMYFUNCTION("""COMPUTED_VALUE"""),"credit_loan_score")</f>
        <v>credit_loan_score</v>
      </c>
      <c r="B103" s="258" t="str">
        <f>IFERROR(__xludf.DUMMYFUNCTION("""COMPUTED_VALUE"""),"Behavioral")</f>
        <v>Behavioral</v>
      </c>
      <c r="C103" s="258" t="str">
        <f>IFERROR(__xludf.DUMMYFUNCTION("""COMPUTED_VALUE"""),"Non-PII")</f>
        <v>Non-PII</v>
      </c>
      <c r="D103" s="258" t="str">
        <f>IFERROR(__xludf.DUMMYFUNCTION("""COMPUTED_VALUE"""),"Non-PII")</f>
        <v>Non-PII</v>
      </c>
      <c r="E103" s="258" t="str">
        <f>IFERROR(__xludf.DUMMYFUNCTION("""COMPUTED_VALUE"""),"The predicted credit value of the loan top-up.
 Values are between 0-1:
  - if close to 0 low risk si sub
  - if close to 1 high risk si sub")</f>
        <v>The predicted credit value of the loan top-up.
 Values are between 0-1:
  - if close to 0 low risk si sub
  - if close to 1 high risk si sub</v>
      </c>
      <c r="F103" s="258" t="str">
        <f>IFERROR(__xludf.DUMMYFUNCTION("""COMPUTED_VALUE"""),"Inferred")</f>
        <v>Inferred</v>
      </c>
      <c r="G103" s="258" t="str">
        <f>IFERROR(__xludf.DUMMYFUNCTION("""COMPUTED_VALUE"""),"numeric(21,5)")</f>
        <v>numeric(21,5)</v>
      </c>
      <c r="H103" s="258">
        <f>IFERROR(__xludf.DUMMYFUNCTION("""COMPUTED_VALUE"""),0.18)</f>
        <v>0.18</v>
      </c>
      <c r="I103" s="258" t="str">
        <f>IFERROR(__xludf.DUMMYFUNCTION("""COMPUTED_VALUE"""),"EDO-AA")</f>
        <v>EDO-AA</v>
      </c>
      <c r="J103" s="258" t="str">
        <f>IFERROR(__xludf.DUMMYFUNCTION("""COMPUTED_VALUE"""),"Monthly")</f>
        <v>Monthly</v>
      </c>
      <c r="K103" s="258" t="str">
        <f>IFERROR(__xludf.DUMMYFUNCTION("""COMPUTED_VALUE"""),"")</f>
        <v/>
      </c>
      <c r="L103" s="258" t="str">
        <f>IFERROR(__xludf.DUMMYFUNCTION("""COMPUTED_VALUE"""),"GHP-PREPAID, TM")</f>
        <v>GHP-PREPAID, TM</v>
      </c>
      <c r="M103" s="258" t="str">
        <f>IFERROR(__xludf.DUMMYFUNCTION("""COMPUTED_VALUE"""),"Consumer")</f>
        <v>Consumer</v>
      </c>
      <c r="N103" s="258" t="str">
        <f>IFERROR(__xludf.DUMMYFUNCTION("""COMPUTED_VALUE"""),"reload")</f>
        <v>reload</v>
      </c>
      <c r="O103" s="258" t="str">
        <f>IFERROR(__xludf.DUMMYFUNCTION("""COMPUTED_VALUE"""),"reload_profile")</f>
        <v>reload_profile</v>
      </c>
      <c r="P103" s="258"/>
    </row>
    <row r="104">
      <c r="A104" s="257" t="str">
        <f>IFERROR(__xludf.DUMMYFUNCTION("""COMPUTED_VALUE"""),"credit_loan_tag")</f>
        <v>credit_loan_tag</v>
      </c>
      <c r="B104" s="258" t="str">
        <f>IFERROR(__xludf.DUMMYFUNCTION("""COMPUTED_VALUE"""),"Behavioral")</f>
        <v>Behavioral</v>
      </c>
      <c r="C104" s="258" t="str">
        <f>IFERROR(__xludf.DUMMYFUNCTION("""COMPUTED_VALUE"""),"Non-PII")</f>
        <v>Non-PII</v>
      </c>
      <c r="D104" s="258" t="str">
        <f>IFERROR(__xludf.DUMMYFUNCTION("""COMPUTED_VALUE"""),"Non-PII")</f>
        <v>Non-PII</v>
      </c>
      <c r="E104" s="258" t="str">
        <f>IFERROR(__xludf.DUMMYFUNCTION("""COMPUTED_VALUE"""),"The credit loan tagging to a subscriber")</f>
        <v>The credit loan tagging to a subscriber</v>
      </c>
      <c r="F104" s="258" t="str">
        <f>IFERROR(__xludf.DUMMYFUNCTION("""COMPUTED_VALUE"""),"Inferred")</f>
        <v>Inferred</v>
      </c>
      <c r="G104" s="258" t="str">
        <f>IFERROR(__xludf.DUMMYFUNCTION("""COMPUTED_VALUE"""),"varchar(1000)")</f>
        <v>varchar(1000)</v>
      </c>
      <c r="H104" s="258" t="str">
        <f>IFERROR(__xludf.DUMMYFUNCTION("""COMPUTED_VALUE"""),"GP_NEW_LOANER")</f>
        <v>GP_NEW_LOANER</v>
      </c>
      <c r="I104" s="258" t="str">
        <f>IFERROR(__xludf.DUMMYFUNCTION("""COMPUTED_VALUE"""),"EDO-AA")</f>
        <v>EDO-AA</v>
      </c>
      <c r="J104" s="258" t="str">
        <f>IFERROR(__xludf.DUMMYFUNCTION("""COMPUTED_VALUE"""),"Monthly")</f>
        <v>Monthly</v>
      </c>
      <c r="K104" s="258" t="str">
        <f>IFERROR(__xludf.DUMMYFUNCTION("""COMPUTED_VALUE"""),"")</f>
        <v/>
      </c>
      <c r="L104" s="258" t="str">
        <f>IFERROR(__xludf.DUMMYFUNCTION("""COMPUTED_VALUE"""),"GHP-PREPAID, TM")</f>
        <v>GHP-PREPAID, TM</v>
      </c>
      <c r="M104" s="258" t="str">
        <f>IFERROR(__xludf.DUMMYFUNCTION("""COMPUTED_VALUE"""),"Consumer")</f>
        <v>Consumer</v>
      </c>
      <c r="N104" s="258" t="str">
        <f>IFERROR(__xludf.DUMMYFUNCTION("""COMPUTED_VALUE"""),"reload")</f>
        <v>reload</v>
      </c>
      <c r="O104" s="258" t="str">
        <f>IFERROR(__xludf.DUMMYFUNCTION("""COMPUTED_VALUE"""),"reload_profile")</f>
        <v>reload_profile</v>
      </c>
      <c r="P104" s="258"/>
    </row>
    <row r="105">
      <c r="A105" s="257" t="str">
        <f>IFERROR(__xludf.DUMMYFUNCTION("""COMPUTED_VALUE"""),"reload_average_amount_past_120days")</f>
        <v>reload_average_amount_past_120days</v>
      </c>
      <c r="B105" s="258" t="str">
        <f>IFERROR(__xludf.DUMMYFUNCTION("""COMPUTED_VALUE"""),"Behavioral")</f>
        <v>Behavioral</v>
      </c>
      <c r="C105" s="258" t="str">
        <f>IFERROR(__xludf.DUMMYFUNCTION("""COMPUTED_VALUE"""),"Non-PII")</f>
        <v>Non-PII</v>
      </c>
      <c r="D105" s="258" t="str">
        <f>IFERROR(__xludf.DUMMYFUNCTION("""COMPUTED_VALUE"""),"Non-PII")</f>
        <v>Non-PII</v>
      </c>
      <c r="E105" s="258" t="str">
        <f>IFERROR(__xludf.DUMMYFUNCTION("""COMPUTED_VALUE"""),"The average top-up amount for the past 120 days prior to past 30 days (Starting from the 5th week up to 16th week)")</f>
        <v>The average top-up amount for the past 120 days prior to past 30 days (Starting from the 5th week up to 16th week)</v>
      </c>
      <c r="F105" s="258" t="str">
        <f>IFERROR(__xludf.DUMMYFUNCTION("""COMPUTED_VALUE"""),"Derived")</f>
        <v>Derived</v>
      </c>
      <c r="G105" s="258" t="str">
        <f>IFERROR(__xludf.DUMMYFUNCTION("""COMPUTED_VALUE"""),"numeric(21,2)")</f>
        <v>numeric(21,2)</v>
      </c>
      <c r="H105" s="258">
        <f>IFERROR(__xludf.DUMMYFUNCTION("""COMPUTED_VALUE"""),50.0)</f>
        <v>50</v>
      </c>
      <c r="I105" s="258" t="str">
        <f>IFERROR(__xludf.DUMMYFUNCTION("""COMPUTED_VALUE"""),"FVT")</f>
        <v>FVT</v>
      </c>
      <c r="J105" s="258" t="str">
        <f>IFERROR(__xludf.DUMMYFUNCTION("""COMPUTED_VALUE"""),"Daily")</f>
        <v>Daily</v>
      </c>
      <c r="K105" s="258" t="str">
        <f>IFERROR(__xludf.DUMMYFUNCTION("""COMPUTED_VALUE"""),"")</f>
        <v/>
      </c>
      <c r="L105" s="258" t="str">
        <f>IFERROR(__xludf.DUMMYFUNCTION("""COMPUTED_VALUE"""),"GHP-PREPAID, TM, PW")</f>
        <v>GHP-PREPAID, TM, PW</v>
      </c>
      <c r="M105" s="258" t="str">
        <f>IFERROR(__xludf.DUMMYFUNCTION("""COMPUTED_VALUE"""),"Consumer, EG, SG, IBG Traveler")</f>
        <v>Consumer, EG, SG, IBG Traveler</v>
      </c>
      <c r="N105" s="258" t="str">
        <f>IFERROR(__xludf.DUMMYFUNCTION("""COMPUTED_VALUE"""),"reload")</f>
        <v>reload</v>
      </c>
      <c r="O105" s="258" t="str">
        <f>IFERROR(__xludf.DUMMYFUNCTION("""COMPUTED_VALUE"""),"reload_profile")</f>
        <v>reload_profile</v>
      </c>
      <c r="P105" s="258"/>
    </row>
    <row r="106">
      <c r="A106" s="257" t="str">
        <f>IFERROR(__xludf.DUMMYFUNCTION("""COMPUTED_VALUE"""),"reload_date_count_past_120days")</f>
        <v>reload_date_count_past_120days</v>
      </c>
      <c r="B106" s="258" t="str">
        <f>IFERROR(__xludf.DUMMYFUNCTION("""COMPUTED_VALUE"""),"Behavioral")</f>
        <v>Behavioral</v>
      </c>
      <c r="C106" s="258" t="str">
        <f>IFERROR(__xludf.DUMMYFUNCTION("""COMPUTED_VALUE"""),"Non-PII")</f>
        <v>Non-PII</v>
      </c>
      <c r="D106" s="258" t="str">
        <f>IFERROR(__xludf.DUMMYFUNCTION("""COMPUTED_VALUE"""),"Non-PII")</f>
        <v>Non-PII</v>
      </c>
      <c r="E106" s="258" t="str">
        <f>IFERROR(__xludf.DUMMYFUNCTION("""COMPUTED_VALUE"""),"The number of distinct top-up days for the past 120 days prior to past 30 days (Starting from the 5th week up to 16th week)")</f>
        <v>The number of distinct top-up days for the past 120 days prior to past 30 days (Starting from the 5th week up to 16th week)</v>
      </c>
      <c r="F106" s="258" t="str">
        <f>IFERROR(__xludf.DUMMYFUNCTION("""COMPUTED_VALUE"""),"Derived")</f>
        <v>Derived</v>
      </c>
      <c r="G106" s="258" t="str">
        <f>IFERROR(__xludf.DUMMYFUNCTION("""COMPUTED_VALUE"""),"integer")</f>
        <v>integer</v>
      </c>
      <c r="H106" s="258">
        <f>IFERROR(__xludf.DUMMYFUNCTION("""COMPUTED_VALUE"""),23.0)</f>
        <v>23</v>
      </c>
      <c r="I106" s="258" t="str">
        <f>IFERROR(__xludf.DUMMYFUNCTION("""COMPUTED_VALUE"""),"FVT")</f>
        <v>FVT</v>
      </c>
      <c r="J106" s="258" t="str">
        <f>IFERROR(__xludf.DUMMYFUNCTION("""COMPUTED_VALUE"""),"Daily")</f>
        <v>Daily</v>
      </c>
      <c r="K106" s="258" t="str">
        <f>IFERROR(__xludf.DUMMYFUNCTION("""COMPUTED_VALUE"""),"")</f>
        <v/>
      </c>
      <c r="L106" s="258" t="str">
        <f>IFERROR(__xludf.DUMMYFUNCTION("""COMPUTED_VALUE"""),"GHP-PREPAID, TM, PW")</f>
        <v>GHP-PREPAID, TM, PW</v>
      </c>
      <c r="M106" s="258" t="str">
        <f>IFERROR(__xludf.DUMMYFUNCTION("""COMPUTED_VALUE"""),"Consumer, EG, SG, IBG Traveler")</f>
        <v>Consumer, EG, SG, IBG Traveler</v>
      </c>
      <c r="N106" s="258" t="str">
        <f>IFERROR(__xludf.DUMMYFUNCTION("""COMPUTED_VALUE"""),"reload")</f>
        <v>reload</v>
      </c>
      <c r="O106" s="258" t="str">
        <f>IFERROR(__xludf.DUMMYFUNCTION("""COMPUTED_VALUE"""),"reload_profile")</f>
        <v>reload_profile</v>
      </c>
      <c r="P106" s="258"/>
    </row>
    <row r="107">
      <c r="A107" s="257" t="str">
        <f>IFERROR(__xludf.DUMMYFUNCTION("""COMPUTED_VALUE"""),"reload_amount_latest_past_90days")</f>
        <v>reload_amount_latest_past_90days</v>
      </c>
      <c r="B107" s="258" t="str">
        <f>IFERROR(__xludf.DUMMYFUNCTION("""COMPUTED_VALUE"""),"Behavioral")</f>
        <v>Behavioral</v>
      </c>
      <c r="C107" s="258" t="str">
        <f>IFERROR(__xludf.DUMMYFUNCTION("""COMPUTED_VALUE"""),"Non-PII")</f>
        <v>Non-PII</v>
      </c>
      <c r="D107" s="258" t="str">
        <f>IFERROR(__xludf.DUMMYFUNCTION("""COMPUTED_VALUE"""),"Non-PII")</f>
        <v>Non-PII</v>
      </c>
      <c r="E107" s="258" t="str">
        <f>IFERROR(__xludf.DUMMYFUNCTION("""COMPUTED_VALUE"""),"Latest top-up amount availed by the subscriber for the past 90 days")</f>
        <v>Latest top-up amount availed by the subscriber for the past 90 days</v>
      </c>
      <c r="F107" s="258" t="str">
        <f>IFERROR(__xludf.DUMMYFUNCTION("""COMPUTED_VALUE"""),"Derived")</f>
        <v>Derived</v>
      </c>
      <c r="G107" s="258" t="str">
        <f>IFERROR(__xludf.DUMMYFUNCTION("""COMPUTED_VALUE"""),"numeric(21,2)")</f>
        <v>numeric(21,2)</v>
      </c>
      <c r="H107" s="258">
        <f>IFERROR(__xludf.DUMMYFUNCTION("""COMPUTED_VALUE"""),50.0)</f>
        <v>50</v>
      </c>
      <c r="I107" s="258" t="str">
        <f>IFERROR(__xludf.DUMMYFUNCTION("""COMPUTED_VALUE"""),"FVT")</f>
        <v>FVT</v>
      </c>
      <c r="J107" s="258" t="str">
        <f>IFERROR(__xludf.DUMMYFUNCTION("""COMPUTED_VALUE"""),"Daily")</f>
        <v>Daily</v>
      </c>
      <c r="K107" s="258" t="str">
        <f>IFERROR(__xludf.DUMMYFUNCTION("""COMPUTED_VALUE"""),"")</f>
        <v/>
      </c>
      <c r="L107" s="258" t="str">
        <f>IFERROR(__xludf.DUMMYFUNCTION("""COMPUTED_VALUE"""),"GHP-PREPAID, TM, PW")</f>
        <v>GHP-PREPAID, TM, PW</v>
      </c>
      <c r="M107" s="258" t="str">
        <f>IFERROR(__xludf.DUMMYFUNCTION("""COMPUTED_VALUE"""),"Consumer, EG, SG, IBG Traveler")</f>
        <v>Consumer, EG, SG, IBG Traveler</v>
      </c>
      <c r="N107" s="258" t="str">
        <f>IFERROR(__xludf.DUMMYFUNCTION("""COMPUTED_VALUE"""),"reload")</f>
        <v>reload</v>
      </c>
      <c r="O107" s="258" t="str">
        <f>IFERROR(__xludf.DUMMYFUNCTION("""COMPUTED_VALUE"""),"reload_profile")</f>
        <v>reload_profile</v>
      </c>
      <c r="P107" s="258"/>
    </row>
    <row r="108">
      <c r="A108" s="257" t="str">
        <f>IFERROR(__xludf.DUMMYFUNCTION("""COMPUTED_VALUE"""),"reload_max_daily_sum_past_120days")</f>
        <v>reload_max_daily_sum_past_120days</v>
      </c>
      <c r="B108" s="258" t="str">
        <f>IFERROR(__xludf.DUMMYFUNCTION("""COMPUTED_VALUE"""),"Behavioral")</f>
        <v>Behavioral</v>
      </c>
      <c r="C108" s="258" t="str">
        <f>IFERROR(__xludf.DUMMYFUNCTION("""COMPUTED_VALUE"""),"Non-PII")</f>
        <v>Non-PII</v>
      </c>
      <c r="D108" s="258" t="str">
        <f>IFERROR(__xludf.DUMMYFUNCTION("""COMPUTED_VALUE"""),"Non-PII")</f>
        <v>Non-PII</v>
      </c>
      <c r="E108" s="258" t="str">
        <f>IFERROR(__xludf.DUMMYFUNCTION("""COMPUTED_VALUE"""),"The maximum sum of daily top-up amount availed by the subscriber for the past 120 days (5th - 16th week)")</f>
        <v>The maximum sum of daily top-up amount availed by the subscriber for the past 120 days (5th - 16th week)</v>
      </c>
      <c r="F108" s="258" t="str">
        <f>IFERROR(__xludf.DUMMYFUNCTION("""COMPUTED_VALUE"""),"Derived")</f>
        <v>Derived</v>
      </c>
      <c r="G108" s="258" t="str">
        <f>IFERROR(__xludf.DUMMYFUNCTION("""COMPUTED_VALUE"""),"numeric(21,2)")</f>
        <v>numeric(21,2)</v>
      </c>
      <c r="H108" s="258">
        <f>IFERROR(__xludf.DUMMYFUNCTION("""COMPUTED_VALUE"""),50.0)</f>
        <v>50</v>
      </c>
      <c r="I108" s="258" t="str">
        <f>IFERROR(__xludf.DUMMYFUNCTION("""COMPUTED_VALUE"""),"FVT")</f>
        <v>FVT</v>
      </c>
      <c r="J108" s="258" t="str">
        <f>IFERROR(__xludf.DUMMYFUNCTION("""COMPUTED_VALUE"""),"Daily")</f>
        <v>Daily</v>
      </c>
      <c r="K108" s="258" t="str">
        <f>IFERROR(__xludf.DUMMYFUNCTION("""COMPUTED_VALUE"""),"")</f>
        <v/>
      </c>
      <c r="L108" s="258" t="str">
        <f>IFERROR(__xludf.DUMMYFUNCTION("""COMPUTED_VALUE"""),"GHP-PREPAID, TM, PW")</f>
        <v>GHP-PREPAID, TM, PW</v>
      </c>
      <c r="M108" s="258" t="str">
        <f>IFERROR(__xludf.DUMMYFUNCTION("""COMPUTED_VALUE"""),"Consumer, EG, SG, IBG Traveler")</f>
        <v>Consumer, EG, SG, IBG Traveler</v>
      </c>
      <c r="N108" s="258" t="str">
        <f>IFERROR(__xludf.DUMMYFUNCTION("""COMPUTED_VALUE"""),"reload")</f>
        <v>reload</v>
      </c>
      <c r="O108" s="258" t="str">
        <f>IFERROR(__xludf.DUMMYFUNCTION("""COMPUTED_VALUE"""),"reload_profile")</f>
        <v>reload_profile</v>
      </c>
      <c r="P108" s="258"/>
    </row>
    <row r="109">
      <c r="A109" s="257" t="str">
        <f>IFERROR(__xludf.DUMMYFUNCTION("""COMPUTED_VALUE"""),"reload_transaction_count_past_120days")</f>
        <v>reload_transaction_count_past_120days</v>
      </c>
      <c r="B109" s="258" t="str">
        <f>IFERROR(__xludf.DUMMYFUNCTION("""COMPUTED_VALUE"""),"Behavioral")</f>
        <v>Behavioral</v>
      </c>
      <c r="C109" s="258" t="str">
        <f>IFERROR(__xludf.DUMMYFUNCTION("""COMPUTED_VALUE"""),"Non-PII")</f>
        <v>Non-PII</v>
      </c>
      <c r="D109" s="258" t="str">
        <f>IFERROR(__xludf.DUMMYFUNCTION("""COMPUTED_VALUE"""),"Non-PII")</f>
        <v>Non-PII</v>
      </c>
      <c r="E109" s="258" t="str">
        <f>IFERROR(__xludf.DUMMYFUNCTION("""COMPUTED_VALUE"""),"Number of top-up transactions for the past 120 days prior to 30 days")</f>
        <v>Number of top-up transactions for the past 120 days prior to 30 days</v>
      </c>
      <c r="F109" s="258" t="str">
        <f>IFERROR(__xludf.DUMMYFUNCTION("""COMPUTED_VALUE"""),"Derived")</f>
        <v>Derived</v>
      </c>
      <c r="G109" s="258" t="str">
        <f>IFERROR(__xludf.DUMMYFUNCTION("""COMPUTED_VALUE"""),"integer")</f>
        <v>integer</v>
      </c>
      <c r="H109" s="258">
        <f>IFERROR(__xludf.DUMMYFUNCTION("""COMPUTED_VALUE"""),50.0)</f>
        <v>50</v>
      </c>
      <c r="I109" s="258" t="str">
        <f>IFERROR(__xludf.DUMMYFUNCTION("""COMPUTED_VALUE"""),"FVT")</f>
        <v>FVT</v>
      </c>
      <c r="J109" s="258" t="str">
        <f>IFERROR(__xludf.DUMMYFUNCTION("""COMPUTED_VALUE"""),"Daily")</f>
        <v>Daily</v>
      </c>
      <c r="K109" s="258" t="str">
        <f>IFERROR(__xludf.DUMMYFUNCTION("""COMPUTED_VALUE"""),"")</f>
        <v/>
      </c>
      <c r="L109" s="258" t="str">
        <f>IFERROR(__xludf.DUMMYFUNCTION("""COMPUTED_VALUE"""),"GHP-PREPAID, TM, PW")</f>
        <v>GHP-PREPAID, TM, PW</v>
      </c>
      <c r="M109" s="258" t="str">
        <f>IFERROR(__xludf.DUMMYFUNCTION("""COMPUTED_VALUE"""),"Consumer, EG, SG, IBG Traveler")</f>
        <v>Consumer, EG, SG, IBG Traveler</v>
      </c>
      <c r="N109" s="258" t="str">
        <f>IFERROR(__xludf.DUMMYFUNCTION("""COMPUTED_VALUE"""),"reload")</f>
        <v>reload</v>
      </c>
      <c r="O109" s="258" t="str">
        <f>IFERROR(__xludf.DUMMYFUNCTION("""COMPUTED_VALUE"""),"reload_profile")</f>
        <v>reload_profile</v>
      </c>
      <c r="P109" s="258"/>
    </row>
    <row r="110">
      <c r="A110" s="257" t="str">
        <f>IFERROR(__xludf.DUMMYFUNCTION("""COMPUTED_VALUE"""),"reload_max_denom_past_120days")</f>
        <v>reload_max_denom_past_120days</v>
      </c>
      <c r="B110" s="258" t="str">
        <f>IFERROR(__xludf.DUMMYFUNCTION("""COMPUTED_VALUE"""),"Behavioral")</f>
        <v>Behavioral</v>
      </c>
      <c r="C110" s="258" t="str">
        <f>IFERROR(__xludf.DUMMYFUNCTION("""COMPUTED_VALUE"""),"Non-PII")</f>
        <v>Non-PII</v>
      </c>
      <c r="D110" s="258" t="str">
        <f>IFERROR(__xludf.DUMMYFUNCTION("""COMPUTED_VALUE"""),"Non-PII")</f>
        <v>Non-PII</v>
      </c>
      <c r="E110" s="258" t="str">
        <f>IFERROR(__xludf.DUMMYFUNCTION("""COMPUTED_VALUE"""),"Maximum top-up denominations for the past 120 days")</f>
        <v>Maximum top-up denominations for the past 120 days</v>
      </c>
      <c r="F110" s="258" t="str">
        <f>IFERROR(__xludf.DUMMYFUNCTION("""COMPUTED_VALUE"""),"Derived")</f>
        <v>Derived</v>
      </c>
      <c r="G110" s="258" t="str">
        <f>IFERROR(__xludf.DUMMYFUNCTION("""COMPUTED_VALUE"""),"numeric(21,2)")</f>
        <v>numeric(21,2)</v>
      </c>
      <c r="H110" s="258">
        <f>IFERROR(__xludf.DUMMYFUNCTION("""COMPUTED_VALUE"""),50.0)</f>
        <v>50</v>
      </c>
      <c r="I110" s="258" t="str">
        <f>IFERROR(__xludf.DUMMYFUNCTION("""COMPUTED_VALUE"""),"FVT")</f>
        <v>FVT</v>
      </c>
      <c r="J110" s="258" t="str">
        <f>IFERROR(__xludf.DUMMYFUNCTION("""COMPUTED_VALUE"""),"Daily")</f>
        <v>Daily</v>
      </c>
      <c r="K110" s="258" t="str">
        <f>IFERROR(__xludf.DUMMYFUNCTION("""COMPUTED_VALUE"""),"")</f>
        <v/>
      </c>
      <c r="L110" s="258" t="str">
        <f>IFERROR(__xludf.DUMMYFUNCTION("""COMPUTED_VALUE"""),"GHP-PREPAID, TM, PW")</f>
        <v>GHP-PREPAID, TM, PW</v>
      </c>
      <c r="M110" s="258" t="str">
        <f>IFERROR(__xludf.DUMMYFUNCTION("""COMPUTED_VALUE"""),"Consumer, EG, SG, IBG Traveler")</f>
        <v>Consumer, EG, SG, IBG Traveler</v>
      </c>
      <c r="N110" s="258" t="str">
        <f>IFERROR(__xludf.DUMMYFUNCTION("""COMPUTED_VALUE"""),"reload")</f>
        <v>reload</v>
      </c>
      <c r="O110" s="258" t="str">
        <f>IFERROR(__xludf.DUMMYFUNCTION("""COMPUTED_VALUE"""),"reload_profile")</f>
        <v>reload_profile</v>
      </c>
      <c r="P110" s="258"/>
    </row>
    <row r="111">
      <c r="A111" s="257" t="str">
        <f>IFERROR(__xludf.DUMMYFUNCTION("""COMPUTED_VALUE"""),"usage_data_rolling_90_days_mb")</f>
        <v>usage_data_rolling_90_days_mb</v>
      </c>
      <c r="B111" s="258" t="str">
        <f>IFERROR(__xludf.DUMMYFUNCTION("""COMPUTED_VALUE"""),"Behavioral")</f>
        <v>Behavioral</v>
      </c>
      <c r="C111" s="258" t="str">
        <f>IFERROR(__xludf.DUMMYFUNCTION("""COMPUTED_VALUE"""),"Non-PII")</f>
        <v>Non-PII</v>
      </c>
      <c r="D111" s="258" t="str">
        <f>IFERROR(__xludf.DUMMYFUNCTION("""COMPUTED_VALUE"""),"Non-PII")</f>
        <v>Non-PII</v>
      </c>
      <c r="E111" s="258" t="str">
        <f>IFERROR(__xludf.DUMMYFUNCTION("""COMPUTED_VALUE"""),"Data usage utilization for the past rolling 3 months")</f>
        <v>Data usage utilization for the past rolling 3 months</v>
      </c>
      <c r="F111" s="258" t="str">
        <f>IFERROR(__xludf.DUMMYFUNCTION("""COMPUTED_VALUE"""),"Derived")</f>
        <v>Derived</v>
      </c>
      <c r="G111" s="258" t="str">
        <f>IFERROR(__xludf.DUMMYFUNCTION("""COMPUTED_VALUE"""),"numeric(19,4)")</f>
        <v>numeric(19,4)</v>
      </c>
      <c r="H111" s="258">
        <f>IFERROR(__xludf.DUMMYFUNCTION("""COMPUTED_VALUE"""),100.0)</f>
        <v>100</v>
      </c>
      <c r="I111" s="258" t="str">
        <f>IFERROR(__xludf.DUMMYFUNCTION("""COMPUTED_VALUE"""),"FVT")</f>
        <v>FVT</v>
      </c>
      <c r="J111" s="258" t="str">
        <f>IFERROR(__xludf.DUMMYFUNCTION("""COMPUTED_VALUE"""),"Daily")</f>
        <v>Daily</v>
      </c>
      <c r="K111" s="258" t="str">
        <f>IFERROR(__xludf.DUMMYFUNCTION("""COMPUTED_VALUE"""),"")</f>
        <v/>
      </c>
      <c r="L111" s="258" t="str">
        <f>IFERROR(__xludf.DUMMYFUNCTION("""COMPUTED_VALUE"""),"GHP, GHP-PREPAID, TM, PW, GOMO, WIRELINE, BAYAN, GLOBE")</f>
        <v>GHP, GHP-PREPAID, TM, PW, GOMO, WIRELINE, BAYAN, GLOBE</v>
      </c>
      <c r="M111" s="258" t="str">
        <f>IFERROR(__xludf.DUMMYFUNCTION("""COMPUTED_VALUE"""),"Consumer, EG, SG, In house, IBG Traveler")</f>
        <v>Consumer, EG, SG, In house, IBG Traveler</v>
      </c>
      <c r="N111" s="258" t="str">
        <f>IFERROR(__xludf.DUMMYFUNCTION("""COMPUTED_VALUE"""),"usage")</f>
        <v>usage</v>
      </c>
      <c r="O111" s="258" t="str">
        <f>IFERROR(__xludf.DUMMYFUNCTION("""COMPUTED_VALUE"""),"usage_profile")</f>
        <v>usage_profile</v>
      </c>
      <c r="P111" s="258"/>
    </row>
    <row r="112">
      <c r="A112" s="257" t="str">
        <f>IFERROR(__xludf.DUMMYFUNCTION("""COMPUTED_VALUE"""),"usage_sum_outbound_inter_voice_30days_mins")</f>
        <v>usage_sum_outbound_inter_voice_30days_mins</v>
      </c>
      <c r="B112" s="258" t="str">
        <f>IFERROR(__xludf.DUMMYFUNCTION("""COMPUTED_VALUE"""),"Behavioral")</f>
        <v>Behavioral</v>
      </c>
      <c r="C112" s="258" t="str">
        <f>IFERROR(__xludf.DUMMYFUNCTION("""COMPUTED_VALUE"""),"Non-PII")</f>
        <v>Non-PII</v>
      </c>
      <c r="D112" s="258" t="str">
        <f>IFERROR(__xludf.DUMMYFUNCTION("""COMPUTED_VALUE"""),"Non-PII")</f>
        <v>Non-PII</v>
      </c>
      <c r="E112" s="258" t="str">
        <f>IFERROR(__xludf.DUMMYFUNCTION("""COMPUTED_VALUE"""),"Total no. of outgoing calls in minutes by the subscriber for 30 days")</f>
        <v>Total no. of outgoing calls in minutes by the subscriber for 30 days</v>
      </c>
      <c r="F112" s="258" t="str">
        <f>IFERROR(__xludf.DUMMYFUNCTION("""COMPUTED_VALUE"""),"Derived")</f>
        <v>Derived</v>
      </c>
      <c r="G112" s="258" t="str">
        <f>IFERROR(__xludf.DUMMYFUNCTION("""COMPUTED_VALUE"""),"integer")</f>
        <v>integer</v>
      </c>
      <c r="H112" s="258">
        <f>IFERROR(__xludf.DUMMYFUNCTION("""COMPUTED_VALUE"""),62220.0)</f>
        <v>62220</v>
      </c>
      <c r="I112" s="258" t="str">
        <f>IFERROR(__xludf.DUMMYFUNCTION("""COMPUTED_VALUE"""),"FVT")</f>
        <v>FVT</v>
      </c>
      <c r="J112" s="258" t="str">
        <f>IFERROR(__xludf.DUMMYFUNCTION("""COMPUTED_VALUE"""),"Daily")</f>
        <v>Daily</v>
      </c>
      <c r="K112" s="258" t="str">
        <f>IFERROR(__xludf.DUMMYFUNCTION("""COMPUTED_VALUE"""),"")</f>
        <v/>
      </c>
      <c r="L112" s="258" t="str">
        <f>IFERROR(__xludf.DUMMYFUNCTION("""COMPUTED_VALUE"""),"GHP, GHP-PREPAID, TM, PW")</f>
        <v>GHP, GHP-PREPAID, TM, PW</v>
      </c>
      <c r="M112" s="258" t="str">
        <f>IFERROR(__xludf.DUMMYFUNCTION("""COMPUTED_VALUE"""),"Consumer, EG, SG, In house, IBG Traveler")</f>
        <v>Consumer, EG, SG, In house, IBG Traveler</v>
      </c>
      <c r="N112" s="258" t="str">
        <f>IFERROR(__xludf.DUMMYFUNCTION("""COMPUTED_VALUE"""),"usage")</f>
        <v>usage</v>
      </c>
      <c r="O112" s="258" t="str">
        <f>IFERROR(__xludf.DUMMYFUNCTION("""COMPUTED_VALUE"""),"usage_profile")</f>
        <v>usage_profile</v>
      </c>
      <c r="P112" s="258"/>
    </row>
    <row r="113">
      <c r="A113" s="257" t="str">
        <f>IFERROR(__xludf.DUMMYFUNCTION("""COMPUTED_VALUE"""),"availment_amount_past_30days")</f>
        <v>availment_amount_past_30days</v>
      </c>
      <c r="B113" s="258" t="str">
        <f>IFERROR(__xludf.DUMMYFUNCTION("""COMPUTED_VALUE"""),"Campaign History")</f>
        <v>Campaign History</v>
      </c>
      <c r="C113" s="258" t="str">
        <f>IFERROR(__xludf.DUMMYFUNCTION("""COMPUTED_VALUE"""),"Non-PII")</f>
        <v>Non-PII</v>
      </c>
      <c r="D113" s="258" t="str">
        <f>IFERROR(__xludf.DUMMYFUNCTION("""COMPUTED_VALUE"""),"Non-PII")</f>
        <v>Non-PII</v>
      </c>
      <c r="E113" s="258" t="str">
        <f>IFERROR(__xludf.DUMMYFUNCTION("""COMPUTED_VALUE"""),"Total amount promo registrations availed by the subscriber for the past 30 days")</f>
        <v>Total amount promo registrations availed by the subscriber for the past 30 days</v>
      </c>
      <c r="F113" s="258" t="str">
        <f>IFERROR(__xludf.DUMMYFUNCTION("""COMPUTED_VALUE"""),"Derived")</f>
        <v>Derived</v>
      </c>
      <c r="G113" s="258" t="str">
        <f>IFERROR(__xludf.DUMMYFUNCTION("""COMPUTED_VALUE"""),"numeric(21,2)")</f>
        <v>numeric(21,2)</v>
      </c>
      <c r="H113" s="258">
        <f>IFERROR(__xludf.DUMMYFUNCTION("""COMPUTED_VALUE"""),13.0)</f>
        <v>13</v>
      </c>
      <c r="I113" s="258" t="str">
        <f>IFERROR(__xludf.DUMMYFUNCTION("""COMPUTED_VALUE"""),"FVT")</f>
        <v>FVT</v>
      </c>
      <c r="J113" s="258" t="str">
        <f>IFERROR(__xludf.DUMMYFUNCTION("""COMPUTED_VALUE"""),"Daily")</f>
        <v>Daily</v>
      </c>
      <c r="K113" s="258" t="str">
        <f>IFERROR(__xludf.DUMMYFUNCTION("""COMPUTED_VALUE"""),"")</f>
        <v/>
      </c>
      <c r="L113" s="258" t="str">
        <f>IFERROR(__xludf.DUMMYFUNCTION("""COMPUTED_VALUE"""),"GHP-PREPAID, TM, PW")</f>
        <v>GHP-PREPAID, TM, PW</v>
      </c>
      <c r="M113" s="258" t="str">
        <f>IFERROR(__xludf.DUMMYFUNCTION("""COMPUTED_VALUE"""),"Consumer, EG, SG, IBG Traveler")</f>
        <v>Consumer, EG, SG, IBG Traveler</v>
      </c>
      <c r="N113" s="258" t="str">
        <f>IFERROR(__xludf.DUMMYFUNCTION("""COMPUTED_VALUE"""),"availment")</f>
        <v>availment</v>
      </c>
      <c r="O113" s="258" t="str">
        <f>IFERROR(__xludf.DUMMYFUNCTION("""COMPUTED_VALUE"""),"availment_profile")</f>
        <v>availment_profile</v>
      </c>
      <c r="P113" s="258"/>
    </row>
    <row r="114">
      <c r="A114" s="257" t="str">
        <f>IFERROR(__xludf.DUMMYFUNCTION("""COMPUTED_VALUE"""),"availment_amount_past_120days")</f>
        <v>availment_amount_past_120days</v>
      </c>
      <c r="B114" s="258" t="str">
        <f>IFERROR(__xludf.DUMMYFUNCTION("""COMPUTED_VALUE"""),"Campaign History")</f>
        <v>Campaign History</v>
      </c>
      <c r="C114" s="258" t="str">
        <f>IFERROR(__xludf.DUMMYFUNCTION("""COMPUTED_VALUE"""),"Non-PII")</f>
        <v>Non-PII</v>
      </c>
      <c r="D114" s="258" t="str">
        <f>IFERROR(__xludf.DUMMYFUNCTION("""COMPUTED_VALUE"""),"Non-PII")</f>
        <v>Non-PII</v>
      </c>
      <c r="E114" s="258" t="str">
        <f>IFERROR(__xludf.DUMMYFUNCTION("""COMPUTED_VALUE"""),"Total amount promo registrations availed by the subscriber for the past 120 days")</f>
        <v>Total amount promo registrations availed by the subscriber for the past 120 days</v>
      </c>
      <c r="F114" s="258" t="str">
        <f>IFERROR(__xludf.DUMMYFUNCTION("""COMPUTED_VALUE"""),"Derived")</f>
        <v>Derived</v>
      </c>
      <c r="G114" s="258" t="str">
        <f>IFERROR(__xludf.DUMMYFUNCTION("""COMPUTED_VALUE"""),"numeric(21,2)")</f>
        <v>numeric(21,2)</v>
      </c>
      <c r="H114" s="258">
        <f>IFERROR(__xludf.DUMMYFUNCTION("""COMPUTED_VALUE"""),13.0)</f>
        <v>13</v>
      </c>
      <c r="I114" s="258" t="str">
        <f>IFERROR(__xludf.DUMMYFUNCTION("""COMPUTED_VALUE"""),"FVT")</f>
        <v>FVT</v>
      </c>
      <c r="J114" s="258" t="str">
        <f>IFERROR(__xludf.DUMMYFUNCTION("""COMPUTED_VALUE"""),"Daily")</f>
        <v>Daily</v>
      </c>
      <c r="K114" s="258" t="str">
        <f>IFERROR(__xludf.DUMMYFUNCTION("""COMPUTED_VALUE"""),"")</f>
        <v/>
      </c>
      <c r="L114" s="258" t="str">
        <f>IFERROR(__xludf.DUMMYFUNCTION("""COMPUTED_VALUE"""),"GHP-PREPAID, TM, PW")</f>
        <v>GHP-PREPAID, TM, PW</v>
      </c>
      <c r="M114" s="258" t="str">
        <f>IFERROR(__xludf.DUMMYFUNCTION("""COMPUTED_VALUE"""),"Consumer, EG, SG, IBG Traveler")</f>
        <v>Consumer, EG, SG, IBG Traveler</v>
      </c>
      <c r="N114" s="258" t="str">
        <f>IFERROR(__xludf.DUMMYFUNCTION("""COMPUTED_VALUE"""),"availment")</f>
        <v>availment</v>
      </c>
      <c r="O114" s="258" t="str">
        <f>IFERROR(__xludf.DUMMYFUNCTION("""COMPUTED_VALUE"""),"availment_profile")</f>
        <v>availment_profile</v>
      </c>
      <c r="P114" s="258"/>
    </row>
    <row r="115">
      <c r="A115" s="257" t="str">
        <f>IFERROR(__xludf.DUMMYFUNCTION("""COMPUTED_VALUE"""),"availment_count_past_30days")</f>
        <v>availment_count_past_30days</v>
      </c>
      <c r="B115" s="258" t="str">
        <f>IFERROR(__xludf.DUMMYFUNCTION("""COMPUTED_VALUE"""),"Campaign History")</f>
        <v>Campaign History</v>
      </c>
      <c r="C115" s="258" t="str">
        <f>IFERROR(__xludf.DUMMYFUNCTION("""COMPUTED_VALUE"""),"Non-PII")</f>
        <v>Non-PII</v>
      </c>
      <c r="D115" s="258" t="str">
        <f>IFERROR(__xludf.DUMMYFUNCTION("""COMPUTED_VALUE"""),"Non-PII")</f>
        <v>Non-PII</v>
      </c>
      <c r="E115" s="258" t="str">
        <f>IFERROR(__xludf.DUMMYFUNCTION("""COMPUTED_VALUE"""),"The number of promo registrations availed by the subscriber for the past 30 days")</f>
        <v>The number of promo registrations availed by the subscriber for the past 30 days</v>
      </c>
      <c r="F115" s="258" t="str">
        <f>IFERROR(__xludf.DUMMYFUNCTION("""COMPUTED_VALUE"""),"Derived")</f>
        <v>Derived</v>
      </c>
      <c r="G115" s="258" t="str">
        <f>IFERROR(__xludf.DUMMYFUNCTION("""COMPUTED_VALUE"""),"integer")</f>
        <v>integer</v>
      </c>
      <c r="H115" s="258">
        <f>IFERROR(__xludf.DUMMYFUNCTION("""COMPUTED_VALUE"""),12.0)</f>
        <v>12</v>
      </c>
      <c r="I115" s="258" t="str">
        <f>IFERROR(__xludf.DUMMYFUNCTION("""COMPUTED_VALUE"""),"FVT")</f>
        <v>FVT</v>
      </c>
      <c r="J115" s="258" t="str">
        <f>IFERROR(__xludf.DUMMYFUNCTION("""COMPUTED_VALUE"""),"Daily")</f>
        <v>Daily</v>
      </c>
      <c r="K115" s="258" t="str">
        <f>IFERROR(__xludf.DUMMYFUNCTION("""COMPUTED_VALUE"""),"")</f>
        <v/>
      </c>
      <c r="L115" s="258" t="str">
        <f>IFERROR(__xludf.DUMMYFUNCTION("""COMPUTED_VALUE"""),"GHP-PREPAID, TM, PW")</f>
        <v>GHP-PREPAID, TM, PW</v>
      </c>
      <c r="M115" s="258" t="str">
        <f>IFERROR(__xludf.DUMMYFUNCTION("""COMPUTED_VALUE"""),"Consumer, EG, SG, IBG Traveler")</f>
        <v>Consumer, EG, SG, IBG Traveler</v>
      </c>
      <c r="N115" s="258" t="str">
        <f>IFERROR(__xludf.DUMMYFUNCTION("""COMPUTED_VALUE"""),"availment")</f>
        <v>availment</v>
      </c>
      <c r="O115" s="258" t="str">
        <f>IFERROR(__xludf.DUMMYFUNCTION("""COMPUTED_VALUE"""),"availment_profile")</f>
        <v>availment_profile</v>
      </c>
      <c r="P115" s="258"/>
    </row>
    <row r="116">
      <c r="A116" s="257" t="str">
        <f>IFERROR(__xludf.DUMMYFUNCTION("""COMPUTED_VALUE"""),"availment_count_past_120days")</f>
        <v>availment_count_past_120days</v>
      </c>
      <c r="B116" s="258" t="str">
        <f>IFERROR(__xludf.DUMMYFUNCTION("""COMPUTED_VALUE"""),"Campaign History")</f>
        <v>Campaign History</v>
      </c>
      <c r="C116" s="258" t="str">
        <f>IFERROR(__xludf.DUMMYFUNCTION("""COMPUTED_VALUE"""),"Non-PII")</f>
        <v>Non-PII</v>
      </c>
      <c r="D116" s="258" t="str">
        <f>IFERROR(__xludf.DUMMYFUNCTION("""COMPUTED_VALUE"""),"Non-PII")</f>
        <v>Non-PII</v>
      </c>
      <c r="E116" s="258" t="str">
        <f>IFERROR(__xludf.DUMMYFUNCTION("""COMPUTED_VALUE"""),"Total number of promo registrations availed by the subscriber for the past 120 days (5th-16th week)")</f>
        <v>Total number of promo registrations availed by the subscriber for the past 120 days (5th-16th week)</v>
      </c>
      <c r="F116" s="258" t="str">
        <f>IFERROR(__xludf.DUMMYFUNCTION("""COMPUTED_VALUE"""),"Derived")</f>
        <v>Derived</v>
      </c>
      <c r="G116" s="258" t="str">
        <f>IFERROR(__xludf.DUMMYFUNCTION("""COMPUTED_VALUE"""),"integer")</f>
        <v>integer</v>
      </c>
      <c r="H116" s="258">
        <f>IFERROR(__xludf.DUMMYFUNCTION("""COMPUTED_VALUE"""),49.0)</f>
        <v>49</v>
      </c>
      <c r="I116" s="258" t="str">
        <f>IFERROR(__xludf.DUMMYFUNCTION("""COMPUTED_VALUE"""),"FVT")</f>
        <v>FVT</v>
      </c>
      <c r="J116" s="258" t="str">
        <f>IFERROR(__xludf.DUMMYFUNCTION("""COMPUTED_VALUE"""),"Daily")</f>
        <v>Daily</v>
      </c>
      <c r="K116" s="258" t="str">
        <f>IFERROR(__xludf.DUMMYFUNCTION("""COMPUTED_VALUE"""),"")</f>
        <v/>
      </c>
      <c r="L116" s="258" t="str">
        <f>IFERROR(__xludf.DUMMYFUNCTION("""COMPUTED_VALUE"""),"GHP-PREPAID, TM, PW")</f>
        <v>GHP-PREPAID, TM, PW</v>
      </c>
      <c r="M116" s="258" t="str">
        <f>IFERROR(__xludf.DUMMYFUNCTION("""COMPUTED_VALUE"""),"Consumer, EG, SG, IBG Traveler")</f>
        <v>Consumer, EG, SG, IBG Traveler</v>
      </c>
      <c r="N116" s="258" t="str">
        <f>IFERROR(__xludf.DUMMYFUNCTION("""COMPUTED_VALUE"""),"availment")</f>
        <v>availment</v>
      </c>
      <c r="O116" s="258" t="str">
        <f>IFERROR(__xludf.DUMMYFUNCTION("""COMPUTED_VALUE"""),"availment_profile")</f>
        <v>availment_profile</v>
      </c>
      <c r="P116" s="258"/>
    </row>
    <row r="117">
      <c r="A117" s="257" t="str">
        <f>IFERROR(__xludf.DUMMYFUNCTION("""COMPUTED_VALUE"""),"availment_data_amount_past_30days")</f>
        <v>availment_data_amount_past_30days</v>
      </c>
      <c r="B117" s="258" t="str">
        <f>IFERROR(__xludf.DUMMYFUNCTION("""COMPUTED_VALUE"""),"Campaign History")</f>
        <v>Campaign History</v>
      </c>
      <c r="C117" s="258" t="str">
        <f>IFERROR(__xludf.DUMMYFUNCTION("""COMPUTED_VALUE"""),"Non-PII")</f>
        <v>Non-PII</v>
      </c>
      <c r="D117" s="258" t="str">
        <f>IFERROR(__xludf.DUMMYFUNCTION("""COMPUTED_VALUE"""),"Non-PII")</f>
        <v>Non-PII</v>
      </c>
      <c r="E117" s="258" t="str">
        <f>IFERROR(__xludf.DUMMYFUNCTION("""COMPUTED_VALUE"""),"Total amount of data promo registrations consumed by the subscriber for the past 30 days")</f>
        <v>Total amount of data promo registrations consumed by the subscriber for the past 30 days</v>
      </c>
      <c r="F117" s="258" t="str">
        <f>IFERROR(__xludf.DUMMYFUNCTION("""COMPUTED_VALUE"""),"Derived")</f>
        <v>Derived</v>
      </c>
      <c r="G117" s="258" t="str">
        <f>IFERROR(__xludf.DUMMYFUNCTION("""COMPUTED_VALUE"""),"numeric(21,2)")</f>
        <v>numeric(21,2)</v>
      </c>
      <c r="H117" s="258">
        <f>IFERROR(__xludf.DUMMYFUNCTION("""COMPUTED_VALUE"""),13.0)</f>
        <v>13</v>
      </c>
      <c r="I117" s="258" t="str">
        <f>IFERROR(__xludf.DUMMYFUNCTION("""COMPUTED_VALUE"""),"FVT")</f>
        <v>FVT</v>
      </c>
      <c r="J117" s="258" t="str">
        <f>IFERROR(__xludf.DUMMYFUNCTION("""COMPUTED_VALUE"""),"Daily")</f>
        <v>Daily</v>
      </c>
      <c r="K117" s="258" t="str">
        <f>IFERROR(__xludf.DUMMYFUNCTION("""COMPUTED_VALUE"""),"")</f>
        <v/>
      </c>
      <c r="L117" s="258" t="str">
        <f>IFERROR(__xludf.DUMMYFUNCTION("""COMPUTED_VALUE"""),"GHP-PREPAID, TM, PW")</f>
        <v>GHP-PREPAID, TM, PW</v>
      </c>
      <c r="M117" s="258" t="str">
        <f>IFERROR(__xludf.DUMMYFUNCTION("""COMPUTED_VALUE"""),"Consumer, EG, SG, IBG Traveler")</f>
        <v>Consumer, EG, SG, IBG Traveler</v>
      </c>
      <c r="N117" s="258" t="str">
        <f>IFERROR(__xludf.DUMMYFUNCTION("""COMPUTED_VALUE"""),"availment")</f>
        <v>availment</v>
      </c>
      <c r="O117" s="258" t="str">
        <f>IFERROR(__xludf.DUMMYFUNCTION("""COMPUTED_VALUE"""),"availment_profile")</f>
        <v>availment_profile</v>
      </c>
      <c r="P117" s="258"/>
    </row>
    <row r="118">
      <c r="A118" s="257" t="str">
        <f>IFERROR(__xludf.DUMMYFUNCTION("""COMPUTED_VALUE"""),"availment_data_amount_past_120days")</f>
        <v>availment_data_amount_past_120days</v>
      </c>
      <c r="B118" s="258" t="str">
        <f>IFERROR(__xludf.DUMMYFUNCTION("""COMPUTED_VALUE"""),"Campaign History")</f>
        <v>Campaign History</v>
      </c>
      <c r="C118" s="258" t="str">
        <f>IFERROR(__xludf.DUMMYFUNCTION("""COMPUTED_VALUE"""),"Non-PII")</f>
        <v>Non-PII</v>
      </c>
      <c r="D118" s="258" t="str">
        <f>IFERROR(__xludf.DUMMYFUNCTION("""COMPUTED_VALUE"""),"Non-PII")</f>
        <v>Non-PII</v>
      </c>
      <c r="E118" s="258" t="str">
        <f>IFERROR(__xludf.DUMMYFUNCTION("""COMPUTED_VALUE"""),"Total amount of data promo registrations consumed by the subscriber for the past 120 days (5th-16th week)")</f>
        <v>Total amount of data promo registrations consumed by the subscriber for the past 120 days (5th-16th week)</v>
      </c>
      <c r="F118" s="258" t="str">
        <f>IFERROR(__xludf.DUMMYFUNCTION("""COMPUTED_VALUE"""),"Derived")</f>
        <v>Derived</v>
      </c>
      <c r="G118" s="258" t="str">
        <f>IFERROR(__xludf.DUMMYFUNCTION("""COMPUTED_VALUE"""),"numeric(21,2)")</f>
        <v>numeric(21,2)</v>
      </c>
      <c r="H118" s="258">
        <f>IFERROR(__xludf.DUMMYFUNCTION("""COMPUTED_VALUE"""),13.0)</f>
        <v>13</v>
      </c>
      <c r="I118" s="258" t="str">
        <f>IFERROR(__xludf.DUMMYFUNCTION("""COMPUTED_VALUE"""),"FVT")</f>
        <v>FVT</v>
      </c>
      <c r="J118" s="258" t="str">
        <f>IFERROR(__xludf.DUMMYFUNCTION("""COMPUTED_VALUE"""),"Daily")</f>
        <v>Daily</v>
      </c>
      <c r="K118" s="258" t="str">
        <f>IFERROR(__xludf.DUMMYFUNCTION("""COMPUTED_VALUE"""),"")</f>
        <v/>
      </c>
      <c r="L118" s="258" t="str">
        <f>IFERROR(__xludf.DUMMYFUNCTION("""COMPUTED_VALUE"""),"GHP-PREPAID, TM, PW")</f>
        <v>GHP-PREPAID, TM, PW</v>
      </c>
      <c r="M118" s="258" t="str">
        <f>IFERROR(__xludf.DUMMYFUNCTION("""COMPUTED_VALUE"""),"Consumer, EG, SG, IBG Traveler")</f>
        <v>Consumer, EG, SG, IBG Traveler</v>
      </c>
      <c r="N118" s="258" t="str">
        <f>IFERROR(__xludf.DUMMYFUNCTION("""COMPUTED_VALUE"""),"availment")</f>
        <v>availment</v>
      </c>
      <c r="O118" s="258" t="str">
        <f>IFERROR(__xludf.DUMMYFUNCTION("""COMPUTED_VALUE"""),"availment_profile")</f>
        <v>availment_profile</v>
      </c>
      <c r="P118" s="258"/>
    </row>
    <row r="119">
      <c r="A119" s="257" t="str">
        <f>IFERROR(__xludf.DUMMYFUNCTION("""COMPUTED_VALUE"""),"active_days_past_30days")</f>
        <v>active_days_past_30days</v>
      </c>
      <c r="B119" s="258" t="str">
        <f>IFERROR(__xludf.DUMMYFUNCTION("""COMPUTED_VALUE"""),"Behavioral")</f>
        <v>Behavioral</v>
      </c>
      <c r="C119" s="258" t="str">
        <f>IFERROR(__xludf.DUMMYFUNCTION("""COMPUTED_VALUE"""),"Non-PII")</f>
        <v>Non-PII</v>
      </c>
      <c r="D119" s="258" t="str">
        <f>IFERROR(__xludf.DUMMYFUNCTION("""COMPUTED_VALUE"""),"Non-PII")</f>
        <v>Non-PII</v>
      </c>
      <c r="E119" s="258" t="str">
        <f>IFERROR(__xludf.DUMMYFUNCTION("""COMPUTED_VALUE"""),"The number of days the subscriber is active for the past 30 days. This includes OB usage and top-up activities.")</f>
        <v>The number of days the subscriber is active for the past 30 days. This includes OB usage and top-up activities.</v>
      </c>
      <c r="F119" s="258" t="str">
        <f>IFERROR(__xludf.DUMMYFUNCTION("""COMPUTED_VALUE"""),"Derived")</f>
        <v>Derived</v>
      </c>
      <c r="G119" s="258" t="str">
        <f>IFERROR(__xludf.DUMMYFUNCTION("""COMPUTED_VALUE"""),"integer")</f>
        <v>integer</v>
      </c>
      <c r="H119" s="258">
        <f>IFERROR(__xludf.DUMMYFUNCTION("""COMPUTED_VALUE"""),9.0)</f>
        <v>9</v>
      </c>
      <c r="I119" s="258" t="str">
        <f>IFERROR(__xludf.DUMMYFUNCTION("""COMPUTED_VALUE"""),"FVT")</f>
        <v>FVT</v>
      </c>
      <c r="J119" s="258" t="str">
        <f>IFERROR(__xludf.DUMMYFUNCTION("""COMPUTED_VALUE"""),"Daily")</f>
        <v>Daily</v>
      </c>
      <c r="K119" s="258" t="str">
        <f>IFERROR(__xludf.DUMMYFUNCTION("""COMPUTED_VALUE"""),"")</f>
        <v/>
      </c>
      <c r="L119" s="258" t="str">
        <f>IFERROR(__xludf.DUMMYFUNCTION("""COMPUTED_VALUE"""),"GHP, GHP-PREPAID, TM, PW, WIRELINE")</f>
        <v>GHP, GHP-PREPAID, TM, PW, WIRELINE</v>
      </c>
      <c r="M119" s="258" t="str">
        <f>IFERROR(__xludf.DUMMYFUNCTION("""COMPUTED_VALUE"""),"Consumer, EG, SG, In house, IBG Traveler")</f>
        <v>Consumer, EG, SG, In house, IBG Traveler</v>
      </c>
      <c r="N119" s="258" t="str">
        <f>IFERROR(__xludf.DUMMYFUNCTION("""COMPUTED_VALUE"""),"usage")</f>
        <v>usage</v>
      </c>
      <c r="O119" s="258" t="str">
        <f>IFERROR(__xludf.DUMMYFUNCTION("""COMPUTED_VALUE"""),"usage_profile")</f>
        <v>usage_profile</v>
      </c>
      <c r="P119" s="258"/>
    </row>
    <row r="120">
      <c r="A120" s="257" t="str">
        <f>IFERROR(__xludf.DUMMYFUNCTION("""COMPUTED_VALUE"""),"active_days_past_120days")</f>
        <v>active_days_past_120days</v>
      </c>
      <c r="B120" s="258" t="str">
        <f>IFERROR(__xludf.DUMMYFUNCTION("""COMPUTED_VALUE"""),"Behavioral")</f>
        <v>Behavioral</v>
      </c>
      <c r="C120" s="258" t="str">
        <f>IFERROR(__xludf.DUMMYFUNCTION("""COMPUTED_VALUE"""),"Non-PII")</f>
        <v>Non-PII</v>
      </c>
      <c r="D120" s="258" t="str">
        <f>IFERROR(__xludf.DUMMYFUNCTION("""COMPUTED_VALUE"""),"Non-PII")</f>
        <v>Non-PII</v>
      </c>
      <c r="E120" s="258" t="str">
        <f>IFERROR(__xludf.DUMMYFUNCTION("""COMPUTED_VALUE"""),"The number of days the subscriber is active for the past 120 days prior to past 30 days. This includes OB usage and top-up activities.")</f>
        <v>The number of days the subscriber is active for the past 120 days prior to past 30 days. This includes OB usage and top-up activities.</v>
      </c>
      <c r="F120" s="258" t="str">
        <f>IFERROR(__xludf.DUMMYFUNCTION("""COMPUTED_VALUE"""),"Derived")</f>
        <v>Derived</v>
      </c>
      <c r="G120" s="258" t="str">
        <f>IFERROR(__xludf.DUMMYFUNCTION("""COMPUTED_VALUE"""),"integer")</f>
        <v>integer</v>
      </c>
      <c r="H120" s="258">
        <f>IFERROR(__xludf.DUMMYFUNCTION("""COMPUTED_VALUE"""),10.0)</f>
        <v>10</v>
      </c>
      <c r="I120" s="258" t="str">
        <f>IFERROR(__xludf.DUMMYFUNCTION("""COMPUTED_VALUE"""),"FVT")</f>
        <v>FVT</v>
      </c>
      <c r="J120" s="258" t="str">
        <f>IFERROR(__xludf.DUMMYFUNCTION("""COMPUTED_VALUE"""),"Daily")</f>
        <v>Daily</v>
      </c>
      <c r="K120" s="258" t="str">
        <f>IFERROR(__xludf.DUMMYFUNCTION("""COMPUTED_VALUE"""),"")</f>
        <v/>
      </c>
      <c r="L120" s="258" t="str">
        <f>IFERROR(__xludf.DUMMYFUNCTION("""COMPUTED_VALUE"""),"GHP, GHP-PREPAID, TM, PW, WIRELINE")</f>
        <v>GHP, GHP-PREPAID, TM, PW, WIRELINE</v>
      </c>
      <c r="M120" s="258" t="str">
        <f>IFERROR(__xludf.DUMMYFUNCTION("""COMPUTED_VALUE"""),"Consumer, EG, SG, In house, IBG Traveler")</f>
        <v>Consumer, EG, SG, In house, IBG Traveler</v>
      </c>
      <c r="N120" s="258" t="str">
        <f>IFERROR(__xludf.DUMMYFUNCTION("""COMPUTED_VALUE"""),"usage")</f>
        <v>usage</v>
      </c>
      <c r="O120" s="258" t="str">
        <f>IFERROR(__xludf.DUMMYFUNCTION("""COMPUTED_VALUE"""),"usage_profile")</f>
        <v>usage_profile</v>
      </c>
      <c r="P120" s="258"/>
    </row>
    <row r="121">
      <c r="A121" s="257" t="str">
        <f>IFERROR(__xludf.DUMMYFUNCTION("""COMPUTED_VALUE"""),"usage_data_mb_rolling_120days_quantity")</f>
        <v>usage_data_mb_rolling_120days_quantity</v>
      </c>
      <c r="B121" s="258" t="str">
        <f>IFERROR(__xludf.DUMMYFUNCTION("""COMPUTED_VALUE"""),"Behavioral")</f>
        <v>Behavioral</v>
      </c>
      <c r="C121" s="258" t="str">
        <f>IFERROR(__xludf.DUMMYFUNCTION("""COMPUTED_VALUE"""),"Non-PII")</f>
        <v>Non-PII</v>
      </c>
      <c r="D121" s="258" t="str">
        <f>IFERROR(__xludf.DUMMYFUNCTION("""COMPUTED_VALUE"""),"Non-PII")</f>
        <v>Non-PII</v>
      </c>
      <c r="E121" s="258" t="str">
        <f>IFERROR(__xludf.DUMMYFUNCTION("""COMPUTED_VALUE"""),"Total data utilization (MB) for the past 120 days prior to past 30 days")</f>
        <v>Total data utilization (MB) for the past 120 days prior to past 30 days</v>
      </c>
      <c r="F121" s="258" t="str">
        <f>IFERROR(__xludf.DUMMYFUNCTION("""COMPUTED_VALUE"""),"Derived")</f>
        <v>Derived</v>
      </c>
      <c r="G121" s="258" t="str">
        <f>IFERROR(__xludf.DUMMYFUNCTION("""COMPUTED_VALUE"""),"bigint")</f>
        <v>bigint</v>
      </c>
      <c r="H121" s="258">
        <f>IFERROR(__xludf.DUMMYFUNCTION("""COMPUTED_VALUE"""),41.0)</f>
        <v>41</v>
      </c>
      <c r="I121" s="258" t="str">
        <f>IFERROR(__xludf.DUMMYFUNCTION("""COMPUTED_VALUE"""),"FVT")</f>
        <v>FVT</v>
      </c>
      <c r="J121" s="258" t="str">
        <f>IFERROR(__xludf.DUMMYFUNCTION("""COMPUTED_VALUE"""),"Daily")</f>
        <v>Daily</v>
      </c>
      <c r="K121" s="258" t="str">
        <f>IFERROR(__xludf.DUMMYFUNCTION("""COMPUTED_VALUE"""),"")</f>
        <v/>
      </c>
      <c r="L121" s="258" t="str">
        <f>IFERROR(__xludf.DUMMYFUNCTION("""COMPUTED_VALUE"""),"GHP, GHP-PREPAID, TM, PW")</f>
        <v>GHP, GHP-PREPAID, TM, PW</v>
      </c>
      <c r="M121" s="258" t="str">
        <f>IFERROR(__xludf.DUMMYFUNCTION("""COMPUTED_VALUE"""),"Consumer, EG, SG, In house, IBG Traveler")</f>
        <v>Consumer, EG, SG, In house, IBG Traveler</v>
      </c>
      <c r="N121" s="258" t="str">
        <f>IFERROR(__xludf.DUMMYFUNCTION("""COMPUTED_VALUE"""),"usage")</f>
        <v>usage</v>
      </c>
      <c r="O121" s="258" t="str">
        <f>IFERROR(__xludf.DUMMYFUNCTION("""COMPUTED_VALUE"""),"usage_profile")</f>
        <v>usage_profile</v>
      </c>
      <c r="P121" s="258"/>
    </row>
    <row r="122">
      <c r="A122" s="257" t="str">
        <f>IFERROR(__xludf.DUMMYFUNCTION("""COMPUTED_VALUE"""),"usage_average_amount_past_30days")</f>
        <v>usage_average_amount_past_30days</v>
      </c>
      <c r="B122" s="258" t="str">
        <f>IFERROR(__xludf.DUMMYFUNCTION("""COMPUTED_VALUE"""),"Behavioral")</f>
        <v>Behavioral</v>
      </c>
      <c r="C122" s="258" t="str">
        <f>IFERROR(__xludf.DUMMYFUNCTION("""COMPUTED_VALUE"""),"Non-PII")</f>
        <v>Non-PII</v>
      </c>
      <c r="D122" s="258" t="str">
        <f>IFERROR(__xludf.DUMMYFUNCTION("""COMPUTED_VALUE"""),"Non-PII")</f>
        <v>Non-PII</v>
      </c>
      <c r="E122" s="258" t="str">
        <f>IFERROR(__xludf.DUMMYFUNCTION("""COMPUTED_VALUE"""),"Average of usage amount used by the subscriber for the past 30 days")</f>
        <v>Average of usage amount used by the subscriber for the past 30 days</v>
      </c>
      <c r="F122" s="258" t="str">
        <f>IFERROR(__xludf.DUMMYFUNCTION("""COMPUTED_VALUE"""),"Derived")</f>
        <v>Derived</v>
      </c>
      <c r="G122" s="258" t="str">
        <f>IFERROR(__xludf.DUMMYFUNCTION("""COMPUTED_VALUE"""),"numeric(21,2)")</f>
        <v>numeric(21,2)</v>
      </c>
      <c r="H122" s="258">
        <f>IFERROR(__xludf.DUMMYFUNCTION("""COMPUTED_VALUE"""),36.0)</f>
        <v>36</v>
      </c>
      <c r="I122" s="258" t="str">
        <f>IFERROR(__xludf.DUMMYFUNCTION("""COMPUTED_VALUE"""),"FVT")</f>
        <v>FVT</v>
      </c>
      <c r="J122" s="258" t="str">
        <f>IFERROR(__xludf.DUMMYFUNCTION("""COMPUTED_VALUE"""),"Daily")</f>
        <v>Daily</v>
      </c>
      <c r="K122" s="258" t="str">
        <f>IFERROR(__xludf.DUMMYFUNCTION("""COMPUTED_VALUE"""),"")</f>
        <v/>
      </c>
      <c r="L122" s="258" t="str">
        <f>IFERROR(__xludf.DUMMYFUNCTION("""COMPUTED_VALUE"""),"GHP, GHP-PREPAID, TM, PW, GOMO, WIRELINE")</f>
        <v>GHP, GHP-PREPAID, TM, PW, GOMO, WIRELINE</v>
      </c>
      <c r="M122" s="258" t="str">
        <f>IFERROR(__xludf.DUMMYFUNCTION("""COMPUTED_VALUE"""),"Consumer, EG, SG, In house, IBG Traveler")</f>
        <v>Consumer, EG, SG, In house, IBG Traveler</v>
      </c>
      <c r="N122" s="258" t="str">
        <f>IFERROR(__xludf.DUMMYFUNCTION("""COMPUTED_VALUE"""),"usage")</f>
        <v>usage</v>
      </c>
      <c r="O122" s="258" t="str">
        <f>IFERROR(__xludf.DUMMYFUNCTION("""COMPUTED_VALUE"""),"usage_profile")</f>
        <v>usage_profile</v>
      </c>
      <c r="P122" s="258"/>
    </row>
    <row r="123">
      <c r="A123" s="257" t="str">
        <f>IFERROR(__xludf.DUMMYFUNCTION("""COMPUTED_VALUE"""),"usage_average_amount_past_120days")</f>
        <v>usage_average_amount_past_120days</v>
      </c>
      <c r="B123" s="258" t="str">
        <f>IFERROR(__xludf.DUMMYFUNCTION("""COMPUTED_VALUE"""),"Behavioral")</f>
        <v>Behavioral</v>
      </c>
      <c r="C123" s="258" t="str">
        <f>IFERROR(__xludf.DUMMYFUNCTION("""COMPUTED_VALUE"""),"Non-PII")</f>
        <v>Non-PII</v>
      </c>
      <c r="D123" s="258" t="str">
        <f>IFERROR(__xludf.DUMMYFUNCTION("""COMPUTED_VALUE"""),"Non-PII")</f>
        <v>Non-PII</v>
      </c>
      <c r="E123" s="258" t="str">
        <f>IFERROR(__xludf.DUMMYFUNCTION("""COMPUTED_VALUE"""),"Average of usage amount used by the subscriber for the past 120 days (5th - 16th week)")</f>
        <v>Average of usage amount used by the subscriber for the past 120 days (5th - 16th week)</v>
      </c>
      <c r="F123" s="258" t="str">
        <f>IFERROR(__xludf.DUMMYFUNCTION("""COMPUTED_VALUE"""),"Derived")</f>
        <v>Derived</v>
      </c>
      <c r="G123" s="258" t="str">
        <f>IFERROR(__xludf.DUMMYFUNCTION("""COMPUTED_VALUE"""),"numeric(21,2)")</f>
        <v>numeric(21,2)</v>
      </c>
      <c r="H123" s="258">
        <f>IFERROR(__xludf.DUMMYFUNCTION("""COMPUTED_VALUE"""),24.0)</f>
        <v>24</v>
      </c>
      <c r="I123" s="258" t="str">
        <f>IFERROR(__xludf.DUMMYFUNCTION("""COMPUTED_VALUE"""),"FVT")</f>
        <v>FVT</v>
      </c>
      <c r="J123" s="258" t="str">
        <f>IFERROR(__xludf.DUMMYFUNCTION("""COMPUTED_VALUE"""),"Daily")</f>
        <v>Daily</v>
      </c>
      <c r="K123" s="258" t="str">
        <f>IFERROR(__xludf.DUMMYFUNCTION("""COMPUTED_VALUE"""),"")</f>
        <v/>
      </c>
      <c r="L123" s="258" t="str">
        <f>IFERROR(__xludf.DUMMYFUNCTION("""COMPUTED_VALUE"""),"GHP, GHP-PREPAID, TM, PW, WIRELINE")</f>
        <v>GHP, GHP-PREPAID, TM, PW, WIRELINE</v>
      </c>
      <c r="M123" s="258" t="str">
        <f>IFERROR(__xludf.DUMMYFUNCTION("""COMPUTED_VALUE"""),"Consumer, EG, SG, In house, IBG Traveler")</f>
        <v>Consumer, EG, SG, In house, IBG Traveler</v>
      </c>
      <c r="N123" s="258" t="str">
        <f>IFERROR(__xludf.DUMMYFUNCTION("""COMPUTED_VALUE"""),"usage")</f>
        <v>usage</v>
      </c>
      <c r="O123" s="258" t="str">
        <f>IFERROR(__xludf.DUMMYFUNCTION("""COMPUTED_VALUE"""),"usage_profile")</f>
        <v>usage_profile</v>
      </c>
      <c r="P123" s="258"/>
    </row>
    <row r="124">
      <c r="A124" s="257" t="str">
        <f>IFERROR(__xludf.DUMMYFUNCTION("""COMPUTED_VALUE"""),"usage_data_count_past_120days")</f>
        <v>usage_data_count_past_120days</v>
      </c>
      <c r="B124" s="258" t="str">
        <f>IFERROR(__xludf.DUMMYFUNCTION("""COMPUTED_VALUE"""),"Behavioral")</f>
        <v>Behavioral</v>
      </c>
      <c r="C124" s="258" t="str">
        <f>IFERROR(__xludf.DUMMYFUNCTION("""COMPUTED_VALUE"""),"Non-PII")</f>
        <v>Non-PII</v>
      </c>
      <c r="D124" s="258" t="str">
        <f>IFERROR(__xludf.DUMMYFUNCTION("""COMPUTED_VALUE"""),"Non-PII")</f>
        <v>Non-PII</v>
      </c>
      <c r="E124" s="258" t="str">
        <f>IFERROR(__xludf.DUMMYFUNCTION("""COMPUTED_VALUE"""),"Number of data usage used by the subscriber for the past 120 days (5th - 16th week)")</f>
        <v>Number of data usage used by the subscriber for the past 120 days (5th - 16th week)</v>
      </c>
      <c r="F124" s="258" t="str">
        <f>IFERROR(__xludf.DUMMYFUNCTION("""COMPUTED_VALUE"""),"Derived")</f>
        <v>Derived</v>
      </c>
      <c r="G124" s="258" t="str">
        <f>IFERROR(__xludf.DUMMYFUNCTION("""COMPUTED_VALUE"""),"integer")</f>
        <v>integer</v>
      </c>
      <c r="H124" s="258">
        <f>IFERROR(__xludf.DUMMYFUNCTION("""COMPUTED_VALUE"""),19.0)</f>
        <v>19</v>
      </c>
      <c r="I124" s="258" t="str">
        <f>IFERROR(__xludf.DUMMYFUNCTION("""COMPUTED_VALUE"""),"FVT")</f>
        <v>FVT</v>
      </c>
      <c r="J124" s="258" t="str">
        <f>IFERROR(__xludf.DUMMYFUNCTION("""COMPUTED_VALUE"""),"Daily")</f>
        <v>Daily</v>
      </c>
      <c r="K124" s="258" t="str">
        <f>IFERROR(__xludf.DUMMYFUNCTION("""COMPUTED_VALUE"""),"")</f>
        <v/>
      </c>
      <c r="L124" s="258" t="str">
        <f>IFERROR(__xludf.DUMMYFUNCTION("""COMPUTED_VALUE"""),"GHP, GHP-PREPAID, TM, PW")</f>
        <v>GHP, GHP-PREPAID, TM, PW</v>
      </c>
      <c r="M124" s="258" t="str">
        <f>IFERROR(__xludf.DUMMYFUNCTION("""COMPUTED_VALUE"""),"Consumer, EG, SG, In house, IBG Traveler")</f>
        <v>Consumer, EG, SG, In house, IBG Traveler</v>
      </c>
      <c r="N124" s="258" t="str">
        <f>IFERROR(__xludf.DUMMYFUNCTION("""COMPUTED_VALUE"""),"usage")</f>
        <v>usage</v>
      </c>
      <c r="O124" s="258" t="str">
        <f>IFERROR(__xludf.DUMMYFUNCTION("""COMPUTED_VALUE"""),"usage_profile")</f>
        <v>usage_profile</v>
      </c>
      <c r="P124" s="258"/>
    </row>
    <row r="125">
      <c r="A125" s="257" t="str">
        <f>IFERROR(__xludf.DUMMYFUNCTION("""COMPUTED_VALUE"""),"usage_total_amount_past_30days")</f>
        <v>usage_total_amount_past_30days</v>
      </c>
      <c r="B125" s="258" t="str">
        <f>IFERROR(__xludf.DUMMYFUNCTION("""COMPUTED_VALUE"""),"Behavioral")</f>
        <v>Behavioral</v>
      </c>
      <c r="C125" s="258" t="str">
        <f>IFERROR(__xludf.DUMMYFUNCTION("""COMPUTED_VALUE"""),"Non-PII")</f>
        <v>Non-PII</v>
      </c>
      <c r="D125" s="258" t="str">
        <f>IFERROR(__xludf.DUMMYFUNCTION("""COMPUTED_VALUE"""),"Non-PII")</f>
        <v>Non-PII</v>
      </c>
      <c r="E125" s="258" t="str">
        <f>IFERROR(__xludf.DUMMYFUNCTION("""COMPUTED_VALUE"""),"Total of usage amount used by the subscriber for the past 30 days")</f>
        <v>Total of usage amount used by the subscriber for the past 30 days</v>
      </c>
      <c r="F125" s="258" t="str">
        <f>IFERROR(__xludf.DUMMYFUNCTION("""COMPUTED_VALUE"""),"Derived")</f>
        <v>Derived</v>
      </c>
      <c r="G125" s="258" t="str">
        <f>IFERROR(__xludf.DUMMYFUNCTION("""COMPUTED_VALUE"""),"numeric(21,2)")</f>
        <v>numeric(21,2)</v>
      </c>
      <c r="H125" s="258">
        <f>IFERROR(__xludf.DUMMYFUNCTION("""COMPUTED_VALUE"""),23.0)</f>
        <v>23</v>
      </c>
      <c r="I125" s="258" t="str">
        <f>IFERROR(__xludf.DUMMYFUNCTION("""COMPUTED_VALUE"""),"FVT")</f>
        <v>FVT</v>
      </c>
      <c r="J125" s="258" t="str">
        <f>IFERROR(__xludf.DUMMYFUNCTION("""COMPUTED_VALUE"""),"Daily")</f>
        <v>Daily</v>
      </c>
      <c r="K125" s="258" t="str">
        <f>IFERROR(__xludf.DUMMYFUNCTION("""COMPUTED_VALUE"""),"")</f>
        <v/>
      </c>
      <c r="L125" s="258" t="str">
        <f>IFERROR(__xludf.DUMMYFUNCTION("""COMPUTED_VALUE"""),"GHP, GHP-PREPAID, TM, PW, GOMO, WIRELINE")</f>
        <v>GHP, GHP-PREPAID, TM, PW, GOMO, WIRELINE</v>
      </c>
      <c r="M125" s="258" t="str">
        <f>IFERROR(__xludf.DUMMYFUNCTION("""COMPUTED_VALUE"""),"Consumer, EG, SG, In house, IBG Traveler")</f>
        <v>Consumer, EG, SG, In house, IBG Traveler</v>
      </c>
      <c r="N125" s="258" t="str">
        <f>IFERROR(__xludf.DUMMYFUNCTION("""COMPUTED_VALUE"""),"usage")</f>
        <v>usage</v>
      </c>
      <c r="O125" s="258" t="str">
        <f>IFERROR(__xludf.DUMMYFUNCTION("""COMPUTED_VALUE"""),"usage_profile")</f>
        <v>usage_profile</v>
      </c>
      <c r="P125" s="258"/>
    </row>
    <row r="126">
      <c r="A126" s="257" t="str">
        <f>IFERROR(__xludf.DUMMYFUNCTION("""COMPUTED_VALUE"""),"network_monthly_top_1_voice_location_region")</f>
        <v>network_monthly_top_1_voice_location_region</v>
      </c>
      <c r="B126" s="258" t="str">
        <f>IFERROR(__xludf.DUMMYFUNCTION("""COMPUTED_VALUE"""),"Customer PII")</f>
        <v>Customer PII</v>
      </c>
      <c r="C126" s="258" t="str">
        <f>IFERROR(__xludf.DUMMYFUNCTION("""COMPUTED_VALUE"""),"Non-PII")</f>
        <v>Non-PII</v>
      </c>
      <c r="D126" s="258" t="str">
        <f>IFERROR(__xludf.DUMMYFUNCTION("""COMPUTED_VALUE"""),"Non-PII")</f>
        <v>Non-PII</v>
      </c>
      <c r="E126" s="258" t="str">
        <f>IFERROR(__xludf.DUMMYFUNCTION("""COMPUTED_VALUE"""),"Top 1 Location (Region) of the subscriber based on call/voice usages in 1 month")</f>
        <v>Top 1 Location (Region) of the subscriber based on call/voice usages in 1 month</v>
      </c>
      <c r="F126" s="258" t="str">
        <f>IFERROR(__xludf.DUMMYFUNCTION("""COMPUTED_VALUE"""),"Direct Pull")</f>
        <v>Direct Pull</v>
      </c>
      <c r="G126" s="258" t="str">
        <f>IFERROR(__xludf.DUMMYFUNCTION("""COMPUTED_VALUE"""),"varchar(1000)")</f>
        <v>varchar(1000)</v>
      </c>
      <c r="H126" s="258" t="str">
        <f>IFERROR(__xludf.DUMMYFUNCTION("""COMPUTED_VALUE"""),"NATIONAL CAPITAL REGION (NCR)")</f>
        <v>NATIONAL CAPITAL REGION (NCR)</v>
      </c>
      <c r="I126" s="258" t="str">
        <f>IFERROR(__xludf.DUMMYFUNCTION("""COMPUTED_VALUE"""),"Omni/VoC")</f>
        <v>Omni/VoC</v>
      </c>
      <c r="J126" s="258" t="str">
        <f>IFERROR(__xludf.DUMMYFUNCTION("""COMPUTED_VALUE"""),"Monthly")</f>
        <v>Monthly</v>
      </c>
      <c r="K126" s="258" t="str">
        <f>IFERROR(__xludf.DUMMYFUNCTION("""COMPUTED_VALUE"""),"")</f>
        <v/>
      </c>
      <c r="L126" s="258" t="str">
        <f>IFERROR(__xludf.DUMMYFUNCTION("""COMPUTED_VALUE"""),"GHP, GHP-PREPAID, TM, PW, GOMO, WIRELINE")</f>
        <v>GHP, GHP-PREPAID, TM, PW, GOMO, WIRELINE</v>
      </c>
      <c r="M126" s="258" t="str">
        <f>IFERROR(__xludf.DUMMYFUNCTION("""COMPUTED_VALUE"""),"Consumer, EG, SG, In house, IBG Traveler")</f>
        <v>Consumer, EG, SG, In house, IBG Traveler</v>
      </c>
      <c r="N126" s="258" t="str">
        <f>IFERROR(__xludf.DUMMYFUNCTION("""COMPUTED_VALUE"""),"network")</f>
        <v>network</v>
      </c>
      <c r="O126" s="258" t="str">
        <f>IFERROR(__xludf.DUMMYFUNCTION("""COMPUTED_VALUE"""),"network_profile")</f>
        <v>network_profile</v>
      </c>
      <c r="P126" s="258"/>
    </row>
    <row r="127">
      <c r="A127" s="257" t="str">
        <f>IFERROR(__xludf.DUMMYFUNCTION("""COMPUTED_VALUE"""),"network_monthly_top_1_voice_location_province")</f>
        <v>network_monthly_top_1_voice_location_province</v>
      </c>
      <c r="B127" s="258" t="str">
        <f>IFERROR(__xludf.DUMMYFUNCTION("""COMPUTED_VALUE"""),"Customer PII")</f>
        <v>Customer PII</v>
      </c>
      <c r="C127" s="258" t="str">
        <f>IFERROR(__xludf.DUMMYFUNCTION("""COMPUTED_VALUE"""),"Non-PII")</f>
        <v>Non-PII</v>
      </c>
      <c r="D127" s="258" t="str">
        <f>IFERROR(__xludf.DUMMYFUNCTION("""COMPUTED_VALUE"""),"Non-PII")</f>
        <v>Non-PII</v>
      </c>
      <c r="E127" s="258" t="str">
        <f>IFERROR(__xludf.DUMMYFUNCTION("""COMPUTED_VALUE"""),"Top 1 Location (Province) of the subscriber based on call/voice usages in 1 month")</f>
        <v>Top 1 Location (Province) of the subscriber based on call/voice usages in 1 month</v>
      </c>
      <c r="F127" s="258" t="str">
        <f>IFERROR(__xludf.DUMMYFUNCTION("""COMPUTED_VALUE"""),"Direct Pull")</f>
        <v>Direct Pull</v>
      </c>
      <c r="G127" s="258" t="str">
        <f>IFERROR(__xludf.DUMMYFUNCTION("""COMPUTED_VALUE"""),"varchar(1000)")</f>
        <v>varchar(1000)</v>
      </c>
      <c r="H127" s="258" t="str">
        <f>IFERROR(__xludf.DUMMYFUNCTION("""COMPUTED_VALUE"""),"NCR, SECOND DISTRICT (Not a Province)")</f>
        <v>NCR, SECOND DISTRICT (Not a Province)</v>
      </c>
      <c r="I127" s="258" t="str">
        <f>IFERROR(__xludf.DUMMYFUNCTION("""COMPUTED_VALUE"""),"Omni/VoC")</f>
        <v>Omni/VoC</v>
      </c>
      <c r="J127" s="258" t="str">
        <f>IFERROR(__xludf.DUMMYFUNCTION("""COMPUTED_VALUE"""),"Monthly")</f>
        <v>Monthly</v>
      </c>
      <c r="K127" s="258" t="str">
        <f>IFERROR(__xludf.DUMMYFUNCTION("""COMPUTED_VALUE"""),"")</f>
        <v/>
      </c>
      <c r="L127" s="258" t="str">
        <f>IFERROR(__xludf.DUMMYFUNCTION("""COMPUTED_VALUE"""),"GHP, GHP-PREPAID, TM, PW, GOMO, WIRELINE")</f>
        <v>GHP, GHP-PREPAID, TM, PW, GOMO, WIRELINE</v>
      </c>
      <c r="M127" s="258" t="str">
        <f>IFERROR(__xludf.DUMMYFUNCTION("""COMPUTED_VALUE"""),"Consumer, EG, SG, In house, IBG Traveler")</f>
        <v>Consumer, EG, SG, In house, IBG Traveler</v>
      </c>
      <c r="N127" s="258" t="str">
        <f>IFERROR(__xludf.DUMMYFUNCTION("""COMPUTED_VALUE"""),"network")</f>
        <v>network</v>
      </c>
      <c r="O127" s="258" t="str">
        <f>IFERROR(__xludf.DUMMYFUNCTION("""COMPUTED_VALUE"""),"network_profile")</f>
        <v>network_profile</v>
      </c>
      <c r="P127" s="258"/>
    </row>
    <row r="128">
      <c r="A128" s="257" t="str">
        <f>IFERROR(__xludf.DUMMYFUNCTION("""COMPUTED_VALUE"""),"network_monthly_top_1_voice_location_town")</f>
        <v>network_monthly_top_1_voice_location_town</v>
      </c>
      <c r="B128" s="258" t="str">
        <f>IFERROR(__xludf.DUMMYFUNCTION("""COMPUTED_VALUE"""),"Customer PII")</f>
        <v>Customer PII</v>
      </c>
      <c r="C128" s="258" t="str">
        <f>IFERROR(__xludf.DUMMYFUNCTION("""COMPUTED_VALUE"""),"Non-PII")</f>
        <v>Non-PII</v>
      </c>
      <c r="D128" s="258" t="str">
        <f>IFERROR(__xludf.DUMMYFUNCTION("""COMPUTED_VALUE"""),"Non-PII")</f>
        <v>Non-PII</v>
      </c>
      <c r="E128" s="258" t="str">
        <f>IFERROR(__xludf.DUMMYFUNCTION("""COMPUTED_VALUE"""),"Top 1 Location (Town) of the subscriber based on call/voice usages in 1 month")</f>
        <v>Top 1 Location (Town) of the subscriber based on call/voice usages in 1 month</v>
      </c>
      <c r="F128" s="258" t="str">
        <f>IFERROR(__xludf.DUMMYFUNCTION("""COMPUTED_VALUE"""),"Direct Pull")</f>
        <v>Direct Pull</v>
      </c>
      <c r="G128" s="258" t="str">
        <f>IFERROR(__xludf.DUMMYFUNCTION("""COMPUTED_VALUE"""),"varchar(1000)")</f>
        <v>varchar(1000)</v>
      </c>
      <c r="H128" s="258" t="str">
        <f>IFERROR(__xludf.DUMMYFUNCTION("""COMPUTED_VALUE"""),"QUEZON CITY")</f>
        <v>QUEZON CITY</v>
      </c>
      <c r="I128" s="258" t="str">
        <f>IFERROR(__xludf.DUMMYFUNCTION("""COMPUTED_VALUE"""),"Omni/VoC")</f>
        <v>Omni/VoC</v>
      </c>
      <c r="J128" s="258" t="str">
        <f>IFERROR(__xludf.DUMMYFUNCTION("""COMPUTED_VALUE"""),"Monthly")</f>
        <v>Monthly</v>
      </c>
      <c r="K128" s="258" t="str">
        <f>IFERROR(__xludf.DUMMYFUNCTION("""COMPUTED_VALUE"""),"")</f>
        <v/>
      </c>
      <c r="L128" s="258" t="str">
        <f>IFERROR(__xludf.DUMMYFUNCTION("""COMPUTED_VALUE"""),"GHP, GHP-PREPAID, TM, PW, GOMO, WIRELINE")</f>
        <v>GHP, GHP-PREPAID, TM, PW, GOMO, WIRELINE</v>
      </c>
      <c r="M128" s="258" t="str">
        <f>IFERROR(__xludf.DUMMYFUNCTION("""COMPUTED_VALUE"""),"Consumer, EG, SG, In house, IBG Traveler")</f>
        <v>Consumer, EG, SG, In house, IBG Traveler</v>
      </c>
      <c r="N128" s="258" t="str">
        <f>IFERROR(__xludf.DUMMYFUNCTION("""COMPUTED_VALUE"""),"network")</f>
        <v>network</v>
      </c>
      <c r="O128" s="258" t="str">
        <f>IFERROR(__xludf.DUMMYFUNCTION("""COMPUTED_VALUE"""),"network_profile")</f>
        <v>network_profile</v>
      </c>
      <c r="P128" s="258"/>
    </row>
    <row r="129">
      <c r="A129" s="257" t="str">
        <f>IFERROR(__xludf.DUMMYFUNCTION("""COMPUTED_VALUE"""),"network_monthly_top_1_voice_location_barangay")</f>
        <v>network_monthly_top_1_voice_location_barangay</v>
      </c>
      <c r="B129" s="258" t="str">
        <f>IFERROR(__xludf.DUMMYFUNCTION("""COMPUTED_VALUE"""),"Customer PII")</f>
        <v>Customer PII</v>
      </c>
      <c r="C129" s="258" t="str">
        <f>IFERROR(__xludf.DUMMYFUNCTION("""COMPUTED_VALUE"""),"Non-PII")</f>
        <v>Non-PII</v>
      </c>
      <c r="D129" s="258" t="str">
        <f>IFERROR(__xludf.DUMMYFUNCTION("""COMPUTED_VALUE"""),"Non-PII")</f>
        <v>Non-PII</v>
      </c>
      <c r="E129" s="258" t="str">
        <f>IFERROR(__xludf.DUMMYFUNCTION("""COMPUTED_VALUE"""),"Top 1 Location (Barangay) of the subscriber based on call/voice usages in 1 month")</f>
        <v>Top 1 Location (Barangay) of the subscriber based on call/voice usages in 1 month</v>
      </c>
      <c r="F129" s="258" t="str">
        <f>IFERROR(__xludf.DUMMYFUNCTION("""COMPUTED_VALUE"""),"Direct Pull")</f>
        <v>Direct Pull</v>
      </c>
      <c r="G129" s="258" t="str">
        <f>IFERROR(__xludf.DUMMYFUNCTION("""COMPUTED_VALUE"""),"varchar(1000)")</f>
        <v>varchar(1000)</v>
      </c>
      <c r="H129" s="258" t="str">
        <f>IFERROR(__xludf.DUMMYFUNCTION("""COMPUTED_VALUE"""),"Camp Aguinaldo")</f>
        <v>Camp Aguinaldo</v>
      </c>
      <c r="I129" s="258" t="str">
        <f>IFERROR(__xludf.DUMMYFUNCTION("""COMPUTED_VALUE"""),"Omni/VoC")</f>
        <v>Omni/VoC</v>
      </c>
      <c r="J129" s="258" t="str">
        <f>IFERROR(__xludf.DUMMYFUNCTION("""COMPUTED_VALUE"""),"Monthly")</f>
        <v>Monthly</v>
      </c>
      <c r="K129" s="258" t="str">
        <f>IFERROR(__xludf.DUMMYFUNCTION("""COMPUTED_VALUE"""),"")</f>
        <v/>
      </c>
      <c r="L129" s="258" t="str">
        <f>IFERROR(__xludf.DUMMYFUNCTION("""COMPUTED_VALUE"""),"GHP, GHP-PREPAID, TM, PW, GOMO, WIRELINE")</f>
        <v>GHP, GHP-PREPAID, TM, PW, GOMO, WIRELINE</v>
      </c>
      <c r="M129" s="258" t="str">
        <f>IFERROR(__xludf.DUMMYFUNCTION("""COMPUTED_VALUE"""),"Consumer, EG, SG, In house, IBG Traveler")</f>
        <v>Consumer, EG, SG, In house, IBG Traveler</v>
      </c>
      <c r="N129" s="258" t="str">
        <f>IFERROR(__xludf.DUMMYFUNCTION("""COMPUTED_VALUE"""),"network")</f>
        <v>network</v>
      </c>
      <c r="O129" s="258" t="str">
        <f>IFERROR(__xludf.DUMMYFUNCTION("""COMPUTED_VALUE"""),"network_profile")</f>
        <v>network_profile</v>
      </c>
      <c r="P129" s="258"/>
    </row>
    <row r="130">
      <c r="A130" s="257" t="str">
        <f>IFERROR(__xludf.DUMMYFUNCTION("""COMPUTED_VALUE"""),"network_monthly_top_1_sms_location_region")</f>
        <v>network_monthly_top_1_sms_location_region</v>
      </c>
      <c r="B130" s="258" t="str">
        <f>IFERROR(__xludf.DUMMYFUNCTION("""COMPUTED_VALUE"""),"Customer PII")</f>
        <v>Customer PII</v>
      </c>
      <c r="C130" s="258" t="str">
        <f>IFERROR(__xludf.DUMMYFUNCTION("""COMPUTED_VALUE"""),"Non-PII")</f>
        <v>Non-PII</v>
      </c>
      <c r="D130" s="258" t="str">
        <f>IFERROR(__xludf.DUMMYFUNCTION("""COMPUTED_VALUE"""),"Non-PII")</f>
        <v>Non-PII</v>
      </c>
      <c r="E130" s="258" t="str">
        <f>IFERROR(__xludf.DUMMYFUNCTION("""COMPUTED_VALUE"""),"Top 1 Location (Region) of the subscriber based on SMS usages in 1 month")</f>
        <v>Top 1 Location (Region) of the subscriber based on SMS usages in 1 month</v>
      </c>
      <c r="F130" s="258" t="str">
        <f>IFERROR(__xludf.DUMMYFUNCTION("""COMPUTED_VALUE"""),"Direct Pull")</f>
        <v>Direct Pull</v>
      </c>
      <c r="G130" s="258" t="str">
        <f>IFERROR(__xludf.DUMMYFUNCTION("""COMPUTED_VALUE"""),"varchar(1000)")</f>
        <v>varchar(1000)</v>
      </c>
      <c r="H130" s="258" t="str">
        <f>IFERROR(__xludf.DUMMYFUNCTION("""COMPUTED_VALUE"""),"REGION XIII (Caraga)")</f>
        <v>REGION XIII (Caraga)</v>
      </c>
      <c r="I130" s="258" t="str">
        <f>IFERROR(__xludf.DUMMYFUNCTION("""COMPUTED_VALUE"""),"Omni/VoC")</f>
        <v>Omni/VoC</v>
      </c>
      <c r="J130" s="258" t="str">
        <f>IFERROR(__xludf.DUMMYFUNCTION("""COMPUTED_VALUE"""),"Monthly")</f>
        <v>Monthly</v>
      </c>
      <c r="K130" s="258" t="str">
        <f>IFERROR(__xludf.DUMMYFUNCTION("""COMPUTED_VALUE"""),"")</f>
        <v/>
      </c>
      <c r="L130" s="258" t="str">
        <f>IFERROR(__xludf.DUMMYFUNCTION("""COMPUTED_VALUE"""),"GHP, GHP-PREPAID, TM, PW, GOMO, WIRELINE")</f>
        <v>GHP, GHP-PREPAID, TM, PW, GOMO, WIRELINE</v>
      </c>
      <c r="M130" s="258" t="str">
        <f>IFERROR(__xludf.DUMMYFUNCTION("""COMPUTED_VALUE"""),"Consumer, EG, SG, In house, IBG Traveler")</f>
        <v>Consumer, EG, SG, In house, IBG Traveler</v>
      </c>
      <c r="N130" s="258" t="str">
        <f>IFERROR(__xludf.DUMMYFUNCTION("""COMPUTED_VALUE"""),"network")</f>
        <v>network</v>
      </c>
      <c r="O130" s="258" t="str">
        <f>IFERROR(__xludf.DUMMYFUNCTION("""COMPUTED_VALUE"""),"network_profile")</f>
        <v>network_profile</v>
      </c>
      <c r="P130" s="258"/>
    </row>
    <row r="131">
      <c r="A131" s="257" t="str">
        <f>IFERROR(__xludf.DUMMYFUNCTION("""COMPUTED_VALUE"""),"network_monthly_top_1_sms_location_province")</f>
        <v>network_monthly_top_1_sms_location_province</v>
      </c>
      <c r="B131" s="258" t="str">
        <f>IFERROR(__xludf.DUMMYFUNCTION("""COMPUTED_VALUE"""),"Customer PII")</f>
        <v>Customer PII</v>
      </c>
      <c r="C131" s="258" t="str">
        <f>IFERROR(__xludf.DUMMYFUNCTION("""COMPUTED_VALUE"""),"Non-PII")</f>
        <v>Non-PII</v>
      </c>
      <c r="D131" s="258" t="str">
        <f>IFERROR(__xludf.DUMMYFUNCTION("""COMPUTED_VALUE"""),"Non-PII")</f>
        <v>Non-PII</v>
      </c>
      <c r="E131" s="258" t="str">
        <f>IFERROR(__xludf.DUMMYFUNCTION("""COMPUTED_VALUE"""),"Top 1 Location (Province) of the subscriber based on SMS usages in 1 month")</f>
        <v>Top 1 Location (Province) of the subscriber based on SMS usages in 1 month</v>
      </c>
      <c r="F131" s="258" t="str">
        <f>IFERROR(__xludf.DUMMYFUNCTION("""COMPUTED_VALUE"""),"Direct Pull")</f>
        <v>Direct Pull</v>
      </c>
      <c r="G131" s="258" t="str">
        <f>IFERROR(__xludf.DUMMYFUNCTION("""COMPUTED_VALUE"""),"varchar(1000)")</f>
        <v>varchar(1000)</v>
      </c>
      <c r="H131" s="258" t="str">
        <f>IFERROR(__xludf.DUMMYFUNCTION("""COMPUTED_VALUE"""),"AGUSAN DEL NORTE")</f>
        <v>AGUSAN DEL NORTE</v>
      </c>
      <c r="I131" s="258" t="str">
        <f>IFERROR(__xludf.DUMMYFUNCTION("""COMPUTED_VALUE"""),"Omni/VoC")</f>
        <v>Omni/VoC</v>
      </c>
      <c r="J131" s="258" t="str">
        <f>IFERROR(__xludf.DUMMYFUNCTION("""COMPUTED_VALUE"""),"Monthly")</f>
        <v>Monthly</v>
      </c>
      <c r="K131" s="258" t="str">
        <f>IFERROR(__xludf.DUMMYFUNCTION("""COMPUTED_VALUE"""),"")</f>
        <v/>
      </c>
      <c r="L131" s="258" t="str">
        <f>IFERROR(__xludf.DUMMYFUNCTION("""COMPUTED_VALUE"""),"GHP, GHP-PREPAID, TM, PW, GOMO, WIRELINE")</f>
        <v>GHP, GHP-PREPAID, TM, PW, GOMO, WIRELINE</v>
      </c>
      <c r="M131" s="258" t="str">
        <f>IFERROR(__xludf.DUMMYFUNCTION("""COMPUTED_VALUE"""),"Consumer, EG, SG, In house, IBG Traveler")</f>
        <v>Consumer, EG, SG, In house, IBG Traveler</v>
      </c>
      <c r="N131" s="258" t="str">
        <f>IFERROR(__xludf.DUMMYFUNCTION("""COMPUTED_VALUE"""),"network")</f>
        <v>network</v>
      </c>
      <c r="O131" s="258" t="str">
        <f>IFERROR(__xludf.DUMMYFUNCTION("""COMPUTED_VALUE"""),"network_profile")</f>
        <v>network_profile</v>
      </c>
      <c r="P131" s="258"/>
    </row>
    <row r="132">
      <c r="A132" s="257" t="str">
        <f>IFERROR(__xludf.DUMMYFUNCTION("""COMPUTED_VALUE"""),"network_monthly_top_1_sms_location_town")</f>
        <v>network_monthly_top_1_sms_location_town</v>
      </c>
      <c r="B132" s="258" t="str">
        <f>IFERROR(__xludf.DUMMYFUNCTION("""COMPUTED_VALUE"""),"Customer PII")</f>
        <v>Customer PII</v>
      </c>
      <c r="C132" s="258" t="str">
        <f>IFERROR(__xludf.DUMMYFUNCTION("""COMPUTED_VALUE"""),"Non-PII")</f>
        <v>Non-PII</v>
      </c>
      <c r="D132" s="258" t="str">
        <f>IFERROR(__xludf.DUMMYFUNCTION("""COMPUTED_VALUE"""),"Non-PII")</f>
        <v>Non-PII</v>
      </c>
      <c r="E132" s="258" t="str">
        <f>IFERROR(__xludf.DUMMYFUNCTION("""COMPUTED_VALUE"""),"Top 1 Location (Town) of the subscriber based on SMS usage sin 1 month")</f>
        <v>Top 1 Location (Town) of the subscriber based on SMS usage sin 1 month</v>
      </c>
      <c r="F132" s="258" t="str">
        <f>IFERROR(__xludf.DUMMYFUNCTION("""COMPUTED_VALUE"""),"Direct Pull")</f>
        <v>Direct Pull</v>
      </c>
      <c r="G132" s="258" t="str">
        <f>IFERROR(__xludf.DUMMYFUNCTION("""COMPUTED_VALUE"""),"varchar(1000)")</f>
        <v>varchar(1000)</v>
      </c>
      <c r="H132" s="258" t="str">
        <f>IFERROR(__xludf.DUMMYFUNCTION("""COMPUTED_VALUE"""),"CITY OF BUTUAN (Capital)")</f>
        <v>CITY OF BUTUAN (Capital)</v>
      </c>
      <c r="I132" s="258" t="str">
        <f>IFERROR(__xludf.DUMMYFUNCTION("""COMPUTED_VALUE"""),"Omni/VoC")</f>
        <v>Omni/VoC</v>
      </c>
      <c r="J132" s="258" t="str">
        <f>IFERROR(__xludf.DUMMYFUNCTION("""COMPUTED_VALUE"""),"Monthly")</f>
        <v>Monthly</v>
      </c>
      <c r="K132" s="258" t="str">
        <f>IFERROR(__xludf.DUMMYFUNCTION("""COMPUTED_VALUE"""),"")</f>
        <v/>
      </c>
      <c r="L132" s="258" t="str">
        <f>IFERROR(__xludf.DUMMYFUNCTION("""COMPUTED_VALUE"""),"GHP, GHP-PREPAID, TM, PW, GOMO, WIRELINE")</f>
        <v>GHP, GHP-PREPAID, TM, PW, GOMO, WIRELINE</v>
      </c>
      <c r="M132" s="258" t="str">
        <f>IFERROR(__xludf.DUMMYFUNCTION("""COMPUTED_VALUE"""),"Consumer, EG, SG, In house, IBG Traveler")</f>
        <v>Consumer, EG, SG, In house, IBG Traveler</v>
      </c>
      <c r="N132" s="258" t="str">
        <f>IFERROR(__xludf.DUMMYFUNCTION("""COMPUTED_VALUE"""),"network")</f>
        <v>network</v>
      </c>
      <c r="O132" s="258" t="str">
        <f>IFERROR(__xludf.DUMMYFUNCTION("""COMPUTED_VALUE"""),"network_profile")</f>
        <v>network_profile</v>
      </c>
      <c r="P132" s="258"/>
    </row>
    <row r="133">
      <c r="A133" s="257" t="str">
        <f>IFERROR(__xludf.DUMMYFUNCTION("""COMPUTED_VALUE"""),"network_monthly_top_1_sms_location_barangay")</f>
        <v>network_monthly_top_1_sms_location_barangay</v>
      </c>
      <c r="B133" s="258" t="str">
        <f>IFERROR(__xludf.DUMMYFUNCTION("""COMPUTED_VALUE"""),"Customer PII")</f>
        <v>Customer PII</v>
      </c>
      <c r="C133" s="258" t="str">
        <f>IFERROR(__xludf.DUMMYFUNCTION("""COMPUTED_VALUE"""),"Non-PII")</f>
        <v>Non-PII</v>
      </c>
      <c r="D133" s="258" t="str">
        <f>IFERROR(__xludf.DUMMYFUNCTION("""COMPUTED_VALUE"""),"Non-PII")</f>
        <v>Non-PII</v>
      </c>
      <c r="E133" s="258" t="str">
        <f>IFERROR(__xludf.DUMMYFUNCTION("""COMPUTED_VALUE"""),"Top 1 Location (Barangay) of the subscriber based on SMS usages in 1 month")</f>
        <v>Top 1 Location (Barangay) of the subscriber based on SMS usages in 1 month</v>
      </c>
      <c r="F133" s="258" t="str">
        <f>IFERROR(__xludf.DUMMYFUNCTION("""COMPUTED_VALUE"""),"Direct Pull")</f>
        <v>Direct Pull</v>
      </c>
      <c r="G133" s="258" t="str">
        <f>IFERROR(__xludf.DUMMYFUNCTION("""COMPUTED_VALUE"""),"varchar(1000)")</f>
        <v>varchar(1000)</v>
      </c>
      <c r="H133" s="258" t="str">
        <f>IFERROR(__xludf.DUMMYFUNCTION("""COMPUTED_VALUE"""),"Bayanihan Pob. (Bgy. 27)")</f>
        <v>Bayanihan Pob. (Bgy. 27)</v>
      </c>
      <c r="I133" s="258" t="str">
        <f>IFERROR(__xludf.DUMMYFUNCTION("""COMPUTED_VALUE"""),"Omni/VoC")</f>
        <v>Omni/VoC</v>
      </c>
      <c r="J133" s="258" t="str">
        <f>IFERROR(__xludf.DUMMYFUNCTION("""COMPUTED_VALUE"""),"Monthly")</f>
        <v>Monthly</v>
      </c>
      <c r="K133" s="258" t="str">
        <f>IFERROR(__xludf.DUMMYFUNCTION("""COMPUTED_VALUE"""),"")</f>
        <v/>
      </c>
      <c r="L133" s="258" t="str">
        <f>IFERROR(__xludf.DUMMYFUNCTION("""COMPUTED_VALUE"""),"GHP, GHP-PREPAID, TM, PW, GOMO, WIRELINE")</f>
        <v>GHP, GHP-PREPAID, TM, PW, GOMO, WIRELINE</v>
      </c>
      <c r="M133" s="258" t="str">
        <f>IFERROR(__xludf.DUMMYFUNCTION("""COMPUTED_VALUE"""),"Consumer, EG, SG, In house, IBG Traveler")</f>
        <v>Consumer, EG, SG, In house, IBG Traveler</v>
      </c>
      <c r="N133" s="258" t="str">
        <f>IFERROR(__xludf.DUMMYFUNCTION("""COMPUTED_VALUE"""),"network")</f>
        <v>network</v>
      </c>
      <c r="O133" s="258" t="str">
        <f>IFERROR(__xludf.DUMMYFUNCTION("""COMPUTED_VALUE"""),"network_profile")</f>
        <v>network_profile</v>
      </c>
      <c r="P133" s="258"/>
    </row>
    <row r="134">
      <c r="A134" s="257" t="str">
        <f>IFERROR(__xludf.DUMMYFUNCTION("""COMPUTED_VALUE"""),"network_monthly_top_1_data_location_region")</f>
        <v>network_monthly_top_1_data_location_region</v>
      </c>
      <c r="B134" s="258" t="str">
        <f>IFERROR(__xludf.DUMMYFUNCTION("""COMPUTED_VALUE"""),"Customer PII")</f>
        <v>Customer PII</v>
      </c>
      <c r="C134" s="258" t="str">
        <f>IFERROR(__xludf.DUMMYFUNCTION("""COMPUTED_VALUE"""),"Non-PII")</f>
        <v>Non-PII</v>
      </c>
      <c r="D134" s="258" t="str">
        <f>IFERROR(__xludf.DUMMYFUNCTION("""COMPUTED_VALUE"""),"Non-PII")</f>
        <v>Non-PII</v>
      </c>
      <c r="E134" s="258" t="str">
        <f>IFERROR(__xludf.DUMMYFUNCTION("""COMPUTED_VALUE"""),"Top 1 Location (Region) of the subscriber based on data usages in 1 month")</f>
        <v>Top 1 Location (Region) of the subscriber based on data usages in 1 month</v>
      </c>
      <c r="F134" s="258" t="str">
        <f>IFERROR(__xludf.DUMMYFUNCTION("""COMPUTED_VALUE"""),"Direct Pull")</f>
        <v>Direct Pull</v>
      </c>
      <c r="G134" s="258" t="str">
        <f>IFERROR(__xludf.DUMMYFUNCTION("""COMPUTED_VALUE"""),"varchar(1000)")</f>
        <v>varchar(1000)</v>
      </c>
      <c r="H134" s="258" t="str">
        <f>IFERROR(__xludf.DUMMYFUNCTION("""COMPUTED_VALUE"""),"NATIONAL CAPITAL REGION (NCR)")</f>
        <v>NATIONAL CAPITAL REGION (NCR)</v>
      </c>
      <c r="I134" s="258" t="str">
        <f>IFERROR(__xludf.DUMMYFUNCTION("""COMPUTED_VALUE"""),"Omni/VoC")</f>
        <v>Omni/VoC</v>
      </c>
      <c r="J134" s="258" t="str">
        <f>IFERROR(__xludf.DUMMYFUNCTION("""COMPUTED_VALUE"""),"Monthly")</f>
        <v>Monthly</v>
      </c>
      <c r="K134" s="258" t="str">
        <f>IFERROR(__xludf.DUMMYFUNCTION("""COMPUTED_VALUE"""),"")</f>
        <v/>
      </c>
      <c r="L134" s="258" t="str">
        <f>IFERROR(__xludf.DUMMYFUNCTION("""COMPUTED_VALUE"""),"GHP, GHP-PREPAID, TM, PW, GOMO, WIRELINE")</f>
        <v>GHP, GHP-PREPAID, TM, PW, GOMO, WIRELINE</v>
      </c>
      <c r="M134" s="258" t="str">
        <f>IFERROR(__xludf.DUMMYFUNCTION("""COMPUTED_VALUE"""),"Consumer, EG, SG, In house, IBG Traveler")</f>
        <v>Consumer, EG, SG, In house, IBG Traveler</v>
      </c>
      <c r="N134" s="258" t="str">
        <f>IFERROR(__xludf.DUMMYFUNCTION("""COMPUTED_VALUE"""),"network")</f>
        <v>network</v>
      </c>
      <c r="O134" s="258" t="str">
        <f>IFERROR(__xludf.DUMMYFUNCTION("""COMPUTED_VALUE"""),"network_profile")</f>
        <v>network_profile</v>
      </c>
      <c r="P134" s="258"/>
    </row>
    <row r="135">
      <c r="A135" s="257" t="str">
        <f>IFERROR(__xludf.DUMMYFUNCTION("""COMPUTED_VALUE"""),"network_monthly_top_1_data_location_province")</f>
        <v>network_monthly_top_1_data_location_province</v>
      </c>
      <c r="B135" s="258" t="str">
        <f>IFERROR(__xludf.DUMMYFUNCTION("""COMPUTED_VALUE"""),"Customer PII")</f>
        <v>Customer PII</v>
      </c>
      <c r="C135" s="258" t="str">
        <f>IFERROR(__xludf.DUMMYFUNCTION("""COMPUTED_VALUE"""),"Non-PII")</f>
        <v>Non-PII</v>
      </c>
      <c r="D135" s="258" t="str">
        <f>IFERROR(__xludf.DUMMYFUNCTION("""COMPUTED_VALUE"""),"Non-PII")</f>
        <v>Non-PII</v>
      </c>
      <c r="E135" s="258" t="str">
        <f>IFERROR(__xludf.DUMMYFUNCTION("""COMPUTED_VALUE"""),"Top 1 Location (Province) of the subscriber based on data usages in 1 month")</f>
        <v>Top 1 Location (Province) of the subscriber based on data usages in 1 month</v>
      </c>
      <c r="F135" s="258" t="str">
        <f>IFERROR(__xludf.DUMMYFUNCTION("""COMPUTED_VALUE"""),"Direct Pull")</f>
        <v>Direct Pull</v>
      </c>
      <c r="G135" s="258" t="str">
        <f>IFERROR(__xludf.DUMMYFUNCTION("""COMPUTED_VALUE"""),"varchar(1000)")</f>
        <v>varchar(1000)</v>
      </c>
      <c r="H135" s="258" t="str">
        <f>IFERROR(__xludf.DUMMYFUNCTION("""COMPUTED_VALUE"""),"NCR, FOURTH DISTRICT (Not a Province)")</f>
        <v>NCR, FOURTH DISTRICT (Not a Province)</v>
      </c>
      <c r="I135" s="258" t="str">
        <f>IFERROR(__xludf.DUMMYFUNCTION("""COMPUTED_VALUE"""),"Omni/VoC")</f>
        <v>Omni/VoC</v>
      </c>
      <c r="J135" s="258" t="str">
        <f>IFERROR(__xludf.DUMMYFUNCTION("""COMPUTED_VALUE"""),"Monthly")</f>
        <v>Monthly</v>
      </c>
      <c r="K135" s="258" t="str">
        <f>IFERROR(__xludf.DUMMYFUNCTION("""COMPUTED_VALUE"""),"")</f>
        <v/>
      </c>
      <c r="L135" s="258" t="str">
        <f>IFERROR(__xludf.DUMMYFUNCTION("""COMPUTED_VALUE"""),"GHP, GHP-PREPAID, TM, PW, GOMO, WIRELINE")</f>
        <v>GHP, GHP-PREPAID, TM, PW, GOMO, WIRELINE</v>
      </c>
      <c r="M135" s="258" t="str">
        <f>IFERROR(__xludf.DUMMYFUNCTION("""COMPUTED_VALUE"""),"Consumer, EG, SG, In house, IBG Traveler")</f>
        <v>Consumer, EG, SG, In house, IBG Traveler</v>
      </c>
      <c r="N135" s="258" t="str">
        <f>IFERROR(__xludf.DUMMYFUNCTION("""COMPUTED_VALUE"""),"network")</f>
        <v>network</v>
      </c>
      <c r="O135" s="258" t="str">
        <f>IFERROR(__xludf.DUMMYFUNCTION("""COMPUTED_VALUE"""),"network_profile")</f>
        <v>network_profile</v>
      </c>
      <c r="P135" s="258"/>
    </row>
    <row r="136">
      <c r="A136" s="257" t="str">
        <f>IFERROR(__xludf.DUMMYFUNCTION("""COMPUTED_VALUE"""),"network_monthly_top_1_data_location_town")</f>
        <v>network_monthly_top_1_data_location_town</v>
      </c>
      <c r="B136" s="258" t="str">
        <f>IFERROR(__xludf.DUMMYFUNCTION("""COMPUTED_VALUE"""),"Customer PII")</f>
        <v>Customer PII</v>
      </c>
      <c r="C136" s="258" t="str">
        <f>IFERROR(__xludf.DUMMYFUNCTION("""COMPUTED_VALUE"""),"Non-PII")</f>
        <v>Non-PII</v>
      </c>
      <c r="D136" s="258" t="str">
        <f>IFERROR(__xludf.DUMMYFUNCTION("""COMPUTED_VALUE"""),"Non-PII")</f>
        <v>Non-PII</v>
      </c>
      <c r="E136" s="258" t="str">
        <f>IFERROR(__xludf.DUMMYFUNCTION("""COMPUTED_VALUE"""),"Top 1 Location (Town) of the subscriber based on data usages in 1 month")</f>
        <v>Top 1 Location (Town) of the subscriber based on data usages in 1 month</v>
      </c>
      <c r="F136" s="258" t="str">
        <f>IFERROR(__xludf.DUMMYFUNCTION("""COMPUTED_VALUE"""),"Direct Pull")</f>
        <v>Direct Pull</v>
      </c>
      <c r="G136" s="258" t="str">
        <f>IFERROR(__xludf.DUMMYFUNCTION("""COMPUTED_VALUE"""),"varchar(1000)")</f>
        <v>varchar(1000)</v>
      </c>
      <c r="H136" s="258" t="str">
        <f>IFERROR(__xludf.DUMMYFUNCTION("""COMPUTED_VALUE"""),"PASAY CITY")</f>
        <v>PASAY CITY</v>
      </c>
      <c r="I136" s="258" t="str">
        <f>IFERROR(__xludf.DUMMYFUNCTION("""COMPUTED_VALUE"""),"Omni/VoC")</f>
        <v>Omni/VoC</v>
      </c>
      <c r="J136" s="258" t="str">
        <f>IFERROR(__xludf.DUMMYFUNCTION("""COMPUTED_VALUE"""),"Monthly")</f>
        <v>Monthly</v>
      </c>
      <c r="K136" s="258" t="str">
        <f>IFERROR(__xludf.DUMMYFUNCTION("""COMPUTED_VALUE"""),"")</f>
        <v/>
      </c>
      <c r="L136" s="258" t="str">
        <f>IFERROR(__xludf.DUMMYFUNCTION("""COMPUTED_VALUE"""),"GHP, GHP-PREPAID, TM, PW, GOMO, WIRELINE")</f>
        <v>GHP, GHP-PREPAID, TM, PW, GOMO, WIRELINE</v>
      </c>
      <c r="M136" s="258" t="str">
        <f>IFERROR(__xludf.DUMMYFUNCTION("""COMPUTED_VALUE"""),"Consumer, EG, SG, In house, IBG Traveler")</f>
        <v>Consumer, EG, SG, In house, IBG Traveler</v>
      </c>
      <c r="N136" s="258" t="str">
        <f>IFERROR(__xludf.DUMMYFUNCTION("""COMPUTED_VALUE"""),"network")</f>
        <v>network</v>
      </c>
      <c r="O136" s="258" t="str">
        <f>IFERROR(__xludf.DUMMYFUNCTION("""COMPUTED_VALUE"""),"network_profile")</f>
        <v>network_profile</v>
      </c>
      <c r="P136" s="258"/>
    </row>
    <row r="137">
      <c r="A137" s="257" t="str">
        <f>IFERROR(__xludf.DUMMYFUNCTION("""COMPUTED_VALUE"""),"network_monthly_top_1_data_location_barangay")</f>
        <v>network_monthly_top_1_data_location_barangay</v>
      </c>
      <c r="B137" s="258" t="str">
        <f>IFERROR(__xludf.DUMMYFUNCTION("""COMPUTED_VALUE"""),"Customer PII")</f>
        <v>Customer PII</v>
      </c>
      <c r="C137" s="258" t="str">
        <f>IFERROR(__xludf.DUMMYFUNCTION("""COMPUTED_VALUE"""),"Non-PII")</f>
        <v>Non-PII</v>
      </c>
      <c r="D137" s="258" t="str">
        <f>IFERROR(__xludf.DUMMYFUNCTION("""COMPUTED_VALUE"""),"Non-PII")</f>
        <v>Non-PII</v>
      </c>
      <c r="E137" s="258" t="str">
        <f>IFERROR(__xludf.DUMMYFUNCTION("""COMPUTED_VALUE"""),"Top 1 Location (Barangay) of the subscriber based on data usages in 1 month")</f>
        <v>Top 1 Location (Barangay) of the subscriber based on data usages in 1 month</v>
      </c>
      <c r="F137" s="258" t="str">
        <f>IFERROR(__xludf.DUMMYFUNCTION("""COMPUTED_VALUE"""),"Direct Pull")</f>
        <v>Direct Pull</v>
      </c>
      <c r="G137" s="258" t="str">
        <f>IFERROR(__xludf.DUMMYFUNCTION("""COMPUTED_VALUE"""),"varchar(1000)")</f>
        <v>varchar(1000)</v>
      </c>
      <c r="H137" s="258" t="str">
        <f>IFERROR(__xludf.DUMMYFUNCTION("""COMPUTED_VALUE"""),"Barangay 169")</f>
        <v>Barangay 169</v>
      </c>
      <c r="I137" s="258" t="str">
        <f>IFERROR(__xludf.DUMMYFUNCTION("""COMPUTED_VALUE"""),"Omni/VoC")</f>
        <v>Omni/VoC</v>
      </c>
      <c r="J137" s="258" t="str">
        <f>IFERROR(__xludf.DUMMYFUNCTION("""COMPUTED_VALUE"""),"Monthly")</f>
        <v>Monthly</v>
      </c>
      <c r="K137" s="258" t="str">
        <f>IFERROR(__xludf.DUMMYFUNCTION("""COMPUTED_VALUE"""),"")</f>
        <v/>
      </c>
      <c r="L137" s="258" t="str">
        <f>IFERROR(__xludf.DUMMYFUNCTION("""COMPUTED_VALUE"""),"GHP, GHP-PREPAID, TM, PW, GOMO, WIRELINE")</f>
        <v>GHP, GHP-PREPAID, TM, PW, GOMO, WIRELINE</v>
      </c>
      <c r="M137" s="258" t="str">
        <f>IFERROR(__xludf.DUMMYFUNCTION("""COMPUTED_VALUE"""),"Consumer, EG, SG, In house, IBG Traveler")</f>
        <v>Consumer, EG, SG, In house, IBG Traveler</v>
      </c>
      <c r="N137" s="258" t="str">
        <f>IFERROR(__xludf.DUMMYFUNCTION("""COMPUTED_VALUE"""),"network")</f>
        <v>network</v>
      </c>
      <c r="O137" s="258" t="str">
        <f>IFERROR(__xludf.DUMMYFUNCTION("""COMPUTED_VALUE"""),"network_profile")</f>
        <v>network_profile</v>
      </c>
      <c r="P137" s="258"/>
    </row>
    <row r="138">
      <c r="A138" s="257" t="str">
        <f>IFERROR(__xludf.DUMMYFUNCTION("""COMPUTED_VALUE"""),"usage_projected_data_quantity_30days_mb")</f>
        <v>usage_projected_data_quantity_30days_mb</v>
      </c>
      <c r="B138" s="258" t="str">
        <f>IFERROR(__xludf.DUMMYFUNCTION("""COMPUTED_VALUE"""),"Behavioral")</f>
        <v>Behavioral</v>
      </c>
      <c r="C138" s="258" t="str">
        <f>IFERROR(__xludf.DUMMYFUNCTION("""COMPUTED_VALUE"""),"Non-PII")</f>
        <v>Non-PII</v>
      </c>
      <c r="D138" s="258" t="str">
        <f>IFERROR(__xludf.DUMMYFUNCTION("""COMPUTED_VALUE"""),"Non-PII")</f>
        <v>Non-PII</v>
      </c>
      <c r="E138" s="258" t="str">
        <f>IFERROR(__xludf.DUMMYFUNCTION("""COMPUTED_VALUE"""),"Projected data utilization of the subscriber for the bill cycle in megabytes (MB)")</f>
        <v>Projected data utilization of the subscriber for the bill cycle in megabytes (MB)</v>
      </c>
      <c r="F138" s="258" t="str">
        <f>IFERROR(__xludf.DUMMYFUNCTION("""COMPUTED_VALUE"""),"Derived")</f>
        <v>Derived</v>
      </c>
      <c r="G138" s="258" t="str">
        <f>IFERROR(__xludf.DUMMYFUNCTION("""COMPUTED_VALUE"""),"bigint")</f>
        <v>bigint</v>
      </c>
      <c r="H138" s="258">
        <f>IFERROR(__xludf.DUMMYFUNCTION("""COMPUTED_VALUE"""),140769.0)</f>
        <v>140769</v>
      </c>
      <c r="I138" s="258" t="str">
        <f>IFERROR(__xludf.DUMMYFUNCTION("""COMPUTED_VALUE"""),"FVT")</f>
        <v>FVT</v>
      </c>
      <c r="J138" s="258" t="str">
        <f>IFERROR(__xludf.DUMMYFUNCTION("""COMPUTED_VALUE"""),"Daily")</f>
        <v>Daily</v>
      </c>
      <c r="K138" s="258" t="str">
        <f>IFERROR(__xludf.DUMMYFUNCTION("""COMPUTED_VALUE"""),"")</f>
        <v/>
      </c>
      <c r="L138" s="258" t="str">
        <f>IFERROR(__xludf.DUMMYFUNCTION("""COMPUTED_VALUE"""),"GHP")</f>
        <v>GHP</v>
      </c>
      <c r="M138" s="258" t="str">
        <f>IFERROR(__xludf.DUMMYFUNCTION("""COMPUTED_VALUE"""),"Consumer, EG, SG, In house")</f>
        <v>Consumer, EG, SG, In house</v>
      </c>
      <c r="N138" s="258" t="str">
        <f>IFERROR(__xludf.DUMMYFUNCTION("""COMPUTED_VALUE"""),"usage")</f>
        <v>usage</v>
      </c>
      <c r="O138" s="258" t="str">
        <f>IFERROR(__xludf.DUMMYFUNCTION("""COMPUTED_VALUE"""),"usage_profile")</f>
        <v>usage_profile</v>
      </c>
      <c r="P138" s="258"/>
    </row>
    <row r="139">
      <c r="A139" s="257" t="str">
        <f>IFERROR(__xludf.DUMMYFUNCTION("""COMPUTED_VALUE"""),"online_gamer_indicator")</f>
        <v>online_gamer_indicator</v>
      </c>
      <c r="B139" s="258" t="str">
        <f>IFERROR(__xludf.DUMMYFUNCTION("""COMPUTED_VALUE"""),"Audience/Persona")</f>
        <v>Audience/Persona</v>
      </c>
      <c r="C139" s="258" t="str">
        <f>IFERROR(__xludf.DUMMYFUNCTION("""COMPUTED_VALUE"""),"Non-PII")</f>
        <v>Non-PII</v>
      </c>
      <c r="D139" s="258" t="str">
        <f>IFERROR(__xludf.DUMMYFUNCTION("""COMPUTED_VALUE"""),"Non-PII")</f>
        <v>Non-PII</v>
      </c>
      <c r="E139" s="258" t="str">
        <f>IFERROR(__xludf.DUMMYFUNCTION("""COMPUTED_VALUE"""),"Indicator if a subscriber plays Multiplayer Online Battle Arena (MOBA) games such as mobile_legends, genshin_impact, clash_royale
 For wireline subscribers, only subscriptions within Metro Manila (including some areas in Rizal) and with DSL, VDSL and GP"&amp;"ON technology value are covered.")</f>
        <v>Indicator if a subscriber plays Multiplayer Online Battle Arena (MOBA) games such as mobile_legends, genshin_impact, clash_royale
 For wireline subscribers, only subscriptions within Metro Manila (including some areas in Rizal) and with DSL, VDSL and GPON technology value are covered.</v>
      </c>
      <c r="F139" s="258" t="str">
        <f>IFERROR(__xludf.DUMMYFUNCTION("""COMPUTED_VALUE"""),"Inferred")</f>
        <v>Inferred</v>
      </c>
      <c r="G139" s="258" t="str">
        <f>IFERROR(__xludf.DUMMYFUNCTION("""COMPUTED_VALUE"""),"boolean")</f>
        <v>boolean</v>
      </c>
      <c r="H139" s="258" t="b">
        <f>IFERROR(__xludf.DUMMYFUNCTION("""COMPUTED_VALUE"""),TRUE)</f>
        <v>1</v>
      </c>
      <c r="I139" s="258" t="str">
        <f>IFERROR(__xludf.DUMMYFUNCTION("""COMPUTED_VALUE"""),"EDO-UUP")</f>
        <v>EDO-UUP</v>
      </c>
      <c r="J139" s="258" t="str">
        <f>IFERROR(__xludf.DUMMYFUNCTION("""COMPUTED_VALUE"""),"Monthly")</f>
        <v>Monthly</v>
      </c>
      <c r="K139" s="258" t="str">
        <f>IFERROR(__xludf.DUMMYFUNCTION("""COMPUTED_VALUE"""),"")</f>
        <v/>
      </c>
      <c r="L139" s="258" t="str">
        <f>IFERROR(__xludf.DUMMYFUNCTION("""COMPUTED_VALUE"""),"GHP, GHP-PREPAID, TM, PW, GOMO, WIRELINE, BAYAN, GLOBE")</f>
        <v>GHP, GHP-PREPAID, TM, PW, GOMO, WIRELINE, BAYAN, GLOBE</v>
      </c>
      <c r="M139" s="258" t="str">
        <f>IFERROR(__xludf.DUMMYFUNCTION("""COMPUTED_VALUE"""),"Consumer, EG, SG, In house, IBG Traveler")</f>
        <v>Consumer, EG, SG, In house, IBG Traveler</v>
      </c>
      <c r="N139" s="258" t="str">
        <f>IFERROR(__xludf.DUMMYFUNCTION("""COMPUTED_VALUE"""),"interest")</f>
        <v>interest</v>
      </c>
      <c r="O139" s="258" t="str">
        <f>IFERROR(__xludf.DUMMYFUNCTION("""COMPUTED_VALUE"""),"network_profile")</f>
        <v>network_profile</v>
      </c>
      <c r="P139" s="258"/>
    </row>
    <row r="140">
      <c r="A140" s="257" t="str">
        <f>IFERROR(__xludf.DUMMYFUNCTION("""COMPUTED_VALUE"""),"online_gamer_bucket")</f>
        <v>online_gamer_bucket</v>
      </c>
      <c r="B140" s="258" t="str">
        <f>IFERROR(__xludf.DUMMYFUNCTION("""COMPUTED_VALUE"""),"Audience/Persona")</f>
        <v>Audience/Persona</v>
      </c>
      <c r="C140" s="258" t="str">
        <f>IFERROR(__xludf.DUMMYFUNCTION("""COMPUTED_VALUE"""),"Non-PII")</f>
        <v>Non-PII</v>
      </c>
      <c r="D140" s="258" t="str">
        <f>IFERROR(__xludf.DUMMYFUNCTION("""COMPUTED_VALUE"""),"Non-PII")</f>
        <v>Non-PII</v>
      </c>
      <c r="E140" s="258" t="str">
        <f>IFERROR(__xludf.DUMMYFUNCTION("""COMPUTED_VALUE"""),"Bucketing based on identified metric for MOBA gamer profile
 Metric: Average Daily Data Burn in Megabytes in a Month
 Valid values: 
 LOW: &lt;=1.6 MB
 MID: &gt; 1.6 MB &amp; &lt;= 2.4 MB
 HIGH: &gt; 2.4 MB
 For wireline subscribers, only subscriptions within Metro M"&amp;"anila (including some areas in Rizal) and with DSL, VDSL and GPON technology value are covered.")</f>
        <v>Bucketing based on identified metric for MOBA gamer profile
 Metric: Average Daily Data Burn in Megabytes in a Month
 Valid values: 
 LOW: &lt;=1.6 MB
 MID: &gt; 1.6 MB &amp; &lt;= 2.4 MB
 HIGH: &gt; 2.4 MB
 For wireline subscribers, only subscriptions within Metro Manila (including some areas in Rizal) and with DSL, VDSL and GPON technology value are covered.</v>
      </c>
      <c r="F140" s="258" t="str">
        <f>IFERROR(__xludf.DUMMYFUNCTION("""COMPUTED_VALUE"""),"Inferred")</f>
        <v>Inferred</v>
      </c>
      <c r="G140" s="258" t="str">
        <f>IFERROR(__xludf.DUMMYFUNCTION("""COMPUTED_VALUE"""),"varchar(1000)")</f>
        <v>varchar(1000)</v>
      </c>
      <c r="H140" s="258" t="str">
        <f>IFERROR(__xludf.DUMMYFUNCTION("""COMPUTED_VALUE"""),"HIGH")</f>
        <v>HIGH</v>
      </c>
      <c r="I140" s="258" t="str">
        <f>IFERROR(__xludf.DUMMYFUNCTION("""COMPUTED_VALUE"""),"EDO-UUP")</f>
        <v>EDO-UUP</v>
      </c>
      <c r="J140" s="258" t="str">
        <f>IFERROR(__xludf.DUMMYFUNCTION("""COMPUTED_VALUE"""),"Monthly")</f>
        <v>Monthly</v>
      </c>
      <c r="K140" s="258" t="str">
        <f>IFERROR(__xludf.DUMMYFUNCTION("""COMPUTED_VALUE"""),"")</f>
        <v/>
      </c>
      <c r="L140" s="258" t="str">
        <f>IFERROR(__xludf.DUMMYFUNCTION("""COMPUTED_VALUE"""),"GHP, GHP-PREPAID, TM, PW, GOMO, WIRELINE, BAYAN, GLOBE")</f>
        <v>GHP, GHP-PREPAID, TM, PW, GOMO, WIRELINE, BAYAN, GLOBE</v>
      </c>
      <c r="M140" s="258" t="str">
        <f>IFERROR(__xludf.DUMMYFUNCTION("""COMPUTED_VALUE"""),"Consumer, EG, SG, In house, IBG Traveler")</f>
        <v>Consumer, EG, SG, In house, IBG Traveler</v>
      </c>
      <c r="N140" s="258" t="str">
        <f>IFERROR(__xludf.DUMMYFUNCTION("""COMPUTED_VALUE"""),"interest")</f>
        <v>interest</v>
      </c>
      <c r="O140" s="258" t="str">
        <f>IFERROR(__xludf.DUMMYFUNCTION("""COMPUTED_VALUE"""),"network_profile")</f>
        <v>network_profile</v>
      </c>
      <c r="P140" s="258"/>
    </row>
    <row r="141">
      <c r="A141" s="257" t="str">
        <f>IFERROR(__xludf.DUMMYFUNCTION("""COMPUTED_VALUE"""),"online_gamer_details")</f>
        <v>online_gamer_details</v>
      </c>
      <c r="B141" s="258" t="str">
        <f>IFERROR(__xludf.DUMMYFUNCTION("""COMPUTED_VALUE"""),"Audience/Persona")</f>
        <v>Audience/Persona</v>
      </c>
      <c r="C141" s="258" t="str">
        <f>IFERROR(__xludf.DUMMYFUNCTION("""COMPUTED_VALUE"""),"Non-PII")</f>
        <v>Non-PII</v>
      </c>
      <c r="D141" s="258" t="str">
        <f>IFERROR(__xludf.DUMMYFUNCTION("""COMPUTED_VALUE"""),"Non-PII")</f>
        <v>Non-PII</v>
      </c>
      <c r="E141" s="258" t="str">
        <f>IFERROR(__xludf.DUMMYFUNCTION("""COMPUTED_VALUE"""),"Metric used and value for the Online Gamer profile
 For wireline subscribers, only subscriptions within Metro Manila (including some areas in Rizal) and with DSL, VDSL and GPON technology value are covered.")</f>
        <v>Metric used and value for the Online Gamer profile
 For wireline subscribers, only subscriptions within Metro Manila (including some areas in Rizal) and with DSL, VDSL and GPON technology value are covered.</v>
      </c>
      <c r="F141" s="258" t="str">
        <f>IFERROR(__xludf.DUMMYFUNCTION("""COMPUTED_VALUE"""),"Inferred")</f>
        <v>Inferred</v>
      </c>
      <c r="G141" s="258" t="str">
        <f>IFERROR(__xludf.DUMMYFUNCTION("""COMPUTED_VALUE"""),"varchar(1000)")</f>
        <v>varchar(1000)</v>
      </c>
      <c r="H141" s="258" t="str">
        <f>IFERROR(__xludf.DUMMYFUNCTION("""COMPUTED_VALUE"""),"{“Average Daily Data Burn in Bytes in a Month”: 26999157}")</f>
        <v>{“Average Daily Data Burn in Bytes in a Month”: 26999157}</v>
      </c>
      <c r="I141" s="258" t="str">
        <f>IFERROR(__xludf.DUMMYFUNCTION("""COMPUTED_VALUE"""),"EDO-UUP")</f>
        <v>EDO-UUP</v>
      </c>
      <c r="J141" s="258" t="str">
        <f>IFERROR(__xludf.DUMMYFUNCTION("""COMPUTED_VALUE"""),"Monthly")</f>
        <v>Monthly</v>
      </c>
      <c r="K141" s="258" t="str">
        <f>IFERROR(__xludf.DUMMYFUNCTION("""COMPUTED_VALUE"""),"")</f>
        <v/>
      </c>
      <c r="L141" s="258" t="str">
        <f>IFERROR(__xludf.DUMMYFUNCTION("""COMPUTED_VALUE"""),"GHP, GHP-PREPAID, TM, PW, GOMO, WIRELINE, BAYAN, GLOBE")</f>
        <v>GHP, GHP-PREPAID, TM, PW, GOMO, WIRELINE, BAYAN, GLOBE</v>
      </c>
      <c r="M141" s="258" t="str">
        <f>IFERROR(__xludf.DUMMYFUNCTION("""COMPUTED_VALUE"""),"Consumer, EG, SG, In house, IBG Traveler")</f>
        <v>Consumer, EG, SG, In house, IBG Traveler</v>
      </c>
      <c r="N141" s="258" t="str">
        <f>IFERROR(__xludf.DUMMYFUNCTION("""COMPUTED_VALUE"""),"interest")</f>
        <v>interest</v>
      </c>
      <c r="O141" s="258" t="str">
        <f>IFERROR(__xludf.DUMMYFUNCTION("""COMPUTED_VALUE"""),"network_profile")</f>
        <v>network_profile</v>
      </c>
      <c r="P141" s="258"/>
    </row>
    <row r="142">
      <c r="A142" s="257" t="str">
        <f>IFERROR(__xludf.DUMMYFUNCTION("""COMPUTED_VALUE"""),"kpop_fan_indicator")</f>
        <v>kpop_fan_indicator</v>
      </c>
      <c r="B142" s="258" t="str">
        <f>IFERROR(__xludf.DUMMYFUNCTION("""COMPUTED_VALUE"""),"Audience/Persona")</f>
        <v>Audience/Persona</v>
      </c>
      <c r="C142" s="258" t="str">
        <f>IFERROR(__xludf.DUMMYFUNCTION("""COMPUTED_VALUE"""),"Non-PII")</f>
        <v>Non-PII</v>
      </c>
      <c r="D142" s="258" t="str">
        <f>IFERROR(__xludf.DUMMYFUNCTION("""COMPUTED_VALUE"""),"Non-PII")</f>
        <v>Non-PII</v>
      </c>
      <c r="E142" s="258" t="str">
        <f>IFERROR(__xludf.DUMMYFUNCTION("""COMPUTED_VALUE"""),"Indicator if a subscriber accesses websites or apps related to KPop or Korean culture such as allkpop, vlive, starplay
 For wireline subscribers, only subscriptions within Metro Manila (including some areas in Rizal) and with DSL, VDSL and GPON technolo"&amp;"gy value are covered.")</f>
        <v>Indicator if a subscriber accesses websites or apps related to KPop or Korean culture such as allkpop, vlive, starplay
 For wireline subscribers, only subscriptions within Metro Manila (including some areas in Rizal) and with DSL, VDSL and GPON technology value are covered.</v>
      </c>
      <c r="F142" s="258" t="str">
        <f>IFERROR(__xludf.DUMMYFUNCTION("""COMPUTED_VALUE"""),"Inferred")</f>
        <v>Inferred</v>
      </c>
      <c r="G142" s="258" t="str">
        <f>IFERROR(__xludf.DUMMYFUNCTION("""COMPUTED_VALUE"""),"boolean")</f>
        <v>boolean</v>
      </c>
      <c r="H142" s="258" t="b">
        <f>IFERROR(__xludf.DUMMYFUNCTION("""COMPUTED_VALUE"""),TRUE)</f>
        <v>1</v>
      </c>
      <c r="I142" s="258" t="str">
        <f>IFERROR(__xludf.DUMMYFUNCTION("""COMPUTED_VALUE"""),"EDO-UUP")</f>
        <v>EDO-UUP</v>
      </c>
      <c r="J142" s="258" t="str">
        <f>IFERROR(__xludf.DUMMYFUNCTION("""COMPUTED_VALUE"""),"Monthly")</f>
        <v>Monthly</v>
      </c>
      <c r="K142" s="258" t="str">
        <f>IFERROR(__xludf.DUMMYFUNCTION("""COMPUTED_VALUE"""),"")</f>
        <v/>
      </c>
      <c r="L142" s="258" t="str">
        <f>IFERROR(__xludf.DUMMYFUNCTION("""COMPUTED_VALUE"""),"GHP, GHP-PREPAID, TM, PW, GOMO, WIRELINE, BAYAN, GLOBE")</f>
        <v>GHP, GHP-PREPAID, TM, PW, GOMO, WIRELINE, BAYAN, GLOBE</v>
      </c>
      <c r="M142" s="258" t="str">
        <f>IFERROR(__xludf.DUMMYFUNCTION("""COMPUTED_VALUE"""),"Consumer, EG, SG, In house, IBG Traveler")</f>
        <v>Consumer, EG, SG, In house, IBG Traveler</v>
      </c>
      <c r="N142" s="258" t="str">
        <f>IFERROR(__xludf.DUMMYFUNCTION("""COMPUTED_VALUE"""),"interest")</f>
        <v>interest</v>
      </c>
      <c r="O142" s="258" t="str">
        <f>IFERROR(__xludf.DUMMYFUNCTION("""COMPUTED_VALUE"""),"network_profile")</f>
        <v>network_profile</v>
      </c>
      <c r="P142" s="258"/>
    </row>
    <row r="143">
      <c r="A143" s="257" t="str">
        <f>IFERROR(__xludf.DUMMYFUNCTION("""COMPUTED_VALUE"""),"kpop_fan_bucket")</f>
        <v>kpop_fan_bucket</v>
      </c>
      <c r="B143" s="258" t="str">
        <f>IFERROR(__xludf.DUMMYFUNCTION("""COMPUTED_VALUE"""),"Audience/Persona")</f>
        <v>Audience/Persona</v>
      </c>
      <c r="C143" s="258" t="str">
        <f>IFERROR(__xludf.DUMMYFUNCTION("""COMPUTED_VALUE"""),"Non-PII")</f>
        <v>Non-PII</v>
      </c>
      <c r="D143" s="258" t="str">
        <f>IFERROR(__xludf.DUMMYFUNCTION("""COMPUTED_VALUE"""),"Non-PII")</f>
        <v>Non-PII</v>
      </c>
      <c r="E143" s="258" t="str">
        <f>IFERROR(__xludf.DUMMYFUNCTION("""COMPUTED_VALUE"""),"Bucketing based on identified metric for KPOP fan profile
 Metric: Total Hits in a Month
 Valid values: 
 LOW: &lt;= 8 hits
 MID: &gt; 8 &amp; &lt;= 12 hits
 HIGH: &gt; 12 hits
 For wireline subscribers, only subscriptions within Metro Manila (including some areas in"&amp;" Rizal) and with DSL, VDSL and GPON technology value are covered.")</f>
        <v>Bucketing based on identified metric for KPOP fan profile
 Metric: Total Hits in a Month
 Valid values: 
 LOW: &lt;= 8 hits
 MID: &gt; 8 &amp; &lt;= 12 hits
 HIGH: &gt; 12 hits
 For wireline subscribers, only subscriptions within Metro Manila (including some areas in Rizal) and with DSL, VDSL and GPON technology value are covered.</v>
      </c>
      <c r="F143" s="258" t="str">
        <f>IFERROR(__xludf.DUMMYFUNCTION("""COMPUTED_VALUE"""),"Inferred")</f>
        <v>Inferred</v>
      </c>
      <c r="G143" s="258" t="str">
        <f>IFERROR(__xludf.DUMMYFUNCTION("""COMPUTED_VALUE"""),"varchar(1000)")</f>
        <v>varchar(1000)</v>
      </c>
      <c r="H143" s="258" t="str">
        <f>IFERROR(__xludf.DUMMYFUNCTION("""COMPUTED_VALUE"""),"HIGH")</f>
        <v>HIGH</v>
      </c>
      <c r="I143" s="258" t="str">
        <f>IFERROR(__xludf.DUMMYFUNCTION("""COMPUTED_VALUE"""),"EDO-UUP")</f>
        <v>EDO-UUP</v>
      </c>
      <c r="J143" s="258" t="str">
        <f>IFERROR(__xludf.DUMMYFUNCTION("""COMPUTED_VALUE"""),"Monthly")</f>
        <v>Monthly</v>
      </c>
      <c r="K143" s="258" t="str">
        <f>IFERROR(__xludf.DUMMYFUNCTION("""COMPUTED_VALUE"""),"")</f>
        <v/>
      </c>
      <c r="L143" s="258" t="str">
        <f>IFERROR(__xludf.DUMMYFUNCTION("""COMPUTED_VALUE"""),"GHP, GHP-PREPAID, TM, PW, GOMO, WIRELINE, BAYAN, GLOBE")</f>
        <v>GHP, GHP-PREPAID, TM, PW, GOMO, WIRELINE, BAYAN, GLOBE</v>
      </c>
      <c r="M143" s="258" t="str">
        <f>IFERROR(__xludf.DUMMYFUNCTION("""COMPUTED_VALUE"""),"Consumer, EG, SG, In house, IBG Traveler")</f>
        <v>Consumer, EG, SG, In house, IBG Traveler</v>
      </c>
      <c r="N143" s="258" t="str">
        <f>IFERROR(__xludf.DUMMYFUNCTION("""COMPUTED_VALUE"""),"interest")</f>
        <v>interest</v>
      </c>
      <c r="O143" s="258" t="str">
        <f>IFERROR(__xludf.DUMMYFUNCTION("""COMPUTED_VALUE"""),"network_profile")</f>
        <v>network_profile</v>
      </c>
      <c r="P143" s="258"/>
    </row>
    <row r="144">
      <c r="A144" s="257" t="str">
        <f>IFERROR(__xludf.DUMMYFUNCTION("""COMPUTED_VALUE"""),"kpop_fan_details")</f>
        <v>kpop_fan_details</v>
      </c>
      <c r="B144" s="258" t="str">
        <f>IFERROR(__xludf.DUMMYFUNCTION("""COMPUTED_VALUE"""),"Audience/Persona")</f>
        <v>Audience/Persona</v>
      </c>
      <c r="C144" s="258" t="str">
        <f>IFERROR(__xludf.DUMMYFUNCTION("""COMPUTED_VALUE"""),"Non-PII")</f>
        <v>Non-PII</v>
      </c>
      <c r="D144" s="258" t="str">
        <f>IFERROR(__xludf.DUMMYFUNCTION("""COMPUTED_VALUE"""),"Non-PII")</f>
        <v>Non-PII</v>
      </c>
      <c r="E144" s="258" t="str">
        <f>IFERROR(__xludf.DUMMYFUNCTION("""COMPUTED_VALUE"""),"Metric used and value for the KPop fan profile
 For wireline subscribers, only subscriptions within Metro Manila (including some areas in Rizal) and with DSL, VDSL and GPON technology value are covered.")</f>
        <v>Metric used and value for the KPop fan profile
 For wireline subscribers, only subscriptions within Metro Manila (including some areas in Rizal) and with DSL, VDSL and GPON technology value are covered.</v>
      </c>
      <c r="F144" s="258" t="str">
        <f>IFERROR(__xludf.DUMMYFUNCTION("""COMPUTED_VALUE"""),"Inferred")</f>
        <v>Inferred</v>
      </c>
      <c r="G144" s="258" t="str">
        <f>IFERROR(__xludf.DUMMYFUNCTION("""COMPUTED_VALUE"""),"varchar(1000)")</f>
        <v>varchar(1000)</v>
      </c>
      <c r="H144" s="258" t="str">
        <f>IFERROR(__xludf.DUMMYFUNCTION("""COMPUTED_VALUE"""),"{“Total hits in a Month”: 15}")</f>
        <v>{“Total hits in a Month”: 15}</v>
      </c>
      <c r="I144" s="258" t="str">
        <f>IFERROR(__xludf.DUMMYFUNCTION("""COMPUTED_VALUE"""),"EDO-UUP")</f>
        <v>EDO-UUP</v>
      </c>
      <c r="J144" s="258" t="str">
        <f>IFERROR(__xludf.DUMMYFUNCTION("""COMPUTED_VALUE"""),"Monthly")</f>
        <v>Monthly</v>
      </c>
      <c r="K144" s="258" t="str">
        <f>IFERROR(__xludf.DUMMYFUNCTION("""COMPUTED_VALUE"""),"")</f>
        <v/>
      </c>
      <c r="L144" s="258" t="str">
        <f>IFERROR(__xludf.DUMMYFUNCTION("""COMPUTED_VALUE"""),"GHP, GHP-PREPAID, TM, PW, GOMO, WIRELINE, BAYAN, GLOBE")</f>
        <v>GHP, GHP-PREPAID, TM, PW, GOMO, WIRELINE, BAYAN, GLOBE</v>
      </c>
      <c r="M144" s="258" t="str">
        <f>IFERROR(__xludf.DUMMYFUNCTION("""COMPUTED_VALUE"""),"Consumer, EG, SG, In house, IBG Traveler")</f>
        <v>Consumer, EG, SG, In house, IBG Traveler</v>
      </c>
      <c r="N144" s="258" t="str">
        <f>IFERROR(__xludf.DUMMYFUNCTION("""COMPUTED_VALUE"""),"interest")</f>
        <v>interest</v>
      </c>
      <c r="O144" s="258" t="str">
        <f>IFERROR(__xludf.DUMMYFUNCTION("""COMPUTED_VALUE"""),"network_profile")</f>
        <v>network_profile</v>
      </c>
      <c r="P144" s="258"/>
    </row>
    <row r="145">
      <c r="A145" s="257" t="str">
        <f>IFERROR(__xludf.DUMMYFUNCTION("""COMPUTED_VALUE"""),"music_streamer_indicator")</f>
        <v>music_streamer_indicator</v>
      </c>
      <c r="B145" s="258" t="str">
        <f>IFERROR(__xludf.DUMMYFUNCTION("""COMPUTED_VALUE"""),"Audience/Persona")</f>
        <v>Audience/Persona</v>
      </c>
      <c r="C145" s="258" t="str">
        <f>IFERROR(__xludf.DUMMYFUNCTION("""COMPUTED_VALUE"""),"Non-PII")</f>
        <v>Non-PII</v>
      </c>
      <c r="D145" s="258" t="str">
        <f>IFERROR(__xludf.DUMMYFUNCTION("""COMPUTED_VALUE"""),"Non-PII")</f>
        <v>Non-PII</v>
      </c>
      <c r="E145" s="258" t="str">
        <f>IFERROR(__xludf.DUMMYFUNCTION("""COMPUTED_VALUE"""),"Indicator if a subscriber streams music via music apps and sites such as Accuradio, Apple Music, Spotify
 For wireline subscribers, only subscriptions within Metro Manila (including some areas in Rizal) and with DSL, VDSL and GPON technology value are c"&amp;"overed.")</f>
        <v>Indicator if a subscriber streams music via music apps and sites such as Accuradio, Apple Music, Spotify
 For wireline subscribers, only subscriptions within Metro Manila (including some areas in Rizal) and with DSL, VDSL and GPON technology value are covered.</v>
      </c>
      <c r="F145" s="258" t="str">
        <f>IFERROR(__xludf.DUMMYFUNCTION("""COMPUTED_VALUE"""),"Inferred")</f>
        <v>Inferred</v>
      </c>
      <c r="G145" s="258" t="str">
        <f>IFERROR(__xludf.DUMMYFUNCTION("""COMPUTED_VALUE"""),"boolean")</f>
        <v>boolean</v>
      </c>
      <c r="H145" s="258" t="b">
        <f>IFERROR(__xludf.DUMMYFUNCTION("""COMPUTED_VALUE"""),TRUE)</f>
        <v>1</v>
      </c>
      <c r="I145" s="258" t="str">
        <f>IFERROR(__xludf.DUMMYFUNCTION("""COMPUTED_VALUE"""),"EDO-UUP")</f>
        <v>EDO-UUP</v>
      </c>
      <c r="J145" s="258" t="str">
        <f>IFERROR(__xludf.DUMMYFUNCTION("""COMPUTED_VALUE"""),"Monthly")</f>
        <v>Monthly</v>
      </c>
      <c r="K145" s="258" t="str">
        <f>IFERROR(__xludf.DUMMYFUNCTION("""COMPUTED_VALUE"""),"")</f>
        <v/>
      </c>
      <c r="L145" s="258" t="str">
        <f>IFERROR(__xludf.DUMMYFUNCTION("""COMPUTED_VALUE"""),"GHP, GHP-PREPAID, TM, PW, GOMO, WIRELINE, BAYAN, GLOBE")</f>
        <v>GHP, GHP-PREPAID, TM, PW, GOMO, WIRELINE, BAYAN, GLOBE</v>
      </c>
      <c r="M145" s="258" t="str">
        <f>IFERROR(__xludf.DUMMYFUNCTION("""COMPUTED_VALUE"""),"Consumer, EG, SG, In house, IBG Traveler")</f>
        <v>Consumer, EG, SG, In house, IBG Traveler</v>
      </c>
      <c r="N145" s="258" t="str">
        <f>IFERROR(__xludf.DUMMYFUNCTION("""COMPUTED_VALUE"""),"interest")</f>
        <v>interest</v>
      </c>
      <c r="O145" s="258" t="str">
        <f>IFERROR(__xludf.DUMMYFUNCTION("""COMPUTED_VALUE"""),"network_profile")</f>
        <v>network_profile</v>
      </c>
      <c r="P145" s="258"/>
    </row>
    <row r="146">
      <c r="A146" s="257" t="str">
        <f>IFERROR(__xludf.DUMMYFUNCTION("""COMPUTED_VALUE"""),"music_streamer_bucket")</f>
        <v>music_streamer_bucket</v>
      </c>
      <c r="B146" s="258" t="str">
        <f>IFERROR(__xludf.DUMMYFUNCTION("""COMPUTED_VALUE"""),"Audience/Persona")</f>
        <v>Audience/Persona</v>
      </c>
      <c r="C146" s="258" t="str">
        <f>IFERROR(__xludf.DUMMYFUNCTION("""COMPUTED_VALUE"""),"Non-PII")</f>
        <v>Non-PII</v>
      </c>
      <c r="D146" s="258" t="str">
        <f>IFERROR(__xludf.DUMMYFUNCTION("""COMPUTED_VALUE"""),"Non-PII")</f>
        <v>Non-PII</v>
      </c>
      <c r="E146" s="258" t="str">
        <f>IFERROR(__xludf.DUMMYFUNCTION("""COMPUTED_VALUE"""),"Bucketing based on identified metric for Music Streamer profile
 Metric: Average Daily Data Burn in a Month
 Valid values: 
 LOW: &lt;= 47,185,920 bytes
 MID: &gt; 47,185,920 &amp; &lt;= 160,432,128 bytes
 HIGH: &gt; 160,432,128 bytes
 For wireline subscribers, only "&amp;"subscriptions within Metro Manila (including some areas in Rizal) and with DSL, VDSL and GPON technology value are covered.")</f>
        <v>Bucketing based on identified metric for Music Streamer profile
 Metric: Average Daily Data Burn in a Month
 Valid values: 
 LOW: &lt;= 47,185,920 bytes
 MID: &gt; 47,185,920 &amp; &lt;= 160,432,128 bytes
 HIGH: &gt; 160,432,128 bytes
 For wireline subscribers, only subscriptions within Metro Manila (including some areas in Rizal) and with DSL, VDSL and GPON technology value are covered.</v>
      </c>
      <c r="F146" s="258" t="str">
        <f>IFERROR(__xludf.DUMMYFUNCTION("""COMPUTED_VALUE"""),"Inferred")</f>
        <v>Inferred</v>
      </c>
      <c r="G146" s="258" t="str">
        <f>IFERROR(__xludf.DUMMYFUNCTION("""COMPUTED_VALUE"""),"varchar(1000)")</f>
        <v>varchar(1000)</v>
      </c>
      <c r="H146" s="258" t="str">
        <f>IFERROR(__xludf.DUMMYFUNCTION("""COMPUTED_VALUE"""),"HIGH")</f>
        <v>HIGH</v>
      </c>
      <c r="I146" s="258" t="str">
        <f>IFERROR(__xludf.DUMMYFUNCTION("""COMPUTED_VALUE"""),"EDO-UUP")</f>
        <v>EDO-UUP</v>
      </c>
      <c r="J146" s="258" t="str">
        <f>IFERROR(__xludf.DUMMYFUNCTION("""COMPUTED_VALUE"""),"Monthly")</f>
        <v>Monthly</v>
      </c>
      <c r="K146" s="258" t="str">
        <f>IFERROR(__xludf.DUMMYFUNCTION("""COMPUTED_VALUE"""),"")</f>
        <v/>
      </c>
      <c r="L146" s="258" t="str">
        <f>IFERROR(__xludf.DUMMYFUNCTION("""COMPUTED_VALUE"""),"GHP, GHP-PREPAID, TM, PW, GOMO, WIRELINE, BAYAN, GLOBE")</f>
        <v>GHP, GHP-PREPAID, TM, PW, GOMO, WIRELINE, BAYAN, GLOBE</v>
      </c>
      <c r="M146" s="258" t="str">
        <f>IFERROR(__xludf.DUMMYFUNCTION("""COMPUTED_VALUE"""),"Consumer, EG, SG, In house, IBG Traveler")</f>
        <v>Consumer, EG, SG, In house, IBG Traveler</v>
      </c>
      <c r="N146" s="258" t="str">
        <f>IFERROR(__xludf.DUMMYFUNCTION("""COMPUTED_VALUE"""),"interest")</f>
        <v>interest</v>
      </c>
      <c r="O146" s="258" t="str">
        <f>IFERROR(__xludf.DUMMYFUNCTION("""COMPUTED_VALUE"""),"network_profile")</f>
        <v>network_profile</v>
      </c>
      <c r="P146" s="258"/>
    </row>
    <row r="147">
      <c r="A147" s="257" t="str">
        <f>IFERROR(__xludf.DUMMYFUNCTION("""COMPUTED_VALUE"""),"music_streamer_details")</f>
        <v>music_streamer_details</v>
      </c>
      <c r="B147" s="258" t="str">
        <f>IFERROR(__xludf.DUMMYFUNCTION("""COMPUTED_VALUE"""),"Audience/Persona")</f>
        <v>Audience/Persona</v>
      </c>
      <c r="C147" s="258" t="str">
        <f>IFERROR(__xludf.DUMMYFUNCTION("""COMPUTED_VALUE"""),"Non-PII")</f>
        <v>Non-PII</v>
      </c>
      <c r="D147" s="258" t="str">
        <f>IFERROR(__xludf.DUMMYFUNCTION("""COMPUTED_VALUE"""),"Non-PII")</f>
        <v>Non-PII</v>
      </c>
      <c r="E147" s="258" t="str">
        <f>IFERROR(__xludf.DUMMYFUNCTION("""COMPUTED_VALUE"""),"Metric used and value for the Music Streamer profile
 For wireline subscribers, only subscriptions within Metro Manila (including some areas in Rizal) and with DSL, VDSL and GPON technology value are covered.")</f>
        <v>Metric used and value for the Music Streamer profile
 For wireline subscribers, only subscriptions within Metro Manila (including some areas in Rizal) and with DSL, VDSL and GPON technology value are covered.</v>
      </c>
      <c r="F147" s="258" t="str">
        <f>IFERROR(__xludf.DUMMYFUNCTION("""COMPUTED_VALUE"""),"Inferred")</f>
        <v>Inferred</v>
      </c>
      <c r="G147" s="258" t="str">
        <f>IFERROR(__xludf.DUMMYFUNCTION("""COMPUTED_VALUE"""),"varchar(1000)")</f>
        <v>varchar(1000)</v>
      </c>
      <c r="H147" s="258" t="str">
        <f>IFERROR(__xludf.DUMMYFUNCTION("""COMPUTED_VALUE"""),"{""Average Daily Data Burn in a Month"": 28160502}")</f>
        <v>{"Average Daily Data Burn in a Month": 28160502}</v>
      </c>
      <c r="I147" s="258" t="str">
        <f>IFERROR(__xludf.DUMMYFUNCTION("""COMPUTED_VALUE"""),"EDO-UUP")</f>
        <v>EDO-UUP</v>
      </c>
      <c r="J147" s="258" t="str">
        <f>IFERROR(__xludf.DUMMYFUNCTION("""COMPUTED_VALUE"""),"Monthly")</f>
        <v>Monthly</v>
      </c>
      <c r="K147" s="258" t="str">
        <f>IFERROR(__xludf.DUMMYFUNCTION("""COMPUTED_VALUE"""),"")</f>
        <v/>
      </c>
      <c r="L147" s="258" t="str">
        <f>IFERROR(__xludf.DUMMYFUNCTION("""COMPUTED_VALUE"""),"GHP, GHP-PREPAID, TM, PW, GOMO, WIRELINE, BAYAN, GLOBE")</f>
        <v>GHP, GHP-PREPAID, TM, PW, GOMO, WIRELINE, BAYAN, GLOBE</v>
      </c>
      <c r="M147" s="258" t="str">
        <f>IFERROR(__xludf.DUMMYFUNCTION("""COMPUTED_VALUE"""),"Consumer, EG, SG, In house, IBG Traveler")</f>
        <v>Consumer, EG, SG, In house, IBG Traveler</v>
      </c>
      <c r="N147" s="258" t="str">
        <f>IFERROR(__xludf.DUMMYFUNCTION("""COMPUTED_VALUE"""),"interest")</f>
        <v>interest</v>
      </c>
      <c r="O147" s="258" t="str">
        <f>IFERROR(__xludf.DUMMYFUNCTION("""COMPUTED_VALUE"""),"network_profile")</f>
        <v>network_profile</v>
      </c>
      <c r="P147" s="258"/>
    </row>
    <row r="148">
      <c r="A148" s="257" t="str">
        <f>IFERROR(__xludf.DUMMYFUNCTION("""COMPUTED_VALUE"""),"beauty_skin_care_fan_indicator")</f>
        <v>beauty_skin_care_fan_indicator</v>
      </c>
      <c r="B148" s="258" t="str">
        <f>IFERROR(__xludf.DUMMYFUNCTION("""COMPUTED_VALUE"""),"Audience/Persona")</f>
        <v>Audience/Persona</v>
      </c>
      <c r="C148" s="258" t="str">
        <f>IFERROR(__xludf.DUMMYFUNCTION("""COMPUTED_VALUE"""),"Non-PII")</f>
        <v>Non-PII</v>
      </c>
      <c r="D148" s="258" t="str">
        <f>IFERROR(__xludf.DUMMYFUNCTION("""COMPUTED_VALUE"""),"Non-PII")</f>
        <v>Non-PII</v>
      </c>
      <c r="E148" s="258" t="str">
        <f>IFERROR(__xludf.DUMMYFUNCTION("""COMPUTED_VALUE"""),"Indicator if a subscriber visits websites related to beauty and skincare like Avon, Garnier, Maybelline
 For wireline subscribers, only subscriptions within Metro Manila (including some areas in Rizal) and with DSL, VDSL and GPON technology value are co"&amp;"vered.")</f>
        <v>Indicator if a subscriber visits websites related to beauty and skincare like Avon, Garnier, Maybelline
 For wireline subscribers, only subscriptions within Metro Manila (including some areas in Rizal) and with DSL, VDSL and GPON technology value are covered.</v>
      </c>
      <c r="F148" s="258" t="str">
        <f>IFERROR(__xludf.DUMMYFUNCTION("""COMPUTED_VALUE"""),"Inferred")</f>
        <v>Inferred</v>
      </c>
      <c r="G148" s="258" t="str">
        <f>IFERROR(__xludf.DUMMYFUNCTION("""COMPUTED_VALUE"""),"boolean")</f>
        <v>boolean</v>
      </c>
      <c r="H148" s="258" t="b">
        <f>IFERROR(__xludf.DUMMYFUNCTION("""COMPUTED_VALUE"""),TRUE)</f>
        <v>1</v>
      </c>
      <c r="I148" s="258" t="str">
        <f>IFERROR(__xludf.DUMMYFUNCTION("""COMPUTED_VALUE"""),"EDO-UUP")</f>
        <v>EDO-UUP</v>
      </c>
      <c r="J148" s="258" t="str">
        <f>IFERROR(__xludf.DUMMYFUNCTION("""COMPUTED_VALUE"""),"Monthly")</f>
        <v>Monthly</v>
      </c>
      <c r="K148" s="258" t="str">
        <f>IFERROR(__xludf.DUMMYFUNCTION("""COMPUTED_VALUE"""),"")</f>
        <v/>
      </c>
      <c r="L148" s="258" t="str">
        <f>IFERROR(__xludf.DUMMYFUNCTION("""COMPUTED_VALUE"""),"GHP, GHP-PREPAID, TM, PW, GOMO, WIRELINE, BAYAN, GLOBE")</f>
        <v>GHP, GHP-PREPAID, TM, PW, GOMO, WIRELINE, BAYAN, GLOBE</v>
      </c>
      <c r="M148" s="258" t="str">
        <f>IFERROR(__xludf.DUMMYFUNCTION("""COMPUTED_VALUE"""),"Consumer, EG, SG, In house, IBG Traveler")</f>
        <v>Consumer, EG, SG, In house, IBG Traveler</v>
      </c>
      <c r="N148" s="258" t="str">
        <f>IFERROR(__xludf.DUMMYFUNCTION("""COMPUTED_VALUE"""),"interest")</f>
        <v>interest</v>
      </c>
      <c r="O148" s="258" t="str">
        <f>IFERROR(__xludf.DUMMYFUNCTION("""COMPUTED_VALUE"""),"network_profile")</f>
        <v>network_profile</v>
      </c>
      <c r="P148" s="258"/>
    </row>
    <row r="149">
      <c r="A149" s="257" t="str">
        <f>IFERROR(__xludf.DUMMYFUNCTION("""COMPUTED_VALUE"""),"beauty_skin_care_fan_bucket")</f>
        <v>beauty_skin_care_fan_bucket</v>
      </c>
      <c r="B149" s="258" t="str">
        <f>IFERROR(__xludf.DUMMYFUNCTION("""COMPUTED_VALUE"""),"Audience/Persona")</f>
        <v>Audience/Persona</v>
      </c>
      <c r="C149" s="258" t="str">
        <f>IFERROR(__xludf.DUMMYFUNCTION("""COMPUTED_VALUE"""),"Non-PII")</f>
        <v>Non-PII</v>
      </c>
      <c r="D149" s="258" t="str">
        <f>IFERROR(__xludf.DUMMYFUNCTION("""COMPUTED_VALUE"""),"Non-PII")</f>
        <v>Non-PII</v>
      </c>
      <c r="E149" s="258" t="str">
        <f>IFERROR(__xludf.DUMMYFUNCTION("""COMPUTED_VALUE"""),"Bucketing based on identified metric for Beauty Skincare profile
 Metric: Total Hits in a Month
 Valid values: 
 LOW: &lt;= 3 hits
 MID: &gt; 3 &amp; &lt;= 5 hits
 HIGH: &gt;5 hits
 For wireline subscribers, only subscriptions within Metro Manila (including some area"&amp;"s in Rizal) and with DSL, VDSL and GPON technology value are covered.")</f>
        <v>Bucketing based on identified metric for Beauty Skincare profile
 Metric: Total Hits in a Month
 Valid values: 
 LOW: &lt;= 3 hits
 MID: &gt; 3 &amp; &lt;= 5 hits
 HIGH: &gt;5 hits
 For wireline subscribers, only subscriptions within Metro Manila (including some areas in Rizal) and with DSL, VDSL and GPON technology value are covered.</v>
      </c>
      <c r="F149" s="258" t="str">
        <f>IFERROR(__xludf.DUMMYFUNCTION("""COMPUTED_VALUE"""),"Inferred")</f>
        <v>Inferred</v>
      </c>
      <c r="G149" s="258" t="str">
        <f>IFERROR(__xludf.DUMMYFUNCTION("""COMPUTED_VALUE"""),"varchar(1000)")</f>
        <v>varchar(1000)</v>
      </c>
      <c r="H149" s="258" t="str">
        <f>IFERROR(__xludf.DUMMYFUNCTION("""COMPUTED_VALUE"""),"HIGH")</f>
        <v>HIGH</v>
      </c>
      <c r="I149" s="258" t="str">
        <f>IFERROR(__xludf.DUMMYFUNCTION("""COMPUTED_VALUE"""),"EDO-UUP")</f>
        <v>EDO-UUP</v>
      </c>
      <c r="J149" s="258" t="str">
        <f>IFERROR(__xludf.DUMMYFUNCTION("""COMPUTED_VALUE"""),"Monthly")</f>
        <v>Monthly</v>
      </c>
      <c r="K149" s="258" t="str">
        <f>IFERROR(__xludf.DUMMYFUNCTION("""COMPUTED_VALUE"""),"")</f>
        <v/>
      </c>
      <c r="L149" s="258" t="str">
        <f>IFERROR(__xludf.DUMMYFUNCTION("""COMPUTED_VALUE"""),"GHP, GHP-PREPAID, TM, PW, GOMO, WIRELINE, BAYAN, GLOBE")</f>
        <v>GHP, GHP-PREPAID, TM, PW, GOMO, WIRELINE, BAYAN, GLOBE</v>
      </c>
      <c r="M149" s="258" t="str">
        <f>IFERROR(__xludf.DUMMYFUNCTION("""COMPUTED_VALUE"""),"Consumer, EG, SG, In house, IBG Traveler")</f>
        <v>Consumer, EG, SG, In house, IBG Traveler</v>
      </c>
      <c r="N149" s="258" t="str">
        <f>IFERROR(__xludf.DUMMYFUNCTION("""COMPUTED_VALUE"""),"interest")</f>
        <v>interest</v>
      </c>
      <c r="O149" s="258" t="str">
        <f>IFERROR(__xludf.DUMMYFUNCTION("""COMPUTED_VALUE"""),"network_profile")</f>
        <v>network_profile</v>
      </c>
      <c r="P149" s="258"/>
    </row>
    <row r="150">
      <c r="A150" s="257" t="str">
        <f>IFERROR(__xludf.DUMMYFUNCTION("""COMPUTED_VALUE"""),"beauty_skin_care_fan_details")</f>
        <v>beauty_skin_care_fan_details</v>
      </c>
      <c r="B150" s="258" t="str">
        <f>IFERROR(__xludf.DUMMYFUNCTION("""COMPUTED_VALUE"""),"Audience/Persona")</f>
        <v>Audience/Persona</v>
      </c>
      <c r="C150" s="258" t="str">
        <f>IFERROR(__xludf.DUMMYFUNCTION("""COMPUTED_VALUE"""),"Non-PII")</f>
        <v>Non-PII</v>
      </c>
      <c r="D150" s="258" t="str">
        <f>IFERROR(__xludf.DUMMYFUNCTION("""COMPUTED_VALUE"""),"Non-PII")</f>
        <v>Non-PII</v>
      </c>
      <c r="E150" s="258" t="str">
        <f>IFERROR(__xludf.DUMMYFUNCTION("""COMPUTED_VALUE"""),"Metric used and value for the Beauty and Skincare Fan profile
 For wireline subscribers, only subscriptions within Metro Manila (including some areas in Rizal) and with DSL, VDSL and GPON technology value are covered.")</f>
        <v>Metric used and value for the Beauty and Skincare Fan profile
 For wireline subscribers, only subscriptions within Metro Manila (including some areas in Rizal) and with DSL, VDSL and GPON technology value are covered.</v>
      </c>
      <c r="F150" s="258" t="str">
        <f>IFERROR(__xludf.DUMMYFUNCTION("""COMPUTED_VALUE"""),"Inferred")</f>
        <v>Inferred</v>
      </c>
      <c r="G150" s="258" t="str">
        <f>IFERROR(__xludf.DUMMYFUNCTION("""COMPUTED_VALUE"""),"varchar(1000)")</f>
        <v>varchar(1000)</v>
      </c>
      <c r="H150" s="258" t="str">
        <f>IFERROR(__xludf.DUMMYFUNCTION("""COMPUTED_VALUE"""),"{“Total Hits in a Month”: 4}")</f>
        <v>{“Total Hits in a Month”: 4}</v>
      </c>
      <c r="I150" s="258" t="str">
        <f>IFERROR(__xludf.DUMMYFUNCTION("""COMPUTED_VALUE"""),"EDO-UUP")</f>
        <v>EDO-UUP</v>
      </c>
      <c r="J150" s="258" t="str">
        <f>IFERROR(__xludf.DUMMYFUNCTION("""COMPUTED_VALUE"""),"Monthly")</f>
        <v>Monthly</v>
      </c>
      <c r="K150" s="258" t="str">
        <f>IFERROR(__xludf.DUMMYFUNCTION("""COMPUTED_VALUE"""),"")</f>
        <v/>
      </c>
      <c r="L150" s="258" t="str">
        <f>IFERROR(__xludf.DUMMYFUNCTION("""COMPUTED_VALUE"""),"GHP, GHP-PREPAID, TM, PW, GOMO, WIRELINE, BAYAN, GLOBE")</f>
        <v>GHP, GHP-PREPAID, TM, PW, GOMO, WIRELINE, BAYAN, GLOBE</v>
      </c>
      <c r="M150" s="258" t="str">
        <f>IFERROR(__xludf.DUMMYFUNCTION("""COMPUTED_VALUE"""),"Consumer, EG, SG, In house, IBG Traveler")</f>
        <v>Consumer, EG, SG, In house, IBG Traveler</v>
      </c>
      <c r="N150" s="258" t="str">
        <f>IFERROR(__xludf.DUMMYFUNCTION("""COMPUTED_VALUE"""),"interest")</f>
        <v>interest</v>
      </c>
      <c r="O150" s="258" t="str">
        <f>IFERROR(__xludf.DUMMYFUNCTION("""COMPUTED_VALUE"""),"network_profile")</f>
        <v>network_profile</v>
      </c>
      <c r="P150" s="258"/>
    </row>
    <row r="151">
      <c r="A151" s="257" t="str">
        <f>IFERROR(__xludf.DUMMYFUNCTION("""COMPUTED_VALUE"""),"video_streamer_indicator")</f>
        <v>video_streamer_indicator</v>
      </c>
      <c r="B151" s="258" t="str">
        <f>IFERROR(__xludf.DUMMYFUNCTION("""COMPUTED_VALUE"""),"Audience/Persona")</f>
        <v>Audience/Persona</v>
      </c>
      <c r="C151" s="258" t="str">
        <f>IFERROR(__xludf.DUMMYFUNCTION("""COMPUTED_VALUE"""),"Non-PII")</f>
        <v>Non-PII</v>
      </c>
      <c r="D151" s="258" t="str">
        <f>IFERROR(__xludf.DUMMYFUNCTION("""COMPUTED_VALUE"""),"Non-PII")</f>
        <v>Non-PII</v>
      </c>
      <c r="E151" s="258" t="str">
        <f>IFERROR(__xludf.DUMMYFUNCTION("""COMPUTED_VALUE"""),"Indicator if a subscriber visits streaming apps or sites such as iwantTFC, netflix, youtube
 For wireline subscribers, only subscriptions within Metro Manila (including some areas in Rizal) and with DSL, VDSL and GPON technology value are covered.")</f>
        <v>Indicator if a subscriber visits streaming apps or sites such as iwantTFC, netflix, youtube
 For wireline subscribers, only subscriptions within Metro Manila (including some areas in Rizal) and with DSL, VDSL and GPON technology value are covered.</v>
      </c>
      <c r="F151" s="258" t="str">
        <f>IFERROR(__xludf.DUMMYFUNCTION("""COMPUTED_VALUE"""),"Inferred")</f>
        <v>Inferred</v>
      </c>
      <c r="G151" s="258" t="str">
        <f>IFERROR(__xludf.DUMMYFUNCTION("""COMPUTED_VALUE"""),"boolean")</f>
        <v>boolean</v>
      </c>
      <c r="H151" s="258" t="b">
        <f>IFERROR(__xludf.DUMMYFUNCTION("""COMPUTED_VALUE"""),TRUE)</f>
        <v>1</v>
      </c>
      <c r="I151" s="258" t="str">
        <f>IFERROR(__xludf.DUMMYFUNCTION("""COMPUTED_VALUE"""),"EDO-UUP")</f>
        <v>EDO-UUP</v>
      </c>
      <c r="J151" s="258" t="str">
        <f>IFERROR(__xludf.DUMMYFUNCTION("""COMPUTED_VALUE"""),"Monthly")</f>
        <v>Monthly</v>
      </c>
      <c r="K151" s="258" t="str">
        <f>IFERROR(__xludf.DUMMYFUNCTION("""COMPUTED_VALUE"""),"")</f>
        <v/>
      </c>
      <c r="L151" s="258" t="str">
        <f>IFERROR(__xludf.DUMMYFUNCTION("""COMPUTED_VALUE"""),"GHP, GHP-PREPAID, TM, PW, GOMO, WIRELINE, BAYAN, GLOBE")</f>
        <v>GHP, GHP-PREPAID, TM, PW, GOMO, WIRELINE, BAYAN, GLOBE</v>
      </c>
      <c r="M151" s="258" t="str">
        <f>IFERROR(__xludf.DUMMYFUNCTION("""COMPUTED_VALUE"""),"Consumer, EG, SG, In house, IBG Traveler")</f>
        <v>Consumer, EG, SG, In house, IBG Traveler</v>
      </c>
      <c r="N151" s="258" t="str">
        <f>IFERROR(__xludf.DUMMYFUNCTION("""COMPUTED_VALUE"""),"interest")</f>
        <v>interest</v>
      </c>
      <c r="O151" s="258" t="str">
        <f>IFERROR(__xludf.DUMMYFUNCTION("""COMPUTED_VALUE"""),"network_profile")</f>
        <v>network_profile</v>
      </c>
      <c r="P151" s="258"/>
    </row>
    <row r="152">
      <c r="A152" s="257" t="str">
        <f>IFERROR(__xludf.DUMMYFUNCTION("""COMPUTED_VALUE"""),"video_streamer_bucket")</f>
        <v>video_streamer_bucket</v>
      </c>
      <c r="B152" s="258" t="str">
        <f>IFERROR(__xludf.DUMMYFUNCTION("""COMPUTED_VALUE"""),"Audience/Persona")</f>
        <v>Audience/Persona</v>
      </c>
      <c r="C152" s="258" t="str">
        <f>IFERROR(__xludf.DUMMYFUNCTION("""COMPUTED_VALUE"""),"Non-PII")</f>
        <v>Non-PII</v>
      </c>
      <c r="D152" s="258" t="str">
        <f>IFERROR(__xludf.DUMMYFUNCTION("""COMPUTED_VALUE"""),"Non-PII")</f>
        <v>Non-PII</v>
      </c>
      <c r="E152" s="258" t="str">
        <f>IFERROR(__xludf.DUMMYFUNCTION("""COMPUTED_VALUE"""),"Bucketing based on identified metric for Video Streamer profile
 Metric: Average Daily Data Burn in Bytes in a Month
 Valid values: 
 LOW: &lt;= 2.7 GB
 MID: &gt; 2.7 &amp; &lt;= 4.5 GB
 HIGH: &gt; 4.5 GB
 For wireline subscribers, only subscriptions within Metro Man"&amp;"ila (including some areas in Rizal) and with DSL, VDSL and GPON technology value are covered.")</f>
        <v>Bucketing based on identified metric for Video Streamer profile
 Metric: Average Daily Data Burn in Bytes in a Month
 Valid values: 
 LOW: &lt;= 2.7 GB
 MID: &gt; 2.7 &amp; &lt;= 4.5 GB
 HIGH: &gt; 4.5 GB
 For wireline subscribers, only subscriptions within Metro Manila (including some areas in Rizal) and with DSL, VDSL and GPON technology value are covered.</v>
      </c>
      <c r="F152" s="258" t="str">
        <f>IFERROR(__xludf.DUMMYFUNCTION("""COMPUTED_VALUE"""),"Inferred")</f>
        <v>Inferred</v>
      </c>
      <c r="G152" s="258" t="str">
        <f>IFERROR(__xludf.DUMMYFUNCTION("""COMPUTED_VALUE"""),"varchar(1000)")</f>
        <v>varchar(1000)</v>
      </c>
      <c r="H152" s="258" t="str">
        <f>IFERROR(__xludf.DUMMYFUNCTION("""COMPUTED_VALUE"""),"HIGH")</f>
        <v>HIGH</v>
      </c>
      <c r="I152" s="258" t="str">
        <f>IFERROR(__xludf.DUMMYFUNCTION("""COMPUTED_VALUE"""),"EDO-UUP")</f>
        <v>EDO-UUP</v>
      </c>
      <c r="J152" s="258" t="str">
        <f>IFERROR(__xludf.DUMMYFUNCTION("""COMPUTED_VALUE"""),"Monthly")</f>
        <v>Monthly</v>
      </c>
      <c r="K152" s="258" t="str">
        <f>IFERROR(__xludf.DUMMYFUNCTION("""COMPUTED_VALUE"""),"")</f>
        <v/>
      </c>
      <c r="L152" s="258" t="str">
        <f>IFERROR(__xludf.DUMMYFUNCTION("""COMPUTED_VALUE"""),"GHP, GHP-PREPAID, TM, PW, GOMO, WIRELINE, BAYAN, GLOBE")</f>
        <v>GHP, GHP-PREPAID, TM, PW, GOMO, WIRELINE, BAYAN, GLOBE</v>
      </c>
      <c r="M152" s="258" t="str">
        <f>IFERROR(__xludf.DUMMYFUNCTION("""COMPUTED_VALUE"""),"Consumer, EG, SG, In house, IBG Traveler")</f>
        <v>Consumer, EG, SG, In house, IBG Traveler</v>
      </c>
      <c r="N152" s="258" t="str">
        <f>IFERROR(__xludf.DUMMYFUNCTION("""COMPUTED_VALUE"""),"interest")</f>
        <v>interest</v>
      </c>
      <c r="O152" s="258" t="str">
        <f>IFERROR(__xludf.DUMMYFUNCTION("""COMPUTED_VALUE"""),"network_profile")</f>
        <v>network_profile</v>
      </c>
      <c r="P152" s="258"/>
    </row>
    <row r="153">
      <c r="A153" s="257" t="str">
        <f>IFERROR(__xludf.DUMMYFUNCTION("""COMPUTED_VALUE"""),"video_streamer_details")</f>
        <v>video_streamer_details</v>
      </c>
      <c r="B153" s="258" t="str">
        <f>IFERROR(__xludf.DUMMYFUNCTION("""COMPUTED_VALUE"""),"Audience/Persona")</f>
        <v>Audience/Persona</v>
      </c>
      <c r="C153" s="258" t="str">
        <f>IFERROR(__xludf.DUMMYFUNCTION("""COMPUTED_VALUE"""),"Non-PII")</f>
        <v>Non-PII</v>
      </c>
      <c r="D153" s="258" t="str">
        <f>IFERROR(__xludf.DUMMYFUNCTION("""COMPUTED_VALUE"""),"Non-PII")</f>
        <v>Non-PII</v>
      </c>
      <c r="E153" s="258" t="str">
        <f>IFERROR(__xludf.DUMMYFUNCTION("""COMPUTED_VALUE"""),"Metric used and value for the Video Streamer profile
 For wireline subscribers, only subscriptions within Metro Manila (including some areas in Rizal) and with DSL, VDSL and GPON technology value are covered.")</f>
        <v>Metric used and value for the Video Streamer profile
 For wireline subscribers, only subscriptions within Metro Manila (including some areas in Rizal) and with DSL, VDSL and GPON technology value are covered.</v>
      </c>
      <c r="F153" s="258" t="str">
        <f>IFERROR(__xludf.DUMMYFUNCTION("""COMPUTED_VALUE"""),"Inferred")</f>
        <v>Inferred</v>
      </c>
      <c r="G153" s="258" t="str">
        <f>IFERROR(__xludf.DUMMYFUNCTION("""COMPUTED_VALUE"""),"varchar(1000)")</f>
        <v>varchar(1000)</v>
      </c>
      <c r="H153" s="258" t="str">
        <f>IFERROR(__xludf.DUMMYFUNCTION("""COMPUTED_VALUE"""),"{“Total Data Burn in Bytes in a Month”: 5548867605}")</f>
        <v>{“Total Data Burn in Bytes in a Month”: 5548867605}</v>
      </c>
      <c r="I153" s="258" t="str">
        <f>IFERROR(__xludf.DUMMYFUNCTION("""COMPUTED_VALUE"""),"EDO-UUP")</f>
        <v>EDO-UUP</v>
      </c>
      <c r="J153" s="258" t="str">
        <f>IFERROR(__xludf.DUMMYFUNCTION("""COMPUTED_VALUE"""),"Monthly")</f>
        <v>Monthly</v>
      </c>
      <c r="K153" s="258" t="str">
        <f>IFERROR(__xludf.DUMMYFUNCTION("""COMPUTED_VALUE"""),"")</f>
        <v/>
      </c>
      <c r="L153" s="258" t="str">
        <f>IFERROR(__xludf.DUMMYFUNCTION("""COMPUTED_VALUE"""),"GHP, GHP-PREPAID, TM, PW, GOMO, WIRELINE, BAYAN, GLOBE")</f>
        <v>GHP, GHP-PREPAID, TM, PW, GOMO, WIRELINE, BAYAN, GLOBE</v>
      </c>
      <c r="M153" s="258" t="str">
        <f>IFERROR(__xludf.DUMMYFUNCTION("""COMPUTED_VALUE"""),"Consumer, EG, SG, In house, IBG Traveler")</f>
        <v>Consumer, EG, SG, In house, IBG Traveler</v>
      </c>
      <c r="N153" s="258" t="str">
        <f>IFERROR(__xludf.DUMMYFUNCTION("""COMPUTED_VALUE"""),"interest")</f>
        <v>interest</v>
      </c>
      <c r="O153" s="258" t="str">
        <f>IFERROR(__xludf.DUMMYFUNCTION("""COMPUTED_VALUE"""),"network_profile")</f>
        <v>network_profile</v>
      </c>
      <c r="P153" s="258"/>
    </row>
    <row r="154">
      <c r="A154" s="257" t="str">
        <f>IFERROR(__xludf.DUMMYFUNCTION("""COMPUTED_VALUE"""),"online_shopper_indicator")</f>
        <v>online_shopper_indicator</v>
      </c>
      <c r="B154" s="258" t="str">
        <f>IFERROR(__xludf.DUMMYFUNCTION("""COMPUTED_VALUE"""),"Audience/Persona")</f>
        <v>Audience/Persona</v>
      </c>
      <c r="C154" s="258" t="str">
        <f>IFERROR(__xludf.DUMMYFUNCTION("""COMPUTED_VALUE"""),"Non-PII")</f>
        <v>Non-PII</v>
      </c>
      <c r="D154" s="258" t="str">
        <f>IFERROR(__xludf.DUMMYFUNCTION("""COMPUTED_VALUE"""),"Non-PII")</f>
        <v>Non-PII</v>
      </c>
      <c r="E154" s="258" t="str">
        <f>IFERROR(__xludf.DUMMYFUNCTION("""COMPUTED_VALUE"""),"Indicator if a subscriber visits shopping apps/sites: Lazada, Shopee, Zalora
 For wireline subscribers, only subscriptions within Metro Manila (including some areas in Rizal) and with DSL, VDSL and GPON technology value are covered.")</f>
        <v>Indicator if a subscriber visits shopping apps/sites: Lazada, Shopee, Zalora
 For wireline subscribers, only subscriptions within Metro Manila (including some areas in Rizal) and with DSL, VDSL and GPON technology value are covered.</v>
      </c>
      <c r="F154" s="258" t="str">
        <f>IFERROR(__xludf.DUMMYFUNCTION("""COMPUTED_VALUE"""),"Inferred")</f>
        <v>Inferred</v>
      </c>
      <c r="G154" s="258" t="str">
        <f>IFERROR(__xludf.DUMMYFUNCTION("""COMPUTED_VALUE"""),"boolean")</f>
        <v>boolean</v>
      </c>
      <c r="H154" s="258" t="b">
        <f>IFERROR(__xludf.DUMMYFUNCTION("""COMPUTED_VALUE"""),TRUE)</f>
        <v>1</v>
      </c>
      <c r="I154" s="258" t="str">
        <f>IFERROR(__xludf.DUMMYFUNCTION("""COMPUTED_VALUE"""),"EDO-UUP")</f>
        <v>EDO-UUP</v>
      </c>
      <c r="J154" s="258" t="str">
        <f>IFERROR(__xludf.DUMMYFUNCTION("""COMPUTED_VALUE"""),"Monthly")</f>
        <v>Monthly</v>
      </c>
      <c r="K154" s="258" t="str">
        <f>IFERROR(__xludf.DUMMYFUNCTION("""COMPUTED_VALUE"""),"")</f>
        <v/>
      </c>
      <c r="L154" s="258" t="str">
        <f>IFERROR(__xludf.DUMMYFUNCTION("""COMPUTED_VALUE"""),"GHP, GHP-PREPAID, TM, PW, GOMO, WIRELINE, BAYAN, GLOBE")</f>
        <v>GHP, GHP-PREPAID, TM, PW, GOMO, WIRELINE, BAYAN, GLOBE</v>
      </c>
      <c r="M154" s="258" t="str">
        <f>IFERROR(__xludf.DUMMYFUNCTION("""COMPUTED_VALUE"""),"Consumer, EG, SG, In house, IBG Traveler")</f>
        <v>Consumer, EG, SG, In house, IBG Traveler</v>
      </c>
      <c r="N154" s="258" t="str">
        <f>IFERROR(__xludf.DUMMYFUNCTION("""COMPUTED_VALUE"""),"interest")</f>
        <v>interest</v>
      </c>
      <c r="O154" s="258" t="str">
        <f>IFERROR(__xludf.DUMMYFUNCTION("""COMPUTED_VALUE"""),"network_profile")</f>
        <v>network_profile</v>
      </c>
      <c r="P154" s="258"/>
    </row>
    <row r="155">
      <c r="A155" s="257" t="str">
        <f>IFERROR(__xludf.DUMMYFUNCTION("""COMPUTED_VALUE"""),"online_shopper_bucket")</f>
        <v>online_shopper_bucket</v>
      </c>
      <c r="B155" s="258" t="str">
        <f>IFERROR(__xludf.DUMMYFUNCTION("""COMPUTED_VALUE"""),"Audience/Persona")</f>
        <v>Audience/Persona</v>
      </c>
      <c r="C155" s="258" t="str">
        <f>IFERROR(__xludf.DUMMYFUNCTION("""COMPUTED_VALUE"""),"Non-PII")</f>
        <v>Non-PII</v>
      </c>
      <c r="D155" s="258" t="str">
        <f>IFERROR(__xludf.DUMMYFUNCTION("""COMPUTED_VALUE"""),"Non-PII")</f>
        <v>Non-PII</v>
      </c>
      <c r="E155" s="258" t="str">
        <f>IFERROR(__xludf.DUMMYFUNCTION("""COMPUTED_VALUE"""),"Bucketing based on identified metric for Online Shopper profile
 Metric: Total Hits in a Month
 Valid values: 
 LOW: &lt;= 5 hits
 MID: &gt; 5 &amp; &lt;= 22 hits
 HIGH: &gt; 22 hits
 For wireline subscribers, only subscriptions within Metro Manila (including some ar"&amp;"eas in Rizal) and with DSL, VDSL and GPON technology value are covered.")</f>
        <v>Bucketing based on identified metric for Online Shopper profile
 Metric: Total Hits in a Month
 Valid values: 
 LOW: &lt;= 5 hits
 MID: &gt; 5 &amp; &lt;= 22 hits
 HIGH: &gt; 22 hits
 For wireline subscribers, only subscriptions within Metro Manila (including some areas in Rizal) and with DSL, VDSL and GPON technology value are covered.</v>
      </c>
      <c r="F155" s="258" t="str">
        <f>IFERROR(__xludf.DUMMYFUNCTION("""COMPUTED_VALUE"""),"Inferred")</f>
        <v>Inferred</v>
      </c>
      <c r="G155" s="258" t="str">
        <f>IFERROR(__xludf.DUMMYFUNCTION("""COMPUTED_VALUE"""),"varchar(1000)")</f>
        <v>varchar(1000)</v>
      </c>
      <c r="H155" s="258" t="str">
        <f>IFERROR(__xludf.DUMMYFUNCTION("""COMPUTED_VALUE"""),"HIGH")</f>
        <v>HIGH</v>
      </c>
      <c r="I155" s="258" t="str">
        <f>IFERROR(__xludf.DUMMYFUNCTION("""COMPUTED_VALUE"""),"EDO-UUP")</f>
        <v>EDO-UUP</v>
      </c>
      <c r="J155" s="258" t="str">
        <f>IFERROR(__xludf.DUMMYFUNCTION("""COMPUTED_VALUE"""),"Monthly")</f>
        <v>Monthly</v>
      </c>
      <c r="K155" s="258" t="str">
        <f>IFERROR(__xludf.DUMMYFUNCTION("""COMPUTED_VALUE"""),"")</f>
        <v/>
      </c>
      <c r="L155" s="258" t="str">
        <f>IFERROR(__xludf.DUMMYFUNCTION("""COMPUTED_VALUE"""),"GHP, GHP-PREPAID, TM, PW, GOMO, WIRELINE, BAYAN, GLOBE")</f>
        <v>GHP, GHP-PREPAID, TM, PW, GOMO, WIRELINE, BAYAN, GLOBE</v>
      </c>
      <c r="M155" s="258" t="str">
        <f>IFERROR(__xludf.DUMMYFUNCTION("""COMPUTED_VALUE"""),"Consumer, EG, SG, In house, IBG Traveler")</f>
        <v>Consumer, EG, SG, In house, IBG Traveler</v>
      </c>
      <c r="N155" s="258" t="str">
        <f>IFERROR(__xludf.DUMMYFUNCTION("""COMPUTED_VALUE"""),"interest")</f>
        <v>interest</v>
      </c>
      <c r="O155" s="258" t="str">
        <f>IFERROR(__xludf.DUMMYFUNCTION("""COMPUTED_VALUE"""),"network_profile")</f>
        <v>network_profile</v>
      </c>
      <c r="P155" s="258"/>
    </row>
    <row r="156">
      <c r="A156" s="257" t="str">
        <f>IFERROR(__xludf.DUMMYFUNCTION("""COMPUTED_VALUE"""),"online_shopper_details")</f>
        <v>online_shopper_details</v>
      </c>
      <c r="B156" s="258" t="str">
        <f>IFERROR(__xludf.DUMMYFUNCTION("""COMPUTED_VALUE"""),"Audience/Persona")</f>
        <v>Audience/Persona</v>
      </c>
      <c r="C156" s="258" t="str">
        <f>IFERROR(__xludf.DUMMYFUNCTION("""COMPUTED_VALUE"""),"Non-PII")</f>
        <v>Non-PII</v>
      </c>
      <c r="D156" s="258" t="str">
        <f>IFERROR(__xludf.DUMMYFUNCTION("""COMPUTED_VALUE"""),"Non-PII")</f>
        <v>Non-PII</v>
      </c>
      <c r="E156" s="258" t="str">
        <f>IFERROR(__xludf.DUMMYFUNCTION("""COMPUTED_VALUE"""),"Metric used and value for the Online Shopper profile
 For wireline subscribers, only subscriptions within Metro Manila (including some areas in Rizal) and with DSL, VDSL and GPON technology value are covered.")</f>
        <v>Metric used and value for the Online Shopper profile
 For wireline subscribers, only subscriptions within Metro Manila (including some areas in Rizal) and with DSL, VDSL and GPON technology value are covered.</v>
      </c>
      <c r="F156" s="258" t="str">
        <f>IFERROR(__xludf.DUMMYFUNCTION("""COMPUTED_VALUE"""),"Inferred")</f>
        <v>Inferred</v>
      </c>
      <c r="G156" s="258" t="str">
        <f>IFERROR(__xludf.DUMMYFUNCTION("""COMPUTED_VALUE"""),"varchar(1000)")</f>
        <v>varchar(1000)</v>
      </c>
      <c r="H156" s="258" t="str">
        <f>IFERROR(__xludf.DUMMYFUNCTION("""COMPUTED_VALUE"""),"{“Total Hits in a Month”: 76}")</f>
        <v>{“Total Hits in a Month”: 76}</v>
      </c>
      <c r="I156" s="258" t="str">
        <f>IFERROR(__xludf.DUMMYFUNCTION("""COMPUTED_VALUE"""),"EDO-UUP")</f>
        <v>EDO-UUP</v>
      </c>
      <c r="J156" s="258" t="str">
        <f>IFERROR(__xludf.DUMMYFUNCTION("""COMPUTED_VALUE"""),"Monthly")</f>
        <v>Monthly</v>
      </c>
      <c r="K156" s="258" t="str">
        <f>IFERROR(__xludf.DUMMYFUNCTION("""COMPUTED_VALUE"""),"")</f>
        <v/>
      </c>
      <c r="L156" s="258" t="str">
        <f>IFERROR(__xludf.DUMMYFUNCTION("""COMPUTED_VALUE"""),"GHP, GHP-PREPAID, TM, PW, GOMO, WIRELINE, BAYAN, GLOBE")</f>
        <v>GHP, GHP-PREPAID, TM, PW, GOMO, WIRELINE, BAYAN, GLOBE</v>
      </c>
      <c r="M156" s="258" t="str">
        <f>IFERROR(__xludf.DUMMYFUNCTION("""COMPUTED_VALUE"""),"Consumer, EG, SG, In house, IBG Traveler")</f>
        <v>Consumer, EG, SG, In house, IBG Traveler</v>
      </c>
      <c r="N156" s="258" t="str">
        <f>IFERROR(__xludf.DUMMYFUNCTION("""COMPUTED_VALUE"""),"interest")</f>
        <v>interest</v>
      </c>
      <c r="O156" s="258" t="str">
        <f>IFERROR(__xludf.DUMMYFUNCTION("""COMPUTED_VALUE"""),"network_profile")</f>
        <v>network_profile</v>
      </c>
      <c r="P156" s="258"/>
    </row>
    <row r="157">
      <c r="A157" s="257" t="str">
        <f>IFERROR(__xludf.DUMMYFUNCTION("""COMPUTED_VALUE"""),"sale_shopper_indicator")</f>
        <v>sale_shopper_indicator</v>
      </c>
      <c r="B157" s="258" t="str">
        <f>IFERROR(__xludf.DUMMYFUNCTION("""COMPUTED_VALUE"""),"Audience/Persona")</f>
        <v>Audience/Persona</v>
      </c>
      <c r="C157" s="258" t="str">
        <f>IFERROR(__xludf.DUMMYFUNCTION("""COMPUTED_VALUE"""),"Non-PII")</f>
        <v>Non-PII</v>
      </c>
      <c r="D157" s="258" t="str">
        <f>IFERROR(__xludf.DUMMYFUNCTION("""COMPUTED_VALUE"""),"Non-PII")</f>
        <v>Non-PII</v>
      </c>
      <c r="E157" s="258" t="str">
        <f>IFERROR(__xludf.DUMMYFUNCTION("""COMPUTED_VALUE"""),"Indicator if a subscriber visits online stores such as Lazada, Shopee and Zalora during same-day regular sale dates
 For wireline subscribers, only subscriptions within Metro Manila (including some areas in Rizal) and with DSL, VDSL and GPON technology "&amp;"value are covered.")</f>
        <v>Indicator if a subscriber visits online stores such as Lazada, Shopee and Zalora during same-day regular sale dates
 For wireline subscribers, only subscriptions within Metro Manila (including some areas in Rizal) and with DSL, VDSL and GPON technology value are covered.</v>
      </c>
      <c r="F157" s="258" t="str">
        <f>IFERROR(__xludf.DUMMYFUNCTION("""COMPUTED_VALUE"""),"Inferred")</f>
        <v>Inferred</v>
      </c>
      <c r="G157" s="258" t="str">
        <f>IFERROR(__xludf.DUMMYFUNCTION("""COMPUTED_VALUE"""),"boolean")</f>
        <v>boolean</v>
      </c>
      <c r="H157" s="258" t="b">
        <f>IFERROR(__xludf.DUMMYFUNCTION("""COMPUTED_VALUE"""),TRUE)</f>
        <v>1</v>
      </c>
      <c r="I157" s="258" t="str">
        <f>IFERROR(__xludf.DUMMYFUNCTION("""COMPUTED_VALUE"""),"EDO-UUP")</f>
        <v>EDO-UUP</v>
      </c>
      <c r="J157" s="258" t="str">
        <f>IFERROR(__xludf.DUMMYFUNCTION("""COMPUTED_VALUE"""),"Monthly")</f>
        <v>Monthly</v>
      </c>
      <c r="K157" s="258" t="str">
        <f>IFERROR(__xludf.DUMMYFUNCTION("""COMPUTED_VALUE"""),"")</f>
        <v/>
      </c>
      <c r="L157" s="258" t="str">
        <f>IFERROR(__xludf.DUMMYFUNCTION("""COMPUTED_VALUE"""),"GHP, GHP-PREPAID, TM, PW, GOMO, WIRELINE, BAYAN, GLOBE")</f>
        <v>GHP, GHP-PREPAID, TM, PW, GOMO, WIRELINE, BAYAN, GLOBE</v>
      </c>
      <c r="M157" s="258" t="str">
        <f>IFERROR(__xludf.DUMMYFUNCTION("""COMPUTED_VALUE"""),"Consumer, EG, SG, In house, IBG Traveler")</f>
        <v>Consumer, EG, SG, In house, IBG Traveler</v>
      </c>
      <c r="N157" s="258" t="str">
        <f>IFERROR(__xludf.DUMMYFUNCTION("""COMPUTED_VALUE"""),"interest")</f>
        <v>interest</v>
      </c>
      <c r="O157" s="258" t="str">
        <f>IFERROR(__xludf.DUMMYFUNCTION("""COMPUTED_VALUE"""),"network_profile")</f>
        <v>network_profile</v>
      </c>
      <c r="P157" s="258"/>
    </row>
    <row r="158">
      <c r="A158" s="257" t="str">
        <f>IFERROR(__xludf.DUMMYFUNCTION("""COMPUTED_VALUE"""),"sale_shopper_bucket")</f>
        <v>sale_shopper_bucket</v>
      </c>
      <c r="B158" s="258" t="str">
        <f>IFERROR(__xludf.DUMMYFUNCTION("""COMPUTED_VALUE"""),"Audience/Persona")</f>
        <v>Audience/Persona</v>
      </c>
      <c r="C158" s="258" t="str">
        <f>IFERROR(__xludf.DUMMYFUNCTION("""COMPUTED_VALUE"""),"Non-PII")</f>
        <v>Non-PII</v>
      </c>
      <c r="D158" s="258" t="str">
        <f>IFERROR(__xludf.DUMMYFUNCTION("""COMPUTED_VALUE"""),"Non-PII")</f>
        <v>Non-PII</v>
      </c>
      <c r="E158" s="258" t="str">
        <f>IFERROR(__xludf.DUMMYFUNCTION("""COMPUTED_VALUE"""),"Bucketing based on identified metric for Sale Shopper profile
 Metric: Daily Hits on Sale Day
 Valid values: 
 LOW: &lt;= 12 hits
 MID: &gt; 12 &amp; &lt;= 16 hits
 HIGH: &gt; 16 hits
 For wireline subscribers, only subscriptions within Metro Manila (including some a"&amp;"reas in Rizal) and with DSL, VDSL and GPON technology value are covered.")</f>
        <v>Bucketing based on identified metric for Sale Shopper profile
 Metric: Daily Hits on Sale Day
 Valid values: 
 LOW: &lt;= 12 hits
 MID: &gt; 12 &amp; &lt;= 16 hits
 HIGH: &gt; 16 hits
 For wireline subscribers, only subscriptions within Metro Manila (including some areas in Rizal) and with DSL, VDSL and GPON technology value are covered.</v>
      </c>
      <c r="F158" s="258" t="str">
        <f>IFERROR(__xludf.DUMMYFUNCTION("""COMPUTED_VALUE"""),"Inferred")</f>
        <v>Inferred</v>
      </c>
      <c r="G158" s="258" t="str">
        <f>IFERROR(__xludf.DUMMYFUNCTION("""COMPUTED_VALUE"""),"varchar(1000)")</f>
        <v>varchar(1000)</v>
      </c>
      <c r="H158" s="258" t="str">
        <f>IFERROR(__xludf.DUMMYFUNCTION("""COMPUTED_VALUE"""),"HIGH")</f>
        <v>HIGH</v>
      </c>
      <c r="I158" s="258" t="str">
        <f>IFERROR(__xludf.DUMMYFUNCTION("""COMPUTED_VALUE"""),"EDO-UUP")</f>
        <v>EDO-UUP</v>
      </c>
      <c r="J158" s="258" t="str">
        <f>IFERROR(__xludf.DUMMYFUNCTION("""COMPUTED_VALUE"""),"Monthly")</f>
        <v>Monthly</v>
      </c>
      <c r="K158" s="258" t="str">
        <f>IFERROR(__xludf.DUMMYFUNCTION("""COMPUTED_VALUE"""),"")</f>
        <v/>
      </c>
      <c r="L158" s="258" t="str">
        <f>IFERROR(__xludf.DUMMYFUNCTION("""COMPUTED_VALUE"""),"GHP, GHP-PREPAID, TM, PW, GOMO, WIRELINE, BAYAN, GLOBE")</f>
        <v>GHP, GHP-PREPAID, TM, PW, GOMO, WIRELINE, BAYAN, GLOBE</v>
      </c>
      <c r="M158" s="258" t="str">
        <f>IFERROR(__xludf.DUMMYFUNCTION("""COMPUTED_VALUE"""),"Consumer, EG, SG, In house, IBG Traveler")</f>
        <v>Consumer, EG, SG, In house, IBG Traveler</v>
      </c>
      <c r="N158" s="258" t="str">
        <f>IFERROR(__xludf.DUMMYFUNCTION("""COMPUTED_VALUE"""),"interest")</f>
        <v>interest</v>
      </c>
      <c r="O158" s="258" t="str">
        <f>IFERROR(__xludf.DUMMYFUNCTION("""COMPUTED_VALUE"""),"network_profile")</f>
        <v>network_profile</v>
      </c>
      <c r="P158" s="258"/>
    </row>
    <row r="159">
      <c r="A159" s="257" t="str">
        <f>IFERROR(__xludf.DUMMYFUNCTION("""COMPUTED_VALUE"""),"sale_shopper_details")</f>
        <v>sale_shopper_details</v>
      </c>
      <c r="B159" s="258" t="str">
        <f>IFERROR(__xludf.DUMMYFUNCTION("""COMPUTED_VALUE"""),"Audience/Persona")</f>
        <v>Audience/Persona</v>
      </c>
      <c r="C159" s="258" t="str">
        <f>IFERROR(__xludf.DUMMYFUNCTION("""COMPUTED_VALUE"""),"Non-PII")</f>
        <v>Non-PII</v>
      </c>
      <c r="D159" s="258" t="str">
        <f>IFERROR(__xludf.DUMMYFUNCTION("""COMPUTED_VALUE"""),"Non-PII")</f>
        <v>Non-PII</v>
      </c>
      <c r="E159" s="258" t="str">
        <f>IFERROR(__xludf.DUMMYFUNCTION("""COMPUTED_VALUE"""),"Metric used and value for the Sale Shopper profile
 For wireline subscribers, only subscriptions within Metro Manila (including some areas in Rizal) and with DSL, VDSL and GPON technology value are covered.")</f>
        <v>Metric used and value for the Sale Shopper profile
 For wireline subscribers, only subscriptions within Metro Manila (including some areas in Rizal) and with DSL, VDSL and GPON technology value are covered.</v>
      </c>
      <c r="F159" s="258" t="str">
        <f>IFERROR(__xludf.DUMMYFUNCTION("""COMPUTED_VALUE"""),"Inferred")</f>
        <v>Inferred</v>
      </c>
      <c r="G159" s="258" t="str">
        <f>IFERROR(__xludf.DUMMYFUNCTION("""COMPUTED_VALUE"""),"varchar(1000)")</f>
        <v>varchar(1000)</v>
      </c>
      <c r="H159" s="258" t="str">
        <f>IFERROR(__xludf.DUMMYFUNCTION("""COMPUTED_VALUE"""),"{“Average Daily hits in a Month”: 13}")</f>
        <v>{“Average Daily hits in a Month”: 13}</v>
      </c>
      <c r="I159" s="258" t="str">
        <f>IFERROR(__xludf.DUMMYFUNCTION("""COMPUTED_VALUE"""),"EDO-UUP")</f>
        <v>EDO-UUP</v>
      </c>
      <c r="J159" s="258" t="str">
        <f>IFERROR(__xludf.DUMMYFUNCTION("""COMPUTED_VALUE"""),"Monthly")</f>
        <v>Monthly</v>
      </c>
      <c r="K159" s="258" t="str">
        <f>IFERROR(__xludf.DUMMYFUNCTION("""COMPUTED_VALUE"""),"")</f>
        <v/>
      </c>
      <c r="L159" s="258" t="str">
        <f>IFERROR(__xludf.DUMMYFUNCTION("""COMPUTED_VALUE"""),"GHP, GHP-PREPAID, TM, PW, GOMO, WIRELINE, BAYAN, GLOBE")</f>
        <v>GHP, GHP-PREPAID, TM, PW, GOMO, WIRELINE, BAYAN, GLOBE</v>
      </c>
      <c r="M159" s="258" t="str">
        <f>IFERROR(__xludf.DUMMYFUNCTION("""COMPUTED_VALUE"""),"Consumer, EG, SG, In house, IBG Traveler")</f>
        <v>Consumer, EG, SG, In house, IBG Traveler</v>
      </c>
      <c r="N159" s="258" t="str">
        <f>IFERROR(__xludf.DUMMYFUNCTION("""COMPUTED_VALUE"""),"interest")</f>
        <v>interest</v>
      </c>
      <c r="O159" s="258" t="str">
        <f>IFERROR(__xludf.DUMMYFUNCTION("""COMPUTED_VALUE"""),"network_profile")</f>
        <v>network_profile</v>
      </c>
      <c r="P159" s="258"/>
    </row>
    <row r="160">
      <c r="A160" s="257" t="str">
        <f>IFERROR(__xludf.DUMMYFUNCTION("""COMPUTED_VALUE"""),"travel_enthusiast_indicator")</f>
        <v>travel_enthusiast_indicator</v>
      </c>
      <c r="B160" s="258" t="str">
        <f>IFERROR(__xludf.DUMMYFUNCTION("""COMPUTED_VALUE"""),"Audience/Persona")</f>
        <v>Audience/Persona</v>
      </c>
      <c r="C160" s="258" t="str">
        <f>IFERROR(__xludf.DUMMYFUNCTION("""COMPUTED_VALUE"""),"Non-PII")</f>
        <v>Non-PII</v>
      </c>
      <c r="D160" s="258" t="str">
        <f>IFERROR(__xludf.DUMMYFUNCTION("""COMPUTED_VALUE"""),"Non-PII")</f>
        <v>Non-PII</v>
      </c>
      <c r="E160" s="258" t="str">
        <f>IFERROR(__xludf.DUMMYFUNCTION("""COMPUTED_VALUE"""),"Indicator if a subscriber access sites and apps related to accommodation, transportation, tours, government agencies and travel blogs, such as airasia, airbnb, mabuhay_miles
 For wireline subscribers, only subscriptions within Metro Manila (including so"&amp;"me areas in Rizal) and with DSL, VDSL and GPON technology value are covered.")</f>
        <v>Indicator if a subscriber access sites and apps related to accommodation, transportation, tours, government agencies and travel blogs, such as airasia, airbnb, mabuhay_miles
 For wireline subscribers, only subscriptions within Metro Manila (including some areas in Rizal) and with DSL, VDSL and GPON technology value are covered.</v>
      </c>
      <c r="F160" s="258" t="str">
        <f>IFERROR(__xludf.DUMMYFUNCTION("""COMPUTED_VALUE"""),"Inferred")</f>
        <v>Inferred</v>
      </c>
      <c r="G160" s="258" t="str">
        <f>IFERROR(__xludf.DUMMYFUNCTION("""COMPUTED_VALUE"""),"boolean")</f>
        <v>boolean</v>
      </c>
      <c r="H160" s="258" t="b">
        <f>IFERROR(__xludf.DUMMYFUNCTION("""COMPUTED_VALUE"""),TRUE)</f>
        <v>1</v>
      </c>
      <c r="I160" s="258" t="str">
        <f>IFERROR(__xludf.DUMMYFUNCTION("""COMPUTED_VALUE"""),"EDO-UUP")</f>
        <v>EDO-UUP</v>
      </c>
      <c r="J160" s="258" t="str">
        <f>IFERROR(__xludf.DUMMYFUNCTION("""COMPUTED_VALUE"""),"Monthly")</f>
        <v>Monthly</v>
      </c>
      <c r="K160" s="258" t="str">
        <f>IFERROR(__xludf.DUMMYFUNCTION("""COMPUTED_VALUE"""),"")</f>
        <v/>
      </c>
      <c r="L160" s="258" t="str">
        <f>IFERROR(__xludf.DUMMYFUNCTION("""COMPUTED_VALUE"""),"GHP, GHP-PREPAID, TM, PW, GOMO, WIRELINE, BAYAN, GLOBE")</f>
        <v>GHP, GHP-PREPAID, TM, PW, GOMO, WIRELINE, BAYAN, GLOBE</v>
      </c>
      <c r="M160" s="258" t="str">
        <f>IFERROR(__xludf.DUMMYFUNCTION("""COMPUTED_VALUE"""),"Consumer, EG, SG, In house, IBG Traveler")</f>
        <v>Consumer, EG, SG, In house, IBG Traveler</v>
      </c>
      <c r="N160" s="258" t="str">
        <f>IFERROR(__xludf.DUMMYFUNCTION("""COMPUTED_VALUE"""),"interest")</f>
        <v>interest</v>
      </c>
      <c r="O160" s="258" t="str">
        <f>IFERROR(__xludf.DUMMYFUNCTION("""COMPUTED_VALUE"""),"network_profile")</f>
        <v>network_profile</v>
      </c>
      <c r="P160" s="258"/>
    </row>
    <row r="161">
      <c r="A161" s="257" t="str">
        <f>IFERROR(__xludf.DUMMYFUNCTION("""COMPUTED_VALUE"""),"travel_enthusiast_bucket")</f>
        <v>travel_enthusiast_bucket</v>
      </c>
      <c r="B161" s="258" t="str">
        <f>IFERROR(__xludf.DUMMYFUNCTION("""COMPUTED_VALUE"""),"Audience/Persona")</f>
        <v>Audience/Persona</v>
      </c>
      <c r="C161" s="258" t="str">
        <f>IFERROR(__xludf.DUMMYFUNCTION("""COMPUTED_VALUE"""),"Non-PII")</f>
        <v>Non-PII</v>
      </c>
      <c r="D161" s="258" t="str">
        <f>IFERROR(__xludf.DUMMYFUNCTION("""COMPUTED_VALUE"""),"Non-PII")</f>
        <v>Non-PII</v>
      </c>
      <c r="E161" s="258" t="str">
        <f>IFERROR(__xludf.DUMMYFUNCTION("""COMPUTED_VALUE"""),"Bucketing based on identified metric for Travel Enthusiast profile
 Metric: Total Data Burn in Bytes in a Month
 Valid values: 
 LOW: &lt;= 687753 bytes
 MID: &gt; 687753 &amp; &lt;= 2332915 bytes
 HIGH: &gt; 2332915 bytes
 For wireline subscribers, only subscription"&amp;"s within Metro Manila (including some areas in Rizal) and with DSL, VDSL and GPON technology value are covered.")</f>
        <v>Bucketing based on identified metric for Travel Enthusiast profile
 Metric: Total Data Burn in Bytes in a Month
 Valid values: 
 LOW: &lt;= 687753 bytes
 MID: &gt; 687753 &amp; &lt;= 2332915 bytes
 HIGH: &gt; 2332915 bytes
 For wireline subscribers, only subscriptions within Metro Manila (including some areas in Rizal) and with DSL, VDSL and GPON technology value are covered.</v>
      </c>
      <c r="F161" s="258" t="str">
        <f>IFERROR(__xludf.DUMMYFUNCTION("""COMPUTED_VALUE"""),"Inferred")</f>
        <v>Inferred</v>
      </c>
      <c r="G161" s="258" t="str">
        <f>IFERROR(__xludf.DUMMYFUNCTION("""COMPUTED_VALUE"""),"varchar(1000)")</f>
        <v>varchar(1000)</v>
      </c>
      <c r="H161" s="258" t="str">
        <f>IFERROR(__xludf.DUMMYFUNCTION("""COMPUTED_VALUE"""),"HIGH")</f>
        <v>HIGH</v>
      </c>
      <c r="I161" s="258" t="str">
        <f>IFERROR(__xludf.DUMMYFUNCTION("""COMPUTED_VALUE"""),"EDO-UUP")</f>
        <v>EDO-UUP</v>
      </c>
      <c r="J161" s="258" t="str">
        <f>IFERROR(__xludf.DUMMYFUNCTION("""COMPUTED_VALUE"""),"Monthly")</f>
        <v>Monthly</v>
      </c>
      <c r="K161" s="258" t="str">
        <f>IFERROR(__xludf.DUMMYFUNCTION("""COMPUTED_VALUE"""),"")</f>
        <v/>
      </c>
      <c r="L161" s="258" t="str">
        <f>IFERROR(__xludf.DUMMYFUNCTION("""COMPUTED_VALUE"""),"GHP, GHP-PREPAID, TM, PW, GOMO, WIRELINE, BAYAN, GLOBE")</f>
        <v>GHP, GHP-PREPAID, TM, PW, GOMO, WIRELINE, BAYAN, GLOBE</v>
      </c>
      <c r="M161" s="258" t="str">
        <f>IFERROR(__xludf.DUMMYFUNCTION("""COMPUTED_VALUE"""),"Consumer, EG, SG, In house, IBG Traveler")</f>
        <v>Consumer, EG, SG, In house, IBG Traveler</v>
      </c>
      <c r="N161" s="258" t="str">
        <f>IFERROR(__xludf.DUMMYFUNCTION("""COMPUTED_VALUE"""),"interest")</f>
        <v>interest</v>
      </c>
      <c r="O161" s="258" t="str">
        <f>IFERROR(__xludf.DUMMYFUNCTION("""COMPUTED_VALUE"""),"network_profile")</f>
        <v>network_profile</v>
      </c>
      <c r="P161" s="258"/>
    </row>
    <row r="162">
      <c r="A162" s="257" t="str">
        <f>IFERROR(__xludf.DUMMYFUNCTION("""COMPUTED_VALUE"""),"travel_enthusiast_details")</f>
        <v>travel_enthusiast_details</v>
      </c>
      <c r="B162" s="258" t="str">
        <f>IFERROR(__xludf.DUMMYFUNCTION("""COMPUTED_VALUE"""),"Audience/Persona")</f>
        <v>Audience/Persona</v>
      </c>
      <c r="C162" s="258" t="str">
        <f>IFERROR(__xludf.DUMMYFUNCTION("""COMPUTED_VALUE"""),"Non-PII")</f>
        <v>Non-PII</v>
      </c>
      <c r="D162" s="258" t="str">
        <f>IFERROR(__xludf.DUMMYFUNCTION("""COMPUTED_VALUE"""),"Non-PII")</f>
        <v>Non-PII</v>
      </c>
      <c r="E162" s="258" t="str">
        <f>IFERROR(__xludf.DUMMYFUNCTION("""COMPUTED_VALUE"""),"Metric used and value for the Travel Enthusiast profile
 For wireline subscribers, only subscriptions within Metro Manila (including some areas in Rizal) and with DSL, VDSL and GPON technology value are covered.")</f>
        <v>Metric used and value for the Travel Enthusiast profile
 For wireline subscribers, only subscriptions within Metro Manila (including some areas in Rizal) and with DSL, VDSL and GPON technology value are covered.</v>
      </c>
      <c r="F162" s="258" t="str">
        <f>IFERROR(__xludf.DUMMYFUNCTION("""COMPUTED_VALUE"""),"Inferred")</f>
        <v>Inferred</v>
      </c>
      <c r="G162" s="258" t="str">
        <f>IFERROR(__xludf.DUMMYFUNCTION("""COMPUTED_VALUE"""),"varchar(1000)")</f>
        <v>varchar(1000)</v>
      </c>
      <c r="H162" s="258" t="str">
        <f>IFERROR(__xludf.DUMMYFUNCTION("""COMPUTED_VALUE"""),"{“Total Data Burn in Bytes in a Month”: 337620}")</f>
        <v>{“Total Data Burn in Bytes in a Month”: 337620}</v>
      </c>
      <c r="I162" s="258" t="str">
        <f>IFERROR(__xludf.DUMMYFUNCTION("""COMPUTED_VALUE"""),"EDO-UUP")</f>
        <v>EDO-UUP</v>
      </c>
      <c r="J162" s="258" t="str">
        <f>IFERROR(__xludf.DUMMYFUNCTION("""COMPUTED_VALUE"""),"Monthly")</f>
        <v>Monthly</v>
      </c>
      <c r="K162" s="258" t="str">
        <f>IFERROR(__xludf.DUMMYFUNCTION("""COMPUTED_VALUE"""),"")</f>
        <v/>
      </c>
      <c r="L162" s="258" t="str">
        <f>IFERROR(__xludf.DUMMYFUNCTION("""COMPUTED_VALUE"""),"GHP, GHP-PREPAID, TM, PW, GOMO, WIRELINE, BAYAN, GLOBE")</f>
        <v>GHP, GHP-PREPAID, TM, PW, GOMO, WIRELINE, BAYAN, GLOBE</v>
      </c>
      <c r="M162" s="258" t="str">
        <f>IFERROR(__xludf.DUMMYFUNCTION("""COMPUTED_VALUE"""),"Consumer, EG, SG, In house, IBG Traveler")</f>
        <v>Consumer, EG, SG, In house, IBG Traveler</v>
      </c>
      <c r="N162" s="258" t="str">
        <f>IFERROR(__xludf.DUMMYFUNCTION("""COMPUTED_VALUE"""),"interest")</f>
        <v>interest</v>
      </c>
      <c r="O162" s="258" t="str">
        <f>IFERROR(__xludf.DUMMYFUNCTION("""COMPUTED_VALUE"""),"network_profile")</f>
        <v>network_profile</v>
      </c>
      <c r="P162" s="258"/>
    </row>
    <row r="163">
      <c r="A163" s="257" t="str">
        <f>IFERROR(__xludf.DUMMYFUNCTION("""COMPUTED_VALUE"""),"health_buff_indicator")</f>
        <v>health_buff_indicator</v>
      </c>
      <c r="B163" s="258" t="str">
        <f>IFERROR(__xludf.DUMMYFUNCTION("""COMPUTED_VALUE"""),"Audience/Persona")</f>
        <v>Audience/Persona</v>
      </c>
      <c r="C163" s="258" t="str">
        <f>IFERROR(__xludf.DUMMYFUNCTION("""COMPUTED_VALUE"""),"Non-PII")</f>
        <v>Non-PII</v>
      </c>
      <c r="D163" s="258" t="str">
        <f>IFERROR(__xludf.DUMMYFUNCTION("""COMPUTED_VALUE"""),"Non-PII")</f>
        <v>Non-PII</v>
      </c>
      <c r="E163" s="258" t="str">
        <f>IFERROR(__xludf.DUMMYFUNCTION("""COMPUTED_VALUE"""),"Indicator if a subscriber accesses apps and sites related to fitness such as kfit, fitbit, my_fitness_pal
 For wireline subscribers, only subscriptions within Metro Manila (including some areas in Rizal) and with DSL, VDSL and GPON technology value are "&amp;"covered.")</f>
        <v>Indicator if a subscriber accesses apps and sites related to fitness such as kfit, fitbit, my_fitness_pal
 For wireline subscribers, only subscriptions within Metro Manila (including some areas in Rizal) and with DSL, VDSL and GPON technology value are covered.</v>
      </c>
      <c r="F163" s="258" t="str">
        <f>IFERROR(__xludf.DUMMYFUNCTION("""COMPUTED_VALUE"""),"Inferred")</f>
        <v>Inferred</v>
      </c>
      <c r="G163" s="258" t="str">
        <f>IFERROR(__xludf.DUMMYFUNCTION("""COMPUTED_VALUE"""),"boolean")</f>
        <v>boolean</v>
      </c>
      <c r="H163" s="258" t="b">
        <f>IFERROR(__xludf.DUMMYFUNCTION("""COMPUTED_VALUE"""),TRUE)</f>
        <v>1</v>
      </c>
      <c r="I163" s="258" t="str">
        <f>IFERROR(__xludf.DUMMYFUNCTION("""COMPUTED_VALUE"""),"EDO-UUP")</f>
        <v>EDO-UUP</v>
      </c>
      <c r="J163" s="258" t="str">
        <f>IFERROR(__xludf.DUMMYFUNCTION("""COMPUTED_VALUE"""),"Monthly")</f>
        <v>Monthly</v>
      </c>
      <c r="K163" s="258" t="str">
        <f>IFERROR(__xludf.DUMMYFUNCTION("""COMPUTED_VALUE"""),"")</f>
        <v/>
      </c>
      <c r="L163" s="258" t="str">
        <f>IFERROR(__xludf.DUMMYFUNCTION("""COMPUTED_VALUE"""),"GHP, GHP-PREPAID, TM, PW, GOMO, WIRELINE, BAYAN, GLOBE")</f>
        <v>GHP, GHP-PREPAID, TM, PW, GOMO, WIRELINE, BAYAN, GLOBE</v>
      </c>
      <c r="M163" s="258" t="str">
        <f>IFERROR(__xludf.DUMMYFUNCTION("""COMPUTED_VALUE"""),"Consumer, EG, SG, In house, IBG Traveler")</f>
        <v>Consumer, EG, SG, In house, IBG Traveler</v>
      </c>
      <c r="N163" s="258" t="str">
        <f>IFERROR(__xludf.DUMMYFUNCTION("""COMPUTED_VALUE"""),"interest")</f>
        <v>interest</v>
      </c>
      <c r="O163" s="258" t="str">
        <f>IFERROR(__xludf.DUMMYFUNCTION("""COMPUTED_VALUE"""),"network_profile")</f>
        <v>network_profile</v>
      </c>
      <c r="P163" s="258"/>
    </row>
    <row r="164">
      <c r="A164" s="257" t="str">
        <f>IFERROR(__xludf.DUMMYFUNCTION("""COMPUTED_VALUE"""),"health_buff_bucket")</f>
        <v>health_buff_bucket</v>
      </c>
      <c r="B164" s="258" t="str">
        <f>IFERROR(__xludf.DUMMYFUNCTION("""COMPUTED_VALUE"""),"Audience/Persona")</f>
        <v>Audience/Persona</v>
      </c>
      <c r="C164" s="258" t="str">
        <f>IFERROR(__xludf.DUMMYFUNCTION("""COMPUTED_VALUE"""),"Non-PII")</f>
        <v>Non-PII</v>
      </c>
      <c r="D164" s="258" t="str">
        <f>IFERROR(__xludf.DUMMYFUNCTION("""COMPUTED_VALUE"""),"Non-PII")</f>
        <v>Non-PII</v>
      </c>
      <c r="E164" s="258" t="str">
        <f>IFERROR(__xludf.DUMMYFUNCTION("""COMPUTED_VALUE"""),"Bucketing based on identified metric for Health Buff profile
 Metric: Total Hits in a Month
 Valid values: 
 LOW: &lt;= 5 hits
 MID: &gt; 5 &amp; &lt;= 10 hits
 HIGH: &gt; 10 hits
 For wireline subscribers, only subscriptions within Metro Manila (including some areas"&amp;" in Rizal) and with DSL, VDSL and GPON technology value are covered.")</f>
        <v>Bucketing based on identified metric for Health Buff profile
 Metric: Total Hits in a Month
 Valid values: 
 LOW: &lt;= 5 hits
 MID: &gt; 5 &amp; &lt;= 10 hits
 HIGH: &gt; 10 hits
 For wireline subscribers, only subscriptions within Metro Manila (including some areas in Rizal) and with DSL, VDSL and GPON technology value are covered.</v>
      </c>
      <c r="F164" s="258" t="str">
        <f>IFERROR(__xludf.DUMMYFUNCTION("""COMPUTED_VALUE"""),"Inferred")</f>
        <v>Inferred</v>
      </c>
      <c r="G164" s="258" t="str">
        <f>IFERROR(__xludf.DUMMYFUNCTION("""COMPUTED_VALUE"""),"varchar(65535)")</f>
        <v>varchar(65535)</v>
      </c>
      <c r="H164" s="258" t="str">
        <f>IFERROR(__xludf.DUMMYFUNCTION("""COMPUTED_VALUE"""),"HIGH")</f>
        <v>HIGH</v>
      </c>
      <c r="I164" s="258" t="str">
        <f>IFERROR(__xludf.DUMMYFUNCTION("""COMPUTED_VALUE"""),"EDO-UUP")</f>
        <v>EDO-UUP</v>
      </c>
      <c r="J164" s="258" t="str">
        <f>IFERROR(__xludf.DUMMYFUNCTION("""COMPUTED_VALUE"""),"Monthly")</f>
        <v>Monthly</v>
      </c>
      <c r="K164" s="258" t="str">
        <f>IFERROR(__xludf.DUMMYFUNCTION("""COMPUTED_VALUE"""),"")</f>
        <v/>
      </c>
      <c r="L164" s="258" t="str">
        <f>IFERROR(__xludf.DUMMYFUNCTION("""COMPUTED_VALUE"""),"GHP, GHP-PREPAID, TM, PW, GOMO, WIRELINE, BAYAN, GLOBE")</f>
        <v>GHP, GHP-PREPAID, TM, PW, GOMO, WIRELINE, BAYAN, GLOBE</v>
      </c>
      <c r="M164" s="258" t="str">
        <f>IFERROR(__xludf.DUMMYFUNCTION("""COMPUTED_VALUE"""),"Consumer, EG, SG, In house, IBG Traveler")</f>
        <v>Consumer, EG, SG, In house, IBG Traveler</v>
      </c>
      <c r="N164" s="258" t="str">
        <f>IFERROR(__xludf.DUMMYFUNCTION("""COMPUTED_VALUE"""),"interest")</f>
        <v>interest</v>
      </c>
      <c r="O164" s="258" t="str">
        <f>IFERROR(__xludf.DUMMYFUNCTION("""COMPUTED_VALUE"""),"network_profile")</f>
        <v>network_profile</v>
      </c>
      <c r="P164" s="258"/>
    </row>
    <row r="165">
      <c r="A165" s="257" t="str">
        <f>IFERROR(__xludf.DUMMYFUNCTION("""COMPUTED_VALUE"""),"health_buff_details")</f>
        <v>health_buff_details</v>
      </c>
      <c r="B165" s="258" t="str">
        <f>IFERROR(__xludf.DUMMYFUNCTION("""COMPUTED_VALUE"""),"Audience/Persona")</f>
        <v>Audience/Persona</v>
      </c>
      <c r="C165" s="258" t="str">
        <f>IFERROR(__xludf.DUMMYFUNCTION("""COMPUTED_VALUE"""),"Non-PII")</f>
        <v>Non-PII</v>
      </c>
      <c r="D165" s="258" t="str">
        <f>IFERROR(__xludf.DUMMYFUNCTION("""COMPUTED_VALUE"""),"Non-PII")</f>
        <v>Non-PII</v>
      </c>
      <c r="E165" s="258" t="str">
        <f>IFERROR(__xludf.DUMMYFUNCTION("""COMPUTED_VALUE"""),"Metric used and value for the Health Buff profile
 For wireline subscribers, only subscriptions within Metro Manila (including some areas in Rizal) and with DSL, VDSL and GPON technology value are covered.")</f>
        <v>Metric used and value for the Health Buff profile
 For wireline subscribers, only subscriptions within Metro Manila (including some areas in Rizal) and with DSL, VDSL and GPON technology value are covered.</v>
      </c>
      <c r="F165" s="258" t="str">
        <f>IFERROR(__xludf.DUMMYFUNCTION("""COMPUTED_VALUE"""),"Inferred")</f>
        <v>Inferred</v>
      </c>
      <c r="G165" s="258" t="str">
        <f>IFERROR(__xludf.DUMMYFUNCTION("""COMPUTED_VALUE"""),"varchar(1000)")</f>
        <v>varchar(1000)</v>
      </c>
      <c r="H165" s="258" t="str">
        <f>IFERROR(__xludf.DUMMYFUNCTION("""COMPUTED_VALUE"""),"{“Total Hits in a Month”: 114}")</f>
        <v>{“Total Hits in a Month”: 114}</v>
      </c>
      <c r="I165" s="258" t="str">
        <f>IFERROR(__xludf.DUMMYFUNCTION("""COMPUTED_VALUE"""),"EDO-UUP")</f>
        <v>EDO-UUP</v>
      </c>
      <c r="J165" s="258" t="str">
        <f>IFERROR(__xludf.DUMMYFUNCTION("""COMPUTED_VALUE"""),"Monthly")</f>
        <v>Monthly</v>
      </c>
      <c r="K165" s="258" t="str">
        <f>IFERROR(__xludf.DUMMYFUNCTION("""COMPUTED_VALUE"""),"")</f>
        <v/>
      </c>
      <c r="L165" s="258" t="str">
        <f>IFERROR(__xludf.DUMMYFUNCTION("""COMPUTED_VALUE"""),"GHP, GHP-PREPAID, TM, PW, GOMO, WIRELINE, BAYAN, GLOBE")</f>
        <v>GHP, GHP-PREPAID, TM, PW, GOMO, WIRELINE, BAYAN, GLOBE</v>
      </c>
      <c r="M165" s="258" t="str">
        <f>IFERROR(__xludf.DUMMYFUNCTION("""COMPUTED_VALUE"""),"Consumer, EG, SG, In house, IBG Traveler")</f>
        <v>Consumer, EG, SG, In house, IBG Traveler</v>
      </c>
      <c r="N165" s="258" t="str">
        <f>IFERROR(__xludf.DUMMYFUNCTION("""COMPUTED_VALUE"""),"interest")</f>
        <v>interest</v>
      </c>
      <c r="O165" s="258" t="str">
        <f>IFERROR(__xludf.DUMMYFUNCTION("""COMPUTED_VALUE"""),"network_profile")</f>
        <v>network_profile</v>
      </c>
      <c r="P165" s="258"/>
    </row>
    <row r="166">
      <c r="A166" s="257" t="str">
        <f>IFERROR(__xludf.DUMMYFUNCTION("""COMPUTED_VALUE"""),"ott_user_indicator")</f>
        <v>ott_user_indicator</v>
      </c>
      <c r="B166" s="258" t="str">
        <f>IFERROR(__xludf.DUMMYFUNCTION("""COMPUTED_VALUE"""),"Audience/Persona")</f>
        <v>Audience/Persona</v>
      </c>
      <c r="C166" s="258" t="str">
        <f>IFERROR(__xludf.DUMMYFUNCTION("""COMPUTED_VALUE"""),"Non-PII")</f>
        <v>Non-PII</v>
      </c>
      <c r="D166" s="258" t="str">
        <f>IFERROR(__xludf.DUMMYFUNCTION("""COMPUTED_VALUE"""),"Non-PII")</f>
        <v>Non-PII</v>
      </c>
      <c r="E166" s="258" t="str">
        <f>IFERROR(__xludf.DUMMYFUNCTION("""COMPUTED_VALUE"""),"Indicator if a subscriber accesses OTT apps and sites such as discord, facebook_messenger, whatsapp
 For wireline subscribers, only subscriptions within Metro Manila (including some areas in Rizal) and with DSL, VDSL and GPON technology value are covere"&amp;"d.")</f>
        <v>Indicator if a subscriber accesses OTT apps and sites such as discord, facebook_messenger, whatsapp
 For wireline subscribers, only subscriptions within Metro Manila (including some areas in Rizal) and with DSL, VDSL and GPON technology value are covered.</v>
      </c>
      <c r="F166" s="258" t="str">
        <f>IFERROR(__xludf.DUMMYFUNCTION("""COMPUTED_VALUE"""),"Inferred")</f>
        <v>Inferred</v>
      </c>
      <c r="G166" s="258" t="str">
        <f>IFERROR(__xludf.DUMMYFUNCTION("""COMPUTED_VALUE"""),"boolean")</f>
        <v>boolean</v>
      </c>
      <c r="H166" s="258" t="b">
        <f>IFERROR(__xludf.DUMMYFUNCTION("""COMPUTED_VALUE"""),TRUE)</f>
        <v>1</v>
      </c>
      <c r="I166" s="258" t="str">
        <f>IFERROR(__xludf.DUMMYFUNCTION("""COMPUTED_VALUE"""),"EDO-UUP")</f>
        <v>EDO-UUP</v>
      </c>
      <c r="J166" s="258" t="str">
        <f>IFERROR(__xludf.DUMMYFUNCTION("""COMPUTED_VALUE"""),"Monthly")</f>
        <v>Monthly</v>
      </c>
      <c r="K166" s="258" t="str">
        <f>IFERROR(__xludf.DUMMYFUNCTION("""COMPUTED_VALUE"""),"")</f>
        <v/>
      </c>
      <c r="L166" s="258" t="str">
        <f>IFERROR(__xludf.DUMMYFUNCTION("""COMPUTED_VALUE"""),"GHP, GHP-PREPAID, TM, PW, GOMO, WIRELINE, BAYAN, GLOBE")</f>
        <v>GHP, GHP-PREPAID, TM, PW, GOMO, WIRELINE, BAYAN, GLOBE</v>
      </c>
      <c r="M166" s="258" t="str">
        <f>IFERROR(__xludf.DUMMYFUNCTION("""COMPUTED_VALUE"""),"Consumer, EG, SG, In house, IBG Traveler")</f>
        <v>Consumer, EG, SG, In house, IBG Traveler</v>
      </c>
      <c r="N166" s="258" t="str">
        <f>IFERROR(__xludf.DUMMYFUNCTION("""COMPUTED_VALUE"""),"interest")</f>
        <v>interest</v>
      </c>
      <c r="O166" s="258" t="str">
        <f>IFERROR(__xludf.DUMMYFUNCTION("""COMPUTED_VALUE"""),"network_profile")</f>
        <v>network_profile</v>
      </c>
      <c r="P166" s="258"/>
    </row>
    <row r="167">
      <c r="A167" s="257" t="str">
        <f>IFERROR(__xludf.DUMMYFUNCTION("""COMPUTED_VALUE"""),"ott_user_bucket")</f>
        <v>ott_user_bucket</v>
      </c>
      <c r="B167" s="258" t="str">
        <f>IFERROR(__xludf.DUMMYFUNCTION("""COMPUTED_VALUE"""),"Audience/Persona")</f>
        <v>Audience/Persona</v>
      </c>
      <c r="C167" s="258" t="str">
        <f>IFERROR(__xludf.DUMMYFUNCTION("""COMPUTED_VALUE"""),"Non-PII")</f>
        <v>Non-PII</v>
      </c>
      <c r="D167" s="258" t="str">
        <f>IFERROR(__xludf.DUMMYFUNCTION("""COMPUTED_VALUE"""),"Non-PII")</f>
        <v>Non-PII</v>
      </c>
      <c r="E167" s="258" t="str">
        <f>IFERROR(__xludf.DUMMYFUNCTION("""COMPUTED_VALUE"""),"Bucketing based on identified metric for OTT User profile
 Metric: Average Daily Hits in a Month
 Valid values: 
 LOW: &lt;= 15 hits
 MID: &gt; 15 &amp; &lt;= 24 hits
 HIGH: &gt; 24 hits
 For wireline subscribers, only subscriptions within Metro Manila (including som"&amp;"e areas in Rizal) and with DSL, VDSL and GPON technology value are covered.")</f>
        <v>Bucketing based on identified metric for OTT User profile
 Metric: Average Daily Hits in a Month
 Valid values: 
 LOW: &lt;= 15 hits
 MID: &gt; 15 &amp; &lt;= 24 hits
 HIGH: &gt; 24 hits
 For wireline subscribers, only subscriptions within Metro Manila (including some areas in Rizal) and with DSL, VDSL and GPON technology value are covered.</v>
      </c>
      <c r="F167" s="258" t="str">
        <f>IFERROR(__xludf.DUMMYFUNCTION("""COMPUTED_VALUE"""),"Inferred")</f>
        <v>Inferred</v>
      </c>
      <c r="G167" s="258" t="str">
        <f>IFERROR(__xludf.DUMMYFUNCTION("""COMPUTED_VALUE"""),"varchar(1000)")</f>
        <v>varchar(1000)</v>
      </c>
      <c r="H167" s="258" t="str">
        <f>IFERROR(__xludf.DUMMYFUNCTION("""COMPUTED_VALUE"""),"LOW")</f>
        <v>LOW</v>
      </c>
      <c r="I167" s="258" t="str">
        <f>IFERROR(__xludf.DUMMYFUNCTION("""COMPUTED_VALUE"""),"EDO-UUP")</f>
        <v>EDO-UUP</v>
      </c>
      <c r="J167" s="258" t="str">
        <f>IFERROR(__xludf.DUMMYFUNCTION("""COMPUTED_VALUE"""),"Monthly")</f>
        <v>Monthly</v>
      </c>
      <c r="K167" s="258" t="str">
        <f>IFERROR(__xludf.DUMMYFUNCTION("""COMPUTED_VALUE"""),"")</f>
        <v/>
      </c>
      <c r="L167" s="258" t="str">
        <f>IFERROR(__xludf.DUMMYFUNCTION("""COMPUTED_VALUE"""),"GHP, GHP-PREPAID, TM, PW, GOMO, WIRELINE, BAYAN, GLOBE")</f>
        <v>GHP, GHP-PREPAID, TM, PW, GOMO, WIRELINE, BAYAN, GLOBE</v>
      </c>
      <c r="M167" s="258" t="str">
        <f>IFERROR(__xludf.DUMMYFUNCTION("""COMPUTED_VALUE"""),"Consumer, EG, SG, In house, IBG Traveler")</f>
        <v>Consumer, EG, SG, In house, IBG Traveler</v>
      </c>
      <c r="N167" s="258" t="str">
        <f>IFERROR(__xludf.DUMMYFUNCTION("""COMPUTED_VALUE"""),"interest")</f>
        <v>interest</v>
      </c>
      <c r="O167" s="258" t="str">
        <f>IFERROR(__xludf.DUMMYFUNCTION("""COMPUTED_VALUE"""),"network_profile")</f>
        <v>network_profile</v>
      </c>
      <c r="P167" s="258"/>
    </row>
    <row r="168">
      <c r="A168" s="257" t="str">
        <f>IFERROR(__xludf.DUMMYFUNCTION("""COMPUTED_VALUE"""),"ott_user_details")</f>
        <v>ott_user_details</v>
      </c>
      <c r="B168" s="258" t="str">
        <f>IFERROR(__xludf.DUMMYFUNCTION("""COMPUTED_VALUE"""),"Audience/Persona")</f>
        <v>Audience/Persona</v>
      </c>
      <c r="C168" s="258" t="str">
        <f>IFERROR(__xludf.DUMMYFUNCTION("""COMPUTED_VALUE"""),"Non-PII")</f>
        <v>Non-PII</v>
      </c>
      <c r="D168" s="258" t="str">
        <f>IFERROR(__xludf.DUMMYFUNCTION("""COMPUTED_VALUE"""),"Non-PII")</f>
        <v>Non-PII</v>
      </c>
      <c r="E168" s="258" t="str">
        <f>IFERROR(__xludf.DUMMYFUNCTION("""COMPUTED_VALUE"""),"Metric used and value for the OTT User profile
 For wireline subscribers, only subscriptions within Metro Manila (including some areas in Rizal) and with DSL, VDSL and GPON technology value are covered.")</f>
        <v>Metric used and value for the OTT User profile
 For wireline subscribers, only subscriptions within Metro Manila (including some areas in Rizal) and with DSL, VDSL and GPON technology value are covered.</v>
      </c>
      <c r="F168" s="258" t="str">
        <f>IFERROR(__xludf.DUMMYFUNCTION("""COMPUTED_VALUE"""),"Inferred")</f>
        <v>Inferred</v>
      </c>
      <c r="G168" s="258" t="str">
        <f>IFERROR(__xludf.DUMMYFUNCTION("""COMPUTED_VALUE"""),"varchar(1000)")</f>
        <v>varchar(1000)</v>
      </c>
      <c r="H168" s="258" t="str">
        <f>IFERROR(__xludf.DUMMYFUNCTION("""COMPUTED_VALUE"""),"{“Average Daily Hits in a Month”: 6}")</f>
        <v>{“Average Daily Hits in a Month”: 6}</v>
      </c>
      <c r="I168" s="258" t="str">
        <f>IFERROR(__xludf.DUMMYFUNCTION("""COMPUTED_VALUE"""),"EDO-UUP")</f>
        <v>EDO-UUP</v>
      </c>
      <c r="J168" s="258" t="str">
        <f>IFERROR(__xludf.DUMMYFUNCTION("""COMPUTED_VALUE"""),"Monthly")</f>
        <v>Monthly</v>
      </c>
      <c r="K168" s="258" t="str">
        <f>IFERROR(__xludf.DUMMYFUNCTION("""COMPUTED_VALUE"""),"")</f>
        <v/>
      </c>
      <c r="L168" s="258" t="str">
        <f>IFERROR(__xludf.DUMMYFUNCTION("""COMPUTED_VALUE"""),"GHP, GHP-PREPAID, TM, PW, GOMO, WIRELINE, BAYAN, GLOBE")</f>
        <v>GHP, GHP-PREPAID, TM, PW, GOMO, WIRELINE, BAYAN, GLOBE</v>
      </c>
      <c r="M168" s="258" t="str">
        <f>IFERROR(__xludf.DUMMYFUNCTION("""COMPUTED_VALUE"""),"Consumer, EG, SG, In house, IBG Traveler")</f>
        <v>Consumer, EG, SG, In house, IBG Traveler</v>
      </c>
      <c r="N168" s="258" t="str">
        <f>IFERROR(__xludf.DUMMYFUNCTION("""COMPUTED_VALUE"""),"interest")</f>
        <v>interest</v>
      </c>
      <c r="O168" s="258" t="str">
        <f>IFERROR(__xludf.DUMMYFUNCTION("""COMPUTED_VALUE"""),"network_profile")</f>
        <v>network_profile</v>
      </c>
      <c r="P168" s="258"/>
    </row>
    <row r="169">
      <c r="A169" s="257" t="str">
        <f>IFERROR(__xludf.DUMMYFUNCTION("""COMPUTED_VALUE"""),"social_media_maverick_indicator")</f>
        <v>social_media_maverick_indicator</v>
      </c>
      <c r="B169" s="258" t="str">
        <f>IFERROR(__xludf.DUMMYFUNCTION("""COMPUTED_VALUE"""),"Audience/Persona")</f>
        <v>Audience/Persona</v>
      </c>
      <c r="C169" s="258" t="str">
        <f>IFERROR(__xludf.DUMMYFUNCTION("""COMPUTED_VALUE"""),"Non-PII")</f>
        <v>Non-PII</v>
      </c>
      <c r="D169" s="258" t="str">
        <f>IFERROR(__xludf.DUMMYFUNCTION("""COMPUTED_VALUE"""),"Non-PII")</f>
        <v>Non-PII</v>
      </c>
      <c r="E169" s="258" t="str">
        <f>IFERROR(__xludf.DUMMYFUNCTION("""COMPUTED_VALUE"""),"Indicator if a subscriber accesses social media apps and sites such as facebook, instagram, tiktok
 For wireline subscribers, only subscriptions within Metro Manila (including some areas in Rizal) and with DSL, VDSL and GPON technology value are covered"&amp;".")</f>
        <v>Indicator if a subscriber accesses social media apps and sites such as facebook, instagram, tiktok
 For wireline subscribers, only subscriptions within Metro Manila (including some areas in Rizal) and with DSL, VDSL and GPON technology value are covered.</v>
      </c>
      <c r="F169" s="258" t="str">
        <f>IFERROR(__xludf.DUMMYFUNCTION("""COMPUTED_VALUE"""),"Inferred")</f>
        <v>Inferred</v>
      </c>
      <c r="G169" s="258" t="str">
        <f>IFERROR(__xludf.DUMMYFUNCTION("""COMPUTED_VALUE"""),"boolean")</f>
        <v>boolean</v>
      </c>
      <c r="H169" s="258" t="b">
        <f>IFERROR(__xludf.DUMMYFUNCTION("""COMPUTED_VALUE"""),TRUE)</f>
        <v>1</v>
      </c>
      <c r="I169" s="258" t="str">
        <f>IFERROR(__xludf.DUMMYFUNCTION("""COMPUTED_VALUE"""),"EDO-UUP")</f>
        <v>EDO-UUP</v>
      </c>
      <c r="J169" s="258" t="str">
        <f>IFERROR(__xludf.DUMMYFUNCTION("""COMPUTED_VALUE"""),"Monthly")</f>
        <v>Monthly</v>
      </c>
      <c r="K169" s="258" t="str">
        <f>IFERROR(__xludf.DUMMYFUNCTION("""COMPUTED_VALUE"""),"")</f>
        <v/>
      </c>
      <c r="L169" s="258" t="str">
        <f>IFERROR(__xludf.DUMMYFUNCTION("""COMPUTED_VALUE"""),"GHP, GHP-PREPAID, TM, PW, GOMO, WIRELINE, BAYAN, GLOBE")</f>
        <v>GHP, GHP-PREPAID, TM, PW, GOMO, WIRELINE, BAYAN, GLOBE</v>
      </c>
      <c r="M169" s="258" t="str">
        <f>IFERROR(__xludf.DUMMYFUNCTION("""COMPUTED_VALUE"""),"Consumer, EG, SG, In house, IBG Traveler")</f>
        <v>Consumer, EG, SG, In house, IBG Traveler</v>
      </c>
      <c r="N169" s="258" t="str">
        <f>IFERROR(__xludf.DUMMYFUNCTION("""COMPUTED_VALUE"""),"interest")</f>
        <v>interest</v>
      </c>
      <c r="O169" s="258" t="str">
        <f>IFERROR(__xludf.DUMMYFUNCTION("""COMPUTED_VALUE"""),"network_profile")</f>
        <v>network_profile</v>
      </c>
      <c r="P169" s="258"/>
    </row>
    <row r="170">
      <c r="A170" s="257" t="str">
        <f>IFERROR(__xludf.DUMMYFUNCTION("""COMPUTED_VALUE"""),"social_media_maverick_bucket")</f>
        <v>social_media_maverick_bucket</v>
      </c>
      <c r="B170" s="258" t="str">
        <f>IFERROR(__xludf.DUMMYFUNCTION("""COMPUTED_VALUE"""),"Audience/Persona")</f>
        <v>Audience/Persona</v>
      </c>
      <c r="C170" s="258" t="str">
        <f>IFERROR(__xludf.DUMMYFUNCTION("""COMPUTED_VALUE"""),"Non-PII")</f>
        <v>Non-PII</v>
      </c>
      <c r="D170" s="258" t="str">
        <f>IFERROR(__xludf.DUMMYFUNCTION("""COMPUTED_VALUE"""),"Non-PII")</f>
        <v>Non-PII</v>
      </c>
      <c r="E170" s="258" t="str">
        <f>IFERROR(__xludf.DUMMYFUNCTION("""COMPUTED_VALUE"""),"Bucketing based on identified metric for Social Media Maverick profile
 Metric: Average Daily Hits in a Month
 Valid values: 
 LOW: &lt;= 9 hits
 MID: &gt; 9 &amp; &lt;= 18 hits
 HIGH: &gt; 18 hits
 For wireline subscribers, only subscriptions within Metro Manila (in"&amp;"cluding some areas in Rizal) and with DSL, VDSL and GPON technology value are covered.")</f>
        <v>Bucketing based on identified metric for Social Media Maverick profile
 Metric: Average Daily Hits in a Month
 Valid values: 
 LOW: &lt;= 9 hits
 MID: &gt; 9 &amp; &lt;= 18 hits
 HIGH: &gt; 18 hits
 For wireline subscribers, only subscriptions within Metro Manila (including some areas in Rizal) and with DSL, VDSL and GPON technology value are covered.</v>
      </c>
      <c r="F170" s="258" t="str">
        <f>IFERROR(__xludf.DUMMYFUNCTION("""COMPUTED_VALUE"""),"Inferred")</f>
        <v>Inferred</v>
      </c>
      <c r="G170" s="258" t="str">
        <f>IFERROR(__xludf.DUMMYFUNCTION("""COMPUTED_VALUE"""),"varchar(1000)")</f>
        <v>varchar(1000)</v>
      </c>
      <c r="H170" s="258" t="str">
        <f>IFERROR(__xludf.DUMMYFUNCTION("""COMPUTED_VALUE"""),"MID")</f>
        <v>MID</v>
      </c>
      <c r="I170" s="258" t="str">
        <f>IFERROR(__xludf.DUMMYFUNCTION("""COMPUTED_VALUE"""),"EDO-UUP")</f>
        <v>EDO-UUP</v>
      </c>
      <c r="J170" s="258" t="str">
        <f>IFERROR(__xludf.DUMMYFUNCTION("""COMPUTED_VALUE"""),"Monthly")</f>
        <v>Monthly</v>
      </c>
      <c r="K170" s="258" t="str">
        <f>IFERROR(__xludf.DUMMYFUNCTION("""COMPUTED_VALUE"""),"")</f>
        <v/>
      </c>
      <c r="L170" s="258" t="str">
        <f>IFERROR(__xludf.DUMMYFUNCTION("""COMPUTED_VALUE"""),"GHP, GHP-PREPAID, TM, PW, GOMO, WIRELINE, BAYAN, GLOBE")</f>
        <v>GHP, GHP-PREPAID, TM, PW, GOMO, WIRELINE, BAYAN, GLOBE</v>
      </c>
      <c r="M170" s="258" t="str">
        <f>IFERROR(__xludf.DUMMYFUNCTION("""COMPUTED_VALUE"""),"Consumer, EG, SG, In house, IBG Traveler")</f>
        <v>Consumer, EG, SG, In house, IBG Traveler</v>
      </c>
      <c r="N170" s="258" t="str">
        <f>IFERROR(__xludf.DUMMYFUNCTION("""COMPUTED_VALUE"""),"interest")</f>
        <v>interest</v>
      </c>
      <c r="O170" s="258" t="str">
        <f>IFERROR(__xludf.DUMMYFUNCTION("""COMPUTED_VALUE"""),"network_profile")</f>
        <v>network_profile</v>
      </c>
      <c r="P170" s="258"/>
    </row>
    <row r="171">
      <c r="A171" s="257" t="str">
        <f>IFERROR(__xludf.DUMMYFUNCTION("""COMPUTED_VALUE"""),"social_media_maverick_details")</f>
        <v>social_media_maverick_details</v>
      </c>
      <c r="B171" s="258" t="str">
        <f>IFERROR(__xludf.DUMMYFUNCTION("""COMPUTED_VALUE"""),"Audience/Persona")</f>
        <v>Audience/Persona</v>
      </c>
      <c r="C171" s="258" t="str">
        <f>IFERROR(__xludf.DUMMYFUNCTION("""COMPUTED_VALUE"""),"Non-PII")</f>
        <v>Non-PII</v>
      </c>
      <c r="D171" s="258" t="str">
        <f>IFERROR(__xludf.DUMMYFUNCTION("""COMPUTED_VALUE"""),"Non-PII")</f>
        <v>Non-PII</v>
      </c>
      <c r="E171" s="258" t="str">
        <f>IFERROR(__xludf.DUMMYFUNCTION("""COMPUTED_VALUE"""),"Metric used and value for the Social Media Maverick profile
 For wireline subscribers, only subscriptions within Metro Manila (including some areas in Rizal) and with DSL, VDSL and GPON technology value are covered.")</f>
        <v>Metric used and value for the Social Media Maverick profile
 For wireline subscribers, only subscriptions within Metro Manila (including some areas in Rizal) and with DSL, VDSL and GPON technology value are covered.</v>
      </c>
      <c r="F171" s="258" t="str">
        <f>IFERROR(__xludf.DUMMYFUNCTION("""COMPUTED_VALUE"""),"Inferred")</f>
        <v>Inferred</v>
      </c>
      <c r="G171" s="258" t="str">
        <f>IFERROR(__xludf.DUMMYFUNCTION("""COMPUTED_VALUE"""),"varchar(1000)")</f>
        <v>varchar(1000)</v>
      </c>
      <c r="H171" s="258" t="str">
        <f>IFERROR(__xludf.DUMMYFUNCTION("""COMPUTED_VALUE"""),"{“Average Daily Hits in a Month”: 21}")</f>
        <v>{“Average Daily Hits in a Month”: 21}</v>
      </c>
      <c r="I171" s="258" t="str">
        <f>IFERROR(__xludf.DUMMYFUNCTION("""COMPUTED_VALUE"""),"EDO-UUP")</f>
        <v>EDO-UUP</v>
      </c>
      <c r="J171" s="258" t="str">
        <f>IFERROR(__xludf.DUMMYFUNCTION("""COMPUTED_VALUE"""),"Monthly")</f>
        <v>Monthly</v>
      </c>
      <c r="K171" s="258" t="str">
        <f>IFERROR(__xludf.DUMMYFUNCTION("""COMPUTED_VALUE"""),"")</f>
        <v/>
      </c>
      <c r="L171" s="258" t="str">
        <f>IFERROR(__xludf.DUMMYFUNCTION("""COMPUTED_VALUE"""),"GHP, GHP-PREPAID, TM, PW, GOMO, WIRELINE, BAYAN, GLOBE")</f>
        <v>GHP, GHP-PREPAID, TM, PW, GOMO, WIRELINE, BAYAN, GLOBE</v>
      </c>
      <c r="M171" s="258" t="str">
        <f>IFERROR(__xludf.DUMMYFUNCTION("""COMPUTED_VALUE"""),"Consumer, EG, SG, In house, IBG Traveler")</f>
        <v>Consumer, EG, SG, In house, IBG Traveler</v>
      </c>
      <c r="N171" s="258" t="str">
        <f>IFERROR(__xludf.DUMMYFUNCTION("""COMPUTED_VALUE"""),"interest")</f>
        <v>interest</v>
      </c>
      <c r="O171" s="258" t="str">
        <f>IFERROR(__xludf.DUMMYFUNCTION("""COMPUTED_VALUE"""),"network_profile")</f>
        <v>network_profile</v>
      </c>
      <c r="P171" s="258"/>
    </row>
    <row r="172">
      <c r="A172" s="257" t="str">
        <f>IFERROR(__xludf.DUMMYFUNCTION("""COMPUTED_VALUE"""),"mobile_wallet_user_indicator")</f>
        <v>mobile_wallet_user_indicator</v>
      </c>
      <c r="B172" s="258" t="str">
        <f>IFERROR(__xludf.DUMMYFUNCTION("""COMPUTED_VALUE"""),"Audience/Persona")</f>
        <v>Audience/Persona</v>
      </c>
      <c r="C172" s="258" t="str">
        <f>IFERROR(__xludf.DUMMYFUNCTION("""COMPUTED_VALUE"""),"Non-PII")</f>
        <v>Non-PII</v>
      </c>
      <c r="D172" s="258" t="str">
        <f>IFERROR(__xludf.DUMMYFUNCTION("""COMPUTED_VALUE"""),"Non-PII")</f>
        <v>Non-PII</v>
      </c>
      <c r="E172" s="258" t="str">
        <f>IFERROR(__xludf.DUMMYFUNCTION("""COMPUTED_VALUE"""),"Indicator if a subscriber accesses mobile payment apps and sites such as Gcash, Paymaya, PayPal
 For wireline subscribers, only subscriptions within Metro Manila (including some areas in Rizal) and with DSL, VDSL and GPON technology value are covered.")</f>
        <v>Indicator if a subscriber accesses mobile payment apps and sites such as Gcash, Paymaya, PayPal
 For wireline subscribers, only subscriptions within Metro Manila (including some areas in Rizal) and with DSL, VDSL and GPON technology value are covered.</v>
      </c>
      <c r="F172" s="258" t="str">
        <f>IFERROR(__xludf.DUMMYFUNCTION("""COMPUTED_VALUE"""),"Inferred")</f>
        <v>Inferred</v>
      </c>
      <c r="G172" s="258" t="str">
        <f>IFERROR(__xludf.DUMMYFUNCTION("""COMPUTED_VALUE"""),"boolean")</f>
        <v>boolean</v>
      </c>
      <c r="H172" s="258" t="b">
        <f>IFERROR(__xludf.DUMMYFUNCTION("""COMPUTED_VALUE"""),TRUE)</f>
        <v>1</v>
      </c>
      <c r="I172" s="258" t="str">
        <f>IFERROR(__xludf.DUMMYFUNCTION("""COMPUTED_VALUE"""),"EDO-UUP")</f>
        <v>EDO-UUP</v>
      </c>
      <c r="J172" s="258" t="str">
        <f>IFERROR(__xludf.DUMMYFUNCTION("""COMPUTED_VALUE"""),"Monthly")</f>
        <v>Monthly</v>
      </c>
      <c r="K172" s="258" t="str">
        <f>IFERROR(__xludf.DUMMYFUNCTION("""COMPUTED_VALUE"""),"")</f>
        <v/>
      </c>
      <c r="L172" s="258" t="str">
        <f>IFERROR(__xludf.DUMMYFUNCTION("""COMPUTED_VALUE"""),"GHP, GHP-PREPAID, TM, PW, GOMO, WIRELINE, BAYAN, GLOBE")</f>
        <v>GHP, GHP-PREPAID, TM, PW, GOMO, WIRELINE, BAYAN, GLOBE</v>
      </c>
      <c r="M172" s="258" t="str">
        <f>IFERROR(__xludf.DUMMYFUNCTION("""COMPUTED_VALUE"""),"Consumer, EG, SG, In house, IBG Traveler")</f>
        <v>Consumer, EG, SG, In house, IBG Traveler</v>
      </c>
      <c r="N172" s="258" t="str">
        <f>IFERROR(__xludf.DUMMYFUNCTION("""COMPUTED_VALUE"""),"interest")</f>
        <v>interest</v>
      </c>
      <c r="O172" s="258" t="str">
        <f>IFERROR(__xludf.DUMMYFUNCTION("""COMPUTED_VALUE"""),"network_profile")</f>
        <v>network_profile</v>
      </c>
      <c r="P172" s="258"/>
    </row>
    <row r="173">
      <c r="A173" s="257" t="str">
        <f>IFERROR(__xludf.DUMMYFUNCTION("""COMPUTED_VALUE"""),"mobile_wallet_user_bucket")</f>
        <v>mobile_wallet_user_bucket</v>
      </c>
      <c r="B173" s="258" t="str">
        <f>IFERROR(__xludf.DUMMYFUNCTION("""COMPUTED_VALUE"""),"Audience/Persona")</f>
        <v>Audience/Persona</v>
      </c>
      <c r="C173" s="258" t="str">
        <f>IFERROR(__xludf.DUMMYFUNCTION("""COMPUTED_VALUE"""),"Non-PII")</f>
        <v>Non-PII</v>
      </c>
      <c r="D173" s="258" t="str">
        <f>IFERROR(__xludf.DUMMYFUNCTION("""COMPUTED_VALUE"""),"Non-PII")</f>
        <v>Non-PII</v>
      </c>
      <c r="E173" s="258" t="str">
        <f>IFERROR(__xludf.DUMMYFUNCTION("""COMPUTED_VALUE"""),"Bucketing based on identified metric for Mobile Wallet User profile
 Metric: Total Hits in a Month
 Valid values: 
 LOW: &lt;= 5 hits
 MID: &gt; 5 &amp; &lt;= 11 hits
 HIGH: &gt; 11 hits
 For wireline subscribers, only subscriptions within Metro Manila (including som"&amp;"e areas in Rizal) and with DSL, VDSL and GPON technology value are covered.")</f>
        <v>Bucketing based on identified metric for Mobile Wallet User profile
 Metric: Total Hits in a Month
 Valid values: 
 LOW: &lt;= 5 hits
 MID: &gt; 5 &amp; &lt;= 11 hits
 HIGH: &gt; 11 hits
 For wireline subscribers, only subscriptions within Metro Manila (including some areas in Rizal) and with DSL, VDSL and GPON technology value are covered.</v>
      </c>
      <c r="F173" s="258" t="str">
        <f>IFERROR(__xludf.DUMMYFUNCTION("""COMPUTED_VALUE"""),"Inferred")</f>
        <v>Inferred</v>
      </c>
      <c r="G173" s="258" t="str">
        <f>IFERROR(__xludf.DUMMYFUNCTION("""COMPUTED_VALUE"""),"varchar(1000)")</f>
        <v>varchar(1000)</v>
      </c>
      <c r="H173" s="258" t="str">
        <f>IFERROR(__xludf.DUMMYFUNCTION("""COMPUTED_VALUE"""),"HIGH")</f>
        <v>HIGH</v>
      </c>
      <c r="I173" s="258" t="str">
        <f>IFERROR(__xludf.DUMMYFUNCTION("""COMPUTED_VALUE"""),"EDO-UUP")</f>
        <v>EDO-UUP</v>
      </c>
      <c r="J173" s="258" t="str">
        <f>IFERROR(__xludf.DUMMYFUNCTION("""COMPUTED_VALUE"""),"Monthly")</f>
        <v>Monthly</v>
      </c>
      <c r="K173" s="258" t="str">
        <f>IFERROR(__xludf.DUMMYFUNCTION("""COMPUTED_VALUE"""),"")</f>
        <v/>
      </c>
      <c r="L173" s="258" t="str">
        <f>IFERROR(__xludf.DUMMYFUNCTION("""COMPUTED_VALUE"""),"GHP, GHP-PREPAID, TM, PW, GOMO, WIRELINE, BAYAN, GLOBE")</f>
        <v>GHP, GHP-PREPAID, TM, PW, GOMO, WIRELINE, BAYAN, GLOBE</v>
      </c>
      <c r="M173" s="258" t="str">
        <f>IFERROR(__xludf.DUMMYFUNCTION("""COMPUTED_VALUE"""),"Consumer, EG, SG, In house, IBG Traveler")</f>
        <v>Consumer, EG, SG, In house, IBG Traveler</v>
      </c>
      <c r="N173" s="258" t="str">
        <f>IFERROR(__xludf.DUMMYFUNCTION("""COMPUTED_VALUE"""),"interest")</f>
        <v>interest</v>
      </c>
      <c r="O173" s="258" t="str">
        <f>IFERROR(__xludf.DUMMYFUNCTION("""COMPUTED_VALUE"""),"network_profile")</f>
        <v>network_profile</v>
      </c>
      <c r="P173" s="258"/>
    </row>
    <row r="174">
      <c r="A174" s="257" t="str">
        <f>IFERROR(__xludf.DUMMYFUNCTION("""COMPUTED_VALUE"""),"mobile_wallet_user_details")</f>
        <v>mobile_wallet_user_details</v>
      </c>
      <c r="B174" s="258" t="str">
        <f>IFERROR(__xludf.DUMMYFUNCTION("""COMPUTED_VALUE"""),"Audience/Persona")</f>
        <v>Audience/Persona</v>
      </c>
      <c r="C174" s="258" t="str">
        <f>IFERROR(__xludf.DUMMYFUNCTION("""COMPUTED_VALUE"""),"Non-PII")</f>
        <v>Non-PII</v>
      </c>
      <c r="D174" s="258" t="str">
        <f>IFERROR(__xludf.DUMMYFUNCTION("""COMPUTED_VALUE"""),"Non-PII")</f>
        <v>Non-PII</v>
      </c>
      <c r="E174" s="258" t="str">
        <f>IFERROR(__xludf.DUMMYFUNCTION("""COMPUTED_VALUE"""),"Metric used and value for the Mobile Wallet User profile
 For wireline subscribers, only subscriptions within Metro Manila (including some areas in Rizal) and with DSL, VDSL and GPON technology value are covered.")</f>
        <v>Metric used and value for the Mobile Wallet User profile
 For wireline subscribers, only subscriptions within Metro Manila (including some areas in Rizal) and with DSL, VDSL and GPON technology value are covered.</v>
      </c>
      <c r="F174" s="258" t="str">
        <f>IFERROR(__xludf.DUMMYFUNCTION("""COMPUTED_VALUE"""),"Inferred")</f>
        <v>Inferred</v>
      </c>
      <c r="G174" s="258" t="str">
        <f>IFERROR(__xludf.DUMMYFUNCTION("""COMPUTED_VALUE"""),"varchar(1000)")</f>
        <v>varchar(1000)</v>
      </c>
      <c r="H174" s="258" t="str">
        <f>IFERROR(__xludf.DUMMYFUNCTION("""COMPUTED_VALUE"""),"{“Total Hits in a Month”: 15}")</f>
        <v>{“Total Hits in a Month”: 15}</v>
      </c>
      <c r="I174" s="258" t="str">
        <f>IFERROR(__xludf.DUMMYFUNCTION("""COMPUTED_VALUE"""),"EDO-UUP")</f>
        <v>EDO-UUP</v>
      </c>
      <c r="J174" s="258" t="str">
        <f>IFERROR(__xludf.DUMMYFUNCTION("""COMPUTED_VALUE"""),"Monthly")</f>
        <v>Monthly</v>
      </c>
      <c r="K174" s="258" t="str">
        <f>IFERROR(__xludf.DUMMYFUNCTION("""COMPUTED_VALUE"""),"")</f>
        <v/>
      </c>
      <c r="L174" s="258" t="str">
        <f>IFERROR(__xludf.DUMMYFUNCTION("""COMPUTED_VALUE"""),"GHP, GHP-PREPAID, TM, PW, GOMO, WIRELINE, BAYAN, GLOBE")</f>
        <v>GHP, GHP-PREPAID, TM, PW, GOMO, WIRELINE, BAYAN, GLOBE</v>
      </c>
      <c r="M174" s="258" t="str">
        <f>IFERROR(__xludf.DUMMYFUNCTION("""COMPUTED_VALUE"""),"Consumer, EG, SG, In house, IBG Traveler")</f>
        <v>Consumer, EG, SG, In house, IBG Traveler</v>
      </c>
      <c r="N174" s="258" t="str">
        <f>IFERROR(__xludf.DUMMYFUNCTION("""COMPUTED_VALUE"""),"interest")</f>
        <v>interest</v>
      </c>
      <c r="O174" s="258" t="str">
        <f>IFERROR(__xludf.DUMMYFUNCTION("""COMPUTED_VALUE"""),"network_profile")</f>
        <v>network_profile</v>
      </c>
      <c r="P174" s="258"/>
    </row>
    <row r="175">
      <c r="A175" s="257" t="str">
        <f>IFERROR(__xludf.DUMMYFUNCTION("""COMPUTED_VALUE"""),"road_warrior_indicator")</f>
        <v>road_warrior_indicator</v>
      </c>
      <c r="B175" s="258" t="str">
        <f>IFERROR(__xludf.DUMMYFUNCTION("""COMPUTED_VALUE"""),"Audience/Persona")</f>
        <v>Audience/Persona</v>
      </c>
      <c r="C175" s="258" t="str">
        <f>IFERROR(__xludf.DUMMYFUNCTION("""COMPUTED_VALUE"""),"Non-PII")</f>
        <v>Non-PII</v>
      </c>
      <c r="D175" s="258" t="str">
        <f>IFERROR(__xludf.DUMMYFUNCTION("""COMPUTED_VALUE"""),"Non-PII")</f>
        <v>Non-PII</v>
      </c>
      <c r="E175" s="258" t="str">
        <f>IFERROR(__xludf.DUMMYFUNCTION("""COMPUTED_VALUE"""),"Indicator if a subscriber accesses electronic maps like waze, google_maps, apple_maps")</f>
        <v>Indicator if a subscriber accesses electronic maps like waze, google_maps, apple_maps</v>
      </c>
      <c r="F175" s="258" t="str">
        <f>IFERROR(__xludf.DUMMYFUNCTION("""COMPUTED_VALUE"""),"Inferred")</f>
        <v>Inferred</v>
      </c>
      <c r="G175" s="258" t="str">
        <f>IFERROR(__xludf.DUMMYFUNCTION("""COMPUTED_VALUE"""),"boolean")</f>
        <v>boolean</v>
      </c>
      <c r="H175" s="258" t="b">
        <f>IFERROR(__xludf.DUMMYFUNCTION("""COMPUTED_VALUE"""),TRUE)</f>
        <v>1</v>
      </c>
      <c r="I175" s="258" t="str">
        <f>IFERROR(__xludf.DUMMYFUNCTION("""COMPUTED_VALUE"""),"EDO-UUP")</f>
        <v>EDO-UUP</v>
      </c>
      <c r="J175" s="258" t="str">
        <f>IFERROR(__xludf.DUMMYFUNCTION("""COMPUTED_VALUE"""),"Monthly")</f>
        <v>Monthly</v>
      </c>
      <c r="K175" s="258" t="str">
        <f>IFERROR(__xludf.DUMMYFUNCTION("""COMPUTED_VALUE"""),"")</f>
        <v/>
      </c>
      <c r="L175" s="258" t="str">
        <f>IFERROR(__xludf.DUMMYFUNCTION("""COMPUTED_VALUE"""),"GHP, GHP-PREPAID, TM, PW, GOMO")</f>
        <v>GHP, GHP-PREPAID, TM, PW, GOMO</v>
      </c>
      <c r="M175" s="258" t="str">
        <f>IFERROR(__xludf.DUMMYFUNCTION("""COMPUTED_VALUE"""),"Consumer, EG, SG, In house, IBG Traveler")</f>
        <v>Consumer, EG, SG, In house, IBG Traveler</v>
      </c>
      <c r="N175" s="258" t="str">
        <f>IFERROR(__xludf.DUMMYFUNCTION("""COMPUTED_VALUE"""),"interest")</f>
        <v>interest</v>
      </c>
      <c r="O175" s="258" t="str">
        <f>IFERROR(__xludf.DUMMYFUNCTION("""COMPUTED_VALUE"""),"network_profile")</f>
        <v>network_profile</v>
      </c>
      <c r="P175" s="258"/>
    </row>
    <row r="176">
      <c r="A176" s="257" t="str">
        <f>IFERROR(__xludf.DUMMYFUNCTION("""COMPUTED_VALUE"""),"road_warrior_bucket")</f>
        <v>road_warrior_bucket</v>
      </c>
      <c r="B176" s="258" t="str">
        <f>IFERROR(__xludf.DUMMYFUNCTION("""COMPUTED_VALUE"""),"Audience/Persona")</f>
        <v>Audience/Persona</v>
      </c>
      <c r="C176" s="258" t="str">
        <f>IFERROR(__xludf.DUMMYFUNCTION("""COMPUTED_VALUE"""),"Non-PII")</f>
        <v>Non-PII</v>
      </c>
      <c r="D176" s="258" t="str">
        <f>IFERROR(__xludf.DUMMYFUNCTION("""COMPUTED_VALUE"""),"Non-PII")</f>
        <v>Non-PII</v>
      </c>
      <c r="E176" s="258" t="str">
        <f>IFERROR(__xludf.DUMMYFUNCTION("""COMPUTED_VALUE"""),"Bucketing based on the identified metric for the Road Warrior profile
  Metric: Average Daily Hits in a Month
  Valid values:
  Wireless
  LOW: &lt;= 6
  MID: &gt; 6 &amp; &lt;= 9
  HIGH: &gt; 9")</f>
        <v>Bucketing based on the identified metric for the Road Warrior profile
  Metric: Average Daily Hits in a Month
  Valid values:
  Wireless
  LOW: &lt;= 6
  MID: &gt; 6 &amp; &lt;= 9
  HIGH: &gt; 9</v>
      </c>
      <c r="F176" s="258" t="str">
        <f>IFERROR(__xludf.DUMMYFUNCTION("""COMPUTED_VALUE"""),"Inferred")</f>
        <v>Inferred</v>
      </c>
      <c r="G176" s="258" t="str">
        <f>IFERROR(__xludf.DUMMYFUNCTION("""COMPUTED_VALUE"""),"varchar(1000)")</f>
        <v>varchar(1000)</v>
      </c>
      <c r="H176" s="258" t="str">
        <f>IFERROR(__xludf.DUMMYFUNCTION("""COMPUTED_VALUE"""),"MID")</f>
        <v>MID</v>
      </c>
      <c r="I176" s="258" t="str">
        <f>IFERROR(__xludf.DUMMYFUNCTION("""COMPUTED_VALUE"""),"EDO-UUP")</f>
        <v>EDO-UUP</v>
      </c>
      <c r="J176" s="258" t="str">
        <f>IFERROR(__xludf.DUMMYFUNCTION("""COMPUTED_VALUE"""),"Monthly")</f>
        <v>Monthly</v>
      </c>
      <c r="K176" s="258" t="str">
        <f>IFERROR(__xludf.DUMMYFUNCTION("""COMPUTED_VALUE"""),"")</f>
        <v/>
      </c>
      <c r="L176" s="258" t="str">
        <f>IFERROR(__xludf.DUMMYFUNCTION("""COMPUTED_VALUE"""),"GHP, GHP-PREPAID, TM, PW, GOMO")</f>
        <v>GHP, GHP-PREPAID, TM, PW, GOMO</v>
      </c>
      <c r="M176" s="258" t="str">
        <f>IFERROR(__xludf.DUMMYFUNCTION("""COMPUTED_VALUE"""),"Consumer, EG, SG, In house, IBG Traveler")</f>
        <v>Consumer, EG, SG, In house, IBG Traveler</v>
      </c>
      <c r="N176" s="258" t="str">
        <f>IFERROR(__xludf.DUMMYFUNCTION("""COMPUTED_VALUE"""),"interest")</f>
        <v>interest</v>
      </c>
      <c r="O176" s="258" t="str">
        <f>IFERROR(__xludf.DUMMYFUNCTION("""COMPUTED_VALUE"""),"network_profile")</f>
        <v>network_profile</v>
      </c>
      <c r="P176" s="258"/>
    </row>
    <row r="177">
      <c r="A177" s="257" t="str">
        <f>IFERROR(__xludf.DUMMYFUNCTION("""COMPUTED_VALUE"""),"road_warrior_details")</f>
        <v>road_warrior_details</v>
      </c>
      <c r="B177" s="258" t="str">
        <f>IFERROR(__xludf.DUMMYFUNCTION("""COMPUTED_VALUE"""),"Audience/Persona")</f>
        <v>Audience/Persona</v>
      </c>
      <c r="C177" s="258" t="str">
        <f>IFERROR(__xludf.DUMMYFUNCTION("""COMPUTED_VALUE"""),"Non-PII")</f>
        <v>Non-PII</v>
      </c>
      <c r="D177" s="258" t="str">
        <f>IFERROR(__xludf.DUMMYFUNCTION("""COMPUTED_VALUE"""),"Non-PII")</f>
        <v>Non-PII</v>
      </c>
      <c r="E177" s="258" t="str">
        <f>IFERROR(__xludf.DUMMYFUNCTION("""COMPUTED_VALUE"""),"Metric used and value for the Road Warrior profile")</f>
        <v>Metric used and value for the Road Warrior profile</v>
      </c>
      <c r="F177" s="258" t="str">
        <f>IFERROR(__xludf.DUMMYFUNCTION("""COMPUTED_VALUE"""),"Inferred")</f>
        <v>Inferred</v>
      </c>
      <c r="G177" s="258" t="str">
        <f>IFERROR(__xludf.DUMMYFUNCTION("""COMPUTED_VALUE"""),"varchar(1000)")</f>
        <v>varchar(1000)</v>
      </c>
      <c r="H177" s="258" t="str">
        <f>IFERROR(__xludf.DUMMYFUNCTION("""COMPUTED_VALUE"""),"{“Average Daily Hits in a Month”: 7}")</f>
        <v>{“Average Daily Hits in a Month”: 7}</v>
      </c>
      <c r="I177" s="258" t="str">
        <f>IFERROR(__xludf.DUMMYFUNCTION("""COMPUTED_VALUE"""),"EDO-UUP")</f>
        <v>EDO-UUP</v>
      </c>
      <c r="J177" s="258" t="str">
        <f>IFERROR(__xludf.DUMMYFUNCTION("""COMPUTED_VALUE"""),"Monthly")</f>
        <v>Monthly</v>
      </c>
      <c r="K177" s="258" t="str">
        <f>IFERROR(__xludf.DUMMYFUNCTION("""COMPUTED_VALUE"""),"")</f>
        <v/>
      </c>
      <c r="L177" s="258" t="str">
        <f>IFERROR(__xludf.DUMMYFUNCTION("""COMPUTED_VALUE"""),"GHP, GHP-PREPAID, TM, PW, GOMO")</f>
        <v>GHP, GHP-PREPAID, TM, PW, GOMO</v>
      </c>
      <c r="M177" s="258" t="str">
        <f>IFERROR(__xludf.DUMMYFUNCTION("""COMPUTED_VALUE"""),"Consumer, EG, SG, In house, IBG Traveler")</f>
        <v>Consumer, EG, SG, In house, IBG Traveler</v>
      </c>
      <c r="N177" s="258" t="str">
        <f>IFERROR(__xludf.DUMMYFUNCTION("""COMPUTED_VALUE"""),"interest")</f>
        <v>interest</v>
      </c>
      <c r="O177" s="258" t="str">
        <f>IFERROR(__xludf.DUMMYFUNCTION("""COMPUTED_VALUE"""),"network_profile")</f>
        <v>network_profile</v>
      </c>
      <c r="P177" s="258"/>
    </row>
    <row r="178">
      <c r="A178" s="257" t="str">
        <f>IFERROR(__xludf.DUMMYFUNCTION("""COMPUTED_VALUE"""),"telemedicine_indicator")</f>
        <v>telemedicine_indicator</v>
      </c>
      <c r="B178" s="258" t="str">
        <f>IFERROR(__xludf.DUMMYFUNCTION("""COMPUTED_VALUE"""),"Audience/Persona")</f>
        <v>Audience/Persona</v>
      </c>
      <c r="C178" s="258" t="str">
        <f>IFERROR(__xludf.DUMMYFUNCTION("""COMPUTED_VALUE"""),"Non-PII")</f>
        <v>Non-PII</v>
      </c>
      <c r="D178" s="258" t="str">
        <f>IFERROR(__xludf.DUMMYFUNCTION("""COMPUTED_VALUE"""),"Non-PII")</f>
        <v>Non-PII</v>
      </c>
      <c r="E178" s="258" t="str">
        <f>IFERROR(__xludf.DUMMYFUNCTION("""COMPUTED_VALUE"""),"Indicator if a subscriber accesses telemed apps or sites, or health informative pages such as aide, doc_online, healthnow
 For wireline subscribers, only subscriptions within Metro Manila (including some areas in Rizal) and with DSL, VDSL and GPON techn"&amp;"ology value are covered.")</f>
        <v>Indicator if a subscriber accesses telemed apps or sites, or health informative pages such as aide, doc_online, healthnow
 For wireline subscribers, only subscriptions within Metro Manila (including some areas in Rizal) and with DSL, VDSL and GPON technology value are covered.</v>
      </c>
      <c r="F178" s="258" t="str">
        <f>IFERROR(__xludf.DUMMYFUNCTION("""COMPUTED_VALUE"""),"Inferred")</f>
        <v>Inferred</v>
      </c>
      <c r="G178" s="258" t="str">
        <f>IFERROR(__xludf.DUMMYFUNCTION("""COMPUTED_VALUE"""),"boolean")</f>
        <v>boolean</v>
      </c>
      <c r="H178" s="258" t="b">
        <f>IFERROR(__xludf.DUMMYFUNCTION("""COMPUTED_VALUE"""),TRUE)</f>
        <v>1</v>
      </c>
      <c r="I178" s="258" t="str">
        <f>IFERROR(__xludf.DUMMYFUNCTION("""COMPUTED_VALUE"""),"EDO-UUP")</f>
        <v>EDO-UUP</v>
      </c>
      <c r="J178" s="258" t="str">
        <f>IFERROR(__xludf.DUMMYFUNCTION("""COMPUTED_VALUE"""),"Monthly")</f>
        <v>Monthly</v>
      </c>
      <c r="K178" s="258" t="str">
        <f>IFERROR(__xludf.DUMMYFUNCTION("""COMPUTED_VALUE"""),"")</f>
        <v/>
      </c>
      <c r="L178" s="258" t="str">
        <f>IFERROR(__xludf.DUMMYFUNCTION("""COMPUTED_VALUE"""),"GHP, GHP-PREPAID, TM, PW, GOMO, WIRELINE, BAYAN, GLOBE")</f>
        <v>GHP, GHP-PREPAID, TM, PW, GOMO, WIRELINE, BAYAN, GLOBE</v>
      </c>
      <c r="M178" s="258" t="str">
        <f>IFERROR(__xludf.DUMMYFUNCTION("""COMPUTED_VALUE"""),"Consumer, EG, SG, In house, IBG Traveler")</f>
        <v>Consumer, EG, SG, In house, IBG Traveler</v>
      </c>
      <c r="N178" s="258" t="str">
        <f>IFERROR(__xludf.DUMMYFUNCTION("""COMPUTED_VALUE"""),"interest")</f>
        <v>interest</v>
      </c>
      <c r="O178" s="258" t="str">
        <f>IFERROR(__xludf.DUMMYFUNCTION("""COMPUTED_VALUE"""),"network_profile")</f>
        <v>network_profile</v>
      </c>
      <c r="P178" s="258"/>
    </row>
    <row r="179">
      <c r="A179" s="257" t="str">
        <f>IFERROR(__xludf.DUMMYFUNCTION("""COMPUTED_VALUE"""),"telemedicine_bucket")</f>
        <v>telemedicine_bucket</v>
      </c>
      <c r="B179" s="258" t="str">
        <f>IFERROR(__xludf.DUMMYFUNCTION("""COMPUTED_VALUE"""),"Audience/Persona")</f>
        <v>Audience/Persona</v>
      </c>
      <c r="C179" s="258" t="str">
        <f>IFERROR(__xludf.DUMMYFUNCTION("""COMPUTED_VALUE"""),"Non-PII")</f>
        <v>Non-PII</v>
      </c>
      <c r="D179" s="258" t="str">
        <f>IFERROR(__xludf.DUMMYFUNCTION("""COMPUTED_VALUE"""),"Non-PII")</f>
        <v>Non-PII</v>
      </c>
      <c r="E179" s="258" t="str">
        <f>IFERROR(__xludf.DUMMYFUNCTION("""COMPUTED_VALUE"""),"Bucketing based on identified metric for Health Conscious profile
 Metric: Total Hits in a Month
 Valid values: 
 LOW: &lt;= 3 hits
 MID: &gt; 3 &amp; &lt;= 6 hits
 HIGH: &gt; 6 hits
 For wireline subscribers, only subscriptions within Metro Manila (including some ar"&amp;"eas in Rizal) and with DSL, VDSL and GPON technology value are covered.")</f>
        <v>Bucketing based on identified metric for Health Conscious profile
 Metric: Total Hits in a Month
 Valid values: 
 LOW: &lt;= 3 hits
 MID: &gt; 3 &amp; &lt;= 6 hits
 HIGH: &gt; 6 hits
 For wireline subscribers, only subscriptions within Metro Manila (including some areas in Rizal) and with DSL, VDSL and GPON technology value are covered.</v>
      </c>
      <c r="F179" s="258" t="str">
        <f>IFERROR(__xludf.DUMMYFUNCTION("""COMPUTED_VALUE"""),"Inferred")</f>
        <v>Inferred</v>
      </c>
      <c r="G179" s="258" t="str">
        <f>IFERROR(__xludf.DUMMYFUNCTION("""COMPUTED_VALUE"""),"varchar(1000)")</f>
        <v>varchar(1000)</v>
      </c>
      <c r="H179" s="258" t="str">
        <f>IFERROR(__xludf.DUMMYFUNCTION("""COMPUTED_VALUE"""),"LOW")</f>
        <v>LOW</v>
      </c>
      <c r="I179" s="258" t="str">
        <f>IFERROR(__xludf.DUMMYFUNCTION("""COMPUTED_VALUE"""),"EDO-UUP")</f>
        <v>EDO-UUP</v>
      </c>
      <c r="J179" s="258" t="str">
        <f>IFERROR(__xludf.DUMMYFUNCTION("""COMPUTED_VALUE"""),"Monthly")</f>
        <v>Monthly</v>
      </c>
      <c r="K179" s="258" t="str">
        <f>IFERROR(__xludf.DUMMYFUNCTION("""COMPUTED_VALUE"""),"")</f>
        <v/>
      </c>
      <c r="L179" s="258" t="str">
        <f>IFERROR(__xludf.DUMMYFUNCTION("""COMPUTED_VALUE"""),"GHP, GHP-PREPAID, TM, PW, GOMO, WIRELINE, BAYAN, GLOBE")</f>
        <v>GHP, GHP-PREPAID, TM, PW, GOMO, WIRELINE, BAYAN, GLOBE</v>
      </c>
      <c r="M179" s="258" t="str">
        <f>IFERROR(__xludf.DUMMYFUNCTION("""COMPUTED_VALUE"""),"Consumer, EG, SG, In house, IBG Traveler")</f>
        <v>Consumer, EG, SG, In house, IBG Traveler</v>
      </c>
      <c r="N179" s="258" t="str">
        <f>IFERROR(__xludf.DUMMYFUNCTION("""COMPUTED_VALUE"""),"interest")</f>
        <v>interest</v>
      </c>
      <c r="O179" s="258" t="str">
        <f>IFERROR(__xludf.DUMMYFUNCTION("""COMPUTED_VALUE"""),"network_profile")</f>
        <v>network_profile</v>
      </c>
      <c r="P179" s="258"/>
    </row>
    <row r="180">
      <c r="A180" s="257" t="str">
        <f>IFERROR(__xludf.DUMMYFUNCTION("""COMPUTED_VALUE"""),"telemedicine_details")</f>
        <v>telemedicine_details</v>
      </c>
      <c r="B180" s="258" t="str">
        <f>IFERROR(__xludf.DUMMYFUNCTION("""COMPUTED_VALUE"""),"Audience/Persona")</f>
        <v>Audience/Persona</v>
      </c>
      <c r="C180" s="258" t="str">
        <f>IFERROR(__xludf.DUMMYFUNCTION("""COMPUTED_VALUE"""),"Non-PII")</f>
        <v>Non-PII</v>
      </c>
      <c r="D180" s="258" t="str">
        <f>IFERROR(__xludf.DUMMYFUNCTION("""COMPUTED_VALUE"""),"Non-PII")</f>
        <v>Non-PII</v>
      </c>
      <c r="E180" s="258" t="str">
        <f>IFERROR(__xludf.DUMMYFUNCTION("""COMPUTED_VALUE"""),"Metric used and value for the Telemedicine User profile
 For wireline subscribers, only subscriptions within Metro Manila (including some areas in Rizal) and with DSL, VDSL and GPON technology value are covered.")</f>
        <v>Metric used and value for the Telemedicine User profile
 For wireline subscribers, only subscriptions within Metro Manila (including some areas in Rizal) and with DSL, VDSL and GPON technology value are covered.</v>
      </c>
      <c r="F180" s="258" t="str">
        <f>IFERROR(__xludf.DUMMYFUNCTION("""COMPUTED_VALUE"""),"Inferred")</f>
        <v>Inferred</v>
      </c>
      <c r="G180" s="258" t="str">
        <f>IFERROR(__xludf.DUMMYFUNCTION("""COMPUTED_VALUE"""),"varchar(1000)")</f>
        <v>varchar(1000)</v>
      </c>
      <c r="H180" s="258" t="str">
        <f>IFERROR(__xludf.DUMMYFUNCTION("""COMPUTED_VALUE"""),"{“Total Hits in a Month”: 2}")</f>
        <v>{“Total Hits in a Month”: 2}</v>
      </c>
      <c r="I180" s="258" t="str">
        <f>IFERROR(__xludf.DUMMYFUNCTION("""COMPUTED_VALUE"""),"EDO-UUP")</f>
        <v>EDO-UUP</v>
      </c>
      <c r="J180" s="258" t="str">
        <f>IFERROR(__xludf.DUMMYFUNCTION("""COMPUTED_VALUE"""),"Monthly")</f>
        <v>Monthly</v>
      </c>
      <c r="K180" s="258" t="str">
        <f>IFERROR(__xludf.DUMMYFUNCTION("""COMPUTED_VALUE"""),"")</f>
        <v/>
      </c>
      <c r="L180" s="258" t="str">
        <f>IFERROR(__xludf.DUMMYFUNCTION("""COMPUTED_VALUE"""),"GHP, GHP-PREPAID, TM, PW, GOMO, WIRELINE, BAYAN, GLOBE")</f>
        <v>GHP, GHP-PREPAID, TM, PW, GOMO, WIRELINE, BAYAN, GLOBE</v>
      </c>
      <c r="M180" s="258" t="str">
        <f>IFERROR(__xludf.DUMMYFUNCTION("""COMPUTED_VALUE"""),"Consumer, EG, SG, In house, IBG Traveler")</f>
        <v>Consumer, EG, SG, In house, IBG Traveler</v>
      </c>
      <c r="N180" s="258" t="str">
        <f>IFERROR(__xludf.DUMMYFUNCTION("""COMPUTED_VALUE"""),"interest")</f>
        <v>interest</v>
      </c>
      <c r="O180" s="258" t="str">
        <f>IFERROR(__xludf.DUMMYFUNCTION("""COMPUTED_VALUE"""),"network_profile")</f>
        <v>network_profile</v>
      </c>
      <c r="P180" s="258"/>
    </row>
    <row r="181">
      <c r="A181" s="257" t="str">
        <f>IFERROR(__xludf.DUMMYFUNCTION("""COMPUTED_VALUE"""),"online_learner_indicator")</f>
        <v>online_learner_indicator</v>
      </c>
      <c r="B181" s="258" t="str">
        <f>IFERROR(__xludf.DUMMYFUNCTION("""COMPUTED_VALUE"""),"Audience/Persona")</f>
        <v>Audience/Persona</v>
      </c>
      <c r="C181" s="258" t="str">
        <f>IFERROR(__xludf.DUMMYFUNCTION("""COMPUTED_VALUE"""),"Non-PII")</f>
        <v>Non-PII</v>
      </c>
      <c r="D181" s="258" t="str">
        <f>IFERROR(__xludf.DUMMYFUNCTION("""COMPUTED_VALUE"""),"Non-PII")</f>
        <v>Non-PII</v>
      </c>
      <c r="E181" s="258" t="str">
        <f>IFERROR(__xludf.DUMMYFUNCTION("""COMPUTED_VALUE"""),"Indicator if a subscriber accesses learning apps or sites such as coursera, khan_academy, udemy, or websites offering online courses such as yale_university, up_open_university, tesda_online_program
 For wireline subscribers, only subscriptions within M"&amp;"etro Manila (including some areas in Rizal) and with DSL, VDSL and GPON technology value are covered.")</f>
        <v>Indicator if a subscriber accesses learning apps or sites such as coursera, khan_academy, udemy, or websites offering online courses such as yale_university, up_open_university, tesda_online_program
 For wireline subscribers, only subscriptions within Metro Manila (including some areas in Rizal) and with DSL, VDSL and GPON technology value are covered.</v>
      </c>
      <c r="F181" s="258" t="str">
        <f>IFERROR(__xludf.DUMMYFUNCTION("""COMPUTED_VALUE"""),"Inferred")</f>
        <v>Inferred</v>
      </c>
      <c r="G181" s="258" t="str">
        <f>IFERROR(__xludf.DUMMYFUNCTION("""COMPUTED_VALUE"""),"boolean")</f>
        <v>boolean</v>
      </c>
      <c r="H181" s="258" t="b">
        <f>IFERROR(__xludf.DUMMYFUNCTION("""COMPUTED_VALUE"""),TRUE)</f>
        <v>1</v>
      </c>
      <c r="I181" s="258" t="str">
        <f>IFERROR(__xludf.DUMMYFUNCTION("""COMPUTED_VALUE"""),"EDO-UUP")</f>
        <v>EDO-UUP</v>
      </c>
      <c r="J181" s="258" t="str">
        <f>IFERROR(__xludf.DUMMYFUNCTION("""COMPUTED_VALUE"""),"Monthly")</f>
        <v>Monthly</v>
      </c>
      <c r="K181" s="258" t="str">
        <f>IFERROR(__xludf.DUMMYFUNCTION("""COMPUTED_VALUE"""),"")</f>
        <v/>
      </c>
      <c r="L181" s="258" t="str">
        <f>IFERROR(__xludf.DUMMYFUNCTION("""COMPUTED_VALUE"""),"GHP, GHP-PREPAID, TM, PW, GOMO, WIRELINE, BAYAN, GLOBE")</f>
        <v>GHP, GHP-PREPAID, TM, PW, GOMO, WIRELINE, BAYAN, GLOBE</v>
      </c>
      <c r="M181" s="258" t="str">
        <f>IFERROR(__xludf.DUMMYFUNCTION("""COMPUTED_VALUE"""),"Consumer, EG, SG, In house, IBG Traveler")</f>
        <v>Consumer, EG, SG, In house, IBG Traveler</v>
      </c>
      <c r="N181" s="258" t="str">
        <f>IFERROR(__xludf.DUMMYFUNCTION("""COMPUTED_VALUE"""),"interest")</f>
        <v>interest</v>
      </c>
      <c r="O181" s="258" t="str">
        <f>IFERROR(__xludf.DUMMYFUNCTION("""COMPUTED_VALUE"""),"network_profile")</f>
        <v>network_profile</v>
      </c>
      <c r="P181" s="258"/>
    </row>
    <row r="182">
      <c r="A182" s="257" t="str">
        <f>IFERROR(__xludf.DUMMYFUNCTION("""COMPUTED_VALUE"""),"online_learner_bucket")</f>
        <v>online_learner_bucket</v>
      </c>
      <c r="B182" s="258" t="str">
        <f>IFERROR(__xludf.DUMMYFUNCTION("""COMPUTED_VALUE"""),"Audience/Persona")</f>
        <v>Audience/Persona</v>
      </c>
      <c r="C182" s="258" t="str">
        <f>IFERROR(__xludf.DUMMYFUNCTION("""COMPUTED_VALUE"""),"Non-PII")</f>
        <v>Non-PII</v>
      </c>
      <c r="D182" s="258" t="str">
        <f>IFERROR(__xludf.DUMMYFUNCTION("""COMPUTED_VALUE"""),"Non-PII")</f>
        <v>Non-PII</v>
      </c>
      <c r="E182" s="258" t="str">
        <f>IFERROR(__xludf.DUMMYFUNCTION("""COMPUTED_VALUE"""),"Bucketing based on identified metric for Online Learner profile
 Metric: Total Hits in a Month
 Valid values: 
 LOW: &lt;= 6 hits
 MID: &gt; 6 &amp; &lt;= 12 hits
 HIGH: &gt; 12 hits
 For wireline subscribers, only subscriptions within Metro Manila (including some ar"&amp;"eas in Rizal) and with DSL, VDSL and GPON technology value are covered.")</f>
        <v>Bucketing based on identified metric for Online Learner profile
 Metric: Total Hits in a Month
 Valid values: 
 LOW: &lt;= 6 hits
 MID: &gt; 6 &amp; &lt;= 12 hits
 HIGH: &gt; 12 hits
 For wireline subscribers, only subscriptions within Metro Manila (including some areas in Rizal) and with DSL, VDSL and GPON technology value are covered.</v>
      </c>
      <c r="F182" s="258" t="str">
        <f>IFERROR(__xludf.DUMMYFUNCTION("""COMPUTED_VALUE"""),"Inferred")</f>
        <v>Inferred</v>
      </c>
      <c r="G182" s="258" t="str">
        <f>IFERROR(__xludf.DUMMYFUNCTION("""COMPUTED_VALUE"""),"varchar(1000)")</f>
        <v>varchar(1000)</v>
      </c>
      <c r="H182" s="258" t="str">
        <f>IFERROR(__xludf.DUMMYFUNCTION("""COMPUTED_VALUE"""),"MID")</f>
        <v>MID</v>
      </c>
      <c r="I182" s="258" t="str">
        <f>IFERROR(__xludf.DUMMYFUNCTION("""COMPUTED_VALUE"""),"EDO-UUP")</f>
        <v>EDO-UUP</v>
      </c>
      <c r="J182" s="258" t="str">
        <f>IFERROR(__xludf.DUMMYFUNCTION("""COMPUTED_VALUE"""),"Monthly")</f>
        <v>Monthly</v>
      </c>
      <c r="K182" s="258" t="str">
        <f>IFERROR(__xludf.DUMMYFUNCTION("""COMPUTED_VALUE"""),"")</f>
        <v/>
      </c>
      <c r="L182" s="258" t="str">
        <f>IFERROR(__xludf.DUMMYFUNCTION("""COMPUTED_VALUE"""),"GHP, GHP-PREPAID, TM, PW, GOMO, WIRELINE, BAYAN, GLOBE")</f>
        <v>GHP, GHP-PREPAID, TM, PW, GOMO, WIRELINE, BAYAN, GLOBE</v>
      </c>
      <c r="M182" s="258" t="str">
        <f>IFERROR(__xludf.DUMMYFUNCTION("""COMPUTED_VALUE"""),"Consumer, EG, SG, In house, IBG Traveler")</f>
        <v>Consumer, EG, SG, In house, IBG Traveler</v>
      </c>
      <c r="N182" s="258" t="str">
        <f>IFERROR(__xludf.DUMMYFUNCTION("""COMPUTED_VALUE"""),"interest")</f>
        <v>interest</v>
      </c>
      <c r="O182" s="258" t="str">
        <f>IFERROR(__xludf.DUMMYFUNCTION("""COMPUTED_VALUE"""),"network_profile")</f>
        <v>network_profile</v>
      </c>
      <c r="P182" s="258"/>
    </row>
    <row r="183">
      <c r="A183" s="257" t="str">
        <f>IFERROR(__xludf.DUMMYFUNCTION("""COMPUTED_VALUE"""),"online_learner_details")</f>
        <v>online_learner_details</v>
      </c>
      <c r="B183" s="258" t="str">
        <f>IFERROR(__xludf.DUMMYFUNCTION("""COMPUTED_VALUE"""),"Audience/Persona")</f>
        <v>Audience/Persona</v>
      </c>
      <c r="C183" s="258" t="str">
        <f>IFERROR(__xludf.DUMMYFUNCTION("""COMPUTED_VALUE"""),"Non-PII")</f>
        <v>Non-PII</v>
      </c>
      <c r="D183" s="258" t="str">
        <f>IFERROR(__xludf.DUMMYFUNCTION("""COMPUTED_VALUE"""),"Non-PII")</f>
        <v>Non-PII</v>
      </c>
      <c r="E183" s="258" t="str">
        <f>IFERROR(__xludf.DUMMYFUNCTION("""COMPUTED_VALUE"""),"Metric used and value for the Online Learner profile
 For wireline subscribers, only subscriptions within Metro Manila (including some areas in Rizal) and with DSL, VDSL and GPON technology value are covered.")</f>
        <v>Metric used and value for the Online Learner profile
 For wireline subscribers, only subscriptions within Metro Manila (including some areas in Rizal) and with DSL, VDSL and GPON technology value are covered.</v>
      </c>
      <c r="F183" s="258" t="str">
        <f>IFERROR(__xludf.DUMMYFUNCTION("""COMPUTED_VALUE"""),"Inferred")</f>
        <v>Inferred</v>
      </c>
      <c r="G183" s="258" t="str">
        <f>IFERROR(__xludf.DUMMYFUNCTION("""COMPUTED_VALUE"""),"varchar(1000)")</f>
        <v>varchar(1000)</v>
      </c>
      <c r="H183" s="258" t="str">
        <f>IFERROR(__xludf.DUMMYFUNCTION("""COMPUTED_VALUE"""),"{“Total Hits in a Month”: 10}")</f>
        <v>{“Total Hits in a Month”: 10}</v>
      </c>
      <c r="I183" s="258" t="str">
        <f>IFERROR(__xludf.DUMMYFUNCTION("""COMPUTED_VALUE"""),"EDO-UUP")</f>
        <v>EDO-UUP</v>
      </c>
      <c r="J183" s="258" t="str">
        <f>IFERROR(__xludf.DUMMYFUNCTION("""COMPUTED_VALUE"""),"Monthly")</f>
        <v>Monthly</v>
      </c>
      <c r="K183" s="258" t="str">
        <f>IFERROR(__xludf.DUMMYFUNCTION("""COMPUTED_VALUE"""),"")</f>
        <v/>
      </c>
      <c r="L183" s="258" t="str">
        <f>IFERROR(__xludf.DUMMYFUNCTION("""COMPUTED_VALUE"""),"GHP, GHP-PREPAID, TM, PW, GOMO, WIRELINE, BAYAN, GLOBE")</f>
        <v>GHP, GHP-PREPAID, TM, PW, GOMO, WIRELINE, BAYAN, GLOBE</v>
      </c>
      <c r="M183" s="258" t="str">
        <f>IFERROR(__xludf.DUMMYFUNCTION("""COMPUTED_VALUE"""),"Consumer, EG, SG, In house, IBG Traveler")</f>
        <v>Consumer, EG, SG, In house, IBG Traveler</v>
      </c>
      <c r="N183" s="258" t="str">
        <f>IFERROR(__xludf.DUMMYFUNCTION("""COMPUTED_VALUE"""),"interest")</f>
        <v>interest</v>
      </c>
      <c r="O183" s="258" t="str">
        <f>IFERROR(__xludf.DUMMYFUNCTION("""COMPUTED_VALUE"""),"network_profile")</f>
        <v>network_profile</v>
      </c>
      <c r="P183" s="258"/>
    </row>
    <row r="184">
      <c r="A184" s="257" t="str">
        <f>IFERROR(__xludf.DUMMYFUNCTION("""COMPUTED_VALUE"""),"online_reader_indicator")</f>
        <v>online_reader_indicator</v>
      </c>
      <c r="B184" s="258" t="str">
        <f>IFERROR(__xludf.DUMMYFUNCTION("""COMPUTED_VALUE"""),"Audience/Persona")</f>
        <v>Audience/Persona</v>
      </c>
      <c r="C184" s="258" t="str">
        <f>IFERROR(__xludf.DUMMYFUNCTION("""COMPUTED_VALUE"""),"Non-PII")</f>
        <v>Non-PII</v>
      </c>
      <c r="D184" s="258" t="str">
        <f>IFERROR(__xludf.DUMMYFUNCTION("""COMPUTED_VALUE"""),"Non-PII")</f>
        <v>Non-PII</v>
      </c>
      <c r="E184" s="258" t="str">
        <f>IFERROR(__xludf.DUMMYFUNCTION("""COMPUTED_VALUE"""),"Indicator if a subscriber accesses reading apps and sites like aldiko, flipboard, kindle
 For wireline subscribers, only subscriptions within Metro Manila (including some areas in Rizal) and with DSL, VDSL and GPON technology value are covered.")</f>
        <v>Indicator if a subscriber accesses reading apps and sites like aldiko, flipboard, kindle
 For wireline subscribers, only subscriptions within Metro Manila (including some areas in Rizal) and with DSL, VDSL and GPON technology value are covered.</v>
      </c>
      <c r="F184" s="258" t="str">
        <f>IFERROR(__xludf.DUMMYFUNCTION("""COMPUTED_VALUE"""),"Inferred")</f>
        <v>Inferred</v>
      </c>
      <c r="G184" s="258" t="str">
        <f>IFERROR(__xludf.DUMMYFUNCTION("""COMPUTED_VALUE"""),"boolean")</f>
        <v>boolean</v>
      </c>
      <c r="H184" s="258" t="b">
        <f>IFERROR(__xludf.DUMMYFUNCTION("""COMPUTED_VALUE"""),TRUE)</f>
        <v>1</v>
      </c>
      <c r="I184" s="258" t="str">
        <f>IFERROR(__xludf.DUMMYFUNCTION("""COMPUTED_VALUE"""),"EDO-UUP")</f>
        <v>EDO-UUP</v>
      </c>
      <c r="J184" s="258" t="str">
        <f>IFERROR(__xludf.DUMMYFUNCTION("""COMPUTED_VALUE"""),"Monthly")</f>
        <v>Monthly</v>
      </c>
      <c r="K184" s="258" t="str">
        <f>IFERROR(__xludf.DUMMYFUNCTION("""COMPUTED_VALUE"""),"")</f>
        <v/>
      </c>
      <c r="L184" s="258" t="str">
        <f>IFERROR(__xludf.DUMMYFUNCTION("""COMPUTED_VALUE"""),"GHP, GHP-PREPAID, TM, PW, GOMO, WIRELINE, BAYAN, GLOBE")</f>
        <v>GHP, GHP-PREPAID, TM, PW, GOMO, WIRELINE, BAYAN, GLOBE</v>
      </c>
      <c r="M184" s="258" t="str">
        <f>IFERROR(__xludf.DUMMYFUNCTION("""COMPUTED_VALUE"""),"Consumer, EG, SG, In house, IBG Traveler")</f>
        <v>Consumer, EG, SG, In house, IBG Traveler</v>
      </c>
      <c r="N184" s="258" t="str">
        <f>IFERROR(__xludf.DUMMYFUNCTION("""COMPUTED_VALUE"""),"interest")</f>
        <v>interest</v>
      </c>
      <c r="O184" s="258" t="str">
        <f>IFERROR(__xludf.DUMMYFUNCTION("""COMPUTED_VALUE"""),"network_profile")</f>
        <v>network_profile</v>
      </c>
      <c r="P184" s="258"/>
    </row>
    <row r="185">
      <c r="A185" s="257" t="str">
        <f>IFERROR(__xludf.DUMMYFUNCTION("""COMPUTED_VALUE"""),"online_reader_bucket")</f>
        <v>online_reader_bucket</v>
      </c>
      <c r="B185" s="258" t="str">
        <f>IFERROR(__xludf.DUMMYFUNCTION("""COMPUTED_VALUE"""),"Audience/Persona")</f>
        <v>Audience/Persona</v>
      </c>
      <c r="C185" s="258" t="str">
        <f>IFERROR(__xludf.DUMMYFUNCTION("""COMPUTED_VALUE"""),"Non-PII")</f>
        <v>Non-PII</v>
      </c>
      <c r="D185" s="258" t="str">
        <f>IFERROR(__xludf.DUMMYFUNCTION("""COMPUTED_VALUE"""),"Non-PII")</f>
        <v>Non-PII</v>
      </c>
      <c r="E185" s="258" t="str">
        <f>IFERROR(__xludf.DUMMYFUNCTION("""COMPUTED_VALUE"""),"Bucketing based on identified metric for Online Reader profile
 Metric: Total Hits in a Month
 Valid values: 
 LOW: &lt;= 13 hits
 MID: &gt; 13 &amp; &lt;= 21 hits
 HIGH: &gt; 21 hits
 For wireline subscribers, only subscriptions within Metro Manila (including some a"&amp;"reas in Rizal) and with DSL, VDSL and GPON technology value are covered.")</f>
        <v>Bucketing based on identified metric for Online Reader profile
 Metric: Total Hits in a Month
 Valid values: 
 LOW: &lt;= 13 hits
 MID: &gt; 13 &amp; &lt;= 21 hits
 HIGH: &gt; 21 hits
 For wireline subscribers, only subscriptions within Metro Manila (including some areas in Rizal) and with DSL, VDSL and GPON technology value are covered.</v>
      </c>
      <c r="F185" s="258" t="str">
        <f>IFERROR(__xludf.DUMMYFUNCTION("""COMPUTED_VALUE"""),"Inferred")</f>
        <v>Inferred</v>
      </c>
      <c r="G185" s="258" t="str">
        <f>IFERROR(__xludf.DUMMYFUNCTION("""COMPUTED_VALUE"""),"varchar(1000)")</f>
        <v>varchar(1000)</v>
      </c>
      <c r="H185" s="258" t="str">
        <f>IFERROR(__xludf.DUMMYFUNCTION("""COMPUTED_VALUE"""),"LOW")</f>
        <v>LOW</v>
      </c>
      <c r="I185" s="258" t="str">
        <f>IFERROR(__xludf.DUMMYFUNCTION("""COMPUTED_VALUE"""),"EDO-UUP")</f>
        <v>EDO-UUP</v>
      </c>
      <c r="J185" s="258" t="str">
        <f>IFERROR(__xludf.DUMMYFUNCTION("""COMPUTED_VALUE"""),"Monthly")</f>
        <v>Monthly</v>
      </c>
      <c r="K185" s="258" t="str">
        <f>IFERROR(__xludf.DUMMYFUNCTION("""COMPUTED_VALUE"""),"")</f>
        <v/>
      </c>
      <c r="L185" s="258" t="str">
        <f>IFERROR(__xludf.DUMMYFUNCTION("""COMPUTED_VALUE"""),"GHP, GHP-PREPAID, TM, PW, GOMO, WIRELINE, BAYAN, GLOBE")</f>
        <v>GHP, GHP-PREPAID, TM, PW, GOMO, WIRELINE, BAYAN, GLOBE</v>
      </c>
      <c r="M185" s="258" t="str">
        <f>IFERROR(__xludf.DUMMYFUNCTION("""COMPUTED_VALUE"""),"Consumer, EG, SG, In house, IBG Traveler")</f>
        <v>Consumer, EG, SG, In house, IBG Traveler</v>
      </c>
      <c r="N185" s="258" t="str">
        <f>IFERROR(__xludf.DUMMYFUNCTION("""COMPUTED_VALUE"""),"interest")</f>
        <v>interest</v>
      </c>
      <c r="O185" s="258" t="str">
        <f>IFERROR(__xludf.DUMMYFUNCTION("""COMPUTED_VALUE"""),"network_profile")</f>
        <v>network_profile</v>
      </c>
      <c r="P185" s="258"/>
    </row>
    <row r="186">
      <c r="A186" s="257" t="str">
        <f>IFERROR(__xludf.DUMMYFUNCTION("""COMPUTED_VALUE"""),"online_reader_details")</f>
        <v>online_reader_details</v>
      </c>
      <c r="B186" s="258" t="str">
        <f>IFERROR(__xludf.DUMMYFUNCTION("""COMPUTED_VALUE"""),"Audience/Persona")</f>
        <v>Audience/Persona</v>
      </c>
      <c r="C186" s="258" t="str">
        <f>IFERROR(__xludf.DUMMYFUNCTION("""COMPUTED_VALUE"""),"Non-PII")</f>
        <v>Non-PII</v>
      </c>
      <c r="D186" s="258" t="str">
        <f>IFERROR(__xludf.DUMMYFUNCTION("""COMPUTED_VALUE"""),"Non-PII")</f>
        <v>Non-PII</v>
      </c>
      <c r="E186" s="258" t="str">
        <f>IFERROR(__xludf.DUMMYFUNCTION("""COMPUTED_VALUE"""),"Metric used and value for the Online Reader profile
 For wireline subscribers, only subscriptions within Metro Manila (including some areas in Rizal) and with DSL, VDSL and GPON technology value are covered.")</f>
        <v>Metric used and value for the Online Reader profile
 For wireline subscribers, only subscriptions within Metro Manila (including some areas in Rizal) and with DSL, VDSL and GPON technology value are covered.</v>
      </c>
      <c r="F186" s="258" t="str">
        <f>IFERROR(__xludf.DUMMYFUNCTION("""COMPUTED_VALUE"""),"Inferred")</f>
        <v>Inferred</v>
      </c>
      <c r="G186" s="258" t="str">
        <f>IFERROR(__xludf.DUMMYFUNCTION("""COMPUTED_VALUE"""),"varchar(1000)")</f>
        <v>varchar(1000)</v>
      </c>
      <c r="H186" s="258" t="str">
        <f>IFERROR(__xludf.DUMMYFUNCTION("""COMPUTED_VALUE"""),"{“Total Hits in a Month”: 10}")</f>
        <v>{“Total Hits in a Month”: 10}</v>
      </c>
      <c r="I186" s="258" t="str">
        <f>IFERROR(__xludf.DUMMYFUNCTION("""COMPUTED_VALUE"""),"EDO-UUP")</f>
        <v>EDO-UUP</v>
      </c>
      <c r="J186" s="258" t="str">
        <f>IFERROR(__xludf.DUMMYFUNCTION("""COMPUTED_VALUE"""),"Monthly")</f>
        <v>Monthly</v>
      </c>
      <c r="K186" s="258" t="str">
        <f>IFERROR(__xludf.DUMMYFUNCTION("""COMPUTED_VALUE"""),"")</f>
        <v/>
      </c>
      <c r="L186" s="258" t="str">
        <f>IFERROR(__xludf.DUMMYFUNCTION("""COMPUTED_VALUE"""),"GHP, GHP-PREPAID, TM, PW, GOMO, WIRELINE, BAYAN, GLOBE")</f>
        <v>GHP, GHP-PREPAID, TM, PW, GOMO, WIRELINE, BAYAN, GLOBE</v>
      </c>
      <c r="M186" s="258" t="str">
        <f>IFERROR(__xludf.DUMMYFUNCTION("""COMPUTED_VALUE"""),"Consumer, EG, SG, In house, IBG Traveler")</f>
        <v>Consumer, EG, SG, In house, IBG Traveler</v>
      </c>
      <c r="N186" s="258" t="str">
        <f>IFERROR(__xludf.DUMMYFUNCTION("""COMPUTED_VALUE"""),"interest")</f>
        <v>interest</v>
      </c>
      <c r="O186" s="258" t="str">
        <f>IFERROR(__xludf.DUMMYFUNCTION("""COMPUTED_VALUE"""),"network_profile")</f>
        <v>network_profile</v>
      </c>
      <c r="P186" s="258"/>
    </row>
    <row r="187">
      <c r="A187" s="257" t="str">
        <f>IFERROR(__xludf.DUMMYFUNCTION("""COMPUTED_VALUE"""),"tnvs_user_indicator")</f>
        <v>tnvs_user_indicator</v>
      </c>
      <c r="B187" s="258" t="str">
        <f>IFERROR(__xludf.DUMMYFUNCTION("""COMPUTED_VALUE"""),"Audience/Persona")</f>
        <v>Audience/Persona</v>
      </c>
      <c r="C187" s="258" t="str">
        <f>IFERROR(__xludf.DUMMYFUNCTION("""COMPUTED_VALUE"""),"Non-PII")</f>
        <v>Non-PII</v>
      </c>
      <c r="D187" s="258" t="str">
        <f>IFERROR(__xludf.DUMMYFUNCTION("""COMPUTED_VALUE"""),"Non-PII")</f>
        <v>Non-PII</v>
      </c>
      <c r="E187" s="258" t="str">
        <f>IFERROR(__xludf.DUMMYFUNCTION("""COMPUTED_VALUE"""),"Indicator if a subscriber uses hailing apps such as angkas, grab, owto
 For wireline subscribers, only subscriptions within Metro Manila (including some areas in Rizal) and with DSL, VDSL and GPON technology value are covered.")</f>
        <v>Indicator if a subscriber uses hailing apps such as angkas, grab, owto
 For wireline subscribers, only subscriptions within Metro Manila (including some areas in Rizal) and with DSL, VDSL and GPON technology value are covered.</v>
      </c>
      <c r="F187" s="258" t="str">
        <f>IFERROR(__xludf.DUMMYFUNCTION("""COMPUTED_VALUE"""),"Inferred")</f>
        <v>Inferred</v>
      </c>
      <c r="G187" s="258" t="str">
        <f>IFERROR(__xludf.DUMMYFUNCTION("""COMPUTED_VALUE"""),"boolean")</f>
        <v>boolean</v>
      </c>
      <c r="H187" s="258" t="b">
        <f>IFERROR(__xludf.DUMMYFUNCTION("""COMPUTED_VALUE"""),TRUE)</f>
        <v>1</v>
      </c>
      <c r="I187" s="258" t="str">
        <f>IFERROR(__xludf.DUMMYFUNCTION("""COMPUTED_VALUE"""),"EDO-UUP")</f>
        <v>EDO-UUP</v>
      </c>
      <c r="J187" s="258" t="str">
        <f>IFERROR(__xludf.DUMMYFUNCTION("""COMPUTED_VALUE"""),"Monthly")</f>
        <v>Monthly</v>
      </c>
      <c r="K187" s="258" t="str">
        <f>IFERROR(__xludf.DUMMYFUNCTION("""COMPUTED_VALUE"""),"")</f>
        <v/>
      </c>
      <c r="L187" s="258" t="str">
        <f>IFERROR(__xludf.DUMMYFUNCTION("""COMPUTED_VALUE"""),"GHP, GHP-PREPAID, TM, PW, GOMO, WIRELINE, BAYAN, GLOBE")</f>
        <v>GHP, GHP-PREPAID, TM, PW, GOMO, WIRELINE, BAYAN, GLOBE</v>
      </c>
      <c r="M187" s="258" t="str">
        <f>IFERROR(__xludf.DUMMYFUNCTION("""COMPUTED_VALUE"""),"Consumer, EG, SG, In house, IBG Traveler")</f>
        <v>Consumer, EG, SG, In house, IBG Traveler</v>
      </c>
      <c r="N187" s="258" t="str">
        <f>IFERROR(__xludf.DUMMYFUNCTION("""COMPUTED_VALUE"""),"interest")</f>
        <v>interest</v>
      </c>
      <c r="O187" s="258" t="str">
        <f>IFERROR(__xludf.DUMMYFUNCTION("""COMPUTED_VALUE"""),"network_profile")</f>
        <v>network_profile</v>
      </c>
      <c r="P187" s="258"/>
    </row>
    <row r="188">
      <c r="A188" s="257" t="str">
        <f>IFERROR(__xludf.DUMMYFUNCTION("""COMPUTED_VALUE"""),"tnvs_user_bucket")</f>
        <v>tnvs_user_bucket</v>
      </c>
      <c r="B188" s="258" t="str">
        <f>IFERROR(__xludf.DUMMYFUNCTION("""COMPUTED_VALUE"""),"Audience/Persona")</f>
        <v>Audience/Persona</v>
      </c>
      <c r="C188" s="258" t="str">
        <f>IFERROR(__xludf.DUMMYFUNCTION("""COMPUTED_VALUE"""),"Non-PII")</f>
        <v>Non-PII</v>
      </c>
      <c r="D188" s="258" t="str">
        <f>IFERROR(__xludf.DUMMYFUNCTION("""COMPUTED_VALUE"""),"Non-PII")</f>
        <v>Non-PII</v>
      </c>
      <c r="E188" s="258" t="str">
        <f>IFERROR(__xludf.DUMMYFUNCTION("""COMPUTED_VALUE"""),"Bucketing based on identified metric for TNVS User profile
 Metric: Total Hits in a Month
 Valid values: 
 LOW: &lt;= 3 hits
 MID: &gt; 3 &amp; &lt;= 7 hits
 HIGH: &gt; 7 hits
 For wireline subscribers, only subscriptions within Metro Manila (including some areas in "&amp;"Rizal) and with DSL, VDSL and GPON technology value are covered.")</f>
        <v>Bucketing based on identified metric for TNVS User profile
 Metric: Total Hits in a Month
 Valid values: 
 LOW: &lt;= 3 hits
 MID: &gt; 3 &amp; &lt;= 7 hits
 HIGH: &gt; 7 hits
 For wireline subscribers, only subscriptions within Metro Manila (including some areas in Rizal) and with DSL, VDSL and GPON technology value are covered.</v>
      </c>
      <c r="F188" s="258" t="str">
        <f>IFERROR(__xludf.DUMMYFUNCTION("""COMPUTED_VALUE"""),"Inferred")</f>
        <v>Inferred</v>
      </c>
      <c r="G188" s="258" t="str">
        <f>IFERROR(__xludf.DUMMYFUNCTION("""COMPUTED_VALUE"""),"varchar(1000)")</f>
        <v>varchar(1000)</v>
      </c>
      <c r="H188" s="258" t="str">
        <f>IFERROR(__xludf.DUMMYFUNCTION("""COMPUTED_VALUE"""),"HIGH")</f>
        <v>HIGH</v>
      </c>
      <c r="I188" s="258" t="str">
        <f>IFERROR(__xludf.DUMMYFUNCTION("""COMPUTED_VALUE"""),"EDO-UUP")</f>
        <v>EDO-UUP</v>
      </c>
      <c r="J188" s="258" t="str">
        <f>IFERROR(__xludf.DUMMYFUNCTION("""COMPUTED_VALUE"""),"Monthly")</f>
        <v>Monthly</v>
      </c>
      <c r="K188" s="258" t="str">
        <f>IFERROR(__xludf.DUMMYFUNCTION("""COMPUTED_VALUE"""),"")</f>
        <v/>
      </c>
      <c r="L188" s="258" t="str">
        <f>IFERROR(__xludf.DUMMYFUNCTION("""COMPUTED_VALUE"""),"GHP, GHP-PREPAID, TM, PW, GOMO, WIRELINE, BAYAN, GLOBE")</f>
        <v>GHP, GHP-PREPAID, TM, PW, GOMO, WIRELINE, BAYAN, GLOBE</v>
      </c>
      <c r="M188" s="258" t="str">
        <f>IFERROR(__xludf.DUMMYFUNCTION("""COMPUTED_VALUE"""),"Consumer, EG, SG, In house, IBG Traveler")</f>
        <v>Consumer, EG, SG, In house, IBG Traveler</v>
      </c>
      <c r="N188" s="258" t="str">
        <f>IFERROR(__xludf.DUMMYFUNCTION("""COMPUTED_VALUE"""),"interest")</f>
        <v>interest</v>
      </c>
      <c r="O188" s="258" t="str">
        <f>IFERROR(__xludf.DUMMYFUNCTION("""COMPUTED_VALUE"""),"network_profile")</f>
        <v>network_profile</v>
      </c>
      <c r="P188" s="258"/>
    </row>
    <row r="189">
      <c r="A189" s="257" t="str">
        <f>IFERROR(__xludf.DUMMYFUNCTION("""COMPUTED_VALUE"""),"tnvs_user_details")</f>
        <v>tnvs_user_details</v>
      </c>
      <c r="B189" s="258" t="str">
        <f>IFERROR(__xludf.DUMMYFUNCTION("""COMPUTED_VALUE"""),"Audience/Persona")</f>
        <v>Audience/Persona</v>
      </c>
      <c r="C189" s="258" t="str">
        <f>IFERROR(__xludf.DUMMYFUNCTION("""COMPUTED_VALUE"""),"Non-PII")</f>
        <v>Non-PII</v>
      </c>
      <c r="D189" s="258" t="str">
        <f>IFERROR(__xludf.DUMMYFUNCTION("""COMPUTED_VALUE"""),"Non-PII")</f>
        <v>Non-PII</v>
      </c>
      <c r="E189" s="258" t="str">
        <f>IFERROR(__xludf.DUMMYFUNCTION("""COMPUTED_VALUE"""),"Metric used and value for the TNVS User profile
 For wireline subscribers, only subscriptions within Metro Manila (including some areas in Rizal) and with DSL, VDSL and GPON technology value are covered.")</f>
        <v>Metric used and value for the TNVS User profile
 For wireline subscribers, only subscriptions within Metro Manila (including some areas in Rizal) and with DSL, VDSL and GPON technology value are covered.</v>
      </c>
      <c r="F189" s="258" t="str">
        <f>IFERROR(__xludf.DUMMYFUNCTION("""COMPUTED_VALUE"""),"Inferred")</f>
        <v>Inferred</v>
      </c>
      <c r="G189" s="258" t="str">
        <f>IFERROR(__xludf.DUMMYFUNCTION("""COMPUTED_VALUE"""),"varchar(1000)")</f>
        <v>varchar(1000)</v>
      </c>
      <c r="H189" s="258" t="str">
        <f>IFERROR(__xludf.DUMMYFUNCTION("""COMPUTED_VALUE"""),"{“Total Hits in a Month”: 41}")</f>
        <v>{“Total Hits in a Month”: 41}</v>
      </c>
      <c r="I189" s="258" t="str">
        <f>IFERROR(__xludf.DUMMYFUNCTION("""COMPUTED_VALUE"""),"EDO-UUP")</f>
        <v>EDO-UUP</v>
      </c>
      <c r="J189" s="258" t="str">
        <f>IFERROR(__xludf.DUMMYFUNCTION("""COMPUTED_VALUE"""),"Monthly")</f>
        <v>Monthly</v>
      </c>
      <c r="K189" s="258" t="str">
        <f>IFERROR(__xludf.DUMMYFUNCTION("""COMPUTED_VALUE"""),"")</f>
        <v/>
      </c>
      <c r="L189" s="258" t="str">
        <f>IFERROR(__xludf.DUMMYFUNCTION("""COMPUTED_VALUE"""),"GHP, GHP-PREPAID, TM, PW, GOMO, WIRELINE, BAYAN, GLOBE")</f>
        <v>GHP, GHP-PREPAID, TM, PW, GOMO, WIRELINE, BAYAN, GLOBE</v>
      </c>
      <c r="M189" s="258" t="str">
        <f>IFERROR(__xludf.DUMMYFUNCTION("""COMPUTED_VALUE"""),"Consumer, EG, SG, In house, IBG Traveler")</f>
        <v>Consumer, EG, SG, In house, IBG Traveler</v>
      </c>
      <c r="N189" s="258" t="str">
        <f>IFERROR(__xludf.DUMMYFUNCTION("""COMPUTED_VALUE"""),"interest")</f>
        <v>interest</v>
      </c>
      <c r="O189" s="258" t="str">
        <f>IFERROR(__xludf.DUMMYFUNCTION("""COMPUTED_VALUE"""),"network_profile")</f>
        <v>network_profile</v>
      </c>
      <c r="P189" s="258"/>
    </row>
    <row r="190">
      <c r="A190" s="257" t="str">
        <f>IFERROR(__xludf.DUMMYFUNCTION("""COMPUTED_VALUE"""),"digital_creative_indicator")</f>
        <v>digital_creative_indicator</v>
      </c>
      <c r="B190" s="258" t="str">
        <f>IFERROR(__xludf.DUMMYFUNCTION("""COMPUTED_VALUE"""),"Audience/Persona")</f>
        <v>Audience/Persona</v>
      </c>
      <c r="C190" s="258" t="str">
        <f>IFERROR(__xludf.DUMMYFUNCTION("""COMPUTED_VALUE"""),"Non-PII")</f>
        <v>Non-PII</v>
      </c>
      <c r="D190" s="258" t="str">
        <f>IFERROR(__xludf.DUMMYFUNCTION("""COMPUTED_VALUE"""),"Non-PII")</f>
        <v>Non-PII</v>
      </c>
      <c r="E190" s="258" t="str">
        <f>IFERROR(__xludf.DUMMYFUNCTION("""COMPUTED_VALUE"""),"Indicator if a subscriber uses apps or sites related to photography and layouting, specifically Camera360, Canva, Instagram
 For wireline subscribers, only subscriptions within Metro Manila (including some areas in Rizal) and with DSL, VDSL and GPON tec"&amp;"hnology value are covered.")</f>
        <v>Indicator if a subscriber uses apps or sites related to photography and layouting, specifically Camera360, Canva, Instagram
 For wireline subscribers, only subscriptions within Metro Manila (including some areas in Rizal) and with DSL, VDSL and GPON technology value are covered.</v>
      </c>
      <c r="F190" s="258" t="str">
        <f>IFERROR(__xludf.DUMMYFUNCTION("""COMPUTED_VALUE"""),"Inferred")</f>
        <v>Inferred</v>
      </c>
      <c r="G190" s="258" t="str">
        <f>IFERROR(__xludf.DUMMYFUNCTION("""COMPUTED_VALUE"""),"boolean")</f>
        <v>boolean</v>
      </c>
      <c r="H190" s="258" t="b">
        <f>IFERROR(__xludf.DUMMYFUNCTION("""COMPUTED_VALUE"""),TRUE)</f>
        <v>1</v>
      </c>
      <c r="I190" s="258" t="str">
        <f>IFERROR(__xludf.DUMMYFUNCTION("""COMPUTED_VALUE"""),"EDO-UUP")</f>
        <v>EDO-UUP</v>
      </c>
      <c r="J190" s="258" t="str">
        <f>IFERROR(__xludf.DUMMYFUNCTION("""COMPUTED_VALUE"""),"Monthly")</f>
        <v>Monthly</v>
      </c>
      <c r="K190" s="258" t="str">
        <f>IFERROR(__xludf.DUMMYFUNCTION("""COMPUTED_VALUE"""),"")</f>
        <v/>
      </c>
      <c r="L190" s="258" t="str">
        <f>IFERROR(__xludf.DUMMYFUNCTION("""COMPUTED_VALUE"""),"GHP, GHP-PREPAID, TM, PW, GOMO, WIRELINE, BAYAN, GLOBE")</f>
        <v>GHP, GHP-PREPAID, TM, PW, GOMO, WIRELINE, BAYAN, GLOBE</v>
      </c>
      <c r="M190" s="258" t="str">
        <f>IFERROR(__xludf.DUMMYFUNCTION("""COMPUTED_VALUE"""),"Consumer, EG, SG, In house, IBG Traveler")</f>
        <v>Consumer, EG, SG, In house, IBG Traveler</v>
      </c>
      <c r="N190" s="258" t="str">
        <f>IFERROR(__xludf.DUMMYFUNCTION("""COMPUTED_VALUE"""),"interest")</f>
        <v>interest</v>
      </c>
      <c r="O190" s="258" t="str">
        <f>IFERROR(__xludf.DUMMYFUNCTION("""COMPUTED_VALUE"""),"network_profile")</f>
        <v>network_profile</v>
      </c>
      <c r="P190" s="258"/>
    </row>
    <row r="191">
      <c r="A191" s="257" t="str">
        <f>IFERROR(__xludf.DUMMYFUNCTION("""COMPUTED_VALUE"""),"digital_creative_bucket")</f>
        <v>digital_creative_bucket</v>
      </c>
      <c r="B191" s="258" t="str">
        <f>IFERROR(__xludf.DUMMYFUNCTION("""COMPUTED_VALUE"""),"Audience/Persona")</f>
        <v>Audience/Persona</v>
      </c>
      <c r="C191" s="258" t="str">
        <f>IFERROR(__xludf.DUMMYFUNCTION("""COMPUTED_VALUE"""),"Non-PII")</f>
        <v>Non-PII</v>
      </c>
      <c r="D191" s="258" t="str">
        <f>IFERROR(__xludf.DUMMYFUNCTION("""COMPUTED_VALUE"""),"Non-PII")</f>
        <v>Non-PII</v>
      </c>
      <c r="E191" s="258" t="str">
        <f>IFERROR(__xludf.DUMMYFUNCTION("""COMPUTED_VALUE"""),"Bucketing based on identified metric for Digital Creative profile
 Metric: Total Hits in a Month
 Valid values: 
 LOW: &lt;= 18 hits
 MID: &gt; 18 &amp; &lt;= 26 hits
 HIGH: &gt; 26 hits
 For wireline subscribers, only subscriptions within Metro Manila (including som"&amp;"e areas in Rizal) and with DSL, VDSL and GPON technology value are covered.")</f>
        <v>Bucketing based on identified metric for Digital Creative profile
 Metric: Total Hits in a Month
 Valid values: 
 LOW: &lt;= 18 hits
 MID: &gt; 18 &amp; &lt;= 26 hits
 HIGH: &gt; 26 hits
 For wireline subscribers, only subscriptions within Metro Manila (including some areas in Rizal) and with DSL, VDSL and GPON technology value are covered.</v>
      </c>
      <c r="F191" s="258" t="str">
        <f>IFERROR(__xludf.DUMMYFUNCTION("""COMPUTED_VALUE"""),"Inferred")</f>
        <v>Inferred</v>
      </c>
      <c r="G191" s="258" t="str">
        <f>IFERROR(__xludf.DUMMYFUNCTION("""COMPUTED_VALUE"""),"varchar(1000)")</f>
        <v>varchar(1000)</v>
      </c>
      <c r="H191" s="258" t="str">
        <f>IFERROR(__xludf.DUMMYFUNCTION("""COMPUTED_VALUE"""),"HIGH")</f>
        <v>HIGH</v>
      </c>
      <c r="I191" s="258" t="str">
        <f>IFERROR(__xludf.DUMMYFUNCTION("""COMPUTED_VALUE"""),"EDO-UUP")</f>
        <v>EDO-UUP</v>
      </c>
      <c r="J191" s="258" t="str">
        <f>IFERROR(__xludf.DUMMYFUNCTION("""COMPUTED_VALUE"""),"Monthly")</f>
        <v>Monthly</v>
      </c>
      <c r="K191" s="258" t="str">
        <f>IFERROR(__xludf.DUMMYFUNCTION("""COMPUTED_VALUE"""),"")</f>
        <v/>
      </c>
      <c r="L191" s="258" t="str">
        <f>IFERROR(__xludf.DUMMYFUNCTION("""COMPUTED_VALUE"""),"GHP, GHP-PREPAID, TM, PW, GOMO, WIRELINE, BAYAN, GLOBE")</f>
        <v>GHP, GHP-PREPAID, TM, PW, GOMO, WIRELINE, BAYAN, GLOBE</v>
      </c>
      <c r="M191" s="258" t="str">
        <f>IFERROR(__xludf.DUMMYFUNCTION("""COMPUTED_VALUE"""),"Consumer, EG, SG, In house, IBG Traveler")</f>
        <v>Consumer, EG, SG, In house, IBG Traveler</v>
      </c>
      <c r="N191" s="258" t="str">
        <f>IFERROR(__xludf.DUMMYFUNCTION("""COMPUTED_VALUE"""),"interest")</f>
        <v>interest</v>
      </c>
      <c r="O191" s="258" t="str">
        <f>IFERROR(__xludf.DUMMYFUNCTION("""COMPUTED_VALUE"""),"network_profile")</f>
        <v>network_profile</v>
      </c>
      <c r="P191" s="258"/>
    </row>
    <row r="192">
      <c r="A192" s="257" t="str">
        <f>IFERROR(__xludf.DUMMYFUNCTION("""COMPUTED_VALUE"""),"digital_creative_details")</f>
        <v>digital_creative_details</v>
      </c>
      <c r="B192" s="258" t="str">
        <f>IFERROR(__xludf.DUMMYFUNCTION("""COMPUTED_VALUE"""),"Audience/Persona")</f>
        <v>Audience/Persona</v>
      </c>
      <c r="C192" s="258" t="str">
        <f>IFERROR(__xludf.DUMMYFUNCTION("""COMPUTED_VALUE"""),"Non-PII")</f>
        <v>Non-PII</v>
      </c>
      <c r="D192" s="258" t="str">
        <f>IFERROR(__xludf.DUMMYFUNCTION("""COMPUTED_VALUE"""),"Non-PII")</f>
        <v>Non-PII</v>
      </c>
      <c r="E192" s="258" t="str">
        <f>IFERROR(__xludf.DUMMYFUNCTION("""COMPUTED_VALUE"""),"Metric used and value for the Digital Creative profile
 For wireline subscribers, only subscriptions within Metro Manila (including some areas in Rizal) and with DSL, VDSL and GPON technology value are covered.")</f>
        <v>Metric used and value for the Digital Creative profile
 For wireline subscribers, only subscriptions within Metro Manila (including some areas in Rizal) and with DSL, VDSL and GPON technology value are covered.</v>
      </c>
      <c r="F192" s="258" t="str">
        <f>IFERROR(__xludf.DUMMYFUNCTION("""COMPUTED_VALUE"""),"Inferred")</f>
        <v>Inferred</v>
      </c>
      <c r="G192" s="258" t="str">
        <f>IFERROR(__xludf.DUMMYFUNCTION("""COMPUTED_VALUE"""),"varchar(1000)")</f>
        <v>varchar(1000)</v>
      </c>
      <c r="H192" s="258" t="str">
        <f>IFERROR(__xludf.DUMMYFUNCTION("""COMPUTED_VALUE"""),"{“Total Hits in a Month”: 50}")</f>
        <v>{“Total Hits in a Month”: 50}</v>
      </c>
      <c r="I192" s="258" t="str">
        <f>IFERROR(__xludf.DUMMYFUNCTION("""COMPUTED_VALUE"""),"EDO-UUP")</f>
        <v>EDO-UUP</v>
      </c>
      <c r="J192" s="258" t="str">
        <f>IFERROR(__xludf.DUMMYFUNCTION("""COMPUTED_VALUE"""),"Monthly")</f>
        <v>Monthly</v>
      </c>
      <c r="K192" s="258" t="str">
        <f>IFERROR(__xludf.DUMMYFUNCTION("""COMPUTED_VALUE"""),"")</f>
        <v/>
      </c>
      <c r="L192" s="258" t="str">
        <f>IFERROR(__xludf.DUMMYFUNCTION("""COMPUTED_VALUE"""),"GHP, GHP-PREPAID, TM, PW, GOMO, WIRELINE, BAYAN, GLOBE")</f>
        <v>GHP, GHP-PREPAID, TM, PW, GOMO, WIRELINE, BAYAN, GLOBE</v>
      </c>
      <c r="M192" s="258" t="str">
        <f>IFERROR(__xludf.DUMMYFUNCTION("""COMPUTED_VALUE"""),"Consumer, EG, SG, In house, IBG Traveler")</f>
        <v>Consumer, EG, SG, In house, IBG Traveler</v>
      </c>
      <c r="N192" s="258" t="str">
        <f>IFERROR(__xludf.DUMMYFUNCTION("""COMPUTED_VALUE"""),"interest")</f>
        <v>interest</v>
      </c>
      <c r="O192" s="258" t="str">
        <f>IFERROR(__xludf.DUMMYFUNCTION("""COMPUTED_VALUE"""),"network_profile")</f>
        <v>network_profile</v>
      </c>
      <c r="P192" s="258"/>
    </row>
    <row r="193">
      <c r="A193" s="257" t="str">
        <f>IFERROR(__xludf.DUMMYFUNCTION("""COMPUTED_VALUE"""),"online_banker_indicator")</f>
        <v>online_banker_indicator</v>
      </c>
      <c r="B193" s="258" t="str">
        <f>IFERROR(__xludf.DUMMYFUNCTION("""COMPUTED_VALUE"""),"Audience/Persona")</f>
        <v>Audience/Persona</v>
      </c>
      <c r="C193" s="258" t="str">
        <f>IFERROR(__xludf.DUMMYFUNCTION("""COMPUTED_VALUE"""),"Non-PII")</f>
        <v>Non-PII</v>
      </c>
      <c r="D193" s="258" t="str">
        <f>IFERROR(__xludf.DUMMYFUNCTION("""COMPUTED_VALUE"""),"Non-PII")</f>
        <v>Non-PII</v>
      </c>
      <c r="E193" s="258" t="str">
        <f>IFERROR(__xludf.DUMMYFUNCTION("""COMPUTED_VALUE"""),"Indicator if a subscriber uses online banking apps based on data usage and SMS coming from banks such as AUB, BDO, BPI
 For wireline subscribers, only subscriptions within Metro Manila (including some areas in Rizal) and with DSL, VDSL and GPON technolo"&amp;"gy value are covered.")</f>
        <v>Indicator if a subscriber uses online banking apps based on data usage and SMS coming from banks such as AUB, BDO, BPI
 For wireline subscribers, only subscriptions within Metro Manila (including some areas in Rizal) and with DSL, VDSL and GPON technology value are covered.</v>
      </c>
      <c r="F193" s="258" t="str">
        <f>IFERROR(__xludf.DUMMYFUNCTION("""COMPUTED_VALUE"""),"Inferred")</f>
        <v>Inferred</v>
      </c>
      <c r="G193" s="258" t="str">
        <f>IFERROR(__xludf.DUMMYFUNCTION("""COMPUTED_VALUE"""),"boolean")</f>
        <v>boolean</v>
      </c>
      <c r="H193" s="258" t="b">
        <f>IFERROR(__xludf.DUMMYFUNCTION("""COMPUTED_VALUE"""),TRUE)</f>
        <v>1</v>
      </c>
      <c r="I193" s="258" t="str">
        <f>IFERROR(__xludf.DUMMYFUNCTION("""COMPUTED_VALUE"""),"EDO-UUP")</f>
        <v>EDO-UUP</v>
      </c>
      <c r="J193" s="258" t="str">
        <f>IFERROR(__xludf.DUMMYFUNCTION("""COMPUTED_VALUE"""),"Monthly")</f>
        <v>Monthly</v>
      </c>
      <c r="K193" s="258" t="str">
        <f>IFERROR(__xludf.DUMMYFUNCTION("""COMPUTED_VALUE"""),"")</f>
        <v/>
      </c>
      <c r="L193" s="258" t="str">
        <f>IFERROR(__xludf.DUMMYFUNCTION("""COMPUTED_VALUE"""),"GHP, GHP-PREPAID, TM, PW, GOMO, WIRELINE, BAYAN, GLOBE")</f>
        <v>GHP, GHP-PREPAID, TM, PW, GOMO, WIRELINE, BAYAN, GLOBE</v>
      </c>
      <c r="M193" s="258" t="str">
        <f>IFERROR(__xludf.DUMMYFUNCTION("""COMPUTED_VALUE"""),"Consumer, EG, SG, In house, IBG Traveler")</f>
        <v>Consumer, EG, SG, In house, IBG Traveler</v>
      </c>
      <c r="N193" s="258" t="str">
        <f>IFERROR(__xludf.DUMMYFUNCTION("""COMPUTED_VALUE"""),"interest")</f>
        <v>interest</v>
      </c>
      <c r="O193" s="258" t="str">
        <f>IFERROR(__xludf.DUMMYFUNCTION("""COMPUTED_VALUE"""),"network_profile")</f>
        <v>network_profile</v>
      </c>
      <c r="P193" s="258"/>
    </row>
    <row r="194">
      <c r="A194" s="257" t="str">
        <f>IFERROR(__xludf.DUMMYFUNCTION("""COMPUTED_VALUE"""),"online_banker_bucket")</f>
        <v>online_banker_bucket</v>
      </c>
      <c r="B194" s="258" t="str">
        <f>IFERROR(__xludf.DUMMYFUNCTION("""COMPUTED_VALUE"""),"Audience/Persona")</f>
        <v>Audience/Persona</v>
      </c>
      <c r="C194" s="258" t="str">
        <f>IFERROR(__xludf.DUMMYFUNCTION("""COMPUTED_VALUE"""),"Non-PII")</f>
        <v>Non-PII</v>
      </c>
      <c r="D194" s="258" t="str">
        <f>IFERROR(__xludf.DUMMYFUNCTION("""COMPUTED_VALUE"""),"Non-PII")</f>
        <v>Non-PII</v>
      </c>
      <c r="E194" s="258" t="str">
        <f>IFERROR(__xludf.DUMMYFUNCTION("""COMPUTED_VALUE"""),"Bucketing based on identified metric for Online Banker profile
 Metric: Total Hits in a Month
 Valid values: 
 LOW: &lt;= 5 hits
 MID: &gt; 5 &amp; &lt;= 11 hits
 HIGH: &gt; 11 hits
 For wireline subscribers, only subscriptions within Metro Manila (including some are"&amp;"as in Rizal) and with DSL, VDSL and GPON technology value are covered.")</f>
        <v>Bucketing based on identified metric for Online Banker profile
 Metric: Total Hits in a Month
 Valid values: 
 LOW: &lt;= 5 hits
 MID: &gt; 5 &amp; &lt;= 11 hits
 HIGH: &gt; 11 hits
 For wireline subscribers, only subscriptions within Metro Manila (including some areas in Rizal) and with DSL, VDSL and GPON technology value are covered.</v>
      </c>
      <c r="F194" s="258" t="str">
        <f>IFERROR(__xludf.DUMMYFUNCTION("""COMPUTED_VALUE"""),"Inferred")</f>
        <v>Inferred</v>
      </c>
      <c r="G194" s="258" t="str">
        <f>IFERROR(__xludf.DUMMYFUNCTION("""COMPUTED_VALUE"""),"varchar(1000)")</f>
        <v>varchar(1000)</v>
      </c>
      <c r="H194" s="258" t="str">
        <f>IFERROR(__xludf.DUMMYFUNCTION("""COMPUTED_VALUE"""),"HIGH")</f>
        <v>HIGH</v>
      </c>
      <c r="I194" s="258" t="str">
        <f>IFERROR(__xludf.DUMMYFUNCTION("""COMPUTED_VALUE"""),"EDO-UUP")</f>
        <v>EDO-UUP</v>
      </c>
      <c r="J194" s="258" t="str">
        <f>IFERROR(__xludf.DUMMYFUNCTION("""COMPUTED_VALUE"""),"Monthly")</f>
        <v>Monthly</v>
      </c>
      <c r="K194" s="258" t="str">
        <f>IFERROR(__xludf.DUMMYFUNCTION("""COMPUTED_VALUE"""),"")</f>
        <v/>
      </c>
      <c r="L194" s="258" t="str">
        <f>IFERROR(__xludf.DUMMYFUNCTION("""COMPUTED_VALUE"""),"GHP, GHP-PREPAID, TM, PW, GOMO, WIRELINE, BAYAN, GLOBE")</f>
        <v>GHP, GHP-PREPAID, TM, PW, GOMO, WIRELINE, BAYAN, GLOBE</v>
      </c>
      <c r="M194" s="258" t="str">
        <f>IFERROR(__xludf.DUMMYFUNCTION("""COMPUTED_VALUE"""),"Consumer, EG, SG, In house, IBG Traveler")</f>
        <v>Consumer, EG, SG, In house, IBG Traveler</v>
      </c>
      <c r="N194" s="258" t="str">
        <f>IFERROR(__xludf.DUMMYFUNCTION("""COMPUTED_VALUE"""),"interest")</f>
        <v>interest</v>
      </c>
      <c r="O194" s="258" t="str">
        <f>IFERROR(__xludf.DUMMYFUNCTION("""COMPUTED_VALUE"""),"network_profile")</f>
        <v>network_profile</v>
      </c>
      <c r="P194" s="258"/>
    </row>
    <row r="195">
      <c r="A195" s="257" t="str">
        <f>IFERROR(__xludf.DUMMYFUNCTION("""COMPUTED_VALUE"""),"online_banker_details")</f>
        <v>online_banker_details</v>
      </c>
      <c r="B195" s="258" t="str">
        <f>IFERROR(__xludf.DUMMYFUNCTION("""COMPUTED_VALUE"""),"Audience/Persona")</f>
        <v>Audience/Persona</v>
      </c>
      <c r="C195" s="258" t="str">
        <f>IFERROR(__xludf.DUMMYFUNCTION("""COMPUTED_VALUE"""),"Non-PII")</f>
        <v>Non-PII</v>
      </c>
      <c r="D195" s="258" t="str">
        <f>IFERROR(__xludf.DUMMYFUNCTION("""COMPUTED_VALUE"""),"Non-PII")</f>
        <v>Non-PII</v>
      </c>
      <c r="E195" s="258" t="str">
        <f>IFERROR(__xludf.DUMMYFUNCTION("""COMPUTED_VALUE"""),"Metric used and value for the Online Banker profile
 For wireline subscribers, only subscriptions within Metro Manila (including some areas in Rizal) and with DSL, VDSL and GPON technology value are covered.")</f>
        <v>Metric used and value for the Online Banker profile
 For wireline subscribers, only subscriptions within Metro Manila (including some areas in Rizal) and with DSL, VDSL and GPON technology value are covered.</v>
      </c>
      <c r="F195" s="258" t="str">
        <f>IFERROR(__xludf.DUMMYFUNCTION("""COMPUTED_VALUE"""),"Inferred")</f>
        <v>Inferred</v>
      </c>
      <c r="G195" s="258" t="str">
        <f>IFERROR(__xludf.DUMMYFUNCTION("""COMPUTED_VALUE"""),"varchar(1000)")</f>
        <v>varchar(1000)</v>
      </c>
      <c r="H195" s="258" t="str">
        <f>IFERROR(__xludf.DUMMYFUNCTION("""COMPUTED_VALUE"""),"{“Total Hits in a Month”: 1}")</f>
        <v>{“Total Hits in a Month”: 1}</v>
      </c>
      <c r="I195" s="258" t="str">
        <f>IFERROR(__xludf.DUMMYFUNCTION("""COMPUTED_VALUE"""),"EDO-UUP")</f>
        <v>EDO-UUP</v>
      </c>
      <c r="J195" s="258" t="str">
        <f>IFERROR(__xludf.DUMMYFUNCTION("""COMPUTED_VALUE"""),"Monthly")</f>
        <v>Monthly</v>
      </c>
      <c r="K195" s="258" t="str">
        <f>IFERROR(__xludf.DUMMYFUNCTION("""COMPUTED_VALUE"""),"")</f>
        <v/>
      </c>
      <c r="L195" s="258" t="str">
        <f>IFERROR(__xludf.DUMMYFUNCTION("""COMPUTED_VALUE"""),"GHP, GHP-PREPAID, TM, PW, GOMO, WIRELINE, BAYAN, GLOBE")</f>
        <v>GHP, GHP-PREPAID, TM, PW, GOMO, WIRELINE, BAYAN, GLOBE</v>
      </c>
      <c r="M195" s="258" t="str">
        <f>IFERROR(__xludf.DUMMYFUNCTION("""COMPUTED_VALUE"""),"Consumer, EG, SG, In house, IBG Traveler")</f>
        <v>Consumer, EG, SG, In house, IBG Traveler</v>
      </c>
      <c r="N195" s="258" t="str">
        <f>IFERROR(__xludf.DUMMYFUNCTION("""COMPUTED_VALUE"""),"interest")</f>
        <v>interest</v>
      </c>
      <c r="O195" s="258" t="str">
        <f>IFERROR(__xludf.DUMMYFUNCTION("""COMPUTED_VALUE"""),"network_profile")</f>
        <v>network_profile</v>
      </c>
      <c r="P195" s="258"/>
    </row>
    <row r="196">
      <c r="A196" s="257" t="str">
        <f>IFERROR(__xludf.DUMMYFUNCTION("""COMPUTED_VALUE"""),"loyalty_card_owner_indicator")</f>
        <v>loyalty_card_owner_indicator</v>
      </c>
      <c r="B196" s="258" t="str">
        <f>IFERROR(__xludf.DUMMYFUNCTION("""COMPUTED_VALUE"""),"Audience/Persona")</f>
        <v>Audience/Persona</v>
      </c>
      <c r="C196" s="258" t="str">
        <f>IFERROR(__xludf.DUMMYFUNCTION("""COMPUTED_VALUE"""),"Non-PII")</f>
        <v>Non-PII</v>
      </c>
      <c r="D196" s="258" t="str">
        <f>IFERROR(__xludf.DUMMYFUNCTION("""COMPUTED_VALUE"""),"Non-PII")</f>
        <v>Non-PII</v>
      </c>
      <c r="E196" s="258" t="str">
        <f>IFERROR(__xludf.DUMMYFUNCTION("""COMPUTED_VALUE"""),"Indicator if a subscriber has a membership to a loyalty program based on SMS notifications from numbers such as CLIQQ, RUSTANSPH, SMAC")</f>
        <v>Indicator if a subscriber has a membership to a loyalty program based on SMS notifications from numbers such as CLIQQ, RUSTANSPH, SMAC</v>
      </c>
      <c r="F196" s="258" t="str">
        <f>IFERROR(__xludf.DUMMYFUNCTION("""COMPUTED_VALUE"""),"Inferred")</f>
        <v>Inferred</v>
      </c>
      <c r="G196" s="258" t="str">
        <f>IFERROR(__xludf.DUMMYFUNCTION("""COMPUTED_VALUE"""),"boolean")</f>
        <v>boolean</v>
      </c>
      <c r="H196" s="258" t="b">
        <f>IFERROR(__xludf.DUMMYFUNCTION("""COMPUTED_VALUE"""),TRUE)</f>
        <v>1</v>
      </c>
      <c r="I196" s="258" t="str">
        <f>IFERROR(__xludf.DUMMYFUNCTION("""COMPUTED_VALUE"""),"EDO-UUP")</f>
        <v>EDO-UUP</v>
      </c>
      <c r="J196" s="258" t="str">
        <f>IFERROR(__xludf.DUMMYFUNCTION("""COMPUTED_VALUE"""),"Monthly")</f>
        <v>Monthly</v>
      </c>
      <c r="K196" s="258" t="str">
        <f>IFERROR(__xludf.DUMMYFUNCTION("""COMPUTED_VALUE"""),"")</f>
        <v/>
      </c>
      <c r="L196" s="258" t="str">
        <f>IFERROR(__xludf.DUMMYFUNCTION("""COMPUTED_VALUE"""),"GHP, GHP-PREPAID, TM, PW")</f>
        <v>GHP, GHP-PREPAID, TM, PW</v>
      </c>
      <c r="M196" s="258" t="str">
        <f>IFERROR(__xludf.DUMMYFUNCTION("""COMPUTED_VALUE"""),"Consumer, EG, SG, In house, IBG Traveler")</f>
        <v>Consumer, EG, SG, In house, IBG Traveler</v>
      </c>
      <c r="N196" s="258" t="str">
        <f>IFERROR(__xludf.DUMMYFUNCTION("""COMPUTED_VALUE"""),"interest")</f>
        <v>interest</v>
      </c>
      <c r="O196" s="258" t="str">
        <f>IFERROR(__xludf.DUMMYFUNCTION("""COMPUTED_VALUE"""),"network_profile")</f>
        <v>network_profile</v>
      </c>
      <c r="P196" s="258"/>
    </row>
    <row r="197">
      <c r="A197" s="257" t="str">
        <f>IFERROR(__xludf.DUMMYFUNCTION("""COMPUTED_VALUE"""),"loyalty_card_owner_bucket")</f>
        <v>loyalty_card_owner_bucket</v>
      </c>
      <c r="B197" s="258" t="str">
        <f>IFERROR(__xludf.DUMMYFUNCTION("""COMPUTED_VALUE"""),"Audience/Persona")</f>
        <v>Audience/Persona</v>
      </c>
      <c r="C197" s="258" t="str">
        <f>IFERROR(__xludf.DUMMYFUNCTION("""COMPUTED_VALUE"""),"Non-PII")</f>
        <v>Non-PII</v>
      </c>
      <c r="D197" s="258" t="str">
        <f>IFERROR(__xludf.DUMMYFUNCTION("""COMPUTED_VALUE"""),"Non-PII")</f>
        <v>Non-PII</v>
      </c>
      <c r="E197" s="258" t="str">
        <f>IFERROR(__xludf.DUMMYFUNCTION("""COMPUTED_VALUE"""),"Bucketing based on the identified metric for the Loyalty Card Owner profile
  Metric: Total Active Cards in a Month
  Valid values:
  Wireless
  LOW: &lt;= 1
  MID: &gt; 1 &amp; &lt;= 3
  HIGH: &gt; 3")</f>
        <v>Bucketing based on the identified metric for the Loyalty Card Owner profile
  Metric: Total Active Cards in a Month
  Valid values:
  Wireless
  LOW: &lt;= 1
  MID: &gt; 1 &amp; &lt;= 3
  HIGH: &gt; 3</v>
      </c>
      <c r="F197" s="258" t="str">
        <f>IFERROR(__xludf.DUMMYFUNCTION("""COMPUTED_VALUE"""),"Inferred")</f>
        <v>Inferred</v>
      </c>
      <c r="G197" s="258" t="str">
        <f>IFERROR(__xludf.DUMMYFUNCTION("""COMPUTED_VALUE"""),"varchar(1000)")</f>
        <v>varchar(1000)</v>
      </c>
      <c r="H197" s="258" t="str">
        <f>IFERROR(__xludf.DUMMYFUNCTION("""COMPUTED_VALUE"""),"HIGH")</f>
        <v>HIGH</v>
      </c>
      <c r="I197" s="258" t="str">
        <f>IFERROR(__xludf.DUMMYFUNCTION("""COMPUTED_VALUE"""),"EDO-UUP")</f>
        <v>EDO-UUP</v>
      </c>
      <c r="J197" s="258" t="str">
        <f>IFERROR(__xludf.DUMMYFUNCTION("""COMPUTED_VALUE"""),"Monthly")</f>
        <v>Monthly</v>
      </c>
      <c r="K197" s="258" t="str">
        <f>IFERROR(__xludf.DUMMYFUNCTION("""COMPUTED_VALUE"""),"")</f>
        <v/>
      </c>
      <c r="L197" s="258" t="str">
        <f>IFERROR(__xludf.DUMMYFUNCTION("""COMPUTED_VALUE"""),"GHP, GHP-PREPAID, TM, PW")</f>
        <v>GHP, GHP-PREPAID, TM, PW</v>
      </c>
      <c r="M197" s="258" t="str">
        <f>IFERROR(__xludf.DUMMYFUNCTION("""COMPUTED_VALUE"""),"Consumer, EG, SG, In house, IBG Traveler")</f>
        <v>Consumer, EG, SG, In house, IBG Traveler</v>
      </c>
      <c r="N197" s="258" t="str">
        <f>IFERROR(__xludf.DUMMYFUNCTION("""COMPUTED_VALUE"""),"interest")</f>
        <v>interest</v>
      </c>
      <c r="O197" s="258" t="str">
        <f>IFERROR(__xludf.DUMMYFUNCTION("""COMPUTED_VALUE"""),"network_profile")</f>
        <v>network_profile</v>
      </c>
      <c r="P197" s="258"/>
    </row>
    <row r="198">
      <c r="A198" s="257" t="str">
        <f>IFERROR(__xludf.DUMMYFUNCTION("""COMPUTED_VALUE"""),"loyalty_card_owner_details")</f>
        <v>loyalty_card_owner_details</v>
      </c>
      <c r="B198" s="258" t="str">
        <f>IFERROR(__xludf.DUMMYFUNCTION("""COMPUTED_VALUE"""),"Audience/Persona")</f>
        <v>Audience/Persona</v>
      </c>
      <c r="C198" s="258" t="str">
        <f>IFERROR(__xludf.DUMMYFUNCTION("""COMPUTED_VALUE"""),"Non-PII")</f>
        <v>Non-PII</v>
      </c>
      <c r="D198" s="258" t="str">
        <f>IFERROR(__xludf.DUMMYFUNCTION("""COMPUTED_VALUE"""),"Non-PII")</f>
        <v>Non-PII</v>
      </c>
      <c r="E198" s="258" t="str">
        <f>IFERROR(__xludf.DUMMYFUNCTION("""COMPUTED_VALUE"""),"Metric used and value for the Loyalty Card Owner profile")</f>
        <v>Metric used and value for the Loyalty Card Owner profile</v>
      </c>
      <c r="F198" s="258" t="str">
        <f>IFERROR(__xludf.DUMMYFUNCTION("""COMPUTED_VALUE"""),"Inferred")</f>
        <v>Inferred</v>
      </c>
      <c r="G198" s="258" t="str">
        <f>IFERROR(__xludf.DUMMYFUNCTION("""COMPUTED_VALUE"""),"varchar(1000)")</f>
        <v>varchar(1000)</v>
      </c>
      <c r="H198" s="258" t="str">
        <f>IFERROR(__xludf.DUMMYFUNCTION("""COMPUTED_VALUE"""),"{“Total Active Card per Subs in 6 Months”: 1}")</f>
        <v>{“Total Active Card per Subs in 6 Months”: 1}</v>
      </c>
      <c r="I198" s="258" t="str">
        <f>IFERROR(__xludf.DUMMYFUNCTION("""COMPUTED_VALUE"""),"EDO-UUP")</f>
        <v>EDO-UUP</v>
      </c>
      <c r="J198" s="258" t="str">
        <f>IFERROR(__xludf.DUMMYFUNCTION("""COMPUTED_VALUE"""),"Monthly")</f>
        <v>Monthly</v>
      </c>
      <c r="K198" s="258" t="str">
        <f>IFERROR(__xludf.DUMMYFUNCTION("""COMPUTED_VALUE"""),"")</f>
        <v/>
      </c>
      <c r="L198" s="258" t="str">
        <f>IFERROR(__xludf.DUMMYFUNCTION("""COMPUTED_VALUE"""),"GHP, GHP-PREPAID, TM, PW")</f>
        <v>GHP, GHP-PREPAID, TM, PW</v>
      </c>
      <c r="M198" s="258" t="str">
        <f>IFERROR(__xludf.DUMMYFUNCTION("""COMPUTED_VALUE"""),"Consumer, EG, SG, In house, IBG Traveler")</f>
        <v>Consumer, EG, SG, In house, IBG Traveler</v>
      </c>
      <c r="N198" s="258" t="str">
        <f>IFERROR(__xludf.DUMMYFUNCTION("""COMPUTED_VALUE"""),"interest")</f>
        <v>interest</v>
      </c>
      <c r="O198" s="258" t="str">
        <f>IFERROR(__xludf.DUMMYFUNCTION("""COMPUTED_VALUE"""),"network_profile")</f>
        <v>network_profile</v>
      </c>
      <c r="P198" s="258"/>
    </row>
    <row r="199">
      <c r="A199" s="257" t="str">
        <f>IFERROR(__xludf.DUMMYFUNCTION("""COMPUTED_VALUE"""),"kid_friendly_app_user_indicator")</f>
        <v>kid_friendly_app_user_indicator</v>
      </c>
      <c r="B199" s="258" t="str">
        <f>IFERROR(__xludf.DUMMYFUNCTION("""COMPUTED_VALUE"""),"Audience/Persona")</f>
        <v>Audience/Persona</v>
      </c>
      <c r="C199" s="258" t="str">
        <f>IFERROR(__xludf.DUMMYFUNCTION("""COMPUTED_VALUE"""),"Non-PII")</f>
        <v>Non-PII</v>
      </c>
      <c r="D199" s="258" t="str">
        <f>IFERROR(__xludf.DUMMYFUNCTION("""COMPUTED_VALUE"""),"Non-PII")</f>
        <v>Non-PII</v>
      </c>
      <c r="E199" s="258" t="str">
        <f>IFERROR(__xludf.DUMMYFUNCTION("""COMPUTED_VALUE"""),"Indicator if a subscriber accesses kid friendly content apps or sites such as disney, nickelodeon, youtube_kids
 For wireline subscribers, only subscriptions within Metro Manila (including some areas in Rizal) and with DSL, VDSL and GPON technology valu"&amp;"e are covered.")</f>
        <v>Indicator if a subscriber accesses kid friendly content apps or sites such as disney, nickelodeon, youtube_kids
 For wireline subscribers, only subscriptions within Metro Manila (including some areas in Rizal) and with DSL, VDSL and GPON technology value are covered.</v>
      </c>
      <c r="F199" s="258" t="str">
        <f>IFERROR(__xludf.DUMMYFUNCTION("""COMPUTED_VALUE"""),"Inferred")</f>
        <v>Inferred</v>
      </c>
      <c r="G199" s="258" t="str">
        <f>IFERROR(__xludf.DUMMYFUNCTION("""COMPUTED_VALUE"""),"boolean")</f>
        <v>boolean</v>
      </c>
      <c r="H199" s="258" t="b">
        <f>IFERROR(__xludf.DUMMYFUNCTION("""COMPUTED_VALUE"""),TRUE)</f>
        <v>1</v>
      </c>
      <c r="I199" s="258" t="str">
        <f>IFERROR(__xludf.DUMMYFUNCTION("""COMPUTED_VALUE"""),"EDO-UUP")</f>
        <v>EDO-UUP</v>
      </c>
      <c r="J199" s="258" t="str">
        <f>IFERROR(__xludf.DUMMYFUNCTION("""COMPUTED_VALUE"""),"Monthly")</f>
        <v>Monthly</v>
      </c>
      <c r="K199" s="258" t="str">
        <f>IFERROR(__xludf.DUMMYFUNCTION("""COMPUTED_VALUE"""),"")</f>
        <v/>
      </c>
      <c r="L199" s="258" t="str">
        <f>IFERROR(__xludf.DUMMYFUNCTION("""COMPUTED_VALUE"""),"GHP, GHP-PREPAID, TM, PW, GOMO, WIRELINE, BAYAN, GLOBE")</f>
        <v>GHP, GHP-PREPAID, TM, PW, GOMO, WIRELINE, BAYAN, GLOBE</v>
      </c>
      <c r="M199" s="258" t="str">
        <f>IFERROR(__xludf.DUMMYFUNCTION("""COMPUTED_VALUE"""),"Consumer, EG, SG, In house, IBG Traveler")</f>
        <v>Consumer, EG, SG, In house, IBG Traveler</v>
      </c>
      <c r="N199" s="258" t="str">
        <f>IFERROR(__xludf.DUMMYFUNCTION("""COMPUTED_VALUE"""),"interest")</f>
        <v>interest</v>
      </c>
      <c r="O199" s="258" t="str">
        <f>IFERROR(__xludf.DUMMYFUNCTION("""COMPUTED_VALUE"""),"network_profile")</f>
        <v>network_profile</v>
      </c>
      <c r="P199" s="258"/>
    </row>
    <row r="200">
      <c r="A200" s="257" t="str">
        <f>IFERROR(__xludf.DUMMYFUNCTION("""COMPUTED_VALUE"""),"kid_friendly_app_user_bucket")</f>
        <v>kid_friendly_app_user_bucket</v>
      </c>
      <c r="B200" s="258" t="str">
        <f>IFERROR(__xludf.DUMMYFUNCTION("""COMPUTED_VALUE"""),"Audience/Persona")</f>
        <v>Audience/Persona</v>
      </c>
      <c r="C200" s="258" t="str">
        <f>IFERROR(__xludf.DUMMYFUNCTION("""COMPUTED_VALUE"""),"Non-PII")</f>
        <v>Non-PII</v>
      </c>
      <c r="D200" s="258" t="str">
        <f>IFERROR(__xludf.DUMMYFUNCTION("""COMPUTED_VALUE"""),"Non-PII")</f>
        <v>Non-PII</v>
      </c>
      <c r="E200" s="258" t="str">
        <f>IFERROR(__xludf.DUMMYFUNCTION("""COMPUTED_VALUE"""),"Bucketing based on identified metric for Kid Friendly App User profile
 Metric: Total Hits in a Month
 Valid values: 
 LOW: &lt;= 9 hits
 MID: &gt; 9 &amp; &lt;= 20 hits
 HIGH: &gt; 20 hits
 For wireline subscribers, only subscriptions within Metro Manila (including "&amp;"some areas in Rizal) and with DSL, VDSL and GPON technology value are covered.")</f>
        <v>Bucketing based on identified metric for Kid Friendly App User profile
 Metric: Total Hits in a Month
 Valid values: 
 LOW: &lt;= 9 hits
 MID: &gt; 9 &amp; &lt;= 20 hits
 HIGH: &gt; 20 hits
 For wireline subscribers, only subscriptions within Metro Manila (including some areas in Rizal) and with DSL, VDSL and GPON technology value are covered.</v>
      </c>
      <c r="F200" s="258" t="str">
        <f>IFERROR(__xludf.DUMMYFUNCTION("""COMPUTED_VALUE"""),"Inferred")</f>
        <v>Inferred</v>
      </c>
      <c r="G200" s="258" t="str">
        <f>IFERROR(__xludf.DUMMYFUNCTION("""COMPUTED_VALUE"""),"varchar(1000)")</f>
        <v>varchar(1000)</v>
      </c>
      <c r="H200" s="258" t="str">
        <f>IFERROR(__xludf.DUMMYFUNCTION("""COMPUTED_VALUE"""),"HIGH")</f>
        <v>HIGH</v>
      </c>
      <c r="I200" s="258" t="str">
        <f>IFERROR(__xludf.DUMMYFUNCTION("""COMPUTED_VALUE"""),"EDO-UUP")</f>
        <v>EDO-UUP</v>
      </c>
      <c r="J200" s="258" t="str">
        <f>IFERROR(__xludf.DUMMYFUNCTION("""COMPUTED_VALUE"""),"Monthly")</f>
        <v>Monthly</v>
      </c>
      <c r="K200" s="258" t="str">
        <f>IFERROR(__xludf.DUMMYFUNCTION("""COMPUTED_VALUE"""),"")</f>
        <v/>
      </c>
      <c r="L200" s="258" t="str">
        <f>IFERROR(__xludf.DUMMYFUNCTION("""COMPUTED_VALUE"""),"GHP, GHP-PREPAID, TM, PW, GOMO, WIRELINE, BAYAN, GLOBE")</f>
        <v>GHP, GHP-PREPAID, TM, PW, GOMO, WIRELINE, BAYAN, GLOBE</v>
      </c>
      <c r="M200" s="258" t="str">
        <f>IFERROR(__xludf.DUMMYFUNCTION("""COMPUTED_VALUE"""),"Consumer, EG, SG, In house, IBG Traveler")</f>
        <v>Consumer, EG, SG, In house, IBG Traveler</v>
      </c>
      <c r="N200" s="258" t="str">
        <f>IFERROR(__xludf.DUMMYFUNCTION("""COMPUTED_VALUE"""),"interest")</f>
        <v>interest</v>
      </c>
      <c r="O200" s="258" t="str">
        <f>IFERROR(__xludf.DUMMYFUNCTION("""COMPUTED_VALUE"""),"network_profile")</f>
        <v>network_profile</v>
      </c>
      <c r="P200" s="258"/>
    </row>
    <row r="201">
      <c r="A201" s="257" t="str">
        <f>IFERROR(__xludf.DUMMYFUNCTION("""COMPUTED_VALUE"""),"kid_friendly_app_user_details")</f>
        <v>kid_friendly_app_user_details</v>
      </c>
      <c r="B201" s="258" t="str">
        <f>IFERROR(__xludf.DUMMYFUNCTION("""COMPUTED_VALUE"""),"Audience/Persona")</f>
        <v>Audience/Persona</v>
      </c>
      <c r="C201" s="258" t="str">
        <f>IFERROR(__xludf.DUMMYFUNCTION("""COMPUTED_VALUE"""),"Non-PII")</f>
        <v>Non-PII</v>
      </c>
      <c r="D201" s="258" t="str">
        <f>IFERROR(__xludf.DUMMYFUNCTION("""COMPUTED_VALUE"""),"Non-PII")</f>
        <v>Non-PII</v>
      </c>
      <c r="E201" s="258" t="str">
        <f>IFERROR(__xludf.DUMMYFUNCTION("""COMPUTED_VALUE"""),"Metric used and value for the Kid Friendly App User profile
 For wireline subscribers, only subscriptions within Metro Manila (including some areas in Rizal) and with DSL, VDSL and GPON technology value are covered.")</f>
        <v>Metric used and value for the Kid Friendly App User profile
 For wireline subscribers, only subscriptions within Metro Manila (including some areas in Rizal) and with DSL, VDSL and GPON technology value are covered.</v>
      </c>
      <c r="F201" s="258" t="str">
        <f>IFERROR(__xludf.DUMMYFUNCTION("""COMPUTED_VALUE"""),"Inferred")</f>
        <v>Inferred</v>
      </c>
      <c r="G201" s="258" t="str">
        <f>IFERROR(__xludf.DUMMYFUNCTION("""COMPUTED_VALUE"""),"varchar(1000)")</f>
        <v>varchar(1000)</v>
      </c>
      <c r="H201" s="258" t="str">
        <f>IFERROR(__xludf.DUMMYFUNCTION("""COMPUTED_VALUE"""),"{“Total Hits in a Month”: 8}")</f>
        <v>{“Total Hits in a Month”: 8}</v>
      </c>
      <c r="I201" s="258" t="str">
        <f>IFERROR(__xludf.DUMMYFUNCTION("""COMPUTED_VALUE"""),"EDO-UUP")</f>
        <v>EDO-UUP</v>
      </c>
      <c r="J201" s="258" t="str">
        <f>IFERROR(__xludf.DUMMYFUNCTION("""COMPUTED_VALUE"""),"Monthly")</f>
        <v>Monthly</v>
      </c>
      <c r="K201" s="258" t="str">
        <f>IFERROR(__xludf.DUMMYFUNCTION("""COMPUTED_VALUE"""),"")</f>
        <v/>
      </c>
      <c r="L201" s="258" t="str">
        <f>IFERROR(__xludf.DUMMYFUNCTION("""COMPUTED_VALUE"""),"GHP, GHP-PREPAID, TM, PW, GOMO, WIRELINE, BAYAN, GLOBE")</f>
        <v>GHP, GHP-PREPAID, TM, PW, GOMO, WIRELINE, BAYAN, GLOBE</v>
      </c>
      <c r="M201" s="258" t="str">
        <f>IFERROR(__xludf.DUMMYFUNCTION("""COMPUTED_VALUE"""),"Consumer, EG, SG, In house, IBG Traveler")</f>
        <v>Consumer, EG, SG, In house, IBG Traveler</v>
      </c>
      <c r="N201" s="258" t="str">
        <f>IFERROR(__xludf.DUMMYFUNCTION("""COMPUTED_VALUE"""),"interest")</f>
        <v>interest</v>
      </c>
      <c r="O201" s="258" t="str">
        <f>IFERROR(__xludf.DUMMYFUNCTION("""COMPUTED_VALUE"""),"network_profile")</f>
        <v>network_profile</v>
      </c>
      <c r="P201" s="258"/>
    </row>
    <row r="202">
      <c r="A202" s="257" t="str">
        <f>IFERROR(__xludf.DUMMYFUNCTION("""COMPUTED_VALUE"""),"usage_monthly_total_sms_sent")</f>
        <v>usage_monthly_total_sms_sent</v>
      </c>
      <c r="B202" s="258" t="str">
        <f>IFERROR(__xludf.DUMMYFUNCTION("""COMPUTED_VALUE"""),"Behavioral")</f>
        <v>Behavioral</v>
      </c>
      <c r="C202" s="258" t="str">
        <f>IFERROR(__xludf.DUMMYFUNCTION("""COMPUTED_VALUE"""),"Non-PII")</f>
        <v>Non-PII</v>
      </c>
      <c r="D202" s="258" t="str">
        <f>IFERROR(__xludf.DUMMYFUNCTION("""COMPUTED_VALUE"""),"Non-PII")</f>
        <v>Non-PII</v>
      </c>
      <c r="E202" s="258" t="str">
        <f>IFERROR(__xludf.DUMMYFUNCTION("""COMPUTED_VALUE"""),"Total no. of SMS sent by the subscriber for the past 1 month")</f>
        <v>Total no. of SMS sent by the subscriber for the past 1 month</v>
      </c>
      <c r="F202" s="258" t="str">
        <f>IFERROR(__xludf.DUMMYFUNCTION("""COMPUTED_VALUE"""),"Derived")</f>
        <v>Derived</v>
      </c>
      <c r="G202" s="258" t="str">
        <f>IFERROR(__xludf.DUMMYFUNCTION("""COMPUTED_VALUE"""),"integer")</f>
        <v>integer</v>
      </c>
      <c r="H202" s="258">
        <f>IFERROR(__xludf.DUMMYFUNCTION("""COMPUTED_VALUE"""),1.0)</f>
        <v>1</v>
      </c>
      <c r="I202" s="258" t="str">
        <f>IFERROR(__xludf.DUMMYFUNCTION("""COMPUTED_VALUE"""),"Omni/VoC")</f>
        <v>Omni/VoC</v>
      </c>
      <c r="J202" s="258" t="str">
        <f>IFERROR(__xludf.DUMMYFUNCTION("""COMPUTED_VALUE"""),"Monthly")</f>
        <v>Monthly</v>
      </c>
      <c r="K202" s="258" t="str">
        <f>IFERROR(__xludf.DUMMYFUNCTION("""COMPUTED_VALUE"""),"")</f>
        <v/>
      </c>
      <c r="L202" s="258" t="str">
        <f>IFERROR(__xludf.DUMMYFUNCTION("""COMPUTED_VALUE"""),"GHP, GHP-PREPAID, TM, PW")</f>
        <v>GHP, GHP-PREPAID, TM, PW</v>
      </c>
      <c r="M202" s="258" t="str">
        <f>IFERROR(__xludf.DUMMYFUNCTION("""COMPUTED_VALUE"""),"Consumer, EG, SG, In house, IBG Traveler")</f>
        <v>Consumer, EG, SG, In house, IBG Traveler</v>
      </c>
      <c r="N202" s="258" t="str">
        <f>IFERROR(__xludf.DUMMYFUNCTION("""COMPUTED_VALUE"""),"usage")</f>
        <v>usage</v>
      </c>
      <c r="O202" s="258" t="str">
        <f>IFERROR(__xludf.DUMMYFUNCTION("""COMPUTED_VALUE"""),"usage_profile")</f>
        <v>usage_profile</v>
      </c>
      <c r="P202" s="258"/>
    </row>
    <row r="203">
      <c r="A203" s="257" t="str">
        <f>IFERROR(__xludf.DUMMYFUNCTION("""COMPUTED_VALUE"""),"usage_monthly_total_outgoing_call_minutes")</f>
        <v>usage_monthly_total_outgoing_call_minutes</v>
      </c>
      <c r="B203" s="258" t="str">
        <f>IFERROR(__xludf.DUMMYFUNCTION("""COMPUTED_VALUE"""),"Behavioral")</f>
        <v>Behavioral</v>
      </c>
      <c r="C203" s="258" t="str">
        <f>IFERROR(__xludf.DUMMYFUNCTION("""COMPUTED_VALUE"""),"Non-PII")</f>
        <v>Non-PII</v>
      </c>
      <c r="D203" s="258" t="str">
        <f>IFERROR(__xludf.DUMMYFUNCTION("""COMPUTED_VALUE"""),"Non-PII")</f>
        <v>Non-PII</v>
      </c>
      <c r="E203" s="258" t="str">
        <f>IFERROR(__xludf.DUMMYFUNCTION("""COMPUTED_VALUE"""),"Total no. of outgoing calls in minutes by the subscriber for the 1 month")</f>
        <v>Total no. of outgoing calls in minutes by the subscriber for the 1 month</v>
      </c>
      <c r="F203" s="258" t="str">
        <f>IFERROR(__xludf.DUMMYFUNCTION("""COMPUTED_VALUE"""),"Derived")</f>
        <v>Derived</v>
      </c>
      <c r="G203" s="258" t="str">
        <f>IFERROR(__xludf.DUMMYFUNCTION("""COMPUTED_VALUE"""),"integer")</f>
        <v>integer</v>
      </c>
      <c r="H203" s="258">
        <f>IFERROR(__xludf.DUMMYFUNCTION("""COMPUTED_VALUE"""),1.0)</f>
        <v>1</v>
      </c>
      <c r="I203" s="258" t="str">
        <f>IFERROR(__xludf.DUMMYFUNCTION("""COMPUTED_VALUE"""),"Omni/VoC")</f>
        <v>Omni/VoC</v>
      </c>
      <c r="J203" s="258" t="str">
        <f>IFERROR(__xludf.DUMMYFUNCTION("""COMPUTED_VALUE"""),"Monthly")</f>
        <v>Monthly</v>
      </c>
      <c r="K203" s="258" t="str">
        <f>IFERROR(__xludf.DUMMYFUNCTION("""COMPUTED_VALUE"""),"")</f>
        <v/>
      </c>
      <c r="L203" s="258" t="str">
        <f>IFERROR(__xludf.DUMMYFUNCTION("""COMPUTED_VALUE"""),"GHP, GHP-PREPAID, TM, PW, WIRELINE")</f>
        <v>GHP, GHP-PREPAID, TM, PW, WIRELINE</v>
      </c>
      <c r="M203" s="258" t="str">
        <f>IFERROR(__xludf.DUMMYFUNCTION("""COMPUTED_VALUE"""),"Consumer, EG, SG, In house, IBG Traveler")</f>
        <v>Consumer, EG, SG, In house, IBG Traveler</v>
      </c>
      <c r="N203" s="258" t="str">
        <f>IFERROR(__xludf.DUMMYFUNCTION("""COMPUTED_VALUE"""),"usage")</f>
        <v>usage</v>
      </c>
      <c r="O203" s="258" t="str">
        <f>IFERROR(__xludf.DUMMYFUNCTION("""COMPUTED_VALUE"""),"usage_profile")</f>
        <v>usage_profile</v>
      </c>
      <c r="P203" s="258"/>
    </row>
    <row r="204">
      <c r="A204" s="257" t="str">
        <f>IFERROR(__xludf.DUMMYFUNCTION("""COMPUTED_VALUE"""),"usage_monthly_total_kb_data_used")</f>
        <v>usage_monthly_total_kb_data_used</v>
      </c>
      <c r="B204" s="258" t="str">
        <f>IFERROR(__xludf.DUMMYFUNCTION("""COMPUTED_VALUE"""),"Behavioral")</f>
        <v>Behavioral</v>
      </c>
      <c r="C204" s="258" t="str">
        <f>IFERROR(__xludf.DUMMYFUNCTION("""COMPUTED_VALUE"""),"Non-PII")</f>
        <v>Non-PII</v>
      </c>
      <c r="D204" s="258" t="str">
        <f>IFERROR(__xludf.DUMMYFUNCTION("""COMPUTED_VALUE"""),"Non-PII")</f>
        <v>Non-PII</v>
      </c>
      <c r="E204" s="258" t="str">
        <f>IFERROR(__xludf.DUMMYFUNCTION("""COMPUTED_VALUE"""),"Total no. of data (KB format) consumed by the subscriber for the 1 month")</f>
        <v>Total no. of data (KB format) consumed by the subscriber for the 1 month</v>
      </c>
      <c r="F204" s="258" t="str">
        <f>IFERROR(__xludf.DUMMYFUNCTION("""COMPUTED_VALUE"""),"Derived")</f>
        <v>Derived</v>
      </c>
      <c r="G204" s="258" t="str">
        <f>IFERROR(__xludf.DUMMYFUNCTION("""COMPUTED_VALUE"""),"bigint")</f>
        <v>bigint</v>
      </c>
      <c r="H204" s="258">
        <f>IFERROR(__xludf.DUMMYFUNCTION("""COMPUTED_VALUE"""),2.24E9)</f>
        <v>2240000000</v>
      </c>
      <c r="I204" s="258" t="str">
        <f>IFERROR(__xludf.DUMMYFUNCTION("""COMPUTED_VALUE"""),"Omni/VoC")</f>
        <v>Omni/VoC</v>
      </c>
      <c r="J204" s="258" t="str">
        <f>IFERROR(__xludf.DUMMYFUNCTION("""COMPUTED_VALUE"""),"Monthly")</f>
        <v>Monthly</v>
      </c>
      <c r="K204" s="258" t="str">
        <f>IFERROR(__xludf.DUMMYFUNCTION("""COMPUTED_VALUE"""),"")</f>
        <v/>
      </c>
      <c r="L204" s="258" t="str">
        <f>IFERROR(__xludf.DUMMYFUNCTION("""COMPUTED_VALUE"""),"GHP, GHP-PREPAID, TM, PW")</f>
        <v>GHP, GHP-PREPAID, TM, PW</v>
      </c>
      <c r="M204" s="258" t="str">
        <f>IFERROR(__xludf.DUMMYFUNCTION("""COMPUTED_VALUE"""),"Consumer, EG, SG, In house, IBG Traveler")</f>
        <v>Consumer, EG, SG, In house, IBG Traveler</v>
      </c>
      <c r="N204" s="258" t="str">
        <f>IFERROR(__xludf.DUMMYFUNCTION("""COMPUTED_VALUE"""),"usage")</f>
        <v>usage</v>
      </c>
      <c r="O204" s="258" t="str">
        <f>IFERROR(__xludf.DUMMYFUNCTION("""COMPUTED_VALUE"""),"usage_profile")</f>
        <v>usage_profile</v>
      </c>
      <c r="P204" s="258"/>
    </row>
    <row r="205">
      <c r="A205" s="257" t="str">
        <f>IFERROR(__xludf.DUMMYFUNCTION("""COMPUTED_VALUE"""),"foodie_online_delivery_indicator")</f>
        <v>foodie_online_delivery_indicator</v>
      </c>
      <c r="B205" s="258" t="str">
        <f>IFERROR(__xludf.DUMMYFUNCTION("""COMPUTED_VALUE"""),"Audience/Persona")</f>
        <v>Audience/Persona</v>
      </c>
      <c r="C205" s="258" t="str">
        <f>IFERROR(__xludf.DUMMYFUNCTION("""COMPUTED_VALUE"""),"Non-PII")</f>
        <v>Non-PII</v>
      </c>
      <c r="D205" s="258" t="str">
        <f>IFERROR(__xludf.DUMMYFUNCTION("""COMPUTED_VALUE"""),"Non-PII")</f>
        <v>Non-PII</v>
      </c>
      <c r="E205" s="258" t="str">
        <f>IFERROR(__xludf.DUMMYFUNCTION("""COMPUTED_VALUE"""),"Indicator if a subscriber visits online food delivery apps or sites such as FoodPanda, JollibeeDelivery, GrabFood
 For wireline subscribers, only subscriptions within Metro Manila (including some areas in Rizal) and with DSL, VDSL and GPON technology va"&amp;"lue are covered.")</f>
        <v>Indicator if a subscriber visits online food delivery apps or sites such as FoodPanda, JollibeeDelivery, GrabFood
 For wireline subscribers, only subscriptions within Metro Manila (including some areas in Rizal) and with DSL, VDSL and GPON technology value are covered.</v>
      </c>
      <c r="F205" s="258" t="str">
        <f>IFERROR(__xludf.DUMMYFUNCTION("""COMPUTED_VALUE"""),"Inferred")</f>
        <v>Inferred</v>
      </c>
      <c r="G205" s="258" t="str">
        <f>IFERROR(__xludf.DUMMYFUNCTION("""COMPUTED_VALUE"""),"boolean")</f>
        <v>boolean</v>
      </c>
      <c r="H205" s="258" t="b">
        <f>IFERROR(__xludf.DUMMYFUNCTION("""COMPUTED_VALUE"""),TRUE)</f>
        <v>1</v>
      </c>
      <c r="I205" s="258" t="str">
        <f>IFERROR(__xludf.DUMMYFUNCTION("""COMPUTED_VALUE"""),"EDO-UUP")</f>
        <v>EDO-UUP</v>
      </c>
      <c r="J205" s="258" t="str">
        <f>IFERROR(__xludf.DUMMYFUNCTION("""COMPUTED_VALUE"""),"Monthly")</f>
        <v>Monthly</v>
      </c>
      <c r="K205" s="258" t="str">
        <f>IFERROR(__xludf.DUMMYFUNCTION("""COMPUTED_VALUE"""),"")</f>
        <v/>
      </c>
      <c r="L205" s="258" t="str">
        <f>IFERROR(__xludf.DUMMYFUNCTION("""COMPUTED_VALUE"""),"GHP, GHP-PREPAID, TM, PW, GOMO, WIRELINE, BAYAN, GLOBE")</f>
        <v>GHP, GHP-PREPAID, TM, PW, GOMO, WIRELINE, BAYAN, GLOBE</v>
      </c>
      <c r="M205" s="258" t="str">
        <f>IFERROR(__xludf.DUMMYFUNCTION("""COMPUTED_VALUE"""),"Consumer, EG, SG, In house, IBG Traveler")</f>
        <v>Consumer, EG, SG, In house, IBG Traveler</v>
      </c>
      <c r="N205" s="258" t="str">
        <f>IFERROR(__xludf.DUMMYFUNCTION("""COMPUTED_VALUE"""),"interest")</f>
        <v>interest</v>
      </c>
      <c r="O205" s="258" t="str">
        <f>IFERROR(__xludf.DUMMYFUNCTION("""COMPUTED_VALUE"""),"network_profile")</f>
        <v>network_profile</v>
      </c>
      <c r="P205" s="258"/>
    </row>
    <row r="206">
      <c r="A206" s="257" t="str">
        <f>IFERROR(__xludf.DUMMYFUNCTION("""COMPUTED_VALUE"""),"foodie_online_delivery_bucket")</f>
        <v>foodie_online_delivery_bucket</v>
      </c>
      <c r="B206" s="258" t="str">
        <f>IFERROR(__xludf.DUMMYFUNCTION("""COMPUTED_VALUE"""),"Audience/Persona")</f>
        <v>Audience/Persona</v>
      </c>
      <c r="C206" s="258" t="str">
        <f>IFERROR(__xludf.DUMMYFUNCTION("""COMPUTED_VALUE"""),"Non-PII")</f>
        <v>Non-PII</v>
      </c>
      <c r="D206" s="258" t="str">
        <f>IFERROR(__xludf.DUMMYFUNCTION("""COMPUTED_VALUE"""),"Non-PII")</f>
        <v>Non-PII</v>
      </c>
      <c r="E206" s="258" t="str">
        <f>IFERROR(__xludf.DUMMYFUNCTION("""COMPUTED_VALUE"""),"Bucketing based on identified metric for Foodie Online Delivery profile
 Metric: Total Hits in a Month
 Valid values: 
 LOW: &lt;= 5 hits
 MID: &gt; 5 &amp; &lt;= 10 hits
 HIGH: &gt; 10 hits
 For wireline subscribers, only subscriptions within Metro Manila (including"&amp;" some areas in Rizal) and with DSL, VDSL and GPON technology value are covered.")</f>
        <v>Bucketing based on identified metric for Foodie Online Delivery profile
 Metric: Total Hits in a Month
 Valid values: 
 LOW: &lt;= 5 hits
 MID: &gt; 5 &amp; &lt;= 10 hits
 HIGH: &gt; 10 hits
 For wireline subscribers, only subscriptions within Metro Manila (including some areas in Rizal) and with DSL, VDSL and GPON technology value are covered.</v>
      </c>
      <c r="F206" s="258" t="str">
        <f>IFERROR(__xludf.DUMMYFUNCTION("""COMPUTED_VALUE"""),"Inferred")</f>
        <v>Inferred</v>
      </c>
      <c r="G206" s="258" t="str">
        <f>IFERROR(__xludf.DUMMYFUNCTION("""COMPUTED_VALUE"""),"varchar(1000)")</f>
        <v>varchar(1000)</v>
      </c>
      <c r="H206" s="258" t="str">
        <f>IFERROR(__xludf.DUMMYFUNCTION("""COMPUTED_VALUE"""),"HIGH")</f>
        <v>HIGH</v>
      </c>
      <c r="I206" s="258" t="str">
        <f>IFERROR(__xludf.DUMMYFUNCTION("""COMPUTED_VALUE"""),"EDO-UUP")</f>
        <v>EDO-UUP</v>
      </c>
      <c r="J206" s="258" t="str">
        <f>IFERROR(__xludf.DUMMYFUNCTION("""COMPUTED_VALUE"""),"Monthly")</f>
        <v>Monthly</v>
      </c>
      <c r="K206" s="258" t="str">
        <f>IFERROR(__xludf.DUMMYFUNCTION("""COMPUTED_VALUE"""),"")</f>
        <v/>
      </c>
      <c r="L206" s="258" t="str">
        <f>IFERROR(__xludf.DUMMYFUNCTION("""COMPUTED_VALUE"""),"GHP, GHP-PREPAID, TM, PW, GOMO, WIRELINE, BAYAN, GLOBE")</f>
        <v>GHP, GHP-PREPAID, TM, PW, GOMO, WIRELINE, BAYAN, GLOBE</v>
      </c>
      <c r="M206" s="258" t="str">
        <f>IFERROR(__xludf.DUMMYFUNCTION("""COMPUTED_VALUE"""),"Consumer, EG, SG, In house, IBG Traveler")</f>
        <v>Consumer, EG, SG, In house, IBG Traveler</v>
      </c>
      <c r="N206" s="258" t="str">
        <f>IFERROR(__xludf.DUMMYFUNCTION("""COMPUTED_VALUE"""),"interest")</f>
        <v>interest</v>
      </c>
      <c r="O206" s="258" t="str">
        <f>IFERROR(__xludf.DUMMYFUNCTION("""COMPUTED_VALUE"""),"network_profile")</f>
        <v>network_profile</v>
      </c>
      <c r="P206" s="258"/>
    </row>
    <row r="207">
      <c r="A207" s="257" t="str">
        <f>IFERROR(__xludf.DUMMYFUNCTION("""COMPUTED_VALUE"""),"foodie_online_delivery_details")</f>
        <v>foodie_online_delivery_details</v>
      </c>
      <c r="B207" s="258" t="str">
        <f>IFERROR(__xludf.DUMMYFUNCTION("""COMPUTED_VALUE"""),"Audience/Persona")</f>
        <v>Audience/Persona</v>
      </c>
      <c r="C207" s="258" t="str">
        <f>IFERROR(__xludf.DUMMYFUNCTION("""COMPUTED_VALUE"""),"Non-PII")</f>
        <v>Non-PII</v>
      </c>
      <c r="D207" s="258" t="str">
        <f>IFERROR(__xludf.DUMMYFUNCTION("""COMPUTED_VALUE"""),"Non-PII")</f>
        <v>Non-PII</v>
      </c>
      <c r="E207" s="258" t="str">
        <f>IFERROR(__xludf.DUMMYFUNCTION("""COMPUTED_VALUE"""),"Metric used and value for the Foodie Online Delivery profile
 For wireline subscribers, only subscriptions within Metro Manila (including some areas in Rizal) and with DSL, VDSL and GPON technology value are covered.")</f>
        <v>Metric used and value for the Foodie Online Delivery profile
 For wireline subscribers, only subscriptions within Metro Manila (including some areas in Rizal) and with DSL, VDSL and GPON technology value are covered.</v>
      </c>
      <c r="F207" s="258" t="str">
        <f>IFERROR(__xludf.DUMMYFUNCTION("""COMPUTED_VALUE"""),"Inferred")</f>
        <v>Inferred</v>
      </c>
      <c r="G207" s="258" t="str">
        <f>IFERROR(__xludf.DUMMYFUNCTION("""COMPUTED_VALUE"""),"varchar(1000)")</f>
        <v>varchar(1000)</v>
      </c>
      <c r="H207" s="258" t="str">
        <f>IFERROR(__xludf.DUMMYFUNCTION("""COMPUTED_VALUE"""),"{“Total Hits in a Month”: 3}")</f>
        <v>{“Total Hits in a Month”: 3}</v>
      </c>
      <c r="I207" s="258" t="str">
        <f>IFERROR(__xludf.DUMMYFUNCTION("""COMPUTED_VALUE"""),"EDO-UUP")</f>
        <v>EDO-UUP</v>
      </c>
      <c r="J207" s="258" t="str">
        <f>IFERROR(__xludf.DUMMYFUNCTION("""COMPUTED_VALUE"""),"Monthly")</f>
        <v>Monthly</v>
      </c>
      <c r="K207" s="258" t="str">
        <f>IFERROR(__xludf.DUMMYFUNCTION("""COMPUTED_VALUE"""),"")</f>
        <v/>
      </c>
      <c r="L207" s="258" t="str">
        <f>IFERROR(__xludf.DUMMYFUNCTION("""COMPUTED_VALUE"""),"GHP, GHP-PREPAID, TM, PW, GOMO, WIRELINE, BAYAN, GLOBE")</f>
        <v>GHP, GHP-PREPAID, TM, PW, GOMO, WIRELINE, BAYAN, GLOBE</v>
      </c>
      <c r="M207" s="258" t="str">
        <f>IFERROR(__xludf.DUMMYFUNCTION("""COMPUTED_VALUE"""),"Consumer, EG, SG, In house, IBG Traveler")</f>
        <v>Consumer, EG, SG, In house, IBG Traveler</v>
      </c>
      <c r="N207" s="258" t="str">
        <f>IFERROR(__xludf.DUMMYFUNCTION("""COMPUTED_VALUE"""),"interest")</f>
        <v>interest</v>
      </c>
      <c r="O207" s="258" t="str">
        <f>IFERROR(__xludf.DUMMYFUNCTION("""COMPUTED_VALUE"""),"network_profile")</f>
        <v>network_profile</v>
      </c>
      <c r="P207" s="258"/>
    </row>
    <row r="208">
      <c r="A208" s="257" t="str">
        <f>IFERROR(__xludf.DUMMYFUNCTION("""COMPUTED_VALUE"""),"restaurant_finder_indicator")</f>
        <v>restaurant_finder_indicator</v>
      </c>
      <c r="B208" s="258" t="str">
        <f>IFERROR(__xludf.DUMMYFUNCTION("""COMPUTED_VALUE"""),"Audience/Persona")</f>
        <v>Audience/Persona</v>
      </c>
      <c r="C208" s="258" t="str">
        <f>IFERROR(__xludf.DUMMYFUNCTION("""COMPUTED_VALUE"""),"Non-PII")</f>
        <v>Non-PII</v>
      </c>
      <c r="D208" s="258" t="str">
        <f>IFERROR(__xludf.DUMMYFUNCTION("""COMPUTED_VALUE"""),"Non-PII")</f>
        <v>Non-PII</v>
      </c>
      <c r="E208" s="258" t="str">
        <f>IFERROR(__xludf.DUMMYFUNCTION("""COMPUTED_VALUE"""),"Indicator if a subscriber visits restaurant finder apps or sites such as zomato, eatigo
 For wireline subscribers, only subscriptions within Metro Manila (including some areas in Rizal) and with DSL, VDSL and GPON technology value are covered.")</f>
        <v>Indicator if a subscriber visits restaurant finder apps or sites such as zomato, eatigo
 For wireline subscribers, only subscriptions within Metro Manila (including some areas in Rizal) and with DSL, VDSL and GPON technology value are covered.</v>
      </c>
      <c r="F208" s="258" t="str">
        <f>IFERROR(__xludf.DUMMYFUNCTION("""COMPUTED_VALUE"""),"Inferred")</f>
        <v>Inferred</v>
      </c>
      <c r="G208" s="258" t="str">
        <f>IFERROR(__xludf.DUMMYFUNCTION("""COMPUTED_VALUE"""),"boolean")</f>
        <v>boolean</v>
      </c>
      <c r="H208" s="258" t="b">
        <f>IFERROR(__xludf.DUMMYFUNCTION("""COMPUTED_VALUE"""),TRUE)</f>
        <v>1</v>
      </c>
      <c r="I208" s="258" t="str">
        <f>IFERROR(__xludf.DUMMYFUNCTION("""COMPUTED_VALUE"""),"EDO-UUP")</f>
        <v>EDO-UUP</v>
      </c>
      <c r="J208" s="258" t="str">
        <f>IFERROR(__xludf.DUMMYFUNCTION("""COMPUTED_VALUE"""),"Monthly")</f>
        <v>Monthly</v>
      </c>
      <c r="K208" s="258" t="str">
        <f>IFERROR(__xludf.DUMMYFUNCTION("""COMPUTED_VALUE"""),"")</f>
        <v/>
      </c>
      <c r="L208" s="258" t="str">
        <f>IFERROR(__xludf.DUMMYFUNCTION("""COMPUTED_VALUE"""),"GHP, GHP-PREPAID, TM, PW, GOMO, WIRELINE, BAYAN, GLOBE")</f>
        <v>GHP, GHP-PREPAID, TM, PW, GOMO, WIRELINE, BAYAN, GLOBE</v>
      </c>
      <c r="M208" s="258" t="str">
        <f>IFERROR(__xludf.DUMMYFUNCTION("""COMPUTED_VALUE"""),"Consumer, EG, SG, In house, IBG Traveler")</f>
        <v>Consumer, EG, SG, In house, IBG Traveler</v>
      </c>
      <c r="N208" s="258" t="str">
        <f>IFERROR(__xludf.DUMMYFUNCTION("""COMPUTED_VALUE"""),"interest")</f>
        <v>interest</v>
      </c>
      <c r="O208" s="258" t="str">
        <f>IFERROR(__xludf.DUMMYFUNCTION("""COMPUTED_VALUE"""),"network_profile")</f>
        <v>network_profile</v>
      </c>
      <c r="P208" s="258"/>
    </row>
    <row r="209">
      <c r="A209" s="257" t="str">
        <f>IFERROR(__xludf.DUMMYFUNCTION("""COMPUTED_VALUE"""),"restaurant_finder_bucket")</f>
        <v>restaurant_finder_bucket</v>
      </c>
      <c r="B209" s="258" t="str">
        <f>IFERROR(__xludf.DUMMYFUNCTION("""COMPUTED_VALUE"""),"Audience/Persona")</f>
        <v>Audience/Persona</v>
      </c>
      <c r="C209" s="258" t="str">
        <f>IFERROR(__xludf.DUMMYFUNCTION("""COMPUTED_VALUE"""),"Non-PII")</f>
        <v>Non-PII</v>
      </c>
      <c r="D209" s="258" t="str">
        <f>IFERROR(__xludf.DUMMYFUNCTION("""COMPUTED_VALUE"""),"Non-PII")</f>
        <v>Non-PII</v>
      </c>
      <c r="E209" s="258" t="str">
        <f>IFERROR(__xludf.DUMMYFUNCTION("""COMPUTED_VALUE"""),"Bucketing based on identified metric for Restaurant Finder profile
 Metric: Total Hits in a Month
 Valid values: 
 LOW: &lt;= 3 hits
 MID: &gt; 3 &amp; &lt;= 5 hits
 HIGH: &gt; 5 hits
 For wireline subscribers, only subscriptions within Metro Manila (including some a"&amp;"reas in Rizal) and with DSL, VDSL and GPON technology value are covered.")</f>
        <v>Bucketing based on identified metric for Restaurant Finder profile
 Metric: Total Hits in a Month
 Valid values: 
 LOW: &lt;= 3 hits
 MID: &gt; 3 &amp; &lt;= 5 hits
 HIGH: &gt; 5 hits
 For wireline subscribers, only subscriptions within Metro Manila (including some areas in Rizal) and with DSL, VDSL and GPON technology value are covered.</v>
      </c>
      <c r="F209" s="258" t="str">
        <f>IFERROR(__xludf.DUMMYFUNCTION("""COMPUTED_VALUE"""),"Inferred")</f>
        <v>Inferred</v>
      </c>
      <c r="G209" s="258" t="str">
        <f>IFERROR(__xludf.DUMMYFUNCTION("""COMPUTED_VALUE"""),"varchar(1000)")</f>
        <v>varchar(1000)</v>
      </c>
      <c r="H209" s="258" t="str">
        <f>IFERROR(__xludf.DUMMYFUNCTION("""COMPUTED_VALUE"""),"HIGH")</f>
        <v>HIGH</v>
      </c>
      <c r="I209" s="258" t="str">
        <f>IFERROR(__xludf.DUMMYFUNCTION("""COMPUTED_VALUE"""),"EDO-UUP")</f>
        <v>EDO-UUP</v>
      </c>
      <c r="J209" s="258" t="str">
        <f>IFERROR(__xludf.DUMMYFUNCTION("""COMPUTED_VALUE"""),"Monthly")</f>
        <v>Monthly</v>
      </c>
      <c r="K209" s="258" t="str">
        <f>IFERROR(__xludf.DUMMYFUNCTION("""COMPUTED_VALUE"""),"")</f>
        <v/>
      </c>
      <c r="L209" s="258" t="str">
        <f>IFERROR(__xludf.DUMMYFUNCTION("""COMPUTED_VALUE"""),"GHP, GHP-PREPAID, TM, PW, GOMO, WIRELINE, BAYAN, GLOBE")</f>
        <v>GHP, GHP-PREPAID, TM, PW, GOMO, WIRELINE, BAYAN, GLOBE</v>
      </c>
      <c r="M209" s="258" t="str">
        <f>IFERROR(__xludf.DUMMYFUNCTION("""COMPUTED_VALUE"""),"Consumer, EG, SG, In house, IBG Traveler")</f>
        <v>Consumer, EG, SG, In house, IBG Traveler</v>
      </c>
      <c r="N209" s="258" t="str">
        <f>IFERROR(__xludf.DUMMYFUNCTION("""COMPUTED_VALUE"""),"interest")</f>
        <v>interest</v>
      </c>
      <c r="O209" s="258" t="str">
        <f>IFERROR(__xludf.DUMMYFUNCTION("""COMPUTED_VALUE"""),"network_profile")</f>
        <v>network_profile</v>
      </c>
      <c r="P209" s="258"/>
    </row>
    <row r="210">
      <c r="A210" s="257" t="str">
        <f>IFERROR(__xludf.DUMMYFUNCTION("""COMPUTED_VALUE"""),"restaurant_finder_details")</f>
        <v>restaurant_finder_details</v>
      </c>
      <c r="B210" s="258" t="str">
        <f>IFERROR(__xludf.DUMMYFUNCTION("""COMPUTED_VALUE"""),"Audience/Persona")</f>
        <v>Audience/Persona</v>
      </c>
      <c r="C210" s="258" t="str">
        <f>IFERROR(__xludf.DUMMYFUNCTION("""COMPUTED_VALUE"""),"Non-PII")</f>
        <v>Non-PII</v>
      </c>
      <c r="D210" s="258" t="str">
        <f>IFERROR(__xludf.DUMMYFUNCTION("""COMPUTED_VALUE"""),"Non-PII")</f>
        <v>Non-PII</v>
      </c>
      <c r="E210" s="258" t="str">
        <f>IFERROR(__xludf.DUMMYFUNCTION("""COMPUTED_VALUE"""),"Metric used and value for the Restaurant Finder profile
 For wireline subscribers, only subscriptions within Metro Manila (including some areas in Rizal) and with DSL, VDSL and GPON technology value are covered.")</f>
        <v>Metric used and value for the Restaurant Finder profile
 For wireline subscribers, only subscriptions within Metro Manila (including some areas in Rizal) and with DSL, VDSL and GPON technology value are covered.</v>
      </c>
      <c r="F210" s="258" t="str">
        <f>IFERROR(__xludf.DUMMYFUNCTION("""COMPUTED_VALUE"""),"Inferred")</f>
        <v>Inferred</v>
      </c>
      <c r="G210" s="258" t="str">
        <f>IFERROR(__xludf.DUMMYFUNCTION("""COMPUTED_VALUE"""),"varchar(1000)")</f>
        <v>varchar(1000)</v>
      </c>
      <c r="H210" s="258" t="str">
        <f>IFERROR(__xludf.DUMMYFUNCTION("""COMPUTED_VALUE"""),"{“Total Hits in a Month”: 3}")</f>
        <v>{“Total Hits in a Month”: 3}</v>
      </c>
      <c r="I210" s="258" t="str">
        <f>IFERROR(__xludf.DUMMYFUNCTION("""COMPUTED_VALUE"""),"EDO-UUP")</f>
        <v>EDO-UUP</v>
      </c>
      <c r="J210" s="258" t="str">
        <f>IFERROR(__xludf.DUMMYFUNCTION("""COMPUTED_VALUE"""),"Monthly")</f>
        <v>Monthly</v>
      </c>
      <c r="K210" s="258" t="str">
        <f>IFERROR(__xludf.DUMMYFUNCTION("""COMPUTED_VALUE"""),"")</f>
        <v/>
      </c>
      <c r="L210" s="258" t="str">
        <f>IFERROR(__xludf.DUMMYFUNCTION("""COMPUTED_VALUE"""),"GHP, GHP-PREPAID, TM, PW, GOMO, WIRELINE, BAYAN, GLOBE")</f>
        <v>GHP, GHP-PREPAID, TM, PW, GOMO, WIRELINE, BAYAN, GLOBE</v>
      </c>
      <c r="M210" s="258" t="str">
        <f>IFERROR(__xludf.DUMMYFUNCTION("""COMPUTED_VALUE"""),"Consumer, EG, SG, In house, IBG Traveler")</f>
        <v>Consumer, EG, SG, In house, IBG Traveler</v>
      </c>
      <c r="N210" s="258" t="str">
        <f>IFERROR(__xludf.DUMMYFUNCTION("""COMPUTED_VALUE"""),"interest")</f>
        <v>interest</v>
      </c>
      <c r="O210" s="258" t="str">
        <f>IFERROR(__xludf.DUMMYFUNCTION("""COMPUTED_VALUE"""),"network_profile")</f>
        <v>network_profile</v>
      </c>
      <c r="P210" s="258"/>
    </row>
    <row r="211">
      <c r="A211" s="257" t="str">
        <f>IFERROR(__xludf.DUMMYFUNCTION("""COMPUTED_VALUE"""),"availment_data_bundle_exp_date_past_90days")</f>
        <v>availment_data_bundle_exp_date_past_90days</v>
      </c>
      <c r="B211" s="258" t="str">
        <f>IFERROR(__xludf.DUMMYFUNCTION("""COMPUTED_VALUE"""),"Campaign History")</f>
        <v>Campaign History</v>
      </c>
      <c r="C211" s="258" t="str">
        <f>IFERROR(__xludf.DUMMYFUNCTION("""COMPUTED_VALUE"""),"Non-PII")</f>
        <v>Non-PII</v>
      </c>
      <c r="D211" s="258" t="str">
        <f>IFERROR(__xludf.DUMMYFUNCTION("""COMPUTED_VALUE"""),"Non-PII")</f>
        <v>Non-PII</v>
      </c>
      <c r="E211" s="258" t="str">
        <f>IFERROR(__xludf.DUMMYFUNCTION("""COMPUTED_VALUE"""),"Last data bundle expiration date in past 90 days. Format: YYYY-MM-DD")</f>
        <v>Last data bundle expiration date in past 90 days. Format: YYYY-MM-DD</v>
      </c>
      <c r="F211" s="258" t="str">
        <f>IFERROR(__xludf.DUMMYFUNCTION("""COMPUTED_VALUE"""),"Derived")</f>
        <v>Derived</v>
      </c>
      <c r="G211" s="258" t="str">
        <f>IFERROR(__xludf.DUMMYFUNCTION("""COMPUTED_VALUE"""),"timestamp")</f>
        <v>timestamp</v>
      </c>
      <c r="H211" s="258">
        <f>IFERROR(__xludf.DUMMYFUNCTION("""COMPUTED_VALUE"""),36706.33333)</f>
        <v>36706.33333</v>
      </c>
      <c r="I211" s="258" t="str">
        <f>IFERROR(__xludf.DUMMYFUNCTION("""COMPUTED_VALUE"""),"FVT")</f>
        <v>FVT</v>
      </c>
      <c r="J211" s="258" t="str">
        <f>IFERROR(__xludf.DUMMYFUNCTION("""COMPUTED_VALUE"""),"Daily")</f>
        <v>Daily</v>
      </c>
      <c r="K211" s="258" t="str">
        <f>IFERROR(__xludf.DUMMYFUNCTION("""COMPUTED_VALUE"""),"")</f>
        <v/>
      </c>
      <c r="L211" s="258" t="str">
        <f>IFERROR(__xludf.DUMMYFUNCTION("""COMPUTED_VALUE"""),"GHP-PREPAID, TM, PW")</f>
        <v>GHP-PREPAID, TM, PW</v>
      </c>
      <c r="M211" s="258" t="str">
        <f>IFERROR(__xludf.DUMMYFUNCTION("""COMPUTED_VALUE"""),"Consumer, EG, SG, IBG Traveler")</f>
        <v>Consumer, EG, SG, IBG Traveler</v>
      </c>
      <c r="N211" s="258" t="str">
        <f>IFERROR(__xludf.DUMMYFUNCTION("""COMPUTED_VALUE"""),"availment")</f>
        <v>availment</v>
      </c>
      <c r="O211" s="258" t="str">
        <f>IFERROR(__xludf.DUMMYFUNCTION("""COMPUTED_VALUE"""),"availment_profile")</f>
        <v>availment_profile</v>
      </c>
      <c r="P211" s="258"/>
    </row>
    <row r="212">
      <c r="A212" s="257" t="str">
        <f>IFERROR(__xludf.DUMMYFUNCTION("""COMPUTED_VALUE"""),"availment_data_latest_date_past_30days")</f>
        <v>availment_data_latest_date_past_30days</v>
      </c>
      <c r="B212" s="258" t="str">
        <f>IFERROR(__xludf.DUMMYFUNCTION("""COMPUTED_VALUE"""),"Campaign History")</f>
        <v>Campaign History</v>
      </c>
      <c r="C212" s="258" t="str">
        <f>IFERROR(__xludf.DUMMYFUNCTION("""COMPUTED_VALUE"""),"Non-PII")</f>
        <v>Non-PII</v>
      </c>
      <c r="D212" s="258" t="str">
        <f>IFERROR(__xludf.DUMMYFUNCTION("""COMPUTED_VALUE"""),"Non-PII")</f>
        <v>Non-PII</v>
      </c>
      <c r="E212" s="258" t="str">
        <f>IFERROR(__xludf.DUMMYFUNCTION("""COMPUTED_VALUE"""),"Latest date for data promo availed in past 30 days. Format: YYYY-MM-DD")</f>
        <v>Latest date for data promo availed in past 30 days. Format: YYYY-MM-DD</v>
      </c>
      <c r="F212" s="258" t="str">
        <f>IFERROR(__xludf.DUMMYFUNCTION("""COMPUTED_VALUE"""),"Derived")</f>
        <v>Derived</v>
      </c>
      <c r="G212" s="258" t="str">
        <f>IFERROR(__xludf.DUMMYFUNCTION("""COMPUTED_VALUE"""),"timestamp")</f>
        <v>timestamp</v>
      </c>
      <c r="H212" s="258">
        <f>IFERROR(__xludf.DUMMYFUNCTION("""COMPUTED_VALUE"""),40131.52979)</f>
        <v>40131.52979</v>
      </c>
      <c r="I212" s="258" t="str">
        <f>IFERROR(__xludf.DUMMYFUNCTION("""COMPUTED_VALUE"""),"FVT")</f>
        <v>FVT</v>
      </c>
      <c r="J212" s="258" t="str">
        <f>IFERROR(__xludf.DUMMYFUNCTION("""COMPUTED_VALUE"""),"Daily")</f>
        <v>Daily</v>
      </c>
      <c r="K212" s="258" t="str">
        <f>IFERROR(__xludf.DUMMYFUNCTION("""COMPUTED_VALUE"""),"")</f>
        <v/>
      </c>
      <c r="L212" s="258" t="str">
        <f>IFERROR(__xludf.DUMMYFUNCTION("""COMPUTED_VALUE"""),"GHP-PREPAID, TM, PW")</f>
        <v>GHP-PREPAID, TM, PW</v>
      </c>
      <c r="M212" s="258" t="str">
        <f>IFERROR(__xludf.DUMMYFUNCTION("""COMPUTED_VALUE"""),"Consumer, EG, SG, IBG Traveler")</f>
        <v>Consumer, EG, SG, IBG Traveler</v>
      </c>
      <c r="N212" s="258" t="str">
        <f>IFERROR(__xludf.DUMMYFUNCTION("""COMPUTED_VALUE"""),"availment")</f>
        <v>availment</v>
      </c>
      <c r="O212" s="258" t="str">
        <f>IFERROR(__xludf.DUMMYFUNCTION("""COMPUTED_VALUE"""),"availment_profile")</f>
        <v>availment_profile</v>
      </c>
      <c r="P212" s="258"/>
    </row>
    <row r="213">
      <c r="A213" s="257" t="str">
        <f>IFERROR(__xludf.DUMMYFUNCTION("""COMPUTED_VALUE"""),"availment_data_count_past_30days")</f>
        <v>availment_data_count_past_30days</v>
      </c>
      <c r="B213" s="258" t="str">
        <f>IFERROR(__xludf.DUMMYFUNCTION("""COMPUTED_VALUE"""),"Campaign History")</f>
        <v>Campaign History</v>
      </c>
      <c r="C213" s="258" t="str">
        <f>IFERROR(__xludf.DUMMYFUNCTION("""COMPUTED_VALUE"""),"Non-PII")</f>
        <v>Non-PII</v>
      </c>
      <c r="D213" s="258" t="str">
        <f>IFERROR(__xludf.DUMMYFUNCTION("""COMPUTED_VALUE"""),"Non-PII")</f>
        <v>Non-PII</v>
      </c>
      <c r="E213" s="258" t="str">
        <f>IFERROR(__xludf.DUMMYFUNCTION("""COMPUTED_VALUE"""),"Total data promo registration count in past 30 days")</f>
        <v>Total data promo registration count in past 30 days</v>
      </c>
      <c r="F213" s="258" t="str">
        <f>IFERROR(__xludf.DUMMYFUNCTION("""COMPUTED_VALUE"""),"Derived")</f>
        <v>Derived</v>
      </c>
      <c r="G213" s="258" t="str">
        <f>IFERROR(__xludf.DUMMYFUNCTION("""COMPUTED_VALUE"""),"integer")</f>
        <v>integer</v>
      </c>
      <c r="H213" s="258">
        <f>IFERROR(__xludf.DUMMYFUNCTION("""COMPUTED_VALUE"""),20.0)</f>
        <v>20</v>
      </c>
      <c r="I213" s="258" t="str">
        <f>IFERROR(__xludf.DUMMYFUNCTION("""COMPUTED_VALUE"""),"FVT")</f>
        <v>FVT</v>
      </c>
      <c r="J213" s="258" t="str">
        <f>IFERROR(__xludf.DUMMYFUNCTION("""COMPUTED_VALUE"""),"Daily")</f>
        <v>Daily</v>
      </c>
      <c r="K213" s="258" t="str">
        <f>IFERROR(__xludf.DUMMYFUNCTION("""COMPUTED_VALUE"""),"")</f>
        <v/>
      </c>
      <c r="L213" s="258" t="str">
        <f>IFERROR(__xludf.DUMMYFUNCTION("""COMPUTED_VALUE"""),"GHP-PREPAID, TM, PW")</f>
        <v>GHP-PREPAID, TM, PW</v>
      </c>
      <c r="M213" s="258" t="str">
        <f>IFERROR(__xludf.DUMMYFUNCTION("""COMPUTED_VALUE"""),"Consumer, EG, SG, IBG Traveler")</f>
        <v>Consumer, EG, SG, IBG Traveler</v>
      </c>
      <c r="N213" s="258" t="str">
        <f>IFERROR(__xludf.DUMMYFUNCTION("""COMPUTED_VALUE"""),"availment")</f>
        <v>availment</v>
      </c>
      <c r="O213" s="258" t="str">
        <f>IFERROR(__xludf.DUMMYFUNCTION("""COMPUTED_VALUE"""),"availment_profile")</f>
        <v>availment_profile</v>
      </c>
      <c r="P213" s="258"/>
    </row>
    <row r="214">
      <c r="A214" s="257" t="str">
        <f>IFERROR(__xludf.DUMMYFUNCTION("""COMPUTED_VALUE"""),"availment_data_count_past_120days")</f>
        <v>availment_data_count_past_120days</v>
      </c>
      <c r="B214" s="258" t="str">
        <f>IFERROR(__xludf.DUMMYFUNCTION("""COMPUTED_VALUE"""),"Campaign History")</f>
        <v>Campaign History</v>
      </c>
      <c r="C214" s="258" t="str">
        <f>IFERROR(__xludf.DUMMYFUNCTION("""COMPUTED_VALUE"""),"Non-PII")</f>
        <v>Non-PII</v>
      </c>
      <c r="D214" s="258" t="str">
        <f>IFERROR(__xludf.DUMMYFUNCTION("""COMPUTED_VALUE"""),"Non-PII")</f>
        <v>Non-PII</v>
      </c>
      <c r="E214" s="258" t="str">
        <f>IFERROR(__xludf.DUMMYFUNCTION("""COMPUTED_VALUE"""),"Total data promo registration count in past 120 days prior to past 30 days")</f>
        <v>Total data promo registration count in past 120 days prior to past 30 days</v>
      </c>
      <c r="F214" s="258" t="str">
        <f>IFERROR(__xludf.DUMMYFUNCTION("""COMPUTED_VALUE"""),"Derived")</f>
        <v>Derived</v>
      </c>
      <c r="G214" s="258" t="str">
        <f>IFERROR(__xludf.DUMMYFUNCTION("""COMPUTED_VALUE"""),"integer")</f>
        <v>integer</v>
      </c>
      <c r="H214" s="258">
        <f>IFERROR(__xludf.DUMMYFUNCTION("""COMPUTED_VALUE"""),36.0)</f>
        <v>36</v>
      </c>
      <c r="I214" s="258" t="str">
        <f>IFERROR(__xludf.DUMMYFUNCTION("""COMPUTED_VALUE"""),"FVT")</f>
        <v>FVT</v>
      </c>
      <c r="J214" s="258" t="str">
        <f>IFERROR(__xludf.DUMMYFUNCTION("""COMPUTED_VALUE"""),"Daily")</f>
        <v>Daily</v>
      </c>
      <c r="K214" s="258" t="str">
        <f>IFERROR(__xludf.DUMMYFUNCTION("""COMPUTED_VALUE"""),"")</f>
        <v/>
      </c>
      <c r="L214" s="258" t="str">
        <f>IFERROR(__xludf.DUMMYFUNCTION("""COMPUTED_VALUE"""),"GHP-PREPAID, TM, PW")</f>
        <v>GHP-PREPAID, TM, PW</v>
      </c>
      <c r="M214" s="258" t="str">
        <f>IFERROR(__xludf.DUMMYFUNCTION("""COMPUTED_VALUE"""),"Consumer, EG, SG, IBG Traveler")</f>
        <v>Consumer, EG, SG, IBG Traveler</v>
      </c>
      <c r="N214" s="258" t="str">
        <f>IFERROR(__xludf.DUMMYFUNCTION("""COMPUTED_VALUE"""),"availment")</f>
        <v>availment</v>
      </c>
      <c r="O214" s="258" t="str">
        <f>IFERROR(__xludf.DUMMYFUNCTION("""COMPUTED_VALUE"""),"availment_profile")</f>
        <v>availment_profile</v>
      </c>
      <c r="P214" s="258"/>
    </row>
    <row r="215">
      <c r="A215" s="257" t="str">
        <f>IFERROR(__xludf.DUMMYFUNCTION("""COMPUTED_VALUE"""),"reload_2nd_max_past_120days")</f>
        <v>reload_2nd_max_past_120days</v>
      </c>
      <c r="B215" s="258" t="str">
        <f>IFERROR(__xludf.DUMMYFUNCTION("""COMPUTED_VALUE"""),"Behavioral")</f>
        <v>Behavioral</v>
      </c>
      <c r="C215" s="258" t="str">
        <f>IFERROR(__xludf.DUMMYFUNCTION("""COMPUTED_VALUE"""),"Non-PII")</f>
        <v>Non-PII</v>
      </c>
      <c r="D215" s="258" t="str">
        <f>IFERROR(__xludf.DUMMYFUNCTION("""COMPUTED_VALUE"""),"Non-PII")</f>
        <v>Non-PII</v>
      </c>
      <c r="E215" s="258" t="str">
        <f>IFERROR(__xludf.DUMMYFUNCTION("""COMPUTED_VALUE"""),"No. of days between current date and latest topup date")</f>
        <v>No. of days between current date and latest topup date</v>
      </c>
      <c r="F215" s="258" t="str">
        <f>IFERROR(__xludf.DUMMYFUNCTION("""COMPUTED_VALUE"""),"Derived")</f>
        <v>Derived</v>
      </c>
      <c r="G215" s="258" t="str">
        <f>IFERROR(__xludf.DUMMYFUNCTION("""COMPUTED_VALUE"""),"numeric(21,2)")</f>
        <v>numeric(21,2)</v>
      </c>
      <c r="H215" s="258">
        <f>IFERROR(__xludf.DUMMYFUNCTION("""COMPUTED_VALUE"""),50.0)</f>
        <v>50</v>
      </c>
      <c r="I215" s="258" t="str">
        <f>IFERROR(__xludf.DUMMYFUNCTION("""COMPUTED_VALUE"""),"FVT")</f>
        <v>FVT</v>
      </c>
      <c r="J215" s="258" t="str">
        <f>IFERROR(__xludf.DUMMYFUNCTION("""COMPUTED_VALUE"""),"Daily")</f>
        <v>Daily</v>
      </c>
      <c r="K215" s="258" t="str">
        <f>IFERROR(__xludf.DUMMYFUNCTION("""COMPUTED_VALUE"""),"")</f>
        <v/>
      </c>
      <c r="L215" s="258" t="str">
        <f>IFERROR(__xludf.DUMMYFUNCTION("""COMPUTED_VALUE"""),"GHP-PREPAID, TM, PW")</f>
        <v>GHP-PREPAID, TM, PW</v>
      </c>
      <c r="M215" s="258" t="str">
        <f>IFERROR(__xludf.DUMMYFUNCTION("""COMPUTED_VALUE"""),"Consumer, EG, SG, IBG Traveler")</f>
        <v>Consumer, EG, SG, IBG Traveler</v>
      </c>
      <c r="N215" s="258" t="str">
        <f>IFERROR(__xludf.DUMMYFUNCTION("""COMPUTED_VALUE"""),"reload")</f>
        <v>reload</v>
      </c>
      <c r="O215" s="258" t="str">
        <f>IFERROR(__xludf.DUMMYFUNCTION("""COMPUTED_VALUE"""),"reload_profile")</f>
        <v>reload_profile</v>
      </c>
      <c r="P215" s="258"/>
    </row>
    <row r="216">
      <c r="A216" s="257" t="str">
        <f>IFERROR(__xludf.DUMMYFUNCTION("""COMPUTED_VALUE"""),"bb_app_indicator")</f>
        <v>bb_app_indicator</v>
      </c>
      <c r="B216" s="258" t="str">
        <f>IFERROR(__xludf.DUMMYFUNCTION("""COMPUTED_VALUE"""),"Behavioral")</f>
        <v>Behavioral</v>
      </c>
      <c r="C216" s="258" t="str">
        <f>IFERROR(__xludf.DUMMYFUNCTION("""COMPUTED_VALUE"""),"Non-PII")</f>
        <v>Non-PII</v>
      </c>
      <c r="D216" s="258" t="str">
        <f>IFERROR(__xludf.DUMMYFUNCTION("""COMPUTED_VALUE"""),"Non-PII")</f>
        <v>Non-PII</v>
      </c>
      <c r="E216" s="258" t="str">
        <f>IFERROR(__xludf.DUMMYFUNCTION("""COMPUTED_VALUE"""),"Tagging if subscriber downloaded the broadband app and registered their number.")</f>
        <v>Tagging if subscriber downloaded the broadband app and registered their number.</v>
      </c>
      <c r="F216" s="258" t="str">
        <f>IFERROR(__xludf.DUMMYFUNCTION("""COMPUTED_VALUE"""),"Derived")</f>
        <v>Derived</v>
      </c>
      <c r="G216" s="258" t="str">
        <f>IFERROR(__xludf.DUMMYFUNCTION("""COMPUTED_VALUE"""),"boolean")</f>
        <v>boolean</v>
      </c>
      <c r="H216" s="258" t="b">
        <f>IFERROR(__xludf.DUMMYFUNCTION("""COMPUTED_VALUE"""),TRUE)</f>
        <v>1</v>
      </c>
      <c r="I216" s="258" t="str">
        <f>IFERROR(__xludf.DUMMYFUNCTION("""COMPUTED_VALUE"""),"BB")</f>
        <v>BB</v>
      </c>
      <c r="J216" s="258" t="str">
        <f>IFERROR(__xludf.DUMMYFUNCTION("""COMPUTED_VALUE"""),"Daily")</f>
        <v>Daily</v>
      </c>
      <c r="K216" s="258" t="str">
        <f>IFERROR(__xludf.DUMMYFUNCTION("""COMPUTED_VALUE"""),"")</f>
        <v/>
      </c>
      <c r="L216" s="258" t="str">
        <f>IFERROR(__xludf.DUMMYFUNCTION("""COMPUTED_VALUE"""),"WIRELINE, GLOBE")</f>
        <v>WIRELINE, GLOBE</v>
      </c>
      <c r="M216" s="258" t="str">
        <f>IFERROR(__xludf.DUMMYFUNCTION("""COMPUTED_VALUE"""),"Consumer, EG, SG")</f>
        <v>Consumer, EG, SG</v>
      </c>
      <c r="N216" s="258" t="str">
        <f>IFERROR(__xludf.DUMMYFUNCTION("""COMPUTED_VALUE"""),"customer")</f>
        <v>customer</v>
      </c>
      <c r="O216" s="258" t="str">
        <f>IFERROR(__xludf.DUMMYFUNCTION("""COMPUTED_VALUE"""),"customer_profile")</f>
        <v>customer_profile</v>
      </c>
      <c r="P216" s="258"/>
    </row>
    <row r="217">
      <c r="A217" s="257" t="str">
        <f>IFERROR(__xludf.DUMMYFUNCTION("""COMPUTED_VALUE"""),"reload_most_frequent_sharer_msisdn_value")</f>
        <v>reload_most_frequent_sharer_msisdn_value</v>
      </c>
      <c r="B217" s="258" t="str">
        <f>IFERROR(__xludf.DUMMYFUNCTION("""COMPUTED_VALUE"""),"Customer PII")</f>
        <v>Customer PII</v>
      </c>
      <c r="C217" s="258" t="str">
        <f>IFERROR(__xludf.DUMMYFUNCTION("""COMPUTED_VALUE"""),"Non-PII")</f>
        <v>Non-PII</v>
      </c>
      <c r="D217" s="258" t="str">
        <f>IFERROR(__xludf.DUMMYFUNCTION("""COMPUTED_VALUE"""),"Non-PII")</f>
        <v>Non-PII</v>
      </c>
      <c r="E217" s="258" t="str">
        <f>IFERROR(__xludf.DUMMYFUNCTION("""COMPUTED_VALUE"""),"A-number who is often shared a load to B-number")</f>
        <v>A-number who is often shared a load to B-number</v>
      </c>
      <c r="F217" s="258" t="str">
        <f>IFERROR(__xludf.DUMMYFUNCTION("""COMPUTED_VALUE"""),"Derived")</f>
        <v>Derived</v>
      </c>
      <c r="G217" s="258" t="str">
        <f>IFERROR(__xludf.DUMMYFUNCTION("""COMPUTED_VALUE"""),"varchar(1000)")</f>
        <v>varchar(1000)</v>
      </c>
      <c r="H217" s="258">
        <f>IFERROR(__xludf.DUMMYFUNCTION("""COMPUTED_VALUE"""),9.05E9)</f>
        <v>9050000000</v>
      </c>
      <c r="I217" s="258" t="str">
        <f>IFERROR(__xludf.DUMMYFUNCTION("""COMPUTED_VALUE"""),"BB")</f>
        <v>BB</v>
      </c>
      <c r="J217" s="258" t="str">
        <f>IFERROR(__xludf.DUMMYFUNCTION("""COMPUTED_VALUE"""),"Daily")</f>
        <v>Daily</v>
      </c>
      <c r="K217" s="258" t="str">
        <f>IFERROR(__xludf.DUMMYFUNCTION("""COMPUTED_VALUE"""),"")</f>
        <v/>
      </c>
      <c r="L217" s="258" t="str">
        <f>IFERROR(__xludf.DUMMYFUNCTION("""COMPUTED_VALUE"""),"GHP-PREPAID, TM, PW")</f>
        <v>GHP-PREPAID, TM, PW</v>
      </c>
      <c r="M217" s="258" t="str">
        <f>IFERROR(__xludf.DUMMYFUNCTION("""COMPUTED_VALUE"""),"Consumer, EG, SG, IBG Traveler")</f>
        <v>Consumer, EG, SG, IBG Traveler</v>
      </c>
      <c r="N217" s="258" t="str">
        <f>IFERROR(__xludf.DUMMYFUNCTION("""COMPUTED_VALUE"""),"reload")</f>
        <v>reload</v>
      </c>
      <c r="O217" s="258" t="str">
        <f>IFERROR(__xludf.DUMMYFUNCTION("""COMPUTED_VALUE"""),"reload_profile")</f>
        <v>reload_profile</v>
      </c>
      <c r="P217" s="258"/>
    </row>
    <row r="218">
      <c r="A218" s="257" t="str">
        <f>IFERROR(__xludf.DUMMYFUNCTION("""COMPUTED_VALUE"""),"reload_most_frequent_sharer_subscriber_id")</f>
        <v>reload_most_frequent_sharer_subscriber_id</v>
      </c>
      <c r="B218" s="258" t="str">
        <f>IFERROR(__xludf.DUMMYFUNCTION("""COMPUTED_VALUE"""),"Globe ID")</f>
        <v>Globe ID</v>
      </c>
      <c r="C218" s="258" t="str">
        <f>IFERROR(__xludf.DUMMYFUNCTION("""COMPUTED_VALUE"""),"Non-PII")</f>
        <v>Non-PII</v>
      </c>
      <c r="D218" s="258" t="str">
        <f>IFERROR(__xludf.DUMMYFUNCTION("""COMPUTED_VALUE"""),"Non-PII")</f>
        <v>Non-PII</v>
      </c>
      <c r="E218" s="258" t="str">
        <f>IFERROR(__xludf.DUMMYFUNCTION("""COMPUTED_VALUE"""),"Subscriber ID assigned to A-number")</f>
        <v>Subscriber ID assigned to A-number</v>
      </c>
      <c r="F218" s="258" t="str">
        <f>IFERROR(__xludf.DUMMYFUNCTION("""COMPUTED_VALUE"""),"Derived")</f>
        <v>Derived</v>
      </c>
      <c r="G218" s="258" t="str">
        <f>IFERROR(__xludf.DUMMYFUNCTION("""COMPUTED_VALUE"""),"varchar(1000)")</f>
        <v>varchar(1000)</v>
      </c>
      <c r="H218" s="258">
        <f>IFERROR(__xludf.DUMMYFUNCTION("""COMPUTED_VALUE"""),6.49E8)</f>
        <v>649000000</v>
      </c>
      <c r="I218" s="258" t="str">
        <f>IFERROR(__xludf.DUMMYFUNCTION("""COMPUTED_VALUE"""),"BB")</f>
        <v>BB</v>
      </c>
      <c r="J218" s="258" t="str">
        <f>IFERROR(__xludf.DUMMYFUNCTION("""COMPUTED_VALUE"""),"Daily")</f>
        <v>Daily</v>
      </c>
      <c r="K218" s="258" t="str">
        <f>IFERROR(__xludf.DUMMYFUNCTION("""COMPUTED_VALUE"""),"")</f>
        <v/>
      </c>
      <c r="L218" s="258" t="str">
        <f>IFERROR(__xludf.DUMMYFUNCTION("""COMPUTED_VALUE"""),"GHP-PREPAID, TM, PW")</f>
        <v>GHP-PREPAID, TM, PW</v>
      </c>
      <c r="M218" s="258" t="str">
        <f>IFERROR(__xludf.DUMMYFUNCTION("""COMPUTED_VALUE"""),"Consumer, EG, SG, IBG Traveler")</f>
        <v>Consumer, EG, SG, IBG Traveler</v>
      </c>
      <c r="N218" s="258" t="str">
        <f>IFERROR(__xludf.DUMMYFUNCTION("""COMPUTED_VALUE"""),"reload")</f>
        <v>reload</v>
      </c>
      <c r="O218" s="258" t="str">
        <f>IFERROR(__xludf.DUMMYFUNCTION("""COMPUTED_VALUE"""),"reload_profile")</f>
        <v>reload_profile</v>
      </c>
      <c r="P218" s="258"/>
    </row>
    <row r="219">
      <c r="A219" s="257" t="str">
        <f>IFERROR(__xludf.DUMMYFUNCTION("""COMPUTED_VALUE"""),"active_subscriber_1wk_indicator")</f>
        <v>active_subscriber_1wk_indicator</v>
      </c>
      <c r="B219" s="258" t="str">
        <f>IFERROR(__xludf.DUMMYFUNCTION("""COMPUTED_VALUE"""),"Behavioral")</f>
        <v>Behavioral</v>
      </c>
      <c r="C219" s="258" t="str">
        <f>IFERROR(__xludf.DUMMYFUNCTION("""COMPUTED_VALUE"""),"Non-PII")</f>
        <v>Non-PII</v>
      </c>
      <c r="D219" s="258" t="str">
        <f>IFERROR(__xludf.DUMMYFUNCTION("""COMPUTED_VALUE"""),"Non-PII")</f>
        <v>Non-PII</v>
      </c>
      <c r="E219" s="258" t="str">
        <f>IFERROR(__xludf.DUMMYFUNCTION("""COMPUTED_VALUE"""),"Indicator if a subscriber has activity for 1 week based from usage and reload activities")</f>
        <v>Indicator if a subscriber has activity for 1 week based from usage and reload activities</v>
      </c>
      <c r="F219" s="258" t="str">
        <f>IFERROR(__xludf.DUMMYFUNCTION("""COMPUTED_VALUE"""),"Derived")</f>
        <v>Derived</v>
      </c>
      <c r="G219" s="258" t="str">
        <f>IFERROR(__xludf.DUMMYFUNCTION("""COMPUTED_VALUE"""),"boolean")</f>
        <v>boolean</v>
      </c>
      <c r="H219" s="258" t="b">
        <f>IFERROR(__xludf.DUMMYFUNCTION("""COMPUTED_VALUE"""),TRUE)</f>
        <v>1</v>
      </c>
      <c r="I219" s="258" t="str">
        <f>IFERROR(__xludf.DUMMYFUNCTION("""COMPUTED_VALUE"""),"EDO-UUP")</f>
        <v>EDO-UUP</v>
      </c>
      <c r="J219" s="258" t="str">
        <f>IFERROR(__xludf.DUMMYFUNCTION("""COMPUTED_VALUE"""),"Daily")</f>
        <v>Daily</v>
      </c>
      <c r="K219" s="258" t="str">
        <f>IFERROR(__xludf.DUMMYFUNCTION("""COMPUTED_VALUE"""),"")</f>
        <v/>
      </c>
      <c r="L219" s="258" t="str">
        <f>IFERROR(__xludf.DUMMYFUNCTION("""COMPUTED_VALUE"""),"GHP, GHP-PREPAID, TM, PW, GOMO, WIRELINE")</f>
        <v>GHP, GHP-PREPAID, TM, PW, GOMO, WIRELINE</v>
      </c>
      <c r="M219" s="258" t="str">
        <f>IFERROR(__xludf.DUMMYFUNCTION("""COMPUTED_VALUE"""),"Consumer, EG, SG, In house, IBG Traveler")</f>
        <v>Consumer, EG, SG, In house, IBG Traveler</v>
      </c>
      <c r="N219" s="258" t="str">
        <f>IFERROR(__xludf.DUMMYFUNCTION("""COMPUTED_VALUE"""),"usage")</f>
        <v>usage</v>
      </c>
      <c r="O219" s="258" t="str">
        <f>IFERROR(__xludf.DUMMYFUNCTION("""COMPUTED_VALUE"""),"usage_profile")</f>
        <v>usage_profile</v>
      </c>
      <c r="P219" s="258"/>
    </row>
    <row r="220">
      <c r="A220" s="257" t="str">
        <f>IFERROR(__xludf.DUMMYFUNCTION("""COMPUTED_VALUE"""),"reload_max_daily_sum_past_30days")</f>
        <v>reload_max_daily_sum_past_30days</v>
      </c>
      <c r="B220" s="258" t="str">
        <f>IFERROR(__xludf.DUMMYFUNCTION("""COMPUTED_VALUE"""),"Behavioral")</f>
        <v>Behavioral</v>
      </c>
      <c r="C220" s="258" t="str">
        <f>IFERROR(__xludf.DUMMYFUNCTION("""COMPUTED_VALUE"""),"Non-PII")</f>
        <v>Non-PII</v>
      </c>
      <c r="D220" s="258" t="str">
        <f>IFERROR(__xludf.DUMMYFUNCTION("""COMPUTED_VALUE"""),"Non-PII")</f>
        <v>Non-PII</v>
      </c>
      <c r="E220" s="258" t="str">
        <f>IFERROR(__xludf.DUMMYFUNCTION("""COMPUTED_VALUE"""),"The maximum sum of daily top-up amount availed by the subscriber for the past 30 days prior to past 30 days.")</f>
        <v>The maximum sum of daily top-up amount availed by the subscriber for the past 30 days prior to past 30 days.</v>
      </c>
      <c r="F220" s="258" t="str">
        <f>IFERROR(__xludf.DUMMYFUNCTION("""COMPUTED_VALUE"""),"Derived")</f>
        <v>Derived</v>
      </c>
      <c r="G220" s="258" t="str">
        <f>IFERROR(__xludf.DUMMYFUNCTION("""COMPUTED_VALUE"""),"numeric(21,2)")</f>
        <v>numeric(21,2)</v>
      </c>
      <c r="H220" s="258">
        <f>IFERROR(__xludf.DUMMYFUNCTION("""COMPUTED_VALUE"""),65.0)</f>
        <v>65</v>
      </c>
      <c r="I220" s="258" t="str">
        <f>IFERROR(__xludf.DUMMYFUNCTION("""COMPUTED_VALUE"""),"FVT")</f>
        <v>FVT</v>
      </c>
      <c r="J220" s="258" t="str">
        <f>IFERROR(__xludf.DUMMYFUNCTION("""COMPUTED_VALUE"""),"Daily")</f>
        <v>Daily</v>
      </c>
      <c r="K220" s="258" t="str">
        <f>IFERROR(__xludf.DUMMYFUNCTION("""COMPUTED_VALUE"""),"")</f>
        <v/>
      </c>
      <c r="L220" s="258" t="str">
        <f>IFERROR(__xludf.DUMMYFUNCTION("""COMPUTED_VALUE"""),"GHP-PREPAID, TM, PW")</f>
        <v>GHP-PREPAID, TM, PW</v>
      </c>
      <c r="M220" s="258" t="str">
        <f>IFERROR(__xludf.DUMMYFUNCTION("""COMPUTED_VALUE"""),"Consumer, EG, SG, IBG Traveler")</f>
        <v>Consumer, EG, SG, IBG Traveler</v>
      </c>
      <c r="N220" s="258" t="str">
        <f>IFERROR(__xludf.DUMMYFUNCTION("""COMPUTED_VALUE"""),"reload")</f>
        <v>reload</v>
      </c>
      <c r="O220" s="258" t="str">
        <f>IFERROR(__xludf.DUMMYFUNCTION("""COMPUTED_VALUE"""),"reload_profile")</f>
        <v>reload_profile</v>
      </c>
      <c r="P220" s="258"/>
    </row>
    <row r="221">
      <c r="A221" s="257" t="str">
        <f>IFERROR(__xludf.DUMMYFUNCTION("""COMPUTED_VALUE"""),"reload_max_denom_past_30days")</f>
        <v>reload_max_denom_past_30days</v>
      </c>
      <c r="B221" s="258" t="str">
        <f>IFERROR(__xludf.DUMMYFUNCTION("""COMPUTED_VALUE"""),"Behavioral")</f>
        <v>Behavioral</v>
      </c>
      <c r="C221" s="258" t="str">
        <f>IFERROR(__xludf.DUMMYFUNCTION("""COMPUTED_VALUE"""),"Non-PII")</f>
        <v>Non-PII</v>
      </c>
      <c r="D221" s="258" t="str">
        <f>IFERROR(__xludf.DUMMYFUNCTION("""COMPUTED_VALUE"""),"Non-PII")</f>
        <v>Non-PII</v>
      </c>
      <c r="E221" s="258" t="str">
        <f>IFERROR(__xludf.DUMMYFUNCTION("""COMPUTED_VALUE"""),"Maximum top-up denominations for the past 30 days")</f>
        <v>Maximum top-up denominations for the past 30 days</v>
      </c>
      <c r="F221" s="258" t="str">
        <f>IFERROR(__xludf.DUMMYFUNCTION("""COMPUTED_VALUE"""),"Derived")</f>
        <v>Derived</v>
      </c>
      <c r="G221" s="258" t="str">
        <f>IFERROR(__xludf.DUMMYFUNCTION("""COMPUTED_VALUE"""),"numeric(21,2)")</f>
        <v>numeric(21,2)</v>
      </c>
      <c r="H221" s="258">
        <f>IFERROR(__xludf.DUMMYFUNCTION("""COMPUTED_VALUE"""),55.0)</f>
        <v>55</v>
      </c>
      <c r="I221" s="258" t="str">
        <f>IFERROR(__xludf.DUMMYFUNCTION("""COMPUTED_VALUE"""),"FVT")</f>
        <v>FVT</v>
      </c>
      <c r="J221" s="258" t="str">
        <f>IFERROR(__xludf.DUMMYFUNCTION("""COMPUTED_VALUE"""),"Daily")</f>
        <v>Daily</v>
      </c>
      <c r="K221" s="258" t="str">
        <f>IFERROR(__xludf.DUMMYFUNCTION("""COMPUTED_VALUE"""),"")</f>
        <v/>
      </c>
      <c r="L221" s="258" t="str">
        <f>IFERROR(__xludf.DUMMYFUNCTION("""COMPUTED_VALUE"""),"GHP-PREPAID, TM, PW")</f>
        <v>GHP-PREPAID, TM, PW</v>
      </c>
      <c r="M221" s="258" t="str">
        <f>IFERROR(__xludf.DUMMYFUNCTION("""COMPUTED_VALUE"""),"Consumer, EG, SG, IBG Traveler")</f>
        <v>Consumer, EG, SG, IBG Traveler</v>
      </c>
      <c r="N221" s="258" t="str">
        <f>IFERROR(__xludf.DUMMYFUNCTION("""COMPUTED_VALUE"""),"reload")</f>
        <v>reload</v>
      </c>
      <c r="O221" s="258" t="str">
        <f>IFERROR(__xludf.DUMMYFUNCTION("""COMPUTED_VALUE"""),"reload_profile")</f>
        <v>reload_profile</v>
      </c>
      <c r="P221" s="258"/>
    </row>
    <row r="222">
      <c r="A222" s="257" t="str">
        <f>IFERROR(__xludf.DUMMYFUNCTION("""COMPUTED_VALUE"""),"remaining_financial_account_credit_limit")</f>
        <v>remaining_financial_account_credit_limit</v>
      </c>
      <c r="B222" s="258" t="str">
        <f>IFERROR(__xludf.DUMMYFUNCTION("""COMPUTED_VALUE"""),"Customer PII")</f>
        <v>Customer PII</v>
      </c>
      <c r="C222" s="258" t="str">
        <f>IFERROR(__xludf.DUMMYFUNCTION("""COMPUTED_VALUE"""),"Non-PII")</f>
        <v>Non-PII</v>
      </c>
      <c r="D222" s="258" t="str">
        <f>IFERROR(__xludf.DUMMYFUNCTION("""COMPUTED_VALUE"""),"Non-PII")</f>
        <v>Non-PII</v>
      </c>
      <c r="E222" s="258" t="str">
        <f>IFERROR(__xludf.DUMMYFUNCTION("""COMPUTED_VALUE"""),"Subscriber's remaining FACL (financial account credit limit) after deducting recurring fees (RC)")</f>
        <v>Subscriber's remaining FACL (financial account credit limit) after deducting recurring fees (RC)</v>
      </c>
      <c r="F222" s="258" t="str">
        <f>IFERROR(__xludf.DUMMYFUNCTION("""COMPUTED_VALUE"""),"Derived")</f>
        <v>Derived</v>
      </c>
      <c r="G222" s="258" t="str">
        <f>IFERROR(__xludf.DUMMYFUNCTION("""COMPUTED_VALUE"""),"numeric(21,2)")</f>
        <v>numeric(21,2)</v>
      </c>
      <c r="H222" s="258">
        <f>IFERROR(__xludf.DUMMYFUNCTION("""COMPUTED_VALUE"""),19401.0)</f>
        <v>19401</v>
      </c>
      <c r="I222" s="258" t="str">
        <f>IFERROR(__xludf.DUMMYFUNCTION("""COMPUTED_VALUE"""),"FVT")</f>
        <v>FVT</v>
      </c>
      <c r="J222" s="258" t="str">
        <f>IFERROR(__xludf.DUMMYFUNCTION("""COMPUTED_VALUE"""),"Monthly")</f>
        <v>Monthly</v>
      </c>
      <c r="K222" s="258" t="str">
        <f>IFERROR(__xludf.DUMMYFUNCTION("""COMPUTED_VALUE"""),"")</f>
        <v/>
      </c>
      <c r="L222" s="258" t="str">
        <f>IFERROR(__xludf.DUMMYFUNCTION("""COMPUTED_VALUE"""),"GHP, WIRELINE")</f>
        <v>GHP, WIRELINE</v>
      </c>
      <c r="M222" s="258" t="str">
        <f>IFERROR(__xludf.DUMMYFUNCTION("""COMPUTED_VALUE"""),"Consumer, EG, SG, In house")</f>
        <v>Consumer, EG, SG, In house</v>
      </c>
      <c r="N222" s="258" t="str">
        <f>IFERROR(__xludf.DUMMYFUNCTION("""COMPUTED_VALUE"""),"revenue")</f>
        <v>revenue</v>
      </c>
      <c r="O222" s="258" t="str">
        <f>IFERROR(__xludf.DUMMYFUNCTION("""COMPUTED_VALUE"""),"revenue_profile")</f>
        <v>revenue_profile</v>
      </c>
      <c r="P222" s="258"/>
    </row>
    <row r="223">
      <c r="A223" s="257" t="str">
        <f>IFERROR(__xludf.DUMMYFUNCTION("""COMPUTED_VALUE"""),"historically_purchased_phone_indicator")</f>
        <v>historically_purchased_phone_indicator</v>
      </c>
      <c r="B223" s="258" t="str">
        <f>IFERROR(__xludf.DUMMYFUNCTION("""COMPUTED_VALUE"""),"Behavioral")</f>
        <v>Behavioral</v>
      </c>
      <c r="C223" s="258" t="str">
        <f>IFERROR(__xludf.DUMMYFUNCTION("""COMPUTED_VALUE"""),"Non-PII")</f>
        <v>Non-PII</v>
      </c>
      <c r="D223" s="258" t="str">
        <f>IFERROR(__xludf.DUMMYFUNCTION("""COMPUTED_VALUE"""),"Non-PII")</f>
        <v>Non-PII</v>
      </c>
      <c r="E223" s="258" t="str">
        <f>IFERROR(__xludf.DUMMYFUNCTION("""COMPUTED_VALUE"""),"Subscriber who availed postpaid plan with phone")</f>
        <v>Subscriber who availed postpaid plan with phone</v>
      </c>
      <c r="F223" s="258" t="str">
        <f>IFERROR(__xludf.DUMMYFUNCTION("""COMPUTED_VALUE"""),"Derived")</f>
        <v>Derived</v>
      </c>
      <c r="G223" s="258" t="str">
        <f>IFERROR(__xludf.DUMMYFUNCTION("""COMPUTED_VALUE"""),"boolean")</f>
        <v>boolean</v>
      </c>
      <c r="H223" s="258" t="b">
        <f>IFERROR(__xludf.DUMMYFUNCTION("""COMPUTED_VALUE"""),TRUE)</f>
        <v>1</v>
      </c>
      <c r="I223" s="258" t="str">
        <f>IFERROR(__xludf.DUMMYFUNCTION("""COMPUTED_VALUE"""),"FVT")</f>
        <v>FVT</v>
      </c>
      <c r="J223" s="258" t="str">
        <f>IFERROR(__xludf.DUMMYFUNCTION("""COMPUTED_VALUE"""),"Daily")</f>
        <v>Daily</v>
      </c>
      <c r="K223" s="258" t="str">
        <f>IFERROR(__xludf.DUMMYFUNCTION("""COMPUTED_VALUE"""),"")</f>
        <v/>
      </c>
      <c r="L223" s="258" t="str">
        <f>IFERROR(__xludf.DUMMYFUNCTION("""COMPUTED_VALUE"""),"GHP")</f>
        <v>GHP</v>
      </c>
      <c r="M223" s="258" t="str">
        <f>IFERROR(__xludf.DUMMYFUNCTION("""COMPUTED_VALUE"""),"Consumer, EG, SG, In house")</f>
        <v>Consumer, EG, SG, In house</v>
      </c>
      <c r="N223" s="258" t="str">
        <f>IFERROR(__xludf.DUMMYFUNCTION("""COMPUTED_VALUE"""),"contract")</f>
        <v>contract</v>
      </c>
      <c r="O223" s="258" t="str">
        <f>IFERROR(__xludf.DUMMYFUNCTION("""COMPUTED_VALUE"""),"contract_profile")</f>
        <v>contract_profile</v>
      </c>
      <c r="P223" s="258"/>
    </row>
    <row r="224">
      <c r="A224" s="257" t="str">
        <f>IFERROR(__xludf.DUMMYFUNCTION("""COMPUTED_VALUE"""),"monthly_excess_usage_fee_amount")</f>
        <v>monthly_excess_usage_fee_amount</v>
      </c>
      <c r="B224" s="258" t="str">
        <f>IFERROR(__xludf.DUMMYFUNCTION("""COMPUTED_VALUE"""),"Behavioral")</f>
        <v>Behavioral</v>
      </c>
      <c r="C224" s="258" t="str">
        <f>IFERROR(__xludf.DUMMYFUNCTION("""COMPUTED_VALUE"""),"Non-PII")</f>
        <v>Non-PII</v>
      </c>
      <c r="D224" s="258" t="str">
        <f>IFERROR(__xludf.DUMMYFUNCTION("""COMPUTED_VALUE"""),"Non-PII")</f>
        <v>Non-PII</v>
      </c>
      <c r="E224" s="258" t="str">
        <f>IFERROR(__xludf.DUMMYFUNCTION("""COMPUTED_VALUE"""),"Summary of MRF with Excess Usage")</f>
        <v>Summary of MRF with Excess Usage</v>
      </c>
      <c r="F224" s="258" t="str">
        <f>IFERROR(__xludf.DUMMYFUNCTION("""COMPUTED_VALUE"""),"Derived")</f>
        <v>Derived</v>
      </c>
      <c r="G224" s="258" t="str">
        <f>IFERROR(__xludf.DUMMYFUNCTION("""COMPUTED_VALUE"""),"numeric(21,2)")</f>
        <v>numeric(21,2)</v>
      </c>
      <c r="H224" s="258">
        <f>IFERROR(__xludf.DUMMYFUNCTION("""COMPUTED_VALUE"""),8374.31)</f>
        <v>8374.31</v>
      </c>
      <c r="I224" s="258" t="str">
        <f>IFERROR(__xludf.DUMMYFUNCTION("""COMPUTED_VALUE"""),"FVT")</f>
        <v>FVT</v>
      </c>
      <c r="J224" s="258" t="str">
        <f>IFERROR(__xludf.DUMMYFUNCTION("""COMPUTED_VALUE"""),"Monthly")</f>
        <v>Monthly</v>
      </c>
      <c r="K224" s="258" t="str">
        <f>IFERROR(__xludf.DUMMYFUNCTION("""COMPUTED_VALUE"""),"")</f>
        <v/>
      </c>
      <c r="L224" s="258" t="str">
        <f>IFERROR(__xludf.DUMMYFUNCTION("""COMPUTED_VALUE"""),"GHP, WIRELINE")</f>
        <v>GHP, WIRELINE</v>
      </c>
      <c r="M224" s="258" t="str">
        <f>IFERROR(__xludf.DUMMYFUNCTION("""COMPUTED_VALUE"""),"Consumer, EG, SG, In house")</f>
        <v>Consumer, EG, SG, In house</v>
      </c>
      <c r="N224" s="258" t="str">
        <f>IFERROR(__xludf.DUMMYFUNCTION("""COMPUTED_VALUE"""),"invoice")</f>
        <v>invoice</v>
      </c>
      <c r="O224" s="258" t="str">
        <f>IFERROR(__xludf.DUMMYFUNCTION("""COMPUTED_VALUE"""),"invoice_profile")</f>
        <v>invoice_profile</v>
      </c>
      <c r="P224" s="258"/>
    </row>
    <row r="225">
      <c r="A225" s="257" t="str">
        <f>IFERROR(__xludf.DUMMYFUNCTION("""COMPUTED_VALUE"""),"monthly_vas_UC")</f>
        <v>monthly_vas_UC</v>
      </c>
      <c r="B225" s="258" t="str">
        <f>IFERROR(__xludf.DUMMYFUNCTION("""COMPUTED_VALUE"""),"Profitability")</f>
        <v>Profitability</v>
      </c>
      <c r="C225" s="258" t="str">
        <f>IFERROR(__xludf.DUMMYFUNCTION("""COMPUTED_VALUE"""),"Non-PII")</f>
        <v>Non-PII</v>
      </c>
      <c r="D225" s="258" t="str">
        <f>IFERROR(__xludf.DUMMYFUNCTION("""COMPUTED_VALUE"""),"Non-PII")</f>
        <v>Non-PII</v>
      </c>
      <c r="E225" s="258" t="str">
        <f>IFERROR(__xludf.DUMMYFUNCTION("""COMPUTED_VALUE"""),"Summary of MRF with VAS usage charges")</f>
        <v>Summary of MRF with VAS usage charges</v>
      </c>
      <c r="F225" s="258" t="str">
        <f>IFERROR(__xludf.DUMMYFUNCTION("""COMPUTED_VALUE"""),"Derived")</f>
        <v>Derived</v>
      </c>
      <c r="G225" s="258" t="str">
        <f>IFERROR(__xludf.DUMMYFUNCTION("""COMPUTED_VALUE"""),"numeric(21,2)")</f>
        <v>numeric(21,2)</v>
      </c>
      <c r="H225" s="258">
        <f>IFERROR(__xludf.DUMMYFUNCTION("""COMPUTED_VALUE"""),1383.48)</f>
        <v>1383.48</v>
      </c>
      <c r="I225" s="258" t="str">
        <f>IFERROR(__xludf.DUMMYFUNCTION("""COMPUTED_VALUE"""),"FVT")</f>
        <v>FVT</v>
      </c>
      <c r="J225" s="258" t="str">
        <f>IFERROR(__xludf.DUMMYFUNCTION("""COMPUTED_VALUE"""),"Monthly")</f>
        <v>Monthly</v>
      </c>
      <c r="K225" s="258" t="str">
        <f>IFERROR(__xludf.DUMMYFUNCTION("""COMPUTED_VALUE"""),"")</f>
        <v/>
      </c>
      <c r="L225" s="258" t="str">
        <f>IFERROR(__xludf.DUMMYFUNCTION("""COMPUTED_VALUE"""),"GHP, WIRELINE")</f>
        <v>GHP, WIRELINE</v>
      </c>
      <c r="M225" s="258" t="str">
        <f>IFERROR(__xludf.DUMMYFUNCTION("""COMPUTED_VALUE"""),"Consumer, EG, SG, In house")</f>
        <v>Consumer, EG, SG, In house</v>
      </c>
      <c r="N225" s="258" t="str">
        <f>IFERROR(__xludf.DUMMYFUNCTION("""COMPUTED_VALUE"""),"invoice")</f>
        <v>invoice</v>
      </c>
      <c r="O225" s="258" t="str">
        <f>IFERROR(__xludf.DUMMYFUNCTION("""COMPUTED_VALUE"""),"invoice_profile")</f>
        <v>invoice_profile</v>
      </c>
      <c r="P225" s="258"/>
    </row>
    <row r="226">
      <c r="A226" s="257" t="str">
        <f>IFERROR(__xludf.DUMMYFUNCTION("""COMPUTED_VALUE"""),"monthly_roaming_UC")</f>
        <v>monthly_roaming_UC</v>
      </c>
      <c r="B226" s="258" t="str">
        <f>IFERROR(__xludf.DUMMYFUNCTION("""COMPUTED_VALUE"""),"Profitability")</f>
        <v>Profitability</v>
      </c>
      <c r="C226" s="258" t="str">
        <f>IFERROR(__xludf.DUMMYFUNCTION("""COMPUTED_VALUE"""),"Non-PII")</f>
        <v>Non-PII</v>
      </c>
      <c r="D226" s="258" t="str">
        <f>IFERROR(__xludf.DUMMYFUNCTION("""COMPUTED_VALUE"""),"Non-PII")</f>
        <v>Non-PII</v>
      </c>
      <c r="E226" s="258" t="str">
        <f>IFERROR(__xludf.DUMMYFUNCTION("""COMPUTED_VALUE"""),"Monthly roaming usage charges")</f>
        <v>Monthly roaming usage charges</v>
      </c>
      <c r="F226" s="258" t="str">
        <f>IFERROR(__xludf.DUMMYFUNCTION("""COMPUTED_VALUE"""),"Derived")</f>
        <v>Derived</v>
      </c>
      <c r="G226" s="258" t="str">
        <f>IFERROR(__xludf.DUMMYFUNCTION("""COMPUTED_VALUE"""),"numeric(21,2)")</f>
        <v>numeric(21,2)</v>
      </c>
      <c r="H226" s="258">
        <f>IFERROR(__xludf.DUMMYFUNCTION("""COMPUTED_VALUE"""),8374.31)</f>
        <v>8374.31</v>
      </c>
      <c r="I226" s="258" t="str">
        <f>IFERROR(__xludf.DUMMYFUNCTION("""COMPUTED_VALUE"""),"BB")</f>
        <v>BB</v>
      </c>
      <c r="J226" s="258" t="str">
        <f>IFERROR(__xludf.DUMMYFUNCTION("""COMPUTED_VALUE"""),"Monthly")</f>
        <v>Monthly</v>
      </c>
      <c r="K226" s="258" t="str">
        <f>IFERROR(__xludf.DUMMYFUNCTION("""COMPUTED_VALUE"""),"")</f>
        <v/>
      </c>
      <c r="L226" s="258" t="str">
        <f>IFERROR(__xludf.DUMMYFUNCTION("""COMPUTED_VALUE"""),"GHP")</f>
        <v>GHP</v>
      </c>
      <c r="M226" s="258" t="str">
        <f>IFERROR(__xludf.DUMMYFUNCTION("""COMPUTED_VALUE"""),"Consumer, EG, SG, In house")</f>
        <v>Consumer, EG, SG, In house</v>
      </c>
      <c r="N226" s="258" t="str">
        <f>IFERROR(__xludf.DUMMYFUNCTION("""COMPUTED_VALUE"""),"invoice")</f>
        <v>invoice</v>
      </c>
      <c r="O226" s="258" t="str">
        <f>IFERROR(__xludf.DUMMYFUNCTION("""COMPUTED_VALUE"""),"invoice_profile")</f>
        <v>invoice_profile</v>
      </c>
      <c r="P226" s="258"/>
    </row>
    <row r="227">
      <c r="A227" s="257" t="str">
        <f>IFERROR(__xludf.DUMMYFUNCTION("""COMPUTED_VALUE"""),"subscriber_first_expiry")</f>
        <v>subscriber_first_expiry</v>
      </c>
      <c r="B227" s="258" t="str">
        <f>IFERROR(__xludf.DUMMYFUNCTION("""COMPUTED_VALUE"""),"Globe ID")</f>
        <v>Globe ID</v>
      </c>
      <c r="C227" s="258" t="str">
        <f>IFERROR(__xludf.DUMMYFUNCTION("""COMPUTED_VALUE"""),"Non-PII")</f>
        <v>Non-PII</v>
      </c>
      <c r="D227" s="258" t="str">
        <f>IFERROR(__xludf.DUMMYFUNCTION("""COMPUTED_VALUE"""),"Non-PII")</f>
        <v>Non-PII</v>
      </c>
      <c r="E227" s="258" t="str">
        <f>IFERROR(__xludf.DUMMYFUNCTION("""COMPUTED_VALUE"""),"Subscriber's first expiry, governed by topup and/or promo subscription (promo expiry, topup exhaustion, topup expiry or topup date + 365 days)")</f>
        <v>Subscriber's first expiry, governed by topup and/or promo subscription (promo expiry, topup exhaustion, topup expiry or topup date + 365 days)</v>
      </c>
      <c r="F227" s="258" t="str">
        <f>IFERROR(__xludf.DUMMYFUNCTION("""COMPUTED_VALUE"""),"Direct Pull")</f>
        <v>Direct Pull</v>
      </c>
      <c r="G227" s="258" t="str">
        <f>IFERROR(__xludf.DUMMYFUNCTION("""COMPUTED_VALUE"""),"timestamp")</f>
        <v>timestamp</v>
      </c>
      <c r="H227" s="258">
        <f>IFERROR(__xludf.DUMMYFUNCTION("""COMPUTED_VALUE"""),40417.48922)</f>
        <v>40417.48922</v>
      </c>
      <c r="I227" s="258" t="str">
        <f>IFERROR(__xludf.DUMMYFUNCTION("""COMPUTED_VALUE"""),"BB")</f>
        <v>BB</v>
      </c>
      <c r="J227" s="258" t="str">
        <f>IFERROR(__xludf.DUMMYFUNCTION("""COMPUTED_VALUE"""),"Daily")</f>
        <v>Daily</v>
      </c>
      <c r="K227" s="258" t="str">
        <f>IFERROR(__xludf.DUMMYFUNCTION("""COMPUTED_VALUE"""),"")</f>
        <v/>
      </c>
      <c r="L227" s="258" t="str">
        <f>IFERROR(__xludf.DUMMYFUNCTION("""COMPUTED_VALUE"""),"GHP-PREPAID, TM, PW")</f>
        <v>GHP-PREPAID, TM, PW</v>
      </c>
      <c r="M227" s="258" t="str">
        <f>IFERROR(__xludf.DUMMYFUNCTION("""COMPUTED_VALUE"""),"Consumer, EG, SG, IBG Traveler")</f>
        <v>Consumer, EG, SG, IBG Traveler</v>
      </c>
      <c r="N227" s="258" t="str">
        <f>IFERROR(__xludf.DUMMYFUNCTION("""COMPUTED_VALUE"""),"customer")</f>
        <v>customer</v>
      </c>
      <c r="O227" s="258" t="str">
        <f>IFERROR(__xludf.DUMMYFUNCTION("""COMPUTED_VALUE"""),"customer_profile")</f>
        <v>customer_profile</v>
      </c>
      <c r="P227" s="258"/>
    </row>
    <row r="228">
      <c r="A228" s="257" t="str">
        <f>IFERROR(__xludf.DUMMYFUNCTION("""COMPUTED_VALUE"""),"reload_gcash_channel_indicator")</f>
        <v>reload_gcash_channel_indicator</v>
      </c>
      <c r="B228" s="258" t="str">
        <f>IFERROR(__xludf.DUMMYFUNCTION("""COMPUTED_VALUE"""),"Behavioral")</f>
        <v>Behavioral</v>
      </c>
      <c r="C228" s="258" t="str">
        <f>IFERROR(__xludf.DUMMYFUNCTION("""COMPUTED_VALUE"""),"Non-PII")</f>
        <v>Non-PII</v>
      </c>
      <c r="D228" s="258" t="str">
        <f>IFERROR(__xludf.DUMMYFUNCTION("""COMPUTED_VALUE"""),"Non-PII")</f>
        <v>Non-PII</v>
      </c>
      <c r="E228" s="258" t="str">
        <f>IFERROR(__xludf.DUMMYFUNCTION("""COMPUTED_VALUE"""),"Subscriber who top-up via GCash app")</f>
        <v>Subscriber who top-up via GCash app</v>
      </c>
      <c r="F228" s="258" t="str">
        <f>IFERROR(__xludf.DUMMYFUNCTION("""COMPUTED_VALUE"""),"Derived")</f>
        <v>Derived</v>
      </c>
      <c r="G228" s="258" t="str">
        <f>IFERROR(__xludf.DUMMYFUNCTION("""COMPUTED_VALUE"""),"boolean")</f>
        <v>boolean</v>
      </c>
      <c r="H228" s="258" t="b">
        <f>IFERROR(__xludf.DUMMYFUNCTION("""COMPUTED_VALUE"""),TRUE)</f>
        <v>1</v>
      </c>
      <c r="I228" s="258" t="str">
        <f>IFERROR(__xludf.DUMMYFUNCTION("""COMPUTED_VALUE"""),"BB")</f>
        <v>BB</v>
      </c>
      <c r="J228" s="258" t="str">
        <f>IFERROR(__xludf.DUMMYFUNCTION("""COMPUTED_VALUE"""),"Daily")</f>
        <v>Daily</v>
      </c>
      <c r="K228" s="258" t="str">
        <f>IFERROR(__xludf.DUMMYFUNCTION("""COMPUTED_VALUE"""),"")</f>
        <v/>
      </c>
      <c r="L228" s="258" t="str">
        <f>IFERROR(__xludf.DUMMYFUNCTION("""COMPUTED_VALUE"""),"GHP-PREPAID, TM, PW")</f>
        <v>GHP-PREPAID, TM, PW</v>
      </c>
      <c r="M228" s="258" t="str">
        <f>IFERROR(__xludf.DUMMYFUNCTION("""COMPUTED_VALUE"""),"Consumer, EG, SG, IBG Traveler")</f>
        <v>Consumer, EG, SG, IBG Traveler</v>
      </c>
      <c r="N228" s="258" t="str">
        <f>IFERROR(__xludf.DUMMYFUNCTION("""COMPUTED_VALUE"""),"reload")</f>
        <v>reload</v>
      </c>
      <c r="O228" s="258" t="str">
        <f>IFERROR(__xludf.DUMMYFUNCTION("""COMPUTED_VALUE"""),"reload_profile")</f>
        <v>reload_profile</v>
      </c>
      <c r="P228" s="258"/>
    </row>
    <row r="229">
      <c r="A229" s="257" t="str">
        <f>IFERROR(__xludf.DUMMYFUNCTION("""COMPUTED_VALUE"""),"reload_amax_channel_indicator")</f>
        <v>reload_amax_channel_indicator</v>
      </c>
      <c r="B229" s="258" t="str">
        <f>IFERROR(__xludf.DUMMYFUNCTION("""COMPUTED_VALUE"""),"Behavioral")</f>
        <v>Behavioral</v>
      </c>
      <c r="C229" s="258" t="str">
        <f>IFERROR(__xludf.DUMMYFUNCTION("""COMPUTED_VALUE"""),"Non-PII")</f>
        <v>Non-PII</v>
      </c>
      <c r="D229" s="258" t="str">
        <f>IFERROR(__xludf.DUMMYFUNCTION("""COMPUTED_VALUE"""),"Non-PII")</f>
        <v>Non-PII</v>
      </c>
      <c r="E229" s="258" t="str">
        <f>IFERROR(__xludf.DUMMYFUNCTION("""COMPUTED_VALUE"""),"Subscriber who top-up via AMAX")</f>
        <v>Subscriber who top-up via AMAX</v>
      </c>
      <c r="F229" s="258" t="str">
        <f>IFERROR(__xludf.DUMMYFUNCTION("""COMPUTED_VALUE"""),"Derived")</f>
        <v>Derived</v>
      </c>
      <c r="G229" s="258" t="str">
        <f>IFERROR(__xludf.DUMMYFUNCTION("""COMPUTED_VALUE"""),"boolean")</f>
        <v>boolean</v>
      </c>
      <c r="H229" s="258" t="b">
        <f>IFERROR(__xludf.DUMMYFUNCTION("""COMPUTED_VALUE"""),TRUE)</f>
        <v>1</v>
      </c>
      <c r="I229" s="258" t="str">
        <f>IFERROR(__xludf.DUMMYFUNCTION("""COMPUTED_VALUE"""),"BB")</f>
        <v>BB</v>
      </c>
      <c r="J229" s="258" t="str">
        <f>IFERROR(__xludf.DUMMYFUNCTION("""COMPUTED_VALUE"""),"Daily")</f>
        <v>Daily</v>
      </c>
      <c r="K229" s="258" t="str">
        <f>IFERROR(__xludf.DUMMYFUNCTION("""COMPUTED_VALUE"""),"")</f>
        <v/>
      </c>
      <c r="L229" s="258" t="str">
        <f>IFERROR(__xludf.DUMMYFUNCTION("""COMPUTED_VALUE"""),"GHP-PREPAID, TM, PW")</f>
        <v>GHP-PREPAID, TM, PW</v>
      </c>
      <c r="M229" s="258" t="str">
        <f>IFERROR(__xludf.DUMMYFUNCTION("""COMPUTED_VALUE"""),"Consumer, EG, SG, IBG Traveler")</f>
        <v>Consumer, EG, SG, IBG Traveler</v>
      </c>
      <c r="N229" s="258" t="str">
        <f>IFERROR(__xludf.DUMMYFUNCTION("""COMPUTED_VALUE"""),"reload")</f>
        <v>reload</v>
      </c>
      <c r="O229" s="258" t="str">
        <f>IFERROR(__xludf.DUMMYFUNCTION("""COMPUTED_VALUE"""),"reload_profile")</f>
        <v>reload_profile</v>
      </c>
      <c r="P229" s="258"/>
    </row>
    <row r="230">
      <c r="A230" s="257" t="str">
        <f>IFERROR(__xludf.DUMMYFUNCTION("""COMPUTED_VALUE"""),"unbarred_by_payment_indicator")</f>
        <v>unbarred_by_payment_indicator</v>
      </c>
      <c r="B230" s="258" t="str">
        <f>IFERROR(__xludf.DUMMYFUNCTION("""COMPUTED_VALUE"""),"Behavioral")</f>
        <v>Behavioral</v>
      </c>
      <c r="C230" s="258" t="str">
        <f>IFERROR(__xludf.DUMMYFUNCTION("""COMPUTED_VALUE"""),"Non-PII")</f>
        <v>Non-PII</v>
      </c>
      <c r="D230" s="258" t="str">
        <f>IFERROR(__xludf.DUMMYFUNCTION("""COMPUTED_VALUE"""),"Non-PII")</f>
        <v>Non-PII</v>
      </c>
      <c r="E230" s="258" t="str">
        <f>IFERROR(__xludf.DUMMYFUNCTION("""COMPUTED_VALUE"""),"Tagging that a subscriber has been barred by maximizing SSL, then gets unbarred thru payment.")</f>
        <v>Tagging that a subscriber has been barred by maximizing SSL, then gets unbarred thru payment.</v>
      </c>
      <c r="F230" s="258" t="str">
        <f>IFERROR(__xludf.DUMMYFUNCTION("""COMPUTED_VALUE"""),"Derived")</f>
        <v>Derived</v>
      </c>
      <c r="G230" s="258" t="str">
        <f>IFERROR(__xludf.DUMMYFUNCTION("""COMPUTED_VALUE"""),"boolean")</f>
        <v>boolean</v>
      </c>
      <c r="H230" s="258" t="b">
        <f>IFERROR(__xludf.DUMMYFUNCTION("""COMPUTED_VALUE"""),TRUE)</f>
        <v>1</v>
      </c>
      <c r="I230" s="258" t="str">
        <f>IFERROR(__xludf.DUMMYFUNCTION("""COMPUTED_VALUE"""),"FVT")</f>
        <v>FVT</v>
      </c>
      <c r="J230" s="258" t="str">
        <f>IFERROR(__xludf.DUMMYFUNCTION("""COMPUTED_VALUE"""),"Daily")</f>
        <v>Daily</v>
      </c>
      <c r="K230" s="258" t="str">
        <f>IFERROR(__xludf.DUMMYFUNCTION("""COMPUTED_VALUE"""),"")</f>
        <v/>
      </c>
      <c r="L230" s="258" t="str">
        <f>IFERROR(__xludf.DUMMYFUNCTION("""COMPUTED_VALUE"""),"GHP")</f>
        <v>GHP</v>
      </c>
      <c r="M230" s="258" t="str">
        <f>IFERROR(__xludf.DUMMYFUNCTION("""COMPUTED_VALUE"""),"Consumer, EG, SG")</f>
        <v>Consumer, EG, SG</v>
      </c>
      <c r="N230" s="258" t="str">
        <f>IFERROR(__xludf.DUMMYFUNCTION("""COMPUTED_VALUE"""),"invoice")</f>
        <v>invoice</v>
      </c>
      <c r="O230" s="258" t="str">
        <f>IFERROR(__xludf.DUMMYFUNCTION("""COMPUTED_VALUE"""),"invoice_profile")</f>
        <v>invoice_profile</v>
      </c>
      <c r="P230" s="258"/>
    </row>
    <row r="231">
      <c r="A231" s="257" t="str">
        <f>IFERROR(__xludf.DUMMYFUNCTION("""COMPUTED_VALUE"""),"availment_mode_promo_90days")</f>
        <v>availment_mode_promo_90days</v>
      </c>
      <c r="B231" s="258" t="str">
        <f>IFERROR(__xludf.DUMMYFUNCTION("""COMPUTED_VALUE"""),"Campaign History")</f>
        <v>Campaign History</v>
      </c>
      <c r="C231" s="258" t="str">
        <f>IFERROR(__xludf.DUMMYFUNCTION("""COMPUTED_VALUE"""),"Non-PII")</f>
        <v>Non-PII</v>
      </c>
      <c r="D231" s="258" t="str">
        <f>IFERROR(__xludf.DUMMYFUNCTION("""COMPUTED_VALUE"""),"Non-PII")</f>
        <v>Non-PII</v>
      </c>
      <c r="E231" s="258" t="str">
        <f>IFERROR(__xludf.DUMMYFUNCTION("""COMPUTED_VALUE"""),"Most frequent promo (excluding promo top-up/GYRO) availed by the subscriber for the past 90 days.")</f>
        <v>Most frequent promo (excluding promo top-up/GYRO) availed by the subscriber for the past 90 days.</v>
      </c>
      <c r="F231" s="258" t="str">
        <f>IFERROR(__xludf.DUMMYFUNCTION("""COMPUTED_VALUE"""),"Derived")</f>
        <v>Derived</v>
      </c>
      <c r="G231" s="258" t="str">
        <f>IFERROR(__xludf.DUMMYFUNCTION("""COMPUTED_VALUE"""),"varchar(1000)")</f>
        <v>varchar(1000)</v>
      </c>
      <c r="H231" s="258" t="str">
        <f>IFERROR(__xludf.DUMMYFUNCTION("""COMPUTED_VALUE"""),"GOSURF_RHES50")</f>
        <v>GOSURF_RHES50</v>
      </c>
      <c r="I231" s="258" t="str">
        <f>IFERROR(__xludf.DUMMYFUNCTION("""COMPUTED_VALUE"""),"BB")</f>
        <v>BB</v>
      </c>
      <c r="J231" s="258" t="str">
        <f>IFERROR(__xludf.DUMMYFUNCTION("""COMPUTED_VALUE"""),"Daily")</f>
        <v>Daily</v>
      </c>
      <c r="K231" s="258" t="str">
        <f>IFERROR(__xludf.DUMMYFUNCTION("""COMPUTED_VALUE"""),"")</f>
        <v/>
      </c>
      <c r="L231" s="258" t="str">
        <f>IFERROR(__xludf.DUMMYFUNCTION("""COMPUTED_VALUE"""),"GHP-PREPAID, TM, PW")</f>
        <v>GHP-PREPAID, TM, PW</v>
      </c>
      <c r="M231" s="258" t="str">
        <f>IFERROR(__xludf.DUMMYFUNCTION("""COMPUTED_VALUE"""),"Consumer, EG, SG, IBG Traveler")</f>
        <v>Consumer, EG, SG, IBG Traveler</v>
      </c>
      <c r="N231" s="258" t="str">
        <f>IFERROR(__xludf.DUMMYFUNCTION("""COMPUTED_VALUE"""),"availment")</f>
        <v>availment</v>
      </c>
      <c r="O231" s="258" t="str">
        <f>IFERROR(__xludf.DUMMYFUNCTION("""COMPUTED_VALUE"""),"availment_profile")</f>
        <v>availment_profile</v>
      </c>
      <c r="P231" s="258"/>
    </row>
    <row r="232">
      <c r="A232" s="257" t="str">
        <f>IFERROR(__xludf.DUMMYFUNCTION("""COMPUTED_VALUE"""),"availment_highest_denom_sku_90days")</f>
        <v>availment_highest_denom_sku_90days</v>
      </c>
      <c r="B232" s="258" t="str">
        <f>IFERROR(__xludf.DUMMYFUNCTION("""COMPUTED_VALUE"""),"Campaign History")</f>
        <v>Campaign History</v>
      </c>
      <c r="C232" s="258" t="str">
        <f>IFERROR(__xludf.DUMMYFUNCTION("""COMPUTED_VALUE"""),"Non-PII")</f>
        <v>Non-PII</v>
      </c>
      <c r="D232" s="258" t="str">
        <f>IFERROR(__xludf.DUMMYFUNCTION("""COMPUTED_VALUE"""),"Non-PII")</f>
        <v>Non-PII</v>
      </c>
      <c r="E232" s="258" t="str">
        <f>IFERROR(__xludf.DUMMYFUNCTION("""COMPUTED_VALUE"""),"The highest value availed promo SKUs of the subscriber for the past 3 months.")</f>
        <v>The highest value availed promo SKUs of the subscriber for the past 3 months.</v>
      </c>
      <c r="F232" s="258" t="str">
        <f>IFERROR(__xludf.DUMMYFUNCTION("""COMPUTED_VALUE"""),"Derived")</f>
        <v>Derived</v>
      </c>
      <c r="G232" s="258" t="str">
        <f>IFERROR(__xludf.DUMMYFUNCTION("""COMPUTED_VALUE"""),"varchar(1000)")</f>
        <v>varchar(1000)</v>
      </c>
      <c r="H232" s="258" t="str">
        <f>IFERROR(__xludf.DUMMYFUNCTION("""COMPUTED_VALUE"""),"CAP_CHARGE99")</f>
        <v>CAP_CHARGE99</v>
      </c>
      <c r="I232" s="258" t="str">
        <f>IFERROR(__xludf.DUMMYFUNCTION("""COMPUTED_VALUE"""),"BB")</f>
        <v>BB</v>
      </c>
      <c r="J232" s="258" t="str">
        <f>IFERROR(__xludf.DUMMYFUNCTION("""COMPUTED_VALUE"""),"Daily")</f>
        <v>Daily</v>
      </c>
      <c r="K232" s="258" t="str">
        <f>IFERROR(__xludf.DUMMYFUNCTION("""COMPUTED_VALUE"""),"")</f>
        <v/>
      </c>
      <c r="L232" s="258" t="str">
        <f>IFERROR(__xludf.DUMMYFUNCTION("""COMPUTED_VALUE"""),"GHP-PREPAID, TM, PW")</f>
        <v>GHP-PREPAID, TM, PW</v>
      </c>
      <c r="M232" s="258" t="str">
        <f>IFERROR(__xludf.DUMMYFUNCTION("""COMPUTED_VALUE"""),"Consumer, EG, SG, IBG Traveler")</f>
        <v>Consumer, EG, SG, IBG Traveler</v>
      </c>
      <c r="N232" s="258" t="str">
        <f>IFERROR(__xludf.DUMMYFUNCTION("""COMPUTED_VALUE"""),"availment")</f>
        <v>availment</v>
      </c>
      <c r="O232" s="258" t="str">
        <f>IFERROR(__xludf.DUMMYFUNCTION("""COMPUTED_VALUE"""),"availment_profile")</f>
        <v>availment_profile</v>
      </c>
      <c r="P232" s="258"/>
    </row>
    <row r="233">
      <c r="A233" s="257" t="str">
        <f>IFERROR(__xludf.DUMMYFUNCTION("""COMPUTED_VALUE"""),"arpu_value")</f>
        <v>arpu_value</v>
      </c>
      <c r="B233" s="258" t="str">
        <f>IFERROR(__xludf.DUMMYFUNCTION("""COMPUTED_VALUE"""),"Profitability")</f>
        <v>Profitability</v>
      </c>
      <c r="C233" s="258" t="str">
        <f>IFERROR(__xludf.DUMMYFUNCTION("""COMPUTED_VALUE"""),"Non-PII")</f>
        <v>Non-PII</v>
      </c>
      <c r="D233" s="258" t="str">
        <f>IFERROR(__xludf.DUMMYFUNCTION("""COMPUTED_VALUE"""),"Non-PII")</f>
        <v>Non-PII</v>
      </c>
      <c r="E233" s="258" t="str">
        <f>IFERROR(__xludf.DUMMYFUNCTION("""COMPUTED_VALUE"""),"Monthly Average Revenue Per User (ARPU) of subscriber")</f>
        <v>Monthly Average Revenue Per User (ARPU) of subscriber</v>
      </c>
      <c r="F233" s="258" t="str">
        <f>IFERROR(__xludf.DUMMYFUNCTION("""COMPUTED_VALUE"""),"Direct Pull")</f>
        <v>Direct Pull</v>
      </c>
      <c r="G233" s="258" t="str">
        <f>IFERROR(__xludf.DUMMYFUNCTION("""COMPUTED_VALUE"""),"numeric(21,2)")</f>
        <v>numeric(21,2)</v>
      </c>
      <c r="H233" s="258">
        <f>IFERROR(__xludf.DUMMYFUNCTION("""COMPUTED_VALUE"""),3030.15)</f>
        <v>3030.15</v>
      </c>
      <c r="I233" s="258" t="str">
        <f>IFERROR(__xludf.DUMMYFUNCTION("""COMPUTED_VALUE"""),"BB")</f>
        <v>BB</v>
      </c>
      <c r="J233" s="258" t="str">
        <f>IFERROR(__xludf.DUMMYFUNCTION("""COMPUTED_VALUE"""),"Monthly")</f>
        <v>Monthly</v>
      </c>
      <c r="K233" s="258" t="str">
        <f>IFERROR(__xludf.DUMMYFUNCTION("""COMPUTED_VALUE"""),"day-1")</f>
        <v>day-1</v>
      </c>
      <c r="L233" s="258" t="str">
        <f>IFERROR(__xludf.DUMMYFUNCTION("""COMPUTED_VALUE"""),"GHP, GHP-PREPAID, TM, PW, WIRELINE")</f>
        <v>GHP, GHP-PREPAID, TM, PW, WIRELINE</v>
      </c>
      <c r="M233" s="258" t="str">
        <f>IFERROR(__xludf.DUMMYFUNCTION("""COMPUTED_VALUE"""),"Consumer, EG, SG, In house, IBG Traveler")</f>
        <v>Consumer, EG, SG, In house, IBG Traveler</v>
      </c>
      <c r="N233" s="258" t="str">
        <f>IFERROR(__xludf.DUMMYFUNCTION("""COMPUTED_VALUE"""),"revenue")</f>
        <v>revenue</v>
      </c>
      <c r="O233" s="258" t="str">
        <f>IFERROR(__xludf.DUMMYFUNCTION("""COMPUTED_VALUE"""),"revenue_profile")</f>
        <v>revenue_profile</v>
      </c>
      <c r="P233" s="258"/>
    </row>
    <row r="234">
      <c r="A234" s="257" t="str">
        <f>IFERROR(__xludf.DUMMYFUNCTION("""COMPUTED_VALUE"""),"remaining_subscriber_spending_limit")</f>
        <v>remaining_subscriber_spending_limit</v>
      </c>
      <c r="B234" s="258" t="str">
        <f>IFERROR(__xludf.DUMMYFUNCTION("""COMPUTED_VALUE"""),"Customer PII")</f>
        <v>Customer PII</v>
      </c>
      <c r="C234" s="258" t="str">
        <f>IFERROR(__xludf.DUMMYFUNCTION("""COMPUTED_VALUE"""),"Non-PII")</f>
        <v>Non-PII</v>
      </c>
      <c r="D234" s="258" t="str">
        <f>IFERROR(__xludf.DUMMYFUNCTION("""COMPUTED_VALUE"""),"Non-PII")</f>
        <v>Non-PII</v>
      </c>
      <c r="E234" s="258" t="str">
        <f>IFERROR(__xludf.DUMMYFUNCTION("""COMPUTED_VALUE"""),"Difference between subscriber's spending limit and Usage Charges (UC).")</f>
        <v>Difference between subscriber's spending limit and Usage Charges (UC).</v>
      </c>
      <c r="F234" s="258" t="str">
        <f>IFERROR(__xludf.DUMMYFUNCTION("""COMPUTED_VALUE"""),"Derived")</f>
        <v>Derived</v>
      </c>
      <c r="G234" s="258" t="str">
        <f>IFERROR(__xludf.DUMMYFUNCTION("""COMPUTED_VALUE"""),"numeric(21,2)")</f>
        <v>numeric(21,2)</v>
      </c>
      <c r="H234" s="258">
        <f>IFERROR(__xludf.DUMMYFUNCTION("""COMPUTED_VALUE"""),3000.0)</f>
        <v>3000</v>
      </c>
      <c r="I234" s="258" t="str">
        <f>IFERROR(__xludf.DUMMYFUNCTION("""COMPUTED_VALUE"""),"MSH")</f>
        <v>MSH</v>
      </c>
      <c r="J234" s="258" t="str">
        <f>IFERROR(__xludf.DUMMYFUNCTION("""COMPUTED_VALUE"""),"Daily")</f>
        <v>Daily</v>
      </c>
      <c r="K234" s="258" t="str">
        <f>IFERROR(__xludf.DUMMYFUNCTION("""COMPUTED_VALUE"""),"")</f>
        <v/>
      </c>
      <c r="L234" s="258" t="str">
        <f>IFERROR(__xludf.DUMMYFUNCTION("""COMPUTED_VALUE"""),"GHP, WIRELINE")</f>
        <v>GHP, WIRELINE</v>
      </c>
      <c r="M234" s="258" t="str">
        <f>IFERROR(__xludf.DUMMYFUNCTION("""COMPUTED_VALUE"""),"Consumer, EG, SG, In house")</f>
        <v>Consumer, EG, SG, In house</v>
      </c>
      <c r="N234" s="258" t="str">
        <f>IFERROR(__xludf.DUMMYFUNCTION("""COMPUTED_VALUE"""),"revenue")</f>
        <v>revenue</v>
      </c>
      <c r="O234" s="258" t="str">
        <f>IFERROR(__xludf.DUMMYFUNCTION("""COMPUTED_VALUE"""),"revenue_profile")</f>
        <v>revenue_profile</v>
      </c>
      <c r="P234" s="258"/>
    </row>
    <row r="235">
      <c r="A235" s="257" t="str">
        <f>IFERROR(__xludf.DUMMYFUNCTION("""COMPUTED_VALUE"""),"total_paid_amount")</f>
        <v>total_paid_amount</v>
      </c>
      <c r="B235" s="258" t="str">
        <f>IFERROR(__xludf.DUMMYFUNCTION("""COMPUTED_VALUE"""),"Customer PII")</f>
        <v>Customer PII</v>
      </c>
      <c r="C235" s="258" t="str">
        <f>IFERROR(__xludf.DUMMYFUNCTION("""COMPUTED_VALUE"""),"Non-PII")</f>
        <v>Non-PII</v>
      </c>
      <c r="D235" s="258" t="str">
        <f>IFERROR(__xludf.DUMMYFUNCTION("""COMPUTED_VALUE"""),"Non-PII")</f>
        <v>Non-PII</v>
      </c>
      <c r="E235" s="258" t="str">
        <f>IFERROR(__xludf.DUMMYFUNCTION("""COMPUTED_VALUE"""),"Subscriber's latest paid amount")</f>
        <v>Subscriber's latest paid amount</v>
      </c>
      <c r="F235" s="258" t="str">
        <f>IFERROR(__xludf.DUMMYFUNCTION("""COMPUTED_VALUE"""),"Derived")</f>
        <v>Derived</v>
      </c>
      <c r="G235" s="258" t="str">
        <f>IFERROR(__xludf.DUMMYFUNCTION("""COMPUTED_VALUE"""),"numeric(21,2)")</f>
        <v>numeric(21,2)</v>
      </c>
      <c r="H235" s="258">
        <f>IFERROR(__xludf.DUMMYFUNCTION("""COMPUTED_VALUE"""),1499.0)</f>
        <v>1499</v>
      </c>
      <c r="I235" s="258" t="str">
        <f>IFERROR(__xludf.DUMMYFUNCTION("""COMPUTED_VALUE"""),"FVT")</f>
        <v>FVT</v>
      </c>
      <c r="J235" s="258" t="str">
        <f>IFERROR(__xludf.DUMMYFUNCTION("""COMPUTED_VALUE"""),"Monthly")</f>
        <v>Monthly</v>
      </c>
      <c r="K235" s="258" t="str">
        <f>IFERROR(__xludf.DUMMYFUNCTION("""COMPUTED_VALUE"""),"")</f>
        <v/>
      </c>
      <c r="L235" s="258" t="str">
        <f>IFERROR(__xludf.DUMMYFUNCTION("""COMPUTED_VALUE"""),"GHP, WIRELINE")</f>
        <v>GHP, WIRELINE</v>
      </c>
      <c r="M235" s="258" t="str">
        <f>IFERROR(__xludf.DUMMYFUNCTION("""COMPUTED_VALUE"""),"Consumer, EG, SG, In house")</f>
        <v>Consumer, EG, SG, In house</v>
      </c>
      <c r="N235" s="258" t="str">
        <f>IFERROR(__xludf.DUMMYFUNCTION("""COMPUTED_VALUE"""),"payment")</f>
        <v>payment</v>
      </c>
      <c r="O235" s="258" t="str">
        <f>IFERROR(__xludf.DUMMYFUNCTION("""COMPUTED_VALUE"""),"payment_profile")</f>
        <v>payment_profile</v>
      </c>
      <c r="P235" s="258"/>
    </row>
    <row r="236">
      <c r="A236" s="257" t="str">
        <f>IFERROR(__xludf.DUMMYFUNCTION("""COMPUTED_VALUE"""),"postpaid_arpu_30days")</f>
        <v>postpaid_arpu_30days</v>
      </c>
      <c r="B236" s="258" t="str">
        <f>IFERROR(__xludf.DUMMYFUNCTION("""COMPUTED_VALUE"""),"Profitability")</f>
        <v>Profitability</v>
      </c>
      <c r="C236" s="258" t="str">
        <f>IFERROR(__xludf.DUMMYFUNCTION("""COMPUTED_VALUE"""),"Non-PII")</f>
        <v>Non-PII</v>
      </c>
      <c r="D236" s="258" t="str">
        <f>IFERROR(__xludf.DUMMYFUNCTION("""COMPUTED_VALUE"""),"Non-PII")</f>
        <v>Non-PII</v>
      </c>
      <c r="E236" s="258" t="str">
        <f>IFERROR(__xludf.DUMMYFUNCTION("""COMPUTED_VALUE"""),"30 days Average Revenue Per User (ARPU) of subscriber")</f>
        <v>30 days Average Revenue Per User (ARPU) of subscriber</v>
      </c>
      <c r="F236" s="258" t="str">
        <f>IFERROR(__xludf.DUMMYFUNCTION("""COMPUTED_VALUE"""),"Derived")</f>
        <v>Derived</v>
      </c>
      <c r="G236" s="258" t="str">
        <f>IFERROR(__xludf.DUMMYFUNCTION("""COMPUTED_VALUE"""),"numeric(21,2)")</f>
        <v>numeric(21,2)</v>
      </c>
      <c r="H236" s="258">
        <f>IFERROR(__xludf.DUMMYFUNCTION("""COMPUTED_VALUE"""),15142.27)</f>
        <v>15142.27</v>
      </c>
      <c r="I236" s="258" t="str">
        <f>IFERROR(__xludf.DUMMYFUNCTION("""COMPUTED_VALUE"""),"FVT CRM Broadband")</f>
        <v>FVT CRM Broadband</v>
      </c>
      <c r="J236" s="258" t="str">
        <f>IFERROR(__xludf.DUMMYFUNCTION("""COMPUTED_VALUE"""),"Monthly")</f>
        <v>Monthly</v>
      </c>
      <c r="K236" s="258" t="str">
        <f>IFERROR(__xludf.DUMMYFUNCTION("""COMPUTED_VALUE"""),"")</f>
        <v/>
      </c>
      <c r="L236" s="258" t="str">
        <f>IFERROR(__xludf.DUMMYFUNCTION("""COMPUTED_VALUE"""),"GHP, WIRELINE, BAYAN, GLOBE")</f>
        <v>GHP, WIRELINE, BAYAN, GLOBE</v>
      </c>
      <c r="M236" s="258" t="str">
        <f>IFERROR(__xludf.DUMMYFUNCTION("""COMPUTED_VALUE"""),"Consumer, EG, SG, In house")</f>
        <v>Consumer, EG, SG, In house</v>
      </c>
      <c r="N236" s="258" t="str">
        <f>IFERROR(__xludf.DUMMYFUNCTION("""COMPUTED_VALUE"""),"revenue")</f>
        <v>revenue</v>
      </c>
      <c r="O236" s="258" t="str">
        <f>IFERROR(__xludf.DUMMYFUNCTION("""COMPUTED_VALUE"""),"revenue_profile")</f>
        <v>revenue_profile</v>
      </c>
      <c r="P236" s="258"/>
    </row>
    <row r="237">
      <c r="A237" s="257" t="str">
        <f>IFERROR(__xludf.DUMMYFUNCTION("""COMPUTED_VALUE"""),"postpaid_arpu_60days")</f>
        <v>postpaid_arpu_60days</v>
      </c>
      <c r="B237" s="258" t="str">
        <f>IFERROR(__xludf.DUMMYFUNCTION("""COMPUTED_VALUE"""),"Profitability")</f>
        <v>Profitability</v>
      </c>
      <c r="C237" s="258" t="str">
        <f>IFERROR(__xludf.DUMMYFUNCTION("""COMPUTED_VALUE"""),"Non-PII")</f>
        <v>Non-PII</v>
      </c>
      <c r="D237" s="258" t="str">
        <f>IFERROR(__xludf.DUMMYFUNCTION("""COMPUTED_VALUE"""),"Non-PII")</f>
        <v>Non-PII</v>
      </c>
      <c r="E237" s="258" t="str">
        <f>IFERROR(__xludf.DUMMYFUNCTION("""COMPUTED_VALUE"""),"60 days Average Revenue Per User (ARPU) of subscriber")</f>
        <v>60 days Average Revenue Per User (ARPU) of subscriber</v>
      </c>
      <c r="F237" s="258" t="str">
        <f>IFERROR(__xludf.DUMMYFUNCTION("""COMPUTED_VALUE"""),"Derived")</f>
        <v>Derived</v>
      </c>
      <c r="G237" s="258" t="str">
        <f>IFERROR(__xludf.DUMMYFUNCTION("""COMPUTED_VALUE"""),"numeric(21,2)")</f>
        <v>numeric(21,2)</v>
      </c>
      <c r="H237" s="258">
        <f>IFERROR(__xludf.DUMMYFUNCTION("""COMPUTED_VALUE"""),504.0)</f>
        <v>504</v>
      </c>
      <c r="I237" s="258" t="str">
        <f>IFERROR(__xludf.DUMMYFUNCTION("""COMPUTED_VALUE"""),"FVT CRM Broadband")</f>
        <v>FVT CRM Broadband</v>
      </c>
      <c r="J237" s="258" t="str">
        <f>IFERROR(__xludf.DUMMYFUNCTION("""COMPUTED_VALUE"""),"Monthly")</f>
        <v>Monthly</v>
      </c>
      <c r="K237" s="258" t="str">
        <f>IFERROR(__xludf.DUMMYFUNCTION("""COMPUTED_VALUE"""),"")</f>
        <v/>
      </c>
      <c r="L237" s="258" t="str">
        <f>IFERROR(__xludf.DUMMYFUNCTION("""COMPUTED_VALUE"""),"GHP, WIRELINE, BAYAN, GLOBE")</f>
        <v>GHP, WIRELINE, BAYAN, GLOBE</v>
      </c>
      <c r="M237" s="258" t="str">
        <f>IFERROR(__xludf.DUMMYFUNCTION("""COMPUTED_VALUE"""),"Consumer, EG, SG, In house")</f>
        <v>Consumer, EG, SG, In house</v>
      </c>
      <c r="N237" s="258" t="str">
        <f>IFERROR(__xludf.DUMMYFUNCTION("""COMPUTED_VALUE"""),"revenue")</f>
        <v>revenue</v>
      </c>
      <c r="O237" s="258" t="str">
        <f>IFERROR(__xludf.DUMMYFUNCTION("""COMPUTED_VALUE"""),"revenue_profile")</f>
        <v>revenue_profile</v>
      </c>
      <c r="P237" s="258"/>
    </row>
    <row r="238">
      <c r="A238" s="257" t="str">
        <f>IFERROR(__xludf.DUMMYFUNCTION("""COMPUTED_VALUE"""),"postpaid_arpu_UC_30days")</f>
        <v>postpaid_arpu_UC_30days</v>
      </c>
      <c r="B238" s="258" t="str">
        <f>IFERROR(__xludf.DUMMYFUNCTION("""COMPUTED_VALUE"""),"Profitability")</f>
        <v>Profitability</v>
      </c>
      <c r="C238" s="258" t="str">
        <f>IFERROR(__xludf.DUMMYFUNCTION("""COMPUTED_VALUE"""),"Non-PII")</f>
        <v>Non-PII</v>
      </c>
      <c r="D238" s="258" t="str">
        <f>IFERROR(__xludf.DUMMYFUNCTION("""COMPUTED_VALUE"""),"Non-PII")</f>
        <v>Non-PII</v>
      </c>
      <c r="E238" s="258" t="str">
        <f>IFERROR(__xludf.DUMMYFUNCTION("""COMPUTED_VALUE"""),"Gets sum of usage charge amount of BB postpaid subscriber in the past 30 days")</f>
        <v>Gets sum of usage charge amount of BB postpaid subscriber in the past 30 days</v>
      </c>
      <c r="F238" s="258" t="str">
        <f>IFERROR(__xludf.DUMMYFUNCTION("""COMPUTED_VALUE"""),"Derived")</f>
        <v>Derived</v>
      </c>
      <c r="G238" s="258" t="str">
        <f>IFERROR(__xludf.DUMMYFUNCTION("""COMPUTED_VALUE"""),"numeric(21,2)")</f>
        <v>numeric(21,2)</v>
      </c>
      <c r="H238" s="258">
        <f>IFERROR(__xludf.DUMMYFUNCTION("""COMPUTED_VALUE"""),1602.75)</f>
        <v>1602.75</v>
      </c>
      <c r="I238" s="258" t="str">
        <f>IFERROR(__xludf.DUMMYFUNCTION("""COMPUTED_VALUE"""),"FVT CRM Broadband")</f>
        <v>FVT CRM Broadband</v>
      </c>
      <c r="J238" s="258" t="str">
        <f>IFERROR(__xludf.DUMMYFUNCTION("""COMPUTED_VALUE"""),"Monthly")</f>
        <v>Monthly</v>
      </c>
      <c r="K238" s="258" t="str">
        <f>IFERROR(__xludf.DUMMYFUNCTION("""COMPUTED_VALUE"""),"")</f>
        <v/>
      </c>
      <c r="L238" s="258" t="str">
        <f>IFERROR(__xludf.DUMMYFUNCTION("""COMPUTED_VALUE"""),"GHP, WIRELINE, BAYAN, GLOBE")</f>
        <v>GHP, WIRELINE, BAYAN, GLOBE</v>
      </c>
      <c r="M238" s="258" t="str">
        <f>IFERROR(__xludf.DUMMYFUNCTION("""COMPUTED_VALUE"""),"Consumer, EG, SG, In house")</f>
        <v>Consumer, EG, SG, In house</v>
      </c>
      <c r="N238" s="258" t="str">
        <f>IFERROR(__xludf.DUMMYFUNCTION("""COMPUTED_VALUE"""),"revenue")</f>
        <v>revenue</v>
      </c>
      <c r="O238" s="258" t="str">
        <f>IFERROR(__xludf.DUMMYFUNCTION("""COMPUTED_VALUE"""),"revenue_profile")</f>
        <v>revenue_profile</v>
      </c>
      <c r="P238" s="258"/>
    </row>
    <row r="239">
      <c r="A239" s="257" t="str">
        <f>IFERROR(__xludf.DUMMYFUNCTION("""COMPUTED_VALUE"""),"postpaid_arpu_UC_60days")</f>
        <v>postpaid_arpu_UC_60days</v>
      </c>
      <c r="B239" s="258" t="str">
        <f>IFERROR(__xludf.DUMMYFUNCTION("""COMPUTED_VALUE"""),"Profitability")</f>
        <v>Profitability</v>
      </c>
      <c r="C239" s="258" t="str">
        <f>IFERROR(__xludf.DUMMYFUNCTION("""COMPUTED_VALUE"""),"Non-PII")</f>
        <v>Non-PII</v>
      </c>
      <c r="D239" s="258" t="str">
        <f>IFERROR(__xludf.DUMMYFUNCTION("""COMPUTED_VALUE"""),"Non-PII")</f>
        <v>Non-PII</v>
      </c>
      <c r="E239" s="258" t="str">
        <f>IFERROR(__xludf.DUMMYFUNCTION("""COMPUTED_VALUE"""),"Gets monthly average of usage charge amount of BB postpaid subscriber in the past 60 days")</f>
        <v>Gets monthly average of usage charge amount of BB postpaid subscriber in the past 60 days</v>
      </c>
      <c r="F239" s="258" t="str">
        <f>IFERROR(__xludf.DUMMYFUNCTION("""COMPUTED_VALUE"""),"Derived")</f>
        <v>Derived</v>
      </c>
      <c r="G239" s="258" t="str">
        <f>IFERROR(__xludf.DUMMYFUNCTION("""COMPUTED_VALUE"""),"numeric(21,2)")</f>
        <v>numeric(21,2)</v>
      </c>
      <c r="H239" s="258">
        <f>IFERROR(__xludf.DUMMYFUNCTION("""COMPUTED_VALUE"""),0.0)</f>
        <v>0</v>
      </c>
      <c r="I239" s="258" t="str">
        <f>IFERROR(__xludf.DUMMYFUNCTION("""COMPUTED_VALUE"""),"FVT CRM Broadband")</f>
        <v>FVT CRM Broadband</v>
      </c>
      <c r="J239" s="258" t="str">
        <f>IFERROR(__xludf.DUMMYFUNCTION("""COMPUTED_VALUE"""),"Monthly")</f>
        <v>Monthly</v>
      </c>
      <c r="K239" s="258" t="str">
        <f>IFERROR(__xludf.DUMMYFUNCTION("""COMPUTED_VALUE"""),"")</f>
        <v/>
      </c>
      <c r="L239" s="258" t="str">
        <f>IFERROR(__xludf.DUMMYFUNCTION("""COMPUTED_VALUE"""),"GHP, WIRELINE, BAYAN, GLOBE")</f>
        <v>GHP, WIRELINE, BAYAN, GLOBE</v>
      </c>
      <c r="M239" s="258" t="str">
        <f>IFERROR(__xludf.DUMMYFUNCTION("""COMPUTED_VALUE"""),"Consumer, EG, SG, In house")</f>
        <v>Consumer, EG, SG, In house</v>
      </c>
      <c r="N239" s="258" t="str">
        <f>IFERROR(__xludf.DUMMYFUNCTION("""COMPUTED_VALUE"""),"revenue")</f>
        <v>revenue</v>
      </c>
      <c r="O239" s="258" t="str">
        <f>IFERROR(__xludf.DUMMYFUNCTION("""COMPUTED_VALUE"""),"revenue_profile")</f>
        <v>revenue_profile</v>
      </c>
      <c r="P239" s="258"/>
    </row>
    <row r="240">
      <c r="A240" s="257" t="str">
        <f>IFERROR(__xludf.DUMMYFUNCTION("""COMPUTED_VALUE"""),"postpaid_arpu_OC_30days")</f>
        <v>postpaid_arpu_OC_30days</v>
      </c>
      <c r="B240" s="258" t="str">
        <f>IFERROR(__xludf.DUMMYFUNCTION("""COMPUTED_VALUE"""),"Profitability")</f>
        <v>Profitability</v>
      </c>
      <c r="C240" s="258" t="str">
        <f>IFERROR(__xludf.DUMMYFUNCTION("""COMPUTED_VALUE"""),"Non-PII")</f>
        <v>Non-PII</v>
      </c>
      <c r="D240" s="258" t="str">
        <f>IFERROR(__xludf.DUMMYFUNCTION("""COMPUTED_VALUE"""),"Non-PII")</f>
        <v>Non-PII</v>
      </c>
      <c r="E240" s="258" t="str">
        <f>IFERROR(__xludf.DUMMYFUNCTION("""COMPUTED_VALUE"""),"Gets sum of one time charge amount of BB postpaid subscriber in the past 30 days")</f>
        <v>Gets sum of one time charge amount of BB postpaid subscriber in the past 30 days</v>
      </c>
      <c r="F240" s="258" t="str">
        <f>IFERROR(__xludf.DUMMYFUNCTION("""COMPUTED_VALUE"""),"Derived")</f>
        <v>Derived</v>
      </c>
      <c r="G240" s="258" t="str">
        <f>IFERROR(__xludf.DUMMYFUNCTION("""COMPUTED_VALUE"""),"numeric(21,2)")</f>
        <v>numeric(21,2)</v>
      </c>
      <c r="H240" s="258">
        <f>IFERROR(__xludf.DUMMYFUNCTION("""COMPUTED_VALUE"""),99.0)</f>
        <v>99</v>
      </c>
      <c r="I240" s="258" t="str">
        <f>IFERROR(__xludf.DUMMYFUNCTION("""COMPUTED_VALUE"""),"FVT CRM Broadband")</f>
        <v>FVT CRM Broadband</v>
      </c>
      <c r="J240" s="258" t="str">
        <f>IFERROR(__xludf.DUMMYFUNCTION("""COMPUTED_VALUE"""),"Monthly")</f>
        <v>Monthly</v>
      </c>
      <c r="K240" s="258" t="str">
        <f>IFERROR(__xludf.DUMMYFUNCTION("""COMPUTED_VALUE"""),"")</f>
        <v/>
      </c>
      <c r="L240" s="258" t="str">
        <f>IFERROR(__xludf.DUMMYFUNCTION("""COMPUTED_VALUE"""),"GHP, WIRELINE, BAYAN, GLOBE")</f>
        <v>GHP, WIRELINE, BAYAN, GLOBE</v>
      </c>
      <c r="M240" s="258" t="str">
        <f>IFERROR(__xludf.DUMMYFUNCTION("""COMPUTED_VALUE"""),"Consumer, EG, SG, In house")</f>
        <v>Consumer, EG, SG, In house</v>
      </c>
      <c r="N240" s="258" t="str">
        <f>IFERROR(__xludf.DUMMYFUNCTION("""COMPUTED_VALUE"""),"revenue")</f>
        <v>revenue</v>
      </c>
      <c r="O240" s="258" t="str">
        <f>IFERROR(__xludf.DUMMYFUNCTION("""COMPUTED_VALUE"""),"revenue_profile")</f>
        <v>revenue_profile</v>
      </c>
      <c r="P240" s="258"/>
    </row>
    <row r="241">
      <c r="A241" s="257" t="str">
        <f>IFERROR(__xludf.DUMMYFUNCTION("""COMPUTED_VALUE"""),"postpaid_arpu_OC_60days")</f>
        <v>postpaid_arpu_OC_60days</v>
      </c>
      <c r="B241" s="258" t="str">
        <f>IFERROR(__xludf.DUMMYFUNCTION("""COMPUTED_VALUE"""),"Profitability")</f>
        <v>Profitability</v>
      </c>
      <c r="C241" s="258" t="str">
        <f>IFERROR(__xludf.DUMMYFUNCTION("""COMPUTED_VALUE"""),"Non-PII")</f>
        <v>Non-PII</v>
      </c>
      <c r="D241" s="258" t="str">
        <f>IFERROR(__xludf.DUMMYFUNCTION("""COMPUTED_VALUE"""),"Non-PII")</f>
        <v>Non-PII</v>
      </c>
      <c r="E241" s="258" t="str">
        <f>IFERROR(__xludf.DUMMYFUNCTION("""COMPUTED_VALUE"""),"Gets monthly average of one time charge amount of BB postpaid subscriber in the past 60 days")</f>
        <v>Gets monthly average of one time charge amount of BB postpaid subscriber in the past 60 days</v>
      </c>
      <c r="F241" s="258" t="str">
        <f>IFERROR(__xludf.DUMMYFUNCTION("""COMPUTED_VALUE"""),"Derived")</f>
        <v>Derived</v>
      </c>
      <c r="G241" s="258" t="str">
        <f>IFERROR(__xludf.DUMMYFUNCTION("""COMPUTED_VALUE"""),"numeric(21,2)")</f>
        <v>numeric(21,2)</v>
      </c>
      <c r="H241" s="258">
        <f>IFERROR(__xludf.DUMMYFUNCTION("""COMPUTED_VALUE"""),49.5)</f>
        <v>49.5</v>
      </c>
      <c r="I241" s="258" t="str">
        <f>IFERROR(__xludf.DUMMYFUNCTION("""COMPUTED_VALUE"""),"FVT CRM Broadband")</f>
        <v>FVT CRM Broadband</v>
      </c>
      <c r="J241" s="258" t="str">
        <f>IFERROR(__xludf.DUMMYFUNCTION("""COMPUTED_VALUE"""),"Monthly")</f>
        <v>Monthly</v>
      </c>
      <c r="K241" s="258" t="str">
        <f>IFERROR(__xludf.DUMMYFUNCTION("""COMPUTED_VALUE"""),"")</f>
        <v/>
      </c>
      <c r="L241" s="258" t="str">
        <f>IFERROR(__xludf.DUMMYFUNCTION("""COMPUTED_VALUE"""),"GHP, WIRELINE, BAYAN, GLOBE")</f>
        <v>GHP, WIRELINE, BAYAN, GLOBE</v>
      </c>
      <c r="M241" s="258" t="str">
        <f>IFERROR(__xludf.DUMMYFUNCTION("""COMPUTED_VALUE"""),"Consumer, EG, SG, In house")</f>
        <v>Consumer, EG, SG, In house</v>
      </c>
      <c r="N241" s="258" t="str">
        <f>IFERROR(__xludf.DUMMYFUNCTION("""COMPUTED_VALUE"""),"revenue")</f>
        <v>revenue</v>
      </c>
      <c r="O241" s="258" t="str">
        <f>IFERROR(__xludf.DUMMYFUNCTION("""COMPUTED_VALUE"""),"revenue_profile")</f>
        <v>revenue_profile</v>
      </c>
      <c r="P241" s="258"/>
    </row>
    <row r="242">
      <c r="A242" s="257" t="str">
        <f>IFERROR(__xludf.DUMMYFUNCTION("""COMPUTED_VALUE"""),"reload_ave_transaction_count_30days")</f>
        <v>reload_ave_transaction_count_30days</v>
      </c>
      <c r="B242" s="258" t="str">
        <f>IFERROR(__xludf.DUMMYFUNCTION("""COMPUTED_VALUE"""),"Behavioral")</f>
        <v>Behavioral</v>
      </c>
      <c r="C242" s="258" t="str">
        <f>IFERROR(__xludf.DUMMYFUNCTION("""COMPUTED_VALUE"""),"Non-PII")</f>
        <v>Non-PII</v>
      </c>
      <c r="D242" s="258" t="str">
        <f>IFERROR(__xludf.DUMMYFUNCTION("""COMPUTED_VALUE"""),"Non-PII")</f>
        <v>Non-PII</v>
      </c>
      <c r="E242" s="258" t="str">
        <f>IFERROR(__xludf.DUMMYFUNCTION("""COMPUTED_VALUE"""),"Gets average transaction of subscriber in the past 30 days")</f>
        <v>Gets average transaction of subscriber in the past 30 days</v>
      </c>
      <c r="F242" s="258" t="str">
        <f>IFERROR(__xludf.DUMMYFUNCTION("""COMPUTED_VALUE"""),"Derived")</f>
        <v>Derived</v>
      </c>
      <c r="G242" s="258" t="str">
        <f>IFERROR(__xludf.DUMMYFUNCTION("""COMPUTED_VALUE"""),"integer")</f>
        <v>integer</v>
      </c>
      <c r="H242" s="258">
        <f>IFERROR(__xludf.DUMMYFUNCTION("""COMPUTED_VALUE"""),15.0)</f>
        <v>15</v>
      </c>
      <c r="I242" s="258" t="str">
        <f>IFERROR(__xludf.DUMMYFUNCTION("""COMPUTED_VALUE"""),"AMP")</f>
        <v>AMP</v>
      </c>
      <c r="J242" s="258" t="str">
        <f>IFERROR(__xludf.DUMMYFUNCTION("""COMPUTED_VALUE"""),"Daily")</f>
        <v>Daily</v>
      </c>
      <c r="K242" s="258" t="str">
        <f>IFERROR(__xludf.DUMMYFUNCTION("""COMPUTED_VALUE"""),"")</f>
        <v/>
      </c>
      <c r="L242" s="258" t="str">
        <f>IFERROR(__xludf.DUMMYFUNCTION("""COMPUTED_VALUE"""),"GHP-PREPAID, TM, PW")</f>
        <v>GHP-PREPAID, TM, PW</v>
      </c>
      <c r="M242" s="258" t="str">
        <f>IFERROR(__xludf.DUMMYFUNCTION("""COMPUTED_VALUE"""),"Consumer, EG, SG, IBG Traveler")</f>
        <v>Consumer, EG, SG, IBG Traveler</v>
      </c>
      <c r="N242" s="258" t="str">
        <f>IFERROR(__xludf.DUMMYFUNCTION("""COMPUTED_VALUE"""),"reload")</f>
        <v>reload</v>
      </c>
      <c r="O242" s="258" t="str">
        <f>IFERROR(__xludf.DUMMYFUNCTION("""COMPUTED_VALUE"""),"reload_profile")</f>
        <v>reload_profile</v>
      </c>
      <c r="P242" s="258"/>
    </row>
    <row r="243">
      <c r="A243" s="257" t="str">
        <f>IFERROR(__xludf.DUMMYFUNCTION("""COMPUTED_VALUE"""),"reload_ave_transaction_count_60days")</f>
        <v>reload_ave_transaction_count_60days</v>
      </c>
      <c r="B243" s="258" t="str">
        <f>IFERROR(__xludf.DUMMYFUNCTION("""COMPUTED_VALUE"""),"Behavioral")</f>
        <v>Behavioral</v>
      </c>
      <c r="C243" s="258" t="str">
        <f>IFERROR(__xludf.DUMMYFUNCTION("""COMPUTED_VALUE"""),"Non-PII")</f>
        <v>Non-PII</v>
      </c>
      <c r="D243" s="258" t="str">
        <f>IFERROR(__xludf.DUMMYFUNCTION("""COMPUTED_VALUE"""),"Non-PII")</f>
        <v>Non-PII</v>
      </c>
      <c r="E243" s="258" t="str">
        <f>IFERROR(__xludf.DUMMYFUNCTION("""COMPUTED_VALUE"""),"Gets average transaction of subscriber in the past 2 months")</f>
        <v>Gets average transaction of subscriber in the past 2 months</v>
      </c>
      <c r="F243" s="258" t="str">
        <f>IFERROR(__xludf.DUMMYFUNCTION("""COMPUTED_VALUE"""),"Derived")</f>
        <v>Derived</v>
      </c>
      <c r="G243" s="258" t="str">
        <f>IFERROR(__xludf.DUMMYFUNCTION("""COMPUTED_VALUE"""),"integer")</f>
        <v>integer</v>
      </c>
      <c r="H243" s="258">
        <f>IFERROR(__xludf.DUMMYFUNCTION("""COMPUTED_VALUE"""),15.0)</f>
        <v>15</v>
      </c>
      <c r="I243" s="258" t="str">
        <f>IFERROR(__xludf.DUMMYFUNCTION("""COMPUTED_VALUE"""),"AMP")</f>
        <v>AMP</v>
      </c>
      <c r="J243" s="258" t="str">
        <f>IFERROR(__xludf.DUMMYFUNCTION("""COMPUTED_VALUE"""),"Daily")</f>
        <v>Daily</v>
      </c>
      <c r="K243" s="258" t="str">
        <f>IFERROR(__xludf.DUMMYFUNCTION("""COMPUTED_VALUE"""),"")</f>
        <v/>
      </c>
      <c r="L243" s="258" t="str">
        <f>IFERROR(__xludf.DUMMYFUNCTION("""COMPUTED_VALUE"""),"GHP-PREPAID, TM, PW")</f>
        <v>GHP-PREPAID, TM, PW</v>
      </c>
      <c r="M243" s="258" t="str">
        <f>IFERROR(__xludf.DUMMYFUNCTION("""COMPUTED_VALUE"""),"Consumer, EG, SG, IBG Traveler")</f>
        <v>Consumer, EG, SG, IBG Traveler</v>
      </c>
      <c r="N243" s="258" t="str">
        <f>IFERROR(__xludf.DUMMYFUNCTION("""COMPUTED_VALUE"""),"reload")</f>
        <v>reload</v>
      </c>
      <c r="O243" s="258" t="str">
        <f>IFERROR(__xludf.DUMMYFUNCTION("""COMPUTED_VALUE"""),"reload_profile")</f>
        <v>reload_profile</v>
      </c>
      <c r="P243" s="258"/>
    </row>
    <row r="244">
      <c r="A244" s="257" t="str">
        <f>IFERROR(__xludf.DUMMYFUNCTION("""COMPUTED_VALUE"""),"reload_ave_transaction_count_90days")</f>
        <v>reload_ave_transaction_count_90days</v>
      </c>
      <c r="B244" s="258" t="str">
        <f>IFERROR(__xludf.DUMMYFUNCTION("""COMPUTED_VALUE"""),"Behavioral")</f>
        <v>Behavioral</v>
      </c>
      <c r="C244" s="258" t="str">
        <f>IFERROR(__xludf.DUMMYFUNCTION("""COMPUTED_VALUE"""),"Non-PII")</f>
        <v>Non-PII</v>
      </c>
      <c r="D244" s="258" t="str">
        <f>IFERROR(__xludf.DUMMYFUNCTION("""COMPUTED_VALUE"""),"Non-PII")</f>
        <v>Non-PII</v>
      </c>
      <c r="E244" s="258" t="str">
        <f>IFERROR(__xludf.DUMMYFUNCTION("""COMPUTED_VALUE"""),"Gets average transaction of subscriber in the past 3 months")</f>
        <v>Gets average transaction of subscriber in the past 3 months</v>
      </c>
      <c r="F244" s="258" t="str">
        <f>IFERROR(__xludf.DUMMYFUNCTION("""COMPUTED_VALUE"""),"Derived")</f>
        <v>Derived</v>
      </c>
      <c r="G244" s="258" t="str">
        <f>IFERROR(__xludf.DUMMYFUNCTION("""COMPUTED_VALUE"""),"integer")</f>
        <v>integer</v>
      </c>
      <c r="H244" s="258">
        <f>IFERROR(__xludf.DUMMYFUNCTION("""COMPUTED_VALUE"""),15.0)</f>
        <v>15</v>
      </c>
      <c r="I244" s="258" t="str">
        <f>IFERROR(__xludf.DUMMYFUNCTION("""COMPUTED_VALUE"""),"AMP")</f>
        <v>AMP</v>
      </c>
      <c r="J244" s="258" t="str">
        <f>IFERROR(__xludf.DUMMYFUNCTION("""COMPUTED_VALUE"""),"Daily")</f>
        <v>Daily</v>
      </c>
      <c r="K244" s="258" t="str">
        <f>IFERROR(__xludf.DUMMYFUNCTION("""COMPUTED_VALUE"""),"")</f>
        <v/>
      </c>
      <c r="L244" s="258" t="str">
        <f>IFERROR(__xludf.DUMMYFUNCTION("""COMPUTED_VALUE"""),"GHP-PREPAID, TM, PW")</f>
        <v>GHP-PREPAID, TM, PW</v>
      </c>
      <c r="M244" s="258" t="str">
        <f>IFERROR(__xludf.DUMMYFUNCTION("""COMPUTED_VALUE"""),"Consumer, EG, SG, IBG Traveler")</f>
        <v>Consumer, EG, SG, IBG Traveler</v>
      </c>
      <c r="N244" s="258" t="str">
        <f>IFERROR(__xludf.DUMMYFUNCTION("""COMPUTED_VALUE"""),"reload")</f>
        <v>reload</v>
      </c>
      <c r="O244" s="258" t="str">
        <f>IFERROR(__xludf.DUMMYFUNCTION("""COMPUTED_VALUE"""),"reload_profile")</f>
        <v>reload_profile</v>
      </c>
      <c r="P244" s="258"/>
    </row>
    <row r="245">
      <c r="A245" s="257" t="str">
        <f>IFERROR(__xludf.DUMMYFUNCTION("""COMPUTED_VALUE"""),"derived_age_number")</f>
        <v>derived_age_number</v>
      </c>
      <c r="B245" s="258" t="str">
        <f>IFERROR(__xludf.DUMMYFUNCTION("""COMPUTED_VALUE"""),"Customer PII")</f>
        <v>Customer PII</v>
      </c>
      <c r="C245" s="258" t="str">
        <f>IFERROR(__xludf.DUMMYFUNCTION("""COMPUTED_VALUE"""),"Non-PII")</f>
        <v>Non-PII</v>
      </c>
      <c r="D245" s="258" t="str">
        <f>IFERROR(__xludf.DUMMYFUNCTION("""COMPUTED_VALUE"""),"Non-PII")</f>
        <v>Non-PII</v>
      </c>
      <c r="E245" s="258" t="str">
        <f>IFERROR(__xludf.DUMMYFUNCTION("""COMPUTED_VALUE"""),"Subscriber's age calculated from birthdate")</f>
        <v>Subscriber's age calculated from birthdate</v>
      </c>
      <c r="F245" s="258" t="str">
        <f>IFERROR(__xludf.DUMMYFUNCTION("""COMPUTED_VALUE"""),"Direct Pull for Postpaid
Inferred for Prepaid")</f>
        <v>Direct Pull for Postpaid
Inferred for Prepaid</v>
      </c>
      <c r="G245" s="258" t="str">
        <f>IFERROR(__xludf.DUMMYFUNCTION("""COMPUTED_VALUE"""),"integer")</f>
        <v>integer</v>
      </c>
      <c r="H245" s="258">
        <f>IFERROR(__xludf.DUMMYFUNCTION("""COMPUTED_VALUE"""),58.0)</f>
        <v>58</v>
      </c>
      <c r="I245" s="258" t="str">
        <f>IFERROR(__xludf.DUMMYFUNCTION("""COMPUTED_VALUE"""),"EDO-AA")</f>
        <v>EDO-AA</v>
      </c>
      <c r="J245" s="258" t="str">
        <f>IFERROR(__xludf.DUMMYFUNCTION("""COMPUTED_VALUE"""),"Monthly")</f>
        <v>Monthly</v>
      </c>
      <c r="K245" s="258" t="str">
        <f>IFERROR(__xludf.DUMMYFUNCTION("""COMPUTED_VALUE"""),"")</f>
        <v/>
      </c>
      <c r="L245" s="258" t="str">
        <f>IFERROR(__xludf.DUMMYFUNCTION("""COMPUTED_VALUE"""),"GHP, GHP-PREPAID, TM, PW, GOMO, WIRELINE, BAYAN, GLOBE")</f>
        <v>GHP, GHP-PREPAID, TM, PW, GOMO, WIRELINE, BAYAN, GLOBE</v>
      </c>
      <c r="M245" s="258" t="str">
        <f>IFERROR(__xludf.DUMMYFUNCTION("""COMPUTED_VALUE"""),"Consumer, EG, SG, In house, IBG Traveler")</f>
        <v>Consumer, EG, SG, In house, IBG Traveler</v>
      </c>
      <c r="N245" s="258" t="str">
        <f>IFERROR(__xludf.DUMMYFUNCTION("""COMPUTED_VALUE"""),"customer")</f>
        <v>customer</v>
      </c>
      <c r="O245" s="258" t="str">
        <f>IFERROR(__xludf.DUMMYFUNCTION("""COMPUTED_VALUE"""),"customer_profile")</f>
        <v>customer_profile</v>
      </c>
      <c r="P245" s="258"/>
    </row>
    <row r="246">
      <c r="A246" s="257" t="str">
        <f>IFERROR(__xludf.DUMMYFUNCTION("""COMPUTED_VALUE"""),"age_bracket_name")</f>
        <v>age_bracket_name</v>
      </c>
      <c r="B246" s="258" t="str">
        <f>IFERROR(__xludf.DUMMYFUNCTION("""COMPUTED_VALUE"""),"Demographic/Affluence")</f>
        <v>Demographic/Affluence</v>
      </c>
      <c r="C246" s="258" t="str">
        <f>IFERROR(__xludf.DUMMYFUNCTION("""COMPUTED_VALUE"""),"Non-PII")</f>
        <v>Non-PII</v>
      </c>
      <c r="D246" s="258" t="str">
        <f>IFERROR(__xludf.DUMMYFUNCTION("""COMPUTED_VALUE"""),"Non-PII")</f>
        <v>Non-PII</v>
      </c>
      <c r="E246" s="258" t="str">
        <f>IFERROR(__xludf.DUMMYFUNCTION("""COMPUTED_VALUE"""),"Subscriber's age bracket")</f>
        <v>Subscriber's age bracket</v>
      </c>
      <c r="F246" s="258" t="str">
        <f>IFERROR(__xludf.DUMMYFUNCTION("""COMPUTED_VALUE"""),"Direct Pull for Postpaid
Inferred for Prepaid")</f>
        <v>Direct Pull for Postpaid
Inferred for Prepaid</v>
      </c>
      <c r="G246" s="258" t="str">
        <f>IFERROR(__xludf.DUMMYFUNCTION("""COMPUTED_VALUE"""),"varchar(1000)")</f>
        <v>varchar(1000)</v>
      </c>
      <c r="H246" s="258" t="str">
        <f>IFERROR(__xludf.DUMMYFUNCTION("""COMPUTED_VALUE"""),"55-59")</f>
        <v>55-59</v>
      </c>
      <c r="I246" s="258" t="str">
        <f>IFERROR(__xludf.DUMMYFUNCTION("""COMPUTED_VALUE"""),"EDO-AA")</f>
        <v>EDO-AA</v>
      </c>
      <c r="J246" s="258" t="str">
        <f>IFERROR(__xludf.DUMMYFUNCTION("""COMPUTED_VALUE"""),"Monthly")</f>
        <v>Monthly</v>
      </c>
      <c r="K246" s="258" t="str">
        <f>IFERROR(__xludf.DUMMYFUNCTION("""COMPUTED_VALUE"""),"")</f>
        <v/>
      </c>
      <c r="L246" s="258" t="str">
        <f>IFERROR(__xludf.DUMMYFUNCTION("""COMPUTED_VALUE"""),"GHP, GHP-PREPAID, TM, PW, GOMO, WIRELINE, BAYAN, GLOBE")</f>
        <v>GHP, GHP-PREPAID, TM, PW, GOMO, WIRELINE, BAYAN, GLOBE</v>
      </c>
      <c r="M246" s="258" t="str">
        <f>IFERROR(__xludf.DUMMYFUNCTION("""COMPUTED_VALUE"""),"Consumer, EG, SG, In house, IBG Traveler")</f>
        <v>Consumer, EG, SG, In house, IBG Traveler</v>
      </c>
      <c r="N246" s="258" t="str">
        <f>IFERROR(__xludf.DUMMYFUNCTION("""COMPUTED_VALUE"""),"customer")</f>
        <v>customer</v>
      </c>
      <c r="O246" s="258" t="str">
        <f>IFERROR(__xludf.DUMMYFUNCTION("""COMPUTED_VALUE"""),"customer_profile")</f>
        <v>customer_profile</v>
      </c>
      <c r="P246" s="258"/>
    </row>
    <row r="247">
      <c r="A247" s="257" t="str">
        <f>IFERROR(__xludf.DUMMYFUNCTION("""COMPUTED_VALUE"""),"postpaid_arpu_RC_90days")</f>
        <v>postpaid_arpu_RC_90days</v>
      </c>
      <c r="B247" s="258" t="str">
        <f>IFERROR(__xludf.DUMMYFUNCTION("""COMPUTED_VALUE"""),"Profitability")</f>
        <v>Profitability</v>
      </c>
      <c r="C247" s="258" t="str">
        <f>IFERROR(__xludf.DUMMYFUNCTION("""COMPUTED_VALUE"""),"Non-PII")</f>
        <v>Non-PII</v>
      </c>
      <c r="D247" s="258" t="str">
        <f>IFERROR(__xludf.DUMMYFUNCTION("""COMPUTED_VALUE"""),"Non-PII")</f>
        <v>Non-PII</v>
      </c>
      <c r="E247" s="258" t="str">
        <f>IFERROR(__xludf.DUMMYFUNCTION("""COMPUTED_VALUE"""),"Gets monthly average of recurring charge amount of BB postpaid subscriber in the past 90 days")</f>
        <v>Gets monthly average of recurring charge amount of BB postpaid subscriber in the past 90 days</v>
      </c>
      <c r="F247" s="258" t="str">
        <f>IFERROR(__xludf.DUMMYFUNCTION("""COMPUTED_VALUE"""),"Derived")</f>
        <v>Derived</v>
      </c>
      <c r="G247" s="258" t="str">
        <f>IFERROR(__xludf.DUMMYFUNCTION("""COMPUTED_VALUE"""),"numeric(21,2)")</f>
        <v>numeric(21,2)</v>
      </c>
      <c r="H247" s="258">
        <f>IFERROR(__xludf.DUMMYFUNCTION("""COMPUTED_VALUE"""),8437.33)</f>
        <v>8437.33</v>
      </c>
      <c r="I247" s="258" t="str">
        <f>IFERROR(__xludf.DUMMYFUNCTION("""COMPUTED_VALUE"""),"FVT CRM Broadband")</f>
        <v>FVT CRM Broadband</v>
      </c>
      <c r="J247" s="258" t="str">
        <f>IFERROR(__xludf.DUMMYFUNCTION("""COMPUTED_VALUE"""),"Monthly")</f>
        <v>Monthly</v>
      </c>
      <c r="K247" s="258" t="str">
        <f>IFERROR(__xludf.DUMMYFUNCTION("""COMPUTED_VALUE"""),"")</f>
        <v/>
      </c>
      <c r="L247" s="258" t="str">
        <f>IFERROR(__xludf.DUMMYFUNCTION("""COMPUTED_VALUE"""),"GHP, WIRELINE, BAYAN, GLOBE")</f>
        <v>GHP, WIRELINE, BAYAN, GLOBE</v>
      </c>
      <c r="M247" s="258" t="str">
        <f>IFERROR(__xludf.DUMMYFUNCTION("""COMPUTED_VALUE"""),"Consumer, EG, SG, In house")</f>
        <v>Consumer, EG, SG, In house</v>
      </c>
      <c r="N247" s="258" t="str">
        <f>IFERROR(__xludf.DUMMYFUNCTION("""COMPUTED_VALUE"""),"revenue")</f>
        <v>revenue</v>
      </c>
      <c r="O247" s="258" t="str">
        <f>IFERROR(__xludf.DUMMYFUNCTION("""COMPUTED_VALUE"""),"revenue_profile")</f>
        <v>revenue_profile</v>
      </c>
      <c r="P247" s="258"/>
    </row>
    <row r="248">
      <c r="A248" s="257" t="str">
        <f>IFERROR(__xludf.DUMMYFUNCTION("""COMPUTED_VALUE"""),"postpaid_arpu_RC_60days")</f>
        <v>postpaid_arpu_RC_60days</v>
      </c>
      <c r="B248" s="258" t="str">
        <f>IFERROR(__xludf.DUMMYFUNCTION("""COMPUTED_VALUE"""),"Profitability")</f>
        <v>Profitability</v>
      </c>
      <c r="C248" s="258" t="str">
        <f>IFERROR(__xludf.DUMMYFUNCTION("""COMPUTED_VALUE"""),"Non-PII")</f>
        <v>Non-PII</v>
      </c>
      <c r="D248" s="258" t="str">
        <f>IFERROR(__xludf.DUMMYFUNCTION("""COMPUTED_VALUE"""),"Non-PII")</f>
        <v>Non-PII</v>
      </c>
      <c r="E248" s="258" t="str">
        <f>IFERROR(__xludf.DUMMYFUNCTION("""COMPUTED_VALUE"""),"Gets monthly average of recurring charge amount of BB postpaid subscriber in the past 60 days")</f>
        <v>Gets monthly average of recurring charge amount of BB postpaid subscriber in the past 60 days</v>
      </c>
      <c r="F248" s="258" t="str">
        <f>IFERROR(__xludf.DUMMYFUNCTION("""COMPUTED_VALUE"""),"Derived")</f>
        <v>Derived</v>
      </c>
      <c r="G248" s="258" t="str">
        <f>IFERROR(__xludf.DUMMYFUNCTION("""COMPUTED_VALUE"""),"numeric(21,2)")</f>
        <v>numeric(21,2)</v>
      </c>
      <c r="H248" s="258">
        <f>IFERROR(__xludf.DUMMYFUNCTION("""COMPUTED_VALUE"""),998.5)</f>
        <v>998.5</v>
      </c>
      <c r="I248" s="258" t="str">
        <f>IFERROR(__xludf.DUMMYFUNCTION("""COMPUTED_VALUE"""),"FVT CRM Broadband")</f>
        <v>FVT CRM Broadband</v>
      </c>
      <c r="J248" s="258" t="str">
        <f>IFERROR(__xludf.DUMMYFUNCTION("""COMPUTED_VALUE"""),"Monthly")</f>
        <v>Monthly</v>
      </c>
      <c r="K248" s="258" t="str">
        <f>IFERROR(__xludf.DUMMYFUNCTION("""COMPUTED_VALUE"""),"")</f>
        <v/>
      </c>
      <c r="L248" s="258" t="str">
        <f>IFERROR(__xludf.DUMMYFUNCTION("""COMPUTED_VALUE"""),"GHP, WIRELINE, BAYAN, GLOBE")</f>
        <v>GHP, WIRELINE, BAYAN, GLOBE</v>
      </c>
      <c r="M248" s="258" t="str">
        <f>IFERROR(__xludf.DUMMYFUNCTION("""COMPUTED_VALUE"""),"Consumer, EG, SG, In house")</f>
        <v>Consumer, EG, SG, In house</v>
      </c>
      <c r="N248" s="258" t="str">
        <f>IFERROR(__xludf.DUMMYFUNCTION("""COMPUTED_VALUE"""),"revenue")</f>
        <v>revenue</v>
      </c>
      <c r="O248" s="258" t="str">
        <f>IFERROR(__xludf.DUMMYFUNCTION("""COMPUTED_VALUE"""),"revenue_profile")</f>
        <v>revenue_profile</v>
      </c>
      <c r="P248" s="258"/>
    </row>
    <row r="249">
      <c r="A249" s="257" t="str">
        <f>IFERROR(__xludf.DUMMYFUNCTION("""COMPUTED_VALUE"""),"postpaid_arpu_RC_30days")</f>
        <v>postpaid_arpu_RC_30days</v>
      </c>
      <c r="B249" s="258" t="str">
        <f>IFERROR(__xludf.DUMMYFUNCTION("""COMPUTED_VALUE"""),"Profitability")</f>
        <v>Profitability</v>
      </c>
      <c r="C249" s="258" t="str">
        <f>IFERROR(__xludf.DUMMYFUNCTION("""COMPUTED_VALUE"""),"Non-PII")</f>
        <v>Non-PII</v>
      </c>
      <c r="D249" s="258" t="str">
        <f>IFERROR(__xludf.DUMMYFUNCTION("""COMPUTED_VALUE"""),"Non-PII")</f>
        <v>Non-PII</v>
      </c>
      <c r="E249" s="258" t="str">
        <f>IFERROR(__xludf.DUMMYFUNCTION("""COMPUTED_VALUE"""),"Gets sum of recurring charge amount of BB postpaid subscriber in the past 30 days")</f>
        <v>Gets sum of recurring charge amount of BB postpaid subscriber in the past 30 days</v>
      </c>
      <c r="F249" s="258" t="str">
        <f>IFERROR(__xludf.DUMMYFUNCTION("""COMPUTED_VALUE"""),"Derived")</f>
        <v>Derived</v>
      </c>
      <c r="G249" s="258" t="str">
        <f>IFERROR(__xludf.DUMMYFUNCTION("""COMPUTED_VALUE"""),"numeric(21,2)")</f>
        <v>numeric(21,2)</v>
      </c>
      <c r="H249" s="258">
        <f>IFERROR(__xludf.DUMMYFUNCTION("""COMPUTED_VALUE"""),25312.0)</f>
        <v>25312</v>
      </c>
      <c r="I249" s="258" t="str">
        <f>IFERROR(__xludf.DUMMYFUNCTION("""COMPUTED_VALUE"""),"FVT CRM Broadband")</f>
        <v>FVT CRM Broadband</v>
      </c>
      <c r="J249" s="258" t="str">
        <f>IFERROR(__xludf.DUMMYFUNCTION("""COMPUTED_VALUE"""),"Monthly")</f>
        <v>Monthly</v>
      </c>
      <c r="K249" s="258" t="str">
        <f>IFERROR(__xludf.DUMMYFUNCTION("""COMPUTED_VALUE"""),"")</f>
        <v/>
      </c>
      <c r="L249" s="258" t="str">
        <f>IFERROR(__xludf.DUMMYFUNCTION("""COMPUTED_VALUE"""),"GHP, WIRELINE, BAYAN, GLOBE")</f>
        <v>GHP, WIRELINE, BAYAN, GLOBE</v>
      </c>
      <c r="M249" s="258" t="str">
        <f>IFERROR(__xludf.DUMMYFUNCTION("""COMPUTED_VALUE"""),"Consumer, EG, SG, In house")</f>
        <v>Consumer, EG, SG, In house</v>
      </c>
      <c r="N249" s="258" t="str">
        <f>IFERROR(__xludf.DUMMYFUNCTION("""COMPUTED_VALUE"""),"revenue")</f>
        <v>revenue</v>
      </c>
      <c r="O249" s="258" t="str">
        <f>IFERROR(__xludf.DUMMYFUNCTION("""COMPUTED_VALUE"""),"revenue_profile")</f>
        <v>revenue_profile</v>
      </c>
      <c r="P249" s="258"/>
    </row>
    <row r="250">
      <c r="A250" s="257" t="str">
        <f>IFERROR(__xludf.DUMMYFUNCTION("""COMPUTED_VALUE"""),"usage_data_ppu_amount_past_30days")</f>
        <v>usage_data_ppu_amount_past_30days</v>
      </c>
      <c r="B250" s="258" t="str">
        <f>IFERROR(__xludf.DUMMYFUNCTION("""COMPUTED_VALUE"""),"Behavioral")</f>
        <v>Behavioral</v>
      </c>
      <c r="C250" s="258" t="str">
        <f>IFERROR(__xludf.DUMMYFUNCTION("""COMPUTED_VALUE"""),"Non-PII")</f>
        <v>Non-PII</v>
      </c>
      <c r="D250" s="258" t="str">
        <f>IFERROR(__xludf.DUMMYFUNCTION("""COMPUTED_VALUE"""),"Non-PII")</f>
        <v>Non-PII</v>
      </c>
      <c r="E250" s="258" t="str">
        <f>IFERROR(__xludf.DUMMYFUNCTION("""COMPUTED_VALUE"""),"Sum of PPU data spend in the past 30 days")</f>
        <v>Sum of PPU data spend in the past 30 days</v>
      </c>
      <c r="F250" s="258" t="str">
        <f>IFERROR(__xludf.DUMMYFUNCTION("""COMPUTED_VALUE"""),"Derived")</f>
        <v>Derived</v>
      </c>
      <c r="G250" s="258" t="str">
        <f>IFERROR(__xludf.DUMMYFUNCTION("""COMPUTED_VALUE"""),"numeric(21,2)")</f>
        <v>numeric(21,2)</v>
      </c>
      <c r="H250" s="258">
        <f>IFERROR(__xludf.DUMMYFUNCTION("""COMPUTED_VALUE"""),340.0)</f>
        <v>340</v>
      </c>
      <c r="I250" s="258" t="str">
        <f>IFERROR(__xludf.DUMMYFUNCTION("""COMPUTED_VALUE"""),"FVT")</f>
        <v>FVT</v>
      </c>
      <c r="J250" s="258" t="str">
        <f>IFERROR(__xludf.DUMMYFUNCTION("""COMPUTED_VALUE"""),"Daily")</f>
        <v>Daily</v>
      </c>
      <c r="K250" s="258" t="str">
        <f>IFERROR(__xludf.DUMMYFUNCTION("""COMPUTED_VALUE"""),"")</f>
        <v/>
      </c>
      <c r="L250" s="258" t="str">
        <f>IFERROR(__xludf.DUMMYFUNCTION("""COMPUTED_VALUE"""),"GHP, GHP-PREPAID, TM, PW")</f>
        <v>GHP, GHP-PREPAID, TM, PW</v>
      </c>
      <c r="M250" s="258" t="str">
        <f>IFERROR(__xludf.DUMMYFUNCTION("""COMPUTED_VALUE"""),"Consumer, EG, SG, In house, IBG Traveler")</f>
        <v>Consumer, EG, SG, In house, IBG Traveler</v>
      </c>
      <c r="N250" s="258" t="str">
        <f>IFERROR(__xludf.DUMMYFUNCTION("""COMPUTED_VALUE"""),"usage")</f>
        <v>usage</v>
      </c>
      <c r="O250" s="258" t="str">
        <f>IFERROR(__xludf.DUMMYFUNCTION("""COMPUTED_VALUE"""),"usage_profile")</f>
        <v>usage_profile</v>
      </c>
      <c r="P250" s="258"/>
    </row>
    <row r="251">
      <c r="A251" s="257" t="str">
        <f>IFERROR(__xludf.DUMMYFUNCTION("""COMPUTED_VALUE"""),"usage_sms_ppu_amount_past_30days")</f>
        <v>usage_sms_ppu_amount_past_30days</v>
      </c>
      <c r="B251" s="258" t="str">
        <f>IFERROR(__xludf.DUMMYFUNCTION("""COMPUTED_VALUE"""),"Behavioral")</f>
        <v>Behavioral</v>
      </c>
      <c r="C251" s="258" t="str">
        <f>IFERROR(__xludf.DUMMYFUNCTION("""COMPUTED_VALUE"""),"Non-PII")</f>
        <v>Non-PII</v>
      </c>
      <c r="D251" s="258" t="str">
        <f>IFERROR(__xludf.DUMMYFUNCTION("""COMPUTED_VALUE"""),"Non-PII")</f>
        <v>Non-PII</v>
      </c>
      <c r="E251" s="258" t="str">
        <f>IFERROR(__xludf.DUMMYFUNCTION("""COMPUTED_VALUE"""),"Sum of PPU sms spend in the past 30 days")</f>
        <v>Sum of PPU sms spend in the past 30 days</v>
      </c>
      <c r="F251" s="258" t="str">
        <f>IFERROR(__xludf.DUMMYFUNCTION("""COMPUTED_VALUE"""),"Derived")</f>
        <v>Derived</v>
      </c>
      <c r="G251" s="258" t="str">
        <f>IFERROR(__xludf.DUMMYFUNCTION("""COMPUTED_VALUE"""),"numeric(21,2)")</f>
        <v>numeric(21,2)</v>
      </c>
      <c r="H251" s="258">
        <f>IFERROR(__xludf.DUMMYFUNCTION("""COMPUTED_VALUE"""),37.0)</f>
        <v>37</v>
      </c>
      <c r="I251" s="258" t="str">
        <f>IFERROR(__xludf.DUMMYFUNCTION("""COMPUTED_VALUE"""),"FVT")</f>
        <v>FVT</v>
      </c>
      <c r="J251" s="258" t="str">
        <f>IFERROR(__xludf.DUMMYFUNCTION("""COMPUTED_VALUE"""),"Daily")</f>
        <v>Daily</v>
      </c>
      <c r="K251" s="258" t="str">
        <f>IFERROR(__xludf.DUMMYFUNCTION("""COMPUTED_VALUE"""),"")</f>
        <v/>
      </c>
      <c r="L251" s="258" t="str">
        <f>IFERROR(__xludf.DUMMYFUNCTION("""COMPUTED_VALUE"""),"GHP, GHP-PREPAID, TM, PW")</f>
        <v>GHP, GHP-PREPAID, TM, PW</v>
      </c>
      <c r="M251" s="258" t="str">
        <f>IFERROR(__xludf.DUMMYFUNCTION("""COMPUTED_VALUE"""),"Consumer, EG, SG, In house, IBG Traveler")</f>
        <v>Consumer, EG, SG, In house, IBG Traveler</v>
      </c>
      <c r="N251" s="258" t="str">
        <f>IFERROR(__xludf.DUMMYFUNCTION("""COMPUTED_VALUE"""),"usage")</f>
        <v>usage</v>
      </c>
      <c r="O251" s="258" t="str">
        <f>IFERROR(__xludf.DUMMYFUNCTION("""COMPUTED_VALUE"""),"usage_profile")</f>
        <v>usage_profile</v>
      </c>
      <c r="P251" s="258"/>
    </row>
    <row r="252">
      <c r="A252" s="257" t="str">
        <f>IFERROR(__xludf.DUMMYFUNCTION("""COMPUTED_VALUE"""),"usage_voice_ppu_amount_past_30days")</f>
        <v>usage_voice_ppu_amount_past_30days</v>
      </c>
      <c r="B252" s="258" t="str">
        <f>IFERROR(__xludf.DUMMYFUNCTION("""COMPUTED_VALUE"""),"Behavioral")</f>
        <v>Behavioral</v>
      </c>
      <c r="C252" s="258" t="str">
        <f>IFERROR(__xludf.DUMMYFUNCTION("""COMPUTED_VALUE"""),"Non-PII")</f>
        <v>Non-PII</v>
      </c>
      <c r="D252" s="258" t="str">
        <f>IFERROR(__xludf.DUMMYFUNCTION("""COMPUTED_VALUE"""),"Non-PII")</f>
        <v>Non-PII</v>
      </c>
      <c r="E252" s="258" t="str">
        <f>IFERROR(__xludf.DUMMYFUNCTION("""COMPUTED_VALUE"""),"Sum of PPU voice spend in the past 30 days")</f>
        <v>Sum of PPU voice spend in the past 30 days</v>
      </c>
      <c r="F252" s="258" t="str">
        <f>IFERROR(__xludf.DUMMYFUNCTION("""COMPUTED_VALUE"""),"Derived")</f>
        <v>Derived</v>
      </c>
      <c r="G252" s="258" t="str">
        <f>IFERROR(__xludf.DUMMYFUNCTION("""COMPUTED_VALUE"""),"numeric(21,2)")</f>
        <v>numeric(21,2)</v>
      </c>
      <c r="H252" s="258">
        <f>IFERROR(__xludf.DUMMYFUNCTION("""COMPUTED_VALUE"""),73.0)</f>
        <v>73</v>
      </c>
      <c r="I252" s="258" t="str">
        <f>IFERROR(__xludf.DUMMYFUNCTION("""COMPUTED_VALUE"""),"FVT")</f>
        <v>FVT</v>
      </c>
      <c r="J252" s="258" t="str">
        <f>IFERROR(__xludf.DUMMYFUNCTION("""COMPUTED_VALUE"""),"Daily")</f>
        <v>Daily</v>
      </c>
      <c r="K252" s="258" t="str">
        <f>IFERROR(__xludf.DUMMYFUNCTION("""COMPUTED_VALUE"""),"")</f>
        <v/>
      </c>
      <c r="L252" s="258" t="str">
        <f>IFERROR(__xludf.DUMMYFUNCTION("""COMPUTED_VALUE"""),"GHP, GHP-PREPAID, TM, WIRELINE")</f>
        <v>GHP, GHP-PREPAID, TM, WIRELINE</v>
      </c>
      <c r="M252" s="258" t="str">
        <f>IFERROR(__xludf.DUMMYFUNCTION("""COMPUTED_VALUE"""),"Consumer, EG, SG, In house, IBG Traveler")</f>
        <v>Consumer, EG, SG, In house, IBG Traveler</v>
      </c>
      <c r="N252" s="258" t="str">
        <f>IFERROR(__xludf.DUMMYFUNCTION("""COMPUTED_VALUE"""),"usage")</f>
        <v>usage</v>
      </c>
      <c r="O252" s="258" t="str">
        <f>IFERROR(__xludf.DUMMYFUNCTION("""COMPUTED_VALUE"""),"usage_profile")</f>
        <v>usage_profile</v>
      </c>
      <c r="P252" s="258"/>
    </row>
    <row r="253">
      <c r="A253" s="257" t="str">
        <f>IFERROR(__xludf.DUMMYFUNCTION("""COMPUTED_VALUE"""),"reload_transaction_count_past_30days")</f>
        <v>reload_transaction_count_past_30days</v>
      </c>
      <c r="B253" s="258" t="str">
        <f>IFERROR(__xludf.DUMMYFUNCTION("""COMPUTED_VALUE"""),"Behavioral")</f>
        <v>Behavioral</v>
      </c>
      <c r="C253" s="258" t="str">
        <f>IFERROR(__xludf.DUMMYFUNCTION("""COMPUTED_VALUE"""),"Non-PII")</f>
        <v>Non-PII</v>
      </c>
      <c r="D253" s="258" t="str">
        <f>IFERROR(__xludf.DUMMYFUNCTION("""COMPUTED_VALUE"""),"Non-PII")</f>
        <v>Non-PII</v>
      </c>
      <c r="E253" s="258" t="str">
        <f>IFERROR(__xludf.DUMMYFUNCTION("""COMPUTED_VALUE"""),"Count of top-up transactions within 30 days")</f>
        <v>Count of top-up transactions within 30 days</v>
      </c>
      <c r="F253" s="258" t="str">
        <f>IFERROR(__xludf.DUMMYFUNCTION("""COMPUTED_VALUE"""),"Derived")</f>
        <v>Derived</v>
      </c>
      <c r="G253" s="258" t="str">
        <f>IFERROR(__xludf.DUMMYFUNCTION("""COMPUTED_VALUE"""),"integer")</f>
        <v>integer</v>
      </c>
      <c r="H253" s="258">
        <f>IFERROR(__xludf.DUMMYFUNCTION("""COMPUTED_VALUE"""),1.0)</f>
        <v>1</v>
      </c>
      <c r="I253" s="258" t="str">
        <f>IFERROR(__xludf.DUMMYFUNCTION("""COMPUTED_VALUE"""),"AMP")</f>
        <v>AMP</v>
      </c>
      <c r="J253" s="258" t="str">
        <f>IFERROR(__xludf.DUMMYFUNCTION("""COMPUTED_VALUE"""),"Daily")</f>
        <v>Daily</v>
      </c>
      <c r="K253" s="258" t="str">
        <f>IFERROR(__xludf.DUMMYFUNCTION("""COMPUTED_VALUE"""),"")</f>
        <v/>
      </c>
      <c r="L253" s="258" t="str">
        <f>IFERROR(__xludf.DUMMYFUNCTION("""COMPUTED_VALUE"""),"GHP-PREPAID, TM, PW")</f>
        <v>GHP-PREPAID, TM, PW</v>
      </c>
      <c r="M253" s="258" t="str">
        <f>IFERROR(__xludf.DUMMYFUNCTION("""COMPUTED_VALUE"""),"Consumer, EG, SG, IBG Traveler")</f>
        <v>Consumer, EG, SG, IBG Traveler</v>
      </c>
      <c r="N253" s="258" t="str">
        <f>IFERROR(__xludf.DUMMYFUNCTION("""COMPUTED_VALUE"""),"reload")</f>
        <v>reload</v>
      </c>
      <c r="O253" s="258" t="str">
        <f>IFERROR(__xludf.DUMMYFUNCTION("""COMPUTED_VALUE"""),"reload_profile")</f>
        <v>reload_profile</v>
      </c>
      <c r="P253" s="258"/>
    </row>
    <row r="254">
      <c r="A254" s="257" t="str">
        <f>IFERROR(__xludf.DUMMYFUNCTION("""COMPUTED_VALUE"""),"reload_transaction_count_past_60days")</f>
        <v>reload_transaction_count_past_60days</v>
      </c>
      <c r="B254" s="258" t="str">
        <f>IFERROR(__xludf.DUMMYFUNCTION("""COMPUTED_VALUE"""),"Behavioral")</f>
        <v>Behavioral</v>
      </c>
      <c r="C254" s="258" t="str">
        <f>IFERROR(__xludf.DUMMYFUNCTION("""COMPUTED_VALUE"""),"Non-PII")</f>
        <v>Non-PII</v>
      </c>
      <c r="D254" s="258" t="str">
        <f>IFERROR(__xludf.DUMMYFUNCTION("""COMPUTED_VALUE"""),"Non-PII")</f>
        <v>Non-PII</v>
      </c>
      <c r="E254" s="258" t="str">
        <f>IFERROR(__xludf.DUMMYFUNCTION("""COMPUTED_VALUE"""),"Count of top-up transactions within 60 days")</f>
        <v>Count of top-up transactions within 60 days</v>
      </c>
      <c r="F254" s="258" t="str">
        <f>IFERROR(__xludf.DUMMYFUNCTION("""COMPUTED_VALUE"""),"Derived")</f>
        <v>Derived</v>
      </c>
      <c r="G254" s="258" t="str">
        <f>IFERROR(__xludf.DUMMYFUNCTION("""COMPUTED_VALUE"""),"integer")</f>
        <v>integer</v>
      </c>
      <c r="H254" s="258">
        <f>IFERROR(__xludf.DUMMYFUNCTION("""COMPUTED_VALUE"""),4.0)</f>
        <v>4</v>
      </c>
      <c r="I254" s="258" t="str">
        <f>IFERROR(__xludf.DUMMYFUNCTION("""COMPUTED_VALUE"""),"AMP")</f>
        <v>AMP</v>
      </c>
      <c r="J254" s="258" t="str">
        <f>IFERROR(__xludf.DUMMYFUNCTION("""COMPUTED_VALUE"""),"Daily")</f>
        <v>Daily</v>
      </c>
      <c r="K254" s="258" t="str">
        <f>IFERROR(__xludf.DUMMYFUNCTION("""COMPUTED_VALUE"""),"")</f>
        <v/>
      </c>
      <c r="L254" s="258" t="str">
        <f>IFERROR(__xludf.DUMMYFUNCTION("""COMPUTED_VALUE"""),"GHP-PREPAID, TM, PW")</f>
        <v>GHP-PREPAID, TM, PW</v>
      </c>
      <c r="M254" s="258" t="str">
        <f>IFERROR(__xludf.DUMMYFUNCTION("""COMPUTED_VALUE"""),"Consumer, EG, SG, IBG Traveler")</f>
        <v>Consumer, EG, SG, IBG Traveler</v>
      </c>
      <c r="N254" s="258" t="str">
        <f>IFERROR(__xludf.DUMMYFUNCTION("""COMPUTED_VALUE"""),"reload")</f>
        <v>reload</v>
      </c>
      <c r="O254" s="258" t="str">
        <f>IFERROR(__xludf.DUMMYFUNCTION("""COMPUTED_VALUE"""),"reload_profile")</f>
        <v>reload_profile</v>
      </c>
      <c r="P254" s="258"/>
    </row>
    <row r="255">
      <c r="A255" s="257" t="str">
        <f>IFERROR(__xludf.DUMMYFUNCTION("""COMPUTED_VALUE"""),"reload_transaction_count_past_90days")</f>
        <v>reload_transaction_count_past_90days</v>
      </c>
      <c r="B255" s="258" t="str">
        <f>IFERROR(__xludf.DUMMYFUNCTION("""COMPUTED_VALUE"""),"Behavioral")</f>
        <v>Behavioral</v>
      </c>
      <c r="C255" s="258" t="str">
        <f>IFERROR(__xludf.DUMMYFUNCTION("""COMPUTED_VALUE"""),"Non-PII")</f>
        <v>Non-PII</v>
      </c>
      <c r="D255" s="258" t="str">
        <f>IFERROR(__xludf.DUMMYFUNCTION("""COMPUTED_VALUE"""),"Non-PII")</f>
        <v>Non-PII</v>
      </c>
      <c r="E255" s="258" t="str">
        <f>IFERROR(__xludf.DUMMYFUNCTION("""COMPUTED_VALUE"""),"Count of top-up transactions within 90 days")</f>
        <v>Count of top-up transactions within 90 days</v>
      </c>
      <c r="F255" s="258" t="str">
        <f>IFERROR(__xludf.DUMMYFUNCTION("""COMPUTED_VALUE"""),"Derived")</f>
        <v>Derived</v>
      </c>
      <c r="G255" s="258" t="str">
        <f>IFERROR(__xludf.DUMMYFUNCTION("""COMPUTED_VALUE"""),"integer")</f>
        <v>integer</v>
      </c>
      <c r="H255" s="258">
        <f>IFERROR(__xludf.DUMMYFUNCTION("""COMPUTED_VALUE"""),6.0)</f>
        <v>6</v>
      </c>
      <c r="I255" s="258" t="str">
        <f>IFERROR(__xludf.DUMMYFUNCTION("""COMPUTED_VALUE"""),"AMP")</f>
        <v>AMP</v>
      </c>
      <c r="J255" s="258" t="str">
        <f>IFERROR(__xludf.DUMMYFUNCTION("""COMPUTED_VALUE"""),"Daily")</f>
        <v>Daily</v>
      </c>
      <c r="K255" s="258" t="str">
        <f>IFERROR(__xludf.DUMMYFUNCTION("""COMPUTED_VALUE"""),"")</f>
        <v/>
      </c>
      <c r="L255" s="258" t="str">
        <f>IFERROR(__xludf.DUMMYFUNCTION("""COMPUTED_VALUE"""),"GHP-PREPAID, TM, PW")</f>
        <v>GHP-PREPAID, TM, PW</v>
      </c>
      <c r="M255" s="258" t="str">
        <f>IFERROR(__xludf.DUMMYFUNCTION("""COMPUTED_VALUE"""),"Consumer, EG, SG, IBG Traveler")</f>
        <v>Consumer, EG, SG, IBG Traveler</v>
      </c>
      <c r="N255" s="258" t="str">
        <f>IFERROR(__xludf.DUMMYFUNCTION("""COMPUTED_VALUE"""),"reload")</f>
        <v>reload</v>
      </c>
      <c r="O255" s="258" t="str">
        <f>IFERROR(__xludf.DUMMYFUNCTION("""COMPUTED_VALUE"""),"reload_profile")</f>
        <v>reload_profile</v>
      </c>
      <c r="P255" s="258"/>
    </row>
    <row r="256">
      <c r="A256" s="257" t="str">
        <f>IFERROR(__xludf.DUMMYFUNCTION("""COMPUTED_VALUE"""),"postpaid_arpu_90days")</f>
        <v>postpaid_arpu_90days</v>
      </c>
      <c r="B256" s="258" t="str">
        <f>IFERROR(__xludf.DUMMYFUNCTION("""COMPUTED_VALUE"""),"Profitability")</f>
        <v>Profitability</v>
      </c>
      <c r="C256" s="258" t="str">
        <f>IFERROR(__xludf.DUMMYFUNCTION("""COMPUTED_VALUE"""),"Non-PII")</f>
        <v>Non-PII</v>
      </c>
      <c r="D256" s="258" t="str">
        <f>IFERROR(__xludf.DUMMYFUNCTION("""COMPUTED_VALUE"""),"Non-PII")</f>
        <v>Non-PII</v>
      </c>
      <c r="E256" s="258" t="str">
        <f>IFERROR(__xludf.DUMMYFUNCTION("""COMPUTED_VALUE"""),"90 days Average Revenue Per User (ARPU) of subscriber")</f>
        <v>90 days Average Revenue Per User (ARPU) of subscriber</v>
      </c>
      <c r="F256" s="258" t="str">
        <f>IFERROR(__xludf.DUMMYFUNCTION("""COMPUTED_VALUE"""),"Derived")</f>
        <v>Derived</v>
      </c>
      <c r="G256" s="258" t="str">
        <f>IFERROR(__xludf.DUMMYFUNCTION("""COMPUTED_VALUE"""),"numeric(21,2)")</f>
        <v>numeric(21,2)</v>
      </c>
      <c r="H256" s="258">
        <f>IFERROR(__xludf.DUMMYFUNCTION("""COMPUTED_VALUE"""),932.0)</f>
        <v>932</v>
      </c>
      <c r="I256" s="258" t="str">
        <f>IFERROR(__xludf.DUMMYFUNCTION("""COMPUTED_VALUE"""),"FVT CRM Broadband")</f>
        <v>FVT CRM Broadband</v>
      </c>
      <c r="J256" s="258" t="str">
        <f>IFERROR(__xludf.DUMMYFUNCTION("""COMPUTED_VALUE"""),"Monthly")</f>
        <v>Monthly</v>
      </c>
      <c r="K256" s="258" t="str">
        <f>IFERROR(__xludf.DUMMYFUNCTION("""COMPUTED_VALUE"""),"")</f>
        <v/>
      </c>
      <c r="L256" s="258" t="str">
        <f>IFERROR(__xludf.DUMMYFUNCTION("""COMPUTED_VALUE"""),"GHP, WIRELINE, BAYAN, GLOBE")</f>
        <v>GHP, WIRELINE, BAYAN, GLOBE</v>
      </c>
      <c r="M256" s="258" t="str">
        <f>IFERROR(__xludf.DUMMYFUNCTION("""COMPUTED_VALUE"""),"Consumer, EG, SG, In house")</f>
        <v>Consumer, EG, SG, In house</v>
      </c>
      <c r="N256" s="258" t="str">
        <f>IFERROR(__xludf.DUMMYFUNCTION("""COMPUTED_VALUE"""),"revenue")</f>
        <v>revenue</v>
      </c>
      <c r="O256" s="258" t="str">
        <f>IFERROR(__xludf.DUMMYFUNCTION("""COMPUTED_VALUE"""),"revenue_profile")</f>
        <v>revenue_profile</v>
      </c>
      <c r="P256" s="258"/>
    </row>
    <row r="257">
      <c r="A257" s="257" t="str">
        <f>IFERROR(__xludf.DUMMYFUNCTION("""COMPUTED_VALUE"""),"postpaid_arpu_UC_90days")</f>
        <v>postpaid_arpu_UC_90days</v>
      </c>
      <c r="B257" s="258" t="str">
        <f>IFERROR(__xludf.DUMMYFUNCTION("""COMPUTED_VALUE"""),"Profitability")</f>
        <v>Profitability</v>
      </c>
      <c r="C257" s="258" t="str">
        <f>IFERROR(__xludf.DUMMYFUNCTION("""COMPUTED_VALUE"""),"Non-PII")</f>
        <v>Non-PII</v>
      </c>
      <c r="D257" s="258" t="str">
        <f>IFERROR(__xludf.DUMMYFUNCTION("""COMPUTED_VALUE"""),"Non-PII")</f>
        <v>Non-PII</v>
      </c>
      <c r="E257" s="258" t="str">
        <f>IFERROR(__xludf.DUMMYFUNCTION("""COMPUTED_VALUE"""),"Gets monthly average of usage charge amount of BB postpaid subscriber in the past 90 days")</f>
        <v>Gets monthly average of usage charge amount of BB postpaid subscriber in the past 90 days</v>
      </c>
      <c r="F257" s="258" t="str">
        <f>IFERROR(__xludf.DUMMYFUNCTION("""COMPUTED_VALUE"""),"Derived")</f>
        <v>Derived</v>
      </c>
      <c r="G257" s="258" t="str">
        <f>IFERROR(__xludf.DUMMYFUNCTION("""COMPUTED_VALUE"""),"numeric(21,2)")</f>
        <v>numeric(21,2)</v>
      </c>
      <c r="H257" s="258">
        <f>IFERROR(__xludf.DUMMYFUNCTION("""COMPUTED_VALUE"""),51.66)</f>
        <v>51.66</v>
      </c>
      <c r="I257" s="258" t="str">
        <f>IFERROR(__xludf.DUMMYFUNCTION("""COMPUTED_VALUE"""),"FVT CRM Broadband")</f>
        <v>FVT CRM Broadband</v>
      </c>
      <c r="J257" s="258" t="str">
        <f>IFERROR(__xludf.DUMMYFUNCTION("""COMPUTED_VALUE"""),"Monthly")</f>
        <v>Monthly</v>
      </c>
      <c r="K257" s="258" t="str">
        <f>IFERROR(__xludf.DUMMYFUNCTION("""COMPUTED_VALUE"""),"")</f>
        <v/>
      </c>
      <c r="L257" s="258" t="str">
        <f>IFERROR(__xludf.DUMMYFUNCTION("""COMPUTED_VALUE"""),"GHP, WIRELINE, BAYAN, GLOBE")</f>
        <v>GHP, WIRELINE, BAYAN, GLOBE</v>
      </c>
      <c r="M257" s="258" t="str">
        <f>IFERROR(__xludf.DUMMYFUNCTION("""COMPUTED_VALUE"""),"Consumer, EG, SG, In house")</f>
        <v>Consumer, EG, SG, In house</v>
      </c>
      <c r="N257" s="258" t="str">
        <f>IFERROR(__xludf.DUMMYFUNCTION("""COMPUTED_VALUE"""),"revenue")</f>
        <v>revenue</v>
      </c>
      <c r="O257" s="258" t="str">
        <f>IFERROR(__xludf.DUMMYFUNCTION("""COMPUTED_VALUE"""),"revenue_profile")</f>
        <v>revenue_profile</v>
      </c>
      <c r="P257" s="258"/>
    </row>
    <row r="258">
      <c r="A258" s="257" t="str">
        <f>IFERROR(__xludf.DUMMYFUNCTION("""COMPUTED_VALUE"""),"postpaid_arpu_OC_90days")</f>
        <v>postpaid_arpu_OC_90days</v>
      </c>
      <c r="B258" s="258" t="str">
        <f>IFERROR(__xludf.DUMMYFUNCTION("""COMPUTED_VALUE"""),"Profitability")</f>
        <v>Profitability</v>
      </c>
      <c r="C258" s="258" t="str">
        <f>IFERROR(__xludf.DUMMYFUNCTION("""COMPUTED_VALUE"""),"Non-PII")</f>
        <v>Non-PII</v>
      </c>
      <c r="D258" s="258" t="str">
        <f>IFERROR(__xludf.DUMMYFUNCTION("""COMPUTED_VALUE"""),"Non-PII")</f>
        <v>Non-PII</v>
      </c>
      <c r="E258" s="258" t="str">
        <f>IFERROR(__xludf.DUMMYFUNCTION("""COMPUTED_VALUE"""),"Gets monthly average of one time charge amount of BB postpaid subscriber in the past 90 days")</f>
        <v>Gets monthly average of one time charge amount of BB postpaid subscriber in the past 90 days</v>
      </c>
      <c r="F258" s="258" t="str">
        <f>IFERROR(__xludf.DUMMYFUNCTION("""COMPUTED_VALUE"""),"Derived")</f>
        <v>Derived</v>
      </c>
      <c r="G258" s="258" t="str">
        <f>IFERROR(__xludf.DUMMYFUNCTION("""COMPUTED_VALUE"""),"numeric(21,2)")</f>
        <v>numeric(21,2)</v>
      </c>
      <c r="H258" s="258">
        <f>IFERROR(__xludf.DUMMYFUNCTION("""COMPUTED_VALUE"""),33.0)</f>
        <v>33</v>
      </c>
      <c r="I258" s="258" t="str">
        <f>IFERROR(__xludf.DUMMYFUNCTION("""COMPUTED_VALUE"""),"FVT CRM Broadband")</f>
        <v>FVT CRM Broadband</v>
      </c>
      <c r="J258" s="258" t="str">
        <f>IFERROR(__xludf.DUMMYFUNCTION("""COMPUTED_VALUE"""),"Monthly")</f>
        <v>Monthly</v>
      </c>
      <c r="K258" s="258" t="str">
        <f>IFERROR(__xludf.DUMMYFUNCTION("""COMPUTED_VALUE"""),"")</f>
        <v/>
      </c>
      <c r="L258" s="258" t="str">
        <f>IFERROR(__xludf.DUMMYFUNCTION("""COMPUTED_VALUE"""),"GHP, WIRELINE, BAYAN, GLOBE")</f>
        <v>GHP, WIRELINE, BAYAN, GLOBE</v>
      </c>
      <c r="M258" s="258" t="str">
        <f>IFERROR(__xludf.DUMMYFUNCTION("""COMPUTED_VALUE"""),"Consumer, EG, SG, In house")</f>
        <v>Consumer, EG, SG, In house</v>
      </c>
      <c r="N258" s="258" t="str">
        <f>IFERROR(__xludf.DUMMYFUNCTION("""COMPUTED_VALUE"""),"revenue")</f>
        <v>revenue</v>
      </c>
      <c r="O258" s="258" t="str">
        <f>IFERROR(__xludf.DUMMYFUNCTION("""COMPUTED_VALUE"""),"revenue_profile")</f>
        <v>revenue_profile</v>
      </c>
      <c r="P258" s="258"/>
    </row>
    <row r="259">
      <c r="A259" s="257" t="str">
        <f>IFERROR(__xludf.DUMMYFUNCTION("""COMPUTED_VALUE"""),"missed_registration_score")</f>
        <v>missed_registration_score</v>
      </c>
      <c r="B259" s="258" t="str">
        <f>IFERROR(__xludf.DUMMYFUNCTION("""COMPUTED_VALUE"""),"Behavioral")</f>
        <v>Behavioral</v>
      </c>
      <c r="C259" s="258" t="str">
        <f>IFERROR(__xludf.DUMMYFUNCTION("""COMPUTED_VALUE"""),"Non-PII")</f>
        <v>Non-PII</v>
      </c>
      <c r="D259" s="258" t="str">
        <f>IFERROR(__xludf.DUMMYFUNCTION("""COMPUTED_VALUE"""),"Non-PII")</f>
        <v>Non-PII</v>
      </c>
      <c r="E259" s="258" t="str">
        <f>IFERROR(__xludf.DUMMYFUNCTION("""COMPUTED_VALUE"""),"Identify subscribers’ time to register to a promo from the time of top-up;
  Identify subscribers who breach their “usual” threshold.")</f>
        <v>Identify subscribers’ time to register to a promo from the time of top-up;
  Identify subscribers who breach their “usual” threshold.</v>
      </c>
      <c r="F259" s="258" t="str">
        <f>IFERROR(__xludf.DUMMYFUNCTION("""COMPUTED_VALUE"""),"Inferred")</f>
        <v>Inferred</v>
      </c>
      <c r="G259" s="258" t="str">
        <f>IFERROR(__xludf.DUMMYFUNCTION("""COMPUTED_VALUE"""),"numeric(21,2)")</f>
        <v>numeric(21,2)</v>
      </c>
      <c r="H259" s="258">
        <f>IFERROR(__xludf.DUMMYFUNCTION("""COMPUTED_VALUE"""),66.78)</f>
        <v>66.78</v>
      </c>
      <c r="I259" s="258" t="str">
        <f>IFERROR(__xludf.DUMMYFUNCTION("""COMPUTED_VALUE"""),"EDO-AA")</f>
        <v>EDO-AA</v>
      </c>
      <c r="J259" s="258" t="str">
        <f>IFERROR(__xludf.DUMMYFUNCTION("""COMPUTED_VALUE"""),"Monthly")</f>
        <v>Monthly</v>
      </c>
      <c r="K259" s="258" t="str">
        <f>IFERROR(__xludf.DUMMYFUNCTION("""COMPUTED_VALUE"""),"")</f>
        <v/>
      </c>
      <c r="L259" s="258" t="str">
        <f>IFERROR(__xludf.DUMMYFUNCTION("""COMPUTED_VALUE"""),"GHP-PREPAID, TM")</f>
        <v>GHP-PREPAID, TM</v>
      </c>
      <c r="M259" s="258" t="str">
        <f>IFERROR(__xludf.DUMMYFUNCTION("""COMPUTED_VALUE"""),"Consumer")</f>
        <v>Consumer</v>
      </c>
      <c r="N259" s="258" t="str">
        <f>IFERROR(__xludf.DUMMYFUNCTION("""COMPUTED_VALUE"""),"availment")</f>
        <v>availment</v>
      </c>
      <c r="O259" s="258" t="str">
        <f>IFERROR(__xludf.DUMMYFUNCTION("""COMPUTED_VALUE"""),"availment_profile")</f>
        <v>availment_profile</v>
      </c>
      <c r="P259" s="258"/>
    </row>
    <row r="260">
      <c r="A260" s="257" t="str">
        <f>IFERROR(__xludf.DUMMYFUNCTION("""COMPUTED_VALUE"""),"usage_sum_outbound_intra_voice_90days_mins")</f>
        <v>usage_sum_outbound_intra_voice_90days_mins</v>
      </c>
      <c r="B260" s="258" t="str">
        <f>IFERROR(__xludf.DUMMYFUNCTION("""COMPUTED_VALUE"""),"Behavioral")</f>
        <v>Behavioral</v>
      </c>
      <c r="C260" s="258" t="str">
        <f>IFERROR(__xludf.DUMMYFUNCTION("""COMPUTED_VALUE"""),"Non-PII")</f>
        <v>Non-PII</v>
      </c>
      <c r="D260" s="258" t="str">
        <f>IFERROR(__xludf.DUMMYFUNCTION("""COMPUTED_VALUE"""),"Non-PII")</f>
        <v>Non-PII</v>
      </c>
      <c r="E260" s="258" t="str">
        <f>IFERROR(__xludf.DUMMYFUNCTION("""COMPUTED_VALUE"""),"Gets total minutes of call of subscriber under intraconnect network")</f>
        <v>Gets total minutes of call of subscriber under intraconnect network</v>
      </c>
      <c r="F260" s="258" t="str">
        <f>IFERROR(__xludf.DUMMYFUNCTION("""COMPUTED_VALUE"""),"Derived")</f>
        <v>Derived</v>
      </c>
      <c r="G260" s="258" t="str">
        <f>IFERROR(__xludf.DUMMYFUNCTION("""COMPUTED_VALUE"""),"integer")</f>
        <v>integer</v>
      </c>
      <c r="H260" s="258">
        <f>IFERROR(__xludf.DUMMYFUNCTION("""COMPUTED_VALUE"""),289.0)</f>
        <v>289</v>
      </c>
      <c r="I260" s="258" t="str">
        <f>IFERROR(__xludf.DUMMYFUNCTION("""COMPUTED_VALUE"""),"FVT")</f>
        <v>FVT</v>
      </c>
      <c r="J260" s="258" t="str">
        <f>IFERROR(__xludf.DUMMYFUNCTION("""COMPUTED_VALUE"""),"Daily")</f>
        <v>Daily</v>
      </c>
      <c r="K260" s="258" t="str">
        <f>IFERROR(__xludf.DUMMYFUNCTION("""COMPUTED_VALUE"""),"")</f>
        <v/>
      </c>
      <c r="L260" s="258" t="str">
        <f>IFERROR(__xludf.DUMMYFUNCTION("""COMPUTED_VALUE"""),"GHP, GHP-PREPAID, TM, PW, WIRELINE")</f>
        <v>GHP, GHP-PREPAID, TM, PW, WIRELINE</v>
      </c>
      <c r="M260" s="258" t="str">
        <f>IFERROR(__xludf.DUMMYFUNCTION("""COMPUTED_VALUE"""),"Consumer, EG, SG, In house, IBG Traveler")</f>
        <v>Consumer, EG, SG, In house, IBG Traveler</v>
      </c>
      <c r="N260" s="258" t="str">
        <f>IFERROR(__xludf.DUMMYFUNCTION("""COMPUTED_VALUE"""),"usage")</f>
        <v>usage</v>
      </c>
      <c r="O260" s="258" t="str">
        <f>IFERROR(__xludf.DUMMYFUNCTION("""COMPUTED_VALUE"""),"usage_profile")</f>
        <v>usage_profile</v>
      </c>
      <c r="P260" s="258"/>
    </row>
    <row r="261">
      <c r="A261" s="257" t="str">
        <f>IFERROR(__xludf.DUMMYFUNCTION("""COMPUTED_VALUE"""),"availment_combo_bundle_exp_date_past_30days")</f>
        <v>availment_combo_bundle_exp_date_past_30days</v>
      </c>
      <c r="B261" s="258" t="str">
        <f>IFERROR(__xludf.DUMMYFUNCTION("""COMPUTED_VALUE"""),"Campaign History")</f>
        <v>Campaign History</v>
      </c>
      <c r="C261" s="258" t="str">
        <f>IFERROR(__xludf.DUMMYFUNCTION("""COMPUTED_VALUE"""),"Non-PII")</f>
        <v>Non-PII</v>
      </c>
      <c r="D261" s="258" t="str">
        <f>IFERROR(__xludf.DUMMYFUNCTION("""COMPUTED_VALUE"""),"Non-PII")</f>
        <v>Non-PII</v>
      </c>
      <c r="E261" s="258" t="str">
        <f>IFERROR(__xludf.DUMMYFUNCTION("""COMPUTED_VALUE"""),"Last combo promo expiration date in the past 30 days")</f>
        <v>Last combo promo expiration date in the past 30 days</v>
      </c>
      <c r="F261" s="258" t="str">
        <f>IFERROR(__xludf.DUMMYFUNCTION("""COMPUTED_VALUE"""),"Derived")</f>
        <v>Derived</v>
      </c>
      <c r="G261" s="258" t="str">
        <f>IFERROR(__xludf.DUMMYFUNCTION("""COMPUTED_VALUE"""),"timestamp")</f>
        <v>timestamp</v>
      </c>
      <c r="H261" s="258">
        <f>IFERROR(__xludf.DUMMYFUNCTION("""COMPUTED_VALUE"""),42354.33333)</f>
        <v>42354.33333</v>
      </c>
      <c r="I261" s="258" t="str">
        <f>IFERROR(__xludf.DUMMYFUNCTION("""COMPUTED_VALUE"""),"FVT")</f>
        <v>FVT</v>
      </c>
      <c r="J261" s="258" t="str">
        <f>IFERROR(__xludf.DUMMYFUNCTION("""COMPUTED_VALUE"""),"Daily")</f>
        <v>Daily</v>
      </c>
      <c r="K261" s="258" t="str">
        <f>IFERROR(__xludf.DUMMYFUNCTION("""COMPUTED_VALUE"""),"")</f>
        <v/>
      </c>
      <c r="L261" s="258" t="str">
        <f>IFERROR(__xludf.DUMMYFUNCTION("""COMPUTED_VALUE"""),"GHP-PREPAID, TM")</f>
        <v>GHP-PREPAID, TM</v>
      </c>
      <c r="M261" s="258" t="str">
        <f>IFERROR(__xludf.DUMMYFUNCTION("""COMPUTED_VALUE"""),"Consumer, EG, SG, IBG Traveler")</f>
        <v>Consumer, EG, SG, IBG Traveler</v>
      </c>
      <c r="N261" s="258" t="str">
        <f>IFERROR(__xludf.DUMMYFUNCTION("""COMPUTED_VALUE"""),"availment")</f>
        <v>availment</v>
      </c>
      <c r="O261" s="258" t="str">
        <f>IFERROR(__xludf.DUMMYFUNCTION("""COMPUTED_VALUE"""),"availment_profile")</f>
        <v>availment_profile</v>
      </c>
      <c r="P261" s="258"/>
    </row>
    <row r="262">
      <c r="A262" s="257" t="str">
        <f>IFERROR(__xludf.DUMMYFUNCTION("""COMPUTED_VALUE"""),"availment_combo_latest_amount_past_30days")</f>
        <v>availment_combo_latest_amount_past_30days</v>
      </c>
      <c r="B262" s="258" t="str">
        <f>IFERROR(__xludf.DUMMYFUNCTION("""COMPUTED_VALUE"""),"Campaign History")</f>
        <v>Campaign History</v>
      </c>
      <c r="C262" s="258" t="str">
        <f>IFERROR(__xludf.DUMMYFUNCTION("""COMPUTED_VALUE"""),"Non-PII")</f>
        <v>Non-PII</v>
      </c>
      <c r="D262" s="258" t="str">
        <f>IFERROR(__xludf.DUMMYFUNCTION("""COMPUTED_VALUE"""),"Non-PII")</f>
        <v>Non-PII</v>
      </c>
      <c r="E262" s="258" t="str">
        <f>IFERROR(__xludf.DUMMYFUNCTION("""COMPUTED_VALUE"""),"Latest amount for combo promo availed in past 30 days")</f>
        <v>Latest amount for combo promo availed in past 30 days</v>
      </c>
      <c r="F262" s="258" t="str">
        <f>IFERROR(__xludf.DUMMYFUNCTION("""COMPUTED_VALUE"""),"Derived")</f>
        <v>Derived</v>
      </c>
      <c r="G262" s="258" t="str">
        <f>IFERROR(__xludf.DUMMYFUNCTION("""COMPUTED_VALUE"""),"numeric(21,2)")</f>
        <v>numeric(21,2)</v>
      </c>
      <c r="H262" s="258">
        <f>IFERROR(__xludf.DUMMYFUNCTION("""COMPUTED_VALUE"""),33.5)</f>
        <v>33.5</v>
      </c>
      <c r="I262" s="258" t="str">
        <f>IFERROR(__xludf.DUMMYFUNCTION("""COMPUTED_VALUE"""),"FVT")</f>
        <v>FVT</v>
      </c>
      <c r="J262" s="258" t="str">
        <f>IFERROR(__xludf.DUMMYFUNCTION("""COMPUTED_VALUE"""),"Daily")</f>
        <v>Daily</v>
      </c>
      <c r="K262" s="258" t="str">
        <f>IFERROR(__xludf.DUMMYFUNCTION("""COMPUTED_VALUE"""),"")</f>
        <v/>
      </c>
      <c r="L262" s="258" t="str">
        <f>IFERROR(__xludf.DUMMYFUNCTION("""COMPUTED_VALUE"""),"GHP-PREPAID, TM")</f>
        <v>GHP-PREPAID, TM</v>
      </c>
      <c r="M262" s="258" t="str">
        <f>IFERROR(__xludf.DUMMYFUNCTION("""COMPUTED_VALUE"""),"Consumer, EG, SG, IBG Traveler")</f>
        <v>Consumer, EG, SG, IBG Traveler</v>
      </c>
      <c r="N262" s="258" t="str">
        <f>IFERROR(__xludf.DUMMYFUNCTION("""COMPUTED_VALUE"""),"availment")</f>
        <v>availment</v>
      </c>
      <c r="O262" s="258" t="str">
        <f>IFERROR(__xludf.DUMMYFUNCTION("""COMPUTED_VALUE"""),"availment_profile")</f>
        <v>availment_profile</v>
      </c>
      <c r="P262" s="258"/>
    </row>
    <row r="263">
      <c r="A263" s="257" t="str">
        <f>IFERROR(__xludf.DUMMYFUNCTION("""COMPUTED_VALUE"""),"availment_combo_latest_date_past_30days")</f>
        <v>availment_combo_latest_date_past_30days</v>
      </c>
      <c r="B263" s="258" t="str">
        <f>IFERROR(__xludf.DUMMYFUNCTION("""COMPUTED_VALUE"""),"Campaign History")</f>
        <v>Campaign History</v>
      </c>
      <c r="C263" s="258" t="str">
        <f>IFERROR(__xludf.DUMMYFUNCTION("""COMPUTED_VALUE"""),"Non-PII")</f>
        <v>Non-PII</v>
      </c>
      <c r="D263" s="258" t="str">
        <f>IFERROR(__xludf.DUMMYFUNCTION("""COMPUTED_VALUE"""),"Non-PII")</f>
        <v>Non-PII</v>
      </c>
      <c r="E263" s="258" t="str">
        <f>IFERROR(__xludf.DUMMYFUNCTION("""COMPUTED_VALUE"""),"Latest date for combo promo availed in past 30 days")</f>
        <v>Latest date for combo promo availed in past 30 days</v>
      </c>
      <c r="F263" s="258" t="str">
        <f>IFERROR(__xludf.DUMMYFUNCTION("""COMPUTED_VALUE"""),"Derived")</f>
        <v>Derived</v>
      </c>
      <c r="G263" s="258" t="str">
        <f>IFERROR(__xludf.DUMMYFUNCTION("""COMPUTED_VALUE"""),"timestamp")</f>
        <v>timestamp</v>
      </c>
      <c r="H263" s="258">
        <f>IFERROR(__xludf.DUMMYFUNCTION("""COMPUTED_VALUE"""),40469.62163)</f>
        <v>40469.62163</v>
      </c>
      <c r="I263" s="258" t="str">
        <f>IFERROR(__xludf.DUMMYFUNCTION("""COMPUTED_VALUE"""),"FVT")</f>
        <v>FVT</v>
      </c>
      <c r="J263" s="258" t="str">
        <f>IFERROR(__xludf.DUMMYFUNCTION("""COMPUTED_VALUE"""),"Daily")</f>
        <v>Daily</v>
      </c>
      <c r="K263" s="258" t="str">
        <f>IFERROR(__xludf.DUMMYFUNCTION("""COMPUTED_VALUE"""),"")</f>
        <v/>
      </c>
      <c r="L263" s="258" t="str">
        <f>IFERROR(__xludf.DUMMYFUNCTION("""COMPUTED_VALUE"""),"GHP-PREPAID, TM")</f>
        <v>GHP-PREPAID, TM</v>
      </c>
      <c r="M263" s="258" t="str">
        <f>IFERROR(__xludf.DUMMYFUNCTION("""COMPUTED_VALUE"""),"Consumer, EG, SG, IBG Traveler")</f>
        <v>Consumer, EG, SG, IBG Traveler</v>
      </c>
      <c r="N263" s="258" t="str">
        <f>IFERROR(__xludf.DUMMYFUNCTION("""COMPUTED_VALUE"""),"availment")</f>
        <v>availment</v>
      </c>
      <c r="O263" s="258" t="str">
        <f>IFERROR(__xludf.DUMMYFUNCTION("""COMPUTED_VALUE"""),"availment_profile")</f>
        <v>availment_profile</v>
      </c>
      <c r="P263" s="258"/>
    </row>
    <row r="264">
      <c r="A264" s="257" t="str">
        <f>IFERROR(__xludf.DUMMYFUNCTION("""COMPUTED_VALUE"""),"availment_combo_spend_past_30days")</f>
        <v>availment_combo_spend_past_30days</v>
      </c>
      <c r="B264" s="258" t="str">
        <f>IFERROR(__xludf.DUMMYFUNCTION("""COMPUTED_VALUE"""),"Campaign History")</f>
        <v>Campaign History</v>
      </c>
      <c r="C264" s="258" t="str">
        <f>IFERROR(__xludf.DUMMYFUNCTION("""COMPUTED_VALUE"""),"Non-PII")</f>
        <v>Non-PII</v>
      </c>
      <c r="D264" s="258" t="str">
        <f>IFERROR(__xludf.DUMMYFUNCTION("""COMPUTED_VALUE"""),"Non-PII")</f>
        <v>Non-PII</v>
      </c>
      <c r="E264" s="258" t="str">
        <f>IFERROR(__xludf.DUMMYFUNCTION("""COMPUTED_VALUE"""),"Sum of spend for combo availment in past 30 days")</f>
        <v>Sum of spend for combo availment in past 30 days</v>
      </c>
      <c r="F264" s="258" t="str">
        <f>IFERROR(__xludf.DUMMYFUNCTION("""COMPUTED_VALUE"""),"Derived")</f>
        <v>Derived</v>
      </c>
      <c r="G264" s="258" t="str">
        <f>IFERROR(__xludf.DUMMYFUNCTION("""COMPUTED_VALUE"""),"numeric(21,2)")</f>
        <v>numeric(21,2)</v>
      </c>
      <c r="H264" s="258">
        <f>IFERROR(__xludf.DUMMYFUNCTION("""COMPUTED_VALUE"""),33.5)</f>
        <v>33.5</v>
      </c>
      <c r="I264" s="258" t="str">
        <f>IFERROR(__xludf.DUMMYFUNCTION("""COMPUTED_VALUE"""),"FVT")</f>
        <v>FVT</v>
      </c>
      <c r="J264" s="258" t="str">
        <f>IFERROR(__xludf.DUMMYFUNCTION("""COMPUTED_VALUE"""),"Daily")</f>
        <v>Daily</v>
      </c>
      <c r="K264" s="258" t="str">
        <f>IFERROR(__xludf.DUMMYFUNCTION("""COMPUTED_VALUE"""),"")</f>
        <v/>
      </c>
      <c r="L264" s="258" t="str">
        <f>IFERROR(__xludf.DUMMYFUNCTION("""COMPUTED_VALUE"""),"GHP-PREPAID, TM")</f>
        <v>GHP-PREPAID, TM</v>
      </c>
      <c r="M264" s="258" t="str">
        <f>IFERROR(__xludf.DUMMYFUNCTION("""COMPUTED_VALUE"""),"Consumer, EG, SG, IBG Traveler")</f>
        <v>Consumer, EG, SG, IBG Traveler</v>
      </c>
      <c r="N264" s="258" t="str">
        <f>IFERROR(__xludf.DUMMYFUNCTION("""COMPUTED_VALUE"""),"availment")</f>
        <v>availment</v>
      </c>
      <c r="O264" s="258" t="str">
        <f>IFERROR(__xludf.DUMMYFUNCTION("""COMPUTED_VALUE"""),"availment_profile")</f>
        <v>availment_profile</v>
      </c>
      <c r="P264" s="258"/>
    </row>
    <row r="265">
      <c r="A265" s="257" t="str">
        <f>IFERROR(__xludf.DUMMYFUNCTION("""COMPUTED_VALUE"""),"availment_data_ave_days_in_between_past_120days")</f>
        <v>availment_data_ave_days_in_between_past_120days</v>
      </c>
      <c r="B265" s="258" t="str">
        <f>IFERROR(__xludf.DUMMYFUNCTION("""COMPUTED_VALUE"""),"Campaign History")</f>
        <v>Campaign History</v>
      </c>
      <c r="C265" s="258" t="str">
        <f>IFERROR(__xludf.DUMMYFUNCTION("""COMPUTED_VALUE"""),"Non-PII")</f>
        <v>Non-PII</v>
      </c>
      <c r="D265" s="258" t="str">
        <f>IFERROR(__xludf.DUMMYFUNCTION("""COMPUTED_VALUE"""),"Non-PII")</f>
        <v>Non-PII</v>
      </c>
      <c r="E265" s="258" t="str">
        <f>IFERROR(__xludf.DUMMYFUNCTION("""COMPUTED_VALUE"""),"Average days in between data promo registration in past 120 days prior to 30days")</f>
        <v>Average days in between data promo registration in past 120 days prior to 30days</v>
      </c>
      <c r="F265" s="258" t="str">
        <f>IFERROR(__xludf.DUMMYFUNCTION("""COMPUTED_VALUE"""),"Derived")</f>
        <v>Derived</v>
      </c>
      <c r="G265" s="258" t="str">
        <f>IFERROR(__xludf.DUMMYFUNCTION("""COMPUTED_VALUE"""),"integer")</f>
        <v>integer</v>
      </c>
      <c r="H265" s="258">
        <f>IFERROR(__xludf.DUMMYFUNCTION("""COMPUTED_VALUE"""),12.0)</f>
        <v>12</v>
      </c>
      <c r="I265" s="258" t="str">
        <f>IFERROR(__xludf.DUMMYFUNCTION("""COMPUTED_VALUE"""),"FVT")</f>
        <v>FVT</v>
      </c>
      <c r="J265" s="258" t="str">
        <f>IFERROR(__xludf.DUMMYFUNCTION("""COMPUTED_VALUE"""),"Daily")</f>
        <v>Daily</v>
      </c>
      <c r="K265" s="258" t="str">
        <f>IFERROR(__xludf.DUMMYFUNCTION("""COMPUTED_VALUE"""),"")</f>
        <v/>
      </c>
      <c r="L265" s="258" t="str">
        <f>IFERROR(__xludf.DUMMYFUNCTION("""COMPUTED_VALUE"""),"GHP-PREPAID, TM, PW")</f>
        <v>GHP-PREPAID, TM, PW</v>
      </c>
      <c r="M265" s="258" t="str">
        <f>IFERROR(__xludf.DUMMYFUNCTION("""COMPUTED_VALUE"""),"Consumer, EG, SG, IBG Traveler")</f>
        <v>Consumer, EG, SG, IBG Traveler</v>
      </c>
      <c r="N265" s="258" t="str">
        <f>IFERROR(__xludf.DUMMYFUNCTION("""COMPUTED_VALUE"""),"availment")</f>
        <v>availment</v>
      </c>
      <c r="O265" s="258" t="str">
        <f>IFERROR(__xludf.DUMMYFUNCTION("""COMPUTED_VALUE"""),"availment_profile")</f>
        <v>availment_profile</v>
      </c>
      <c r="P265" s="258"/>
    </row>
    <row r="266">
      <c r="A266" s="257" t="str">
        <f>IFERROR(__xludf.DUMMYFUNCTION("""COMPUTED_VALUE"""),"availment_data_latest_amount_past_30days")</f>
        <v>availment_data_latest_amount_past_30days</v>
      </c>
      <c r="B266" s="258" t="str">
        <f>IFERROR(__xludf.DUMMYFUNCTION("""COMPUTED_VALUE"""),"Campaign History")</f>
        <v>Campaign History</v>
      </c>
      <c r="C266" s="258" t="str">
        <f>IFERROR(__xludf.DUMMYFUNCTION("""COMPUTED_VALUE"""),"Non-PII")</f>
        <v>Non-PII</v>
      </c>
      <c r="D266" s="258" t="str">
        <f>IFERROR(__xludf.DUMMYFUNCTION("""COMPUTED_VALUE"""),"Non-PII")</f>
        <v>Non-PII</v>
      </c>
      <c r="E266" s="258" t="str">
        <f>IFERROR(__xludf.DUMMYFUNCTION("""COMPUTED_VALUE"""),"Latest amount for data promo availed in past 30 days")</f>
        <v>Latest amount for data promo availed in past 30 days</v>
      </c>
      <c r="F266" s="258" t="str">
        <f>IFERROR(__xludf.DUMMYFUNCTION("""COMPUTED_VALUE"""),"Derived")</f>
        <v>Derived</v>
      </c>
      <c r="G266" s="258" t="str">
        <f>IFERROR(__xludf.DUMMYFUNCTION("""COMPUTED_VALUE"""),"numeric(21,2)")</f>
        <v>numeric(21,2)</v>
      </c>
      <c r="H266" s="258">
        <f>IFERROR(__xludf.DUMMYFUNCTION("""COMPUTED_VALUE"""),33.5)</f>
        <v>33.5</v>
      </c>
      <c r="I266" s="258" t="str">
        <f>IFERROR(__xludf.DUMMYFUNCTION("""COMPUTED_VALUE"""),"FVT")</f>
        <v>FVT</v>
      </c>
      <c r="J266" s="258" t="str">
        <f>IFERROR(__xludf.DUMMYFUNCTION("""COMPUTED_VALUE"""),"Daily")</f>
        <v>Daily</v>
      </c>
      <c r="K266" s="258" t="str">
        <f>IFERROR(__xludf.DUMMYFUNCTION("""COMPUTED_VALUE"""),"")</f>
        <v/>
      </c>
      <c r="L266" s="258" t="str">
        <f>IFERROR(__xludf.DUMMYFUNCTION("""COMPUTED_VALUE"""),"GHP-PREPAID, TM, PW")</f>
        <v>GHP-PREPAID, TM, PW</v>
      </c>
      <c r="M266" s="258" t="str">
        <f>IFERROR(__xludf.DUMMYFUNCTION("""COMPUTED_VALUE"""),"Consumer, EG, SG, IBG Traveler")</f>
        <v>Consumer, EG, SG, IBG Traveler</v>
      </c>
      <c r="N266" s="258" t="str">
        <f>IFERROR(__xludf.DUMMYFUNCTION("""COMPUTED_VALUE"""),"availment")</f>
        <v>availment</v>
      </c>
      <c r="O266" s="258" t="str">
        <f>IFERROR(__xludf.DUMMYFUNCTION("""COMPUTED_VALUE"""),"availment_profile")</f>
        <v>availment_profile</v>
      </c>
      <c r="P266" s="258"/>
    </row>
    <row r="267">
      <c r="A267" s="257" t="str">
        <f>IFERROR(__xludf.DUMMYFUNCTION("""COMPUTED_VALUE"""),"availment_sms_latest_amount_past_30days")</f>
        <v>availment_sms_latest_amount_past_30days</v>
      </c>
      <c r="B267" s="258" t="str">
        <f>IFERROR(__xludf.DUMMYFUNCTION("""COMPUTED_VALUE"""),"Campaign History")</f>
        <v>Campaign History</v>
      </c>
      <c r="C267" s="258" t="str">
        <f>IFERROR(__xludf.DUMMYFUNCTION("""COMPUTED_VALUE"""),"Non-PII")</f>
        <v>Non-PII</v>
      </c>
      <c r="D267" s="258" t="str">
        <f>IFERROR(__xludf.DUMMYFUNCTION("""COMPUTED_VALUE"""),"Non-PII")</f>
        <v>Non-PII</v>
      </c>
      <c r="E267" s="258" t="str">
        <f>IFERROR(__xludf.DUMMYFUNCTION("""COMPUTED_VALUE"""),"Latest amount for sms promo availed in past 30 days")</f>
        <v>Latest amount for sms promo availed in past 30 days</v>
      </c>
      <c r="F267" s="258" t="str">
        <f>IFERROR(__xludf.DUMMYFUNCTION("""COMPUTED_VALUE"""),"Derived")</f>
        <v>Derived</v>
      </c>
      <c r="G267" s="258" t="str">
        <f>IFERROR(__xludf.DUMMYFUNCTION("""COMPUTED_VALUE"""),"numeric(21,2)")</f>
        <v>numeric(21,2)</v>
      </c>
      <c r="H267" s="258">
        <f>IFERROR(__xludf.DUMMYFUNCTION("""COMPUTED_VALUE"""),33.5)</f>
        <v>33.5</v>
      </c>
      <c r="I267" s="258" t="str">
        <f>IFERROR(__xludf.DUMMYFUNCTION("""COMPUTED_VALUE"""),"FVT")</f>
        <v>FVT</v>
      </c>
      <c r="J267" s="258" t="str">
        <f>IFERROR(__xludf.DUMMYFUNCTION("""COMPUTED_VALUE"""),"Daily")</f>
        <v>Daily</v>
      </c>
      <c r="K267" s="258" t="str">
        <f>IFERROR(__xludf.DUMMYFUNCTION("""COMPUTED_VALUE"""),"")</f>
        <v/>
      </c>
      <c r="L267" s="258" t="str">
        <f>IFERROR(__xludf.DUMMYFUNCTION("""COMPUTED_VALUE"""),"GHP-PREPAID, TM")</f>
        <v>GHP-PREPAID, TM</v>
      </c>
      <c r="M267" s="258" t="str">
        <f>IFERROR(__xludf.DUMMYFUNCTION("""COMPUTED_VALUE"""),"Consumer, EG, SG, IBG Traveler")</f>
        <v>Consumer, EG, SG, IBG Traveler</v>
      </c>
      <c r="N267" s="258" t="str">
        <f>IFERROR(__xludf.DUMMYFUNCTION("""COMPUTED_VALUE"""),"availment")</f>
        <v>availment</v>
      </c>
      <c r="O267" s="258" t="str">
        <f>IFERROR(__xludf.DUMMYFUNCTION("""COMPUTED_VALUE"""),"availment_profile")</f>
        <v>availment_profile</v>
      </c>
      <c r="P267" s="258"/>
    </row>
    <row r="268">
      <c r="A268" s="257" t="str">
        <f>IFERROR(__xludf.DUMMYFUNCTION("""COMPUTED_VALUE"""),"availment_sms_latest_date_past_30days")</f>
        <v>availment_sms_latest_date_past_30days</v>
      </c>
      <c r="B268" s="258" t="str">
        <f>IFERROR(__xludf.DUMMYFUNCTION("""COMPUTED_VALUE"""),"Campaign History")</f>
        <v>Campaign History</v>
      </c>
      <c r="C268" s="258" t="str">
        <f>IFERROR(__xludf.DUMMYFUNCTION("""COMPUTED_VALUE"""),"Non-PII")</f>
        <v>Non-PII</v>
      </c>
      <c r="D268" s="258" t="str">
        <f>IFERROR(__xludf.DUMMYFUNCTION("""COMPUTED_VALUE"""),"Non-PII")</f>
        <v>Non-PII</v>
      </c>
      <c r="E268" s="258" t="str">
        <f>IFERROR(__xludf.DUMMYFUNCTION("""COMPUTED_VALUE"""),"Latest date for sms promo availed in past 30 days")</f>
        <v>Latest date for sms promo availed in past 30 days</v>
      </c>
      <c r="F268" s="258" t="str">
        <f>IFERROR(__xludf.DUMMYFUNCTION("""COMPUTED_VALUE"""),"Derived")</f>
        <v>Derived</v>
      </c>
      <c r="G268" s="258" t="str">
        <f>IFERROR(__xludf.DUMMYFUNCTION("""COMPUTED_VALUE"""),"timestamp")</f>
        <v>timestamp</v>
      </c>
      <c r="H268" s="258">
        <f>IFERROR(__xludf.DUMMYFUNCTION("""COMPUTED_VALUE"""),40610.33333)</f>
        <v>40610.33333</v>
      </c>
      <c r="I268" s="258" t="str">
        <f>IFERROR(__xludf.DUMMYFUNCTION("""COMPUTED_VALUE"""),"FVT")</f>
        <v>FVT</v>
      </c>
      <c r="J268" s="258" t="str">
        <f>IFERROR(__xludf.DUMMYFUNCTION("""COMPUTED_VALUE"""),"Daily")</f>
        <v>Daily</v>
      </c>
      <c r="K268" s="258" t="str">
        <f>IFERROR(__xludf.DUMMYFUNCTION("""COMPUTED_VALUE"""),"")</f>
        <v/>
      </c>
      <c r="L268" s="258" t="str">
        <f>IFERROR(__xludf.DUMMYFUNCTION("""COMPUTED_VALUE"""),"GHP-PREPAID, TM")</f>
        <v>GHP-PREPAID, TM</v>
      </c>
      <c r="M268" s="258" t="str">
        <f>IFERROR(__xludf.DUMMYFUNCTION("""COMPUTED_VALUE"""),"Consumer, EG, SG, IBG Traveler")</f>
        <v>Consumer, EG, SG, IBG Traveler</v>
      </c>
      <c r="N268" s="258" t="str">
        <f>IFERROR(__xludf.DUMMYFUNCTION("""COMPUTED_VALUE"""),"availment")</f>
        <v>availment</v>
      </c>
      <c r="O268" s="258" t="str">
        <f>IFERROR(__xludf.DUMMYFUNCTION("""COMPUTED_VALUE"""),"availment_profile")</f>
        <v>availment_profile</v>
      </c>
      <c r="P268" s="258"/>
    </row>
    <row r="269">
      <c r="A269" s="257" t="str">
        <f>IFERROR(__xludf.DUMMYFUNCTION("""COMPUTED_VALUE"""),"availment_voice_bundle_exp_date_past_30days")</f>
        <v>availment_voice_bundle_exp_date_past_30days</v>
      </c>
      <c r="B269" s="258" t="str">
        <f>IFERROR(__xludf.DUMMYFUNCTION("""COMPUTED_VALUE"""),"Campaign History")</f>
        <v>Campaign History</v>
      </c>
      <c r="C269" s="258" t="str">
        <f>IFERROR(__xludf.DUMMYFUNCTION("""COMPUTED_VALUE"""),"Non-PII")</f>
        <v>Non-PII</v>
      </c>
      <c r="D269" s="258" t="str">
        <f>IFERROR(__xludf.DUMMYFUNCTION("""COMPUTED_VALUE"""),"Non-PII")</f>
        <v>Non-PII</v>
      </c>
      <c r="E269" s="258" t="str">
        <f>IFERROR(__xludf.DUMMYFUNCTION("""COMPUTED_VALUE"""),"Latest voice expiration for voice promo availed in past 30 days")</f>
        <v>Latest voice expiration for voice promo availed in past 30 days</v>
      </c>
      <c r="F269" s="258" t="str">
        <f>IFERROR(__xludf.DUMMYFUNCTION("""COMPUTED_VALUE"""),"Derived")</f>
        <v>Derived</v>
      </c>
      <c r="G269" s="258" t="str">
        <f>IFERROR(__xludf.DUMMYFUNCTION("""COMPUTED_VALUE"""),"timestamp")</f>
        <v>timestamp</v>
      </c>
      <c r="H269" s="258">
        <f>IFERROR(__xludf.DUMMYFUNCTION("""COMPUTED_VALUE"""),42354.33333)</f>
        <v>42354.33333</v>
      </c>
      <c r="I269" s="258" t="str">
        <f>IFERROR(__xludf.DUMMYFUNCTION("""COMPUTED_VALUE"""),"FVT")</f>
        <v>FVT</v>
      </c>
      <c r="J269" s="258" t="str">
        <f>IFERROR(__xludf.DUMMYFUNCTION("""COMPUTED_VALUE"""),"Daily")</f>
        <v>Daily</v>
      </c>
      <c r="K269" s="258" t="str">
        <f>IFERROR(__xludf.DUMMYFUNCTION("""COMPUTED_VALUE"""),"")</f>
        <v/>
      </c>
      <c r="L269" s="258" t="str">
        <f>IFERROR(__xludf.DUMMYFUNCTION("""COMPUTED_VALUE"""),"GHP-PREPAID, TM")</f>
        <v>GHP-PREPAID, TM</v>
      </c>
      <c r="M269" s="258" t="str">
        <f>IFERROR(__xludf.DUMMYFUNCTION("""COMPUTED_VALUE"""),"Consumer, EG, SG, IBG Traveler")</f>
        <v>Consumer, EG, SG, IBG Traveler</v>
      </c>
      <c r="N269" s="258" t="str">
        <f>IFERROR(__xludf.DUMMYFUNCTION("""COMPUTED_VALUE"""),"availment")</f>
        <v>availment</v>
      </c>
      <c r="O269" s="258" t="str">
        <f>IFERROR(__xludf.DUMMYFUNCTION("""COMPUTED_VALUE"""),"availment_profile")</f>
        <v>availment_profile</v>
      </c>
      <c r="P269" s="258"/>
    </row>
    <row r="270">
      <c r="A270" s="257" t="str">
        <f>IFERROR(__xludf.DUMMYFUNCTION("""COMPUTED_VALUE"""),"availment_voice_latest_amount_past_30days")</f>
        <v>availment_voice_latest_amount_past_30days</v>
      </c>
      <c r="B270" s="258" t="str">
        <f>IFERROR(__xludf.DUMMYFUNCTION("""COMPUTED_VALUE"""),"Campaign History")</f>
        <v>Campaign History</v>
      </c>
      <c r="C270" s="258" t="str">
        <f>IFERROR(__xludf.DUMMYFUNCTION("""COMPUTED_VALUE"""),"Non-PII")</f>
        <v>Non-PII</v>
      </c>
      <c r="D270" s="258" t="str">
        <f>IFERROR(__xludf.DUMMYFUNCTION("""COMPUTED_VALUE"""),"Non-PII")</f>
        <v>Non-PII</v>
      </c>
      <c r="E270" s="258" t="str">
        <f>IFERROR(__xludf.DUMMYFUNCTION("""COMPUTED_VALUE"""),"Latest amount for voice promo availed in past 30 days")</f>
        <v>Latest amount for voice promo availed in past 30 days</v>
      </c>
      <c r="F270" s="258" t="str">
        <f>IFERROR(__xludf.DUMMYFUNCTION("""COMPUTED_VALUE"""),"Derived")</f>
        <v>Derived</v>
      </c>
      <c r="G270" s="258" t="str">
        <f>IFERROR(__xludf.DUMMYFUNCTION("""COMPUTED_VALUE"""),"numeric(21,2)")</f>
        <v>numeric(21,2)</v>
      </c>
      <c r="H270" s="258">
        <f>IFERROR(__xludf.DUMMYFUNCTION("""COMPUTED_VALUE"""),33.5)</f>
        <v>33.5</v>
      </c>
      <c r="I270" s="258" t="str">
        <f>IFERROR(__xludf.DUMMYFUNCTION("""COMPUTED_VALUE"""),"FVT")</f>
        <v>FVT</v>
      </c>
      <c r="J270" s="258" t="str">
        <f>IFERROR(__xludf.DUMMYFUNCTION("""COMPUTED_VALUE"""),"Daily")</f>
        <v>Daily</v>
      </c>
      <c r="K270" s="258" t="str">
        <f>IFERROR(__xludf.DUMMYFUNCTION("""COMPUTED_VALUE"""),"")</f>
        <v/>
      </c>
      <c r="L270" s="258" t="str">
        <f>IFERROR(__xludf.DUMMYFUNCTION("""COMPUTED_VALUE"""),"GHP-PREPAID, TM")</f>
        <v>GHP-PREPAID, TM</v>
      </c>
      <c r="M270" s="258" t="str">
        <f>IFERROR(__xludf.DUMMYFUNCTION("""COMPUTED_VALUE"""),"Consumer, EG, SG, IBG Traveler")</f>
        <v>Consumer, EG, SG, IBG Traveler</v>
      </c>
      <c r="N270" s="258" t="str">
        <f>IFERROR(__xludf.DUMMYFUNCTION("""COMPUTED_VALUE"""),"availment")</f>
        <v>availment</v>
      </c>
      <c r="O270" s="258" t="str">
        <f>IFERROR(__xludf.DUMMYFUNCTION("""COMPUTED_VALUE"""),"availment_profile")</f>
        <v>availment_profile</v>
      </c>
      <c r="P270" s="258"/>
    </row>
    <row r="271">
      <c r="A271" s="257" t="str">
        <f>IFERROR(__xludf.DUMMYFUNCTION("""COMPUTED_VALUE"""),"availment_voice_latest_date_past_30days")</f>
        <v>availment_voice_latest_date_past_30days</v>
      </c>
      <c r="B271" s="258" t="str">
        <f>IFERROR(__xludf.DUMMYFUNCTION("""COMPUTED_VALUE"""),"Campaign History")</f>
        <v>Campaign History</v>
      </c>
      <c r="C271" s="258" t="str">
        <f>IFERROR(__xludf.DUMMYFUNCTION("""COMPUTED_VALUE"""),"Non-PII")</f>
        <v>Non-PII</v>
      </c>
      <c r="D271" s="258" t="str">
        <f>IFERROR(__xludf.DUMMYFUNCTION("""COMPUTED_VALUE"""),"Non-PII")</f>
        <v>Non-PII</v>
      </c>
      <c r="E271" s="258" t="str">
        <f>IFERROR(__xludf.DUMMYFUNCTION("""COMPUTED_VALUE"""),"Latest date for voice promo availed in past 30 days")</f>
        <v>Latest date for voice promo availed in past 30 days</v>
      </c>
      <c r="F271" s="258" t="str">
        <f>IFERROR(__xludf.DUMMYFUNCTION("""COMPUTED_VALUE"""),"Derived")</f>
        <v>Derived</v>
      </c>
      <c r="G271" s="258" t="str">
        <f>IFERROR(__xludf.DUMMYFUNCTION("""COMPUTED_VALUE"""),"timestamp")</f>
        <v>timestamp</v>
      </c>
      <c r="H271" s="258">
        <f>IFERROR(__xludf.DUMMYFUNCTION("""COMPUTED_VALUE"""),40610.33333)</f>
        <v>40610.33333</v>
      </c>
      <c r="I271" s="258" t="str">
        <f>IFERROR(__xludf.DUMMYFUNCTION("""COMPUTED_VALUE"""),"FVT")</f>
        <v>FVT</v>
      </c>
      <c r="J271" s="258" t="str">
        <f>IFERROR(__xludf.DUMMYFUNCTION("""COMPUTED_VALUE"""),"Daily")</f>
        <v>Daily</v>
      </c>
      <c r="K271" s="258" t="str">
        <f>IFERROR(__xludf.DUMMYFUNCTION("""COMPUTED_VALUE"""),"")</f>
        <v/>
      </c>
      <c r="L271" s="258" t="str">
        <f>IFERROR(__xludf.DUMMYFUNCTION("""COMPUTED_VALUE"""),"GHP-PREPAID, TM")</f>
        <v>GHP-PREPAID, TM</v>
      </c>
      <c r="M271" s="258" t="str">
        <f>IFERROR(__xludf.DUMMYFUNCTION("""COMPUTED_VALUE"""),"Consumer, EG, SG, IBG Traveler")</f>
        <v>Consumer, EG, SG, IBG Traveler</v>
      </c>
      <c r="N271" s="258" t="str">
        <f>IFERROR(__xludf.DUMMYFUNCTION("""COMPUTED_VALUE"""),"availment")</f>
        <v>availment</v>
      </c>
      <c r="O271" s="258" t="str">
        <f>IFERROR(__xludf.DUMMYFUNCTION("""COMPUTED_VALUE"""),"availment_profile")</f>
        <v>availment_profile</v>
      </c>
      <c r="P271" s="258"/>
    </row>
    <row r="272">
      <c r="A272" s="257" t="str">
        <f>IFERROR(__xludf.DUMMYFUNCTION("""COMPUTED_VALUE"""),"handset_type_name")</f>
        <v>handset_type_name</v>
      </c>
      <c r="B272" s="258" t="str">
        <f>IFERROR(__xludf.DUMMYFUNCTION("""COMPUTED_VALUE"""),"Globe ID")</f>
        <v>Globe ID</v>
      </c>
      <c r="C272" s="258" t="str">
        <f>IFERROR(__xludf.DUMMYFUNCTION("""COMPUTED_VALUE"""),"Non-PII")</f>
        <v>Non-PII</v>
      </c>
      <c r="D272" s="258" t="str">
        <f>IFERROR(__xludf.DUMMYFUNCTION("""COMPUTED_VALUE"""),"Non-PII")</f>
        <v>Non-PII</v>
      </c>
      <c r="E272" s="258" t="str">
        <f>IFERROR(__xludf.DUMMYFUNCTION("""COMPUTED_VALUE"""),"Type of latest device used based on sms, voice and data usages for past 90 days")</f>
        <v>Type of latest device used based on sms, voice and data usages for past 90 days</v>
      </c>
      <c r="F272" s="258" t="str">
        <f>IFERROR(__xludf.DUMMYFUNCTION("""COMPUTED_VALUE"""),"Derived")</f>
        <v>Derived</v>
      </c>
      <c r="G272" s="258" t="str">
        <f>IFERROR(__xludf.DUMMYFUNCTION("""COMPUTED_VALUE"""),"varchar(1000)")</f>
        <v>varchar(1000)</v>
      </c>
      <c r="H272" s="258" t="str">
        <f>IFERROR(__xludf.DUMMYFUNCTION("""COMPUTED_VALUE"""),"SMART PHONE")</f>
        <v>SMART PHONE</v>
      </c>
      <c r="I272" s="258" t="str">
        <f>IFERROR(__xludf.DUMMYFUNCTION("""COMPUTED_VALUE"""),"EDO-UUP")</f>
        <v>EDO-UUP</v>
      </c>
      <c r="J272" s="258" t="str">
        <f>IFERROR(__xludf.DUMMYFUNCTION("""COMPUTED_VALUE"""),"Daily")</f>
        <v>Daily</v>
      </c>
      <c r="K272" s="258" t="str">
        <f>IFERROR(__xludf.DUMMYFUNCTION("""COMPUTED_VALUE"""),"")</f>
        <v/>
      </c>
      <c r="L272" s="258" t="str">
        <f>IFERROR(__xludf.DUMMYFUNCTION("""COMPUTED_VALUE"""),"GHP, GHP-PREPAID, TM, PW, GOMO, WIRELINE")</f>
        <v>GHP, GHP-PREPAID, TM, PW, GOMO, WIRELINE</v>
      </c>
      <c r="M272" s="258" t="str">
        <f>IFERROR(__xludf.DUMMYFUNCTION("""COMPUTED_VALUE"""),"Consumer, EG, SG, In house, IBG Traveler")</f>
        <v>Consumer, EG, SG, In house, IBG Traveler</v>
      </c>
      <c r="N272" s="258" t="str">
        <f>IFERROR(__xludf.DUMMYFUNCTION("""COMPUTED_VALUE"""),"network")</f>
        <v>network</v>
      </c>
      <c r="O272" s="258" t="str">
        <f>IFERROR(__xludf.DUMMYFUNCTION("""COMPUTED_VALUE"""),"network_profile")</f>
        <v>network_profile</v>
      </c>
      <c r="P272" s="258"/>
    </row>
    <row r="273">
      <c r="A273" s="257" t="str">
        <f>IFERROR(__xludf.DUMMYFUNCTION("""COMPUTED_VALUE"""),"availment_sms_bundle_exp_date_past_30days")</f>
        <v>availment_sms_bundle_exp_date_past_30days</v>
      </c>
      <c r="B273" s="258" t="str">
        <f>IFERROR(__xludf.DUMMYFUNCTION("""COMPUTED_VALUE"""),"Campaign History")</f>
        <v>Campaign History</v>
      </c>
      <c r="C273" s="258" t="str">
        <f>IFERROR(__xludf.DUMMYFUNCTION("""COMPUTED_VALUE"""),"Non-PII")</f>
        <v>Non-PII</v>
      </c>
      <c r="D273" s="258" t="str">
        <f>IFERROR(__xludf.DUMMYFUNCTION("""COMPUTED_VALUE"""),"Non-PII")</f>
        <v>Non-PII</v>
      </c>
      <c r="E273" s="258" t="str">
        <f>IFERROR(__xludf.DUMMYFUNCTION("""COMPUTED_VALUE"""),"Latest sms expiration for sms promo availed in past 30 days")</f>
        <v>Latest sms expiration for sms promo availed in past 30 days</v>
      </c>
      <c r="F273" s="258" t="str">
        <f>IFERROR(__xludf.DUMMYFUNCTION("""COMPUTED_VALUE"""),"Derived")</f>
        <v>Derived</v>
      </c>
      <c r="G273" s="258" t="str">
        <f>IFERROR(__xludf.DUMMYFUNCTION("""COMPUTED_VALUE"""),"timestamp")</f>
        <v>timestamp</v>
      </c>
      <c r="H273" s="258">
        <f>IFERROR(__xludf.DUMMYFUNCTION("""COMPUTED_VALUE"""),40155.461)</f>
        <v>40155.461</v>
      </c>
      <c r="I273" s="258" t="str">
        <f>IFERROR(__xludf.DUMMYFUNCTION("""COMPUTED_VALUE"""),"FVT")</f>
        <v>FVT</v>
      </c>
      <c r="J273" s="258" t="str">
        <f>IFERROR(__xludf.DUMMYFUNCTION("""COMPUTED_VALUE"""),"Daily")</f>
        <v>Daily</v>
      </c>
      <c r="K273" s="258" t="str">
        <f>IFERROR(__xludf.DUMMYFUNCTION("""COMPUTED_VALUE"""),"")</f>
        <v/>
      </c>
      <c r="L273" s="258" t="str">
        <f>IFERROR(__xludf.DUMMYFUNCTION("""COMPUTED_VALUE"""),"GHP-PREPAID, TM")</f>
        <v>GHP-PREPAID, TM</v>
      </c>
      <c r="M273" s="258" t="str">
        <f>IFERROR(__xludf.DUMMYFUNCTION("""COMPUTED_VALUE"""),"Consumer, EG, SG, IBG Traveler")</f>
        <v>Consumer, EG, SG, IBG Traveler</v>
      </c>
      <c r="N273" s="258" t="str">
        <f>IFERROR(__xludf.DUMMYFUNCTION("""COMPUTED_VALUE"""),"availment")</f>
        <v>availment</v>
      </c>
      <c r="O273" s="258" t="str">
        <f>IFERROR(__xludf.DUMMYFUNCTION("""COMPUTED_VALUE"""),"availment_profile")</f>
        <v>availment_profile</v>
      </c>
      <c r="P273" s="258"/>
    </row>
    <row r="274">
      <c r="A274" s="257" t="str">
        <f>IFERROR(__xludf.DUMMYFUNCTION("""COMPUTED_VALUE"""),"reload_average_txn_interval_rolling_120_days")</f>
        <v>reload_average_txn_interval_rolling_120_days</v>
      </c>
      <c r="B274" s="258" t="str">
        <f>IFERROR(__xludf.DUMMYFUNCTION("""COMPUTED_VALUE"""),"Behavioral")</f>
        <v>Behavioral</v>
      </c>
      <c r="C274" s="258" t="str">
        <f>IFERROR(__xludf.DUMMYFUNCTION("""COMPUTED_VALUE"""),"Non-PII")</f>
        <v>Non-PII</v>
      </c>
      <c r="D274" s="258" t="str">
        <f>IFERROR(__xludf.DUMMYFUNCTION("""COMPUTED_VALUE"""),"Non-PII")</f>
        <v>Non-PII</v>
      </c>
      <c r="E274" s="258" t="str">
        <f>IFERROR(__xludf.DUMMYFUNCTION("""COMPUTED_VALUE"""),"Average of transaction intervals in the past 120 days")</f>
        <v>Average of transaction intervals in the past 120 days</v>
      </c>
      <c r="F274" s="258" t="str">
        <f>IFERROR(__xludf.DUMMYFUNCTION("""COMPUTED_VALUE"""),"Derived")</f>
        <v>Derived</v>
      </c>
      <c r="G274" s="258" t="str">
        <f>IFERROR(__xludf.DUMMYFUNCTION("""COMPUTED_VALUE"""),"integer")</f>
        <v>integer</v>
      </c>
      <c r="H274" s="258">
        <f>IFERROR(__xludf.DUMMYFUNCTION("""COMPUTED_VALUE"""),35.0)</f>
        <v>35</v>
      </c>
      <c r="I274" s="258" t="str">
        <f>IFERROR(__xludf.DUMMYFUNCTION("""COMPUTED_VALUE"""),"FVT")</f>
        <v>FVT</v>
      </c>
      <c r="J274" s="258" t="str">
        <f>IFERROR(__xludf.DUMMYFUNCTION("""COMPUTED_VALUE"""),"Daily")</f>
        <v>Daily</v>
      </c>
      <c r="K274" s="258" t="str">
        <f>IFERROR(__xludf.DUMMYFUNCTION("""COMPUTED_VALUE"""),"")</f>
        <v/>
      </c>
      <c r="L274" s="258" t="str">
        <f>IFERROR(__xludf.DUMMYFUNCTION("""COMPUTED_VALUE"""),"GHP-PREPAID, TM, PW")</f>
        <v>GHP-PREPAID, TM, PW</v>
      </c>
      <c r="M274" s="258" t="str">
        <f>IFERROR(__xludf.DUMMYFUNCTION("""COMPUTED_VALUE"""),"Consumer, EG, SG, IBG Traveler")</f>
        <v>Consumer, EG, SG, IBG Traveler</v>
      </c>
      <c r="N274" s="258" t="str">
        <f>IFERROR(__xludf.DUMMYFUNCTION("""COMPUTED_VALUE"""),"reload")</f>
        <v>reload</v>
      </c>
      <c r="O274" s="258" t="str">
        <f>IFERROR(__xludf.DUMMYFUNCTION("""COMPUTED_VALUE"""),"reload_profile")</f>
        <v>reload_profile</v>
      </c>
      <c r="P274" s="258"/>
    </row>
    <row r="275">
      <c r="A275" s="257" t="str">
        <f>IFERROR(__xludf.DUMMYFUNCTION("""COMPUTED_VALUE"""),"reload_2nd_max_daily_sum_past_120days")</f>
        <v>reload_2nd_max_daily_sum_past_120days</v>
      </c>
      <c r="B275" s="258" t="str">
        <f>IFERROR(__xludf.DUMMYFUNCTION("""COMPUTED_VALUE"""),"Behavioral")</f>
        <v>Behavioral</v>
      </c>
      <c r="C275" s="258" t="str">
        <f>IFERROR(__xludf.DUMMYFUNCTION("""COMPUTED_VALUE"""),"Non-PII")</f>
        <v>Non-PII</v>
      </c>
      <c r="D275" s="258" t="str">
        <f>IFERROR(__xludf.DUMMYFUNCTION("""COMPUTED_VALUE"""),"Non-PII")</f>
        <v>Non-PII</v>
      </c>
      <c r="E275" s="258" t="str">
        <f>IFERROR(__xludf.DUMMYFUNCTION("""COMPUTED_VALUE"""),"Second highest sum of daily topup amount in the past 120 days prior to past 30 days (5th-16th week).")</f>
        <v>Second highest sum of daily topup amount in the past 120 days prior to past 30 days (5th-16th week).</v>
      </c>
      <c r="F275" s="258" t="str">
        <f>IFERROR(__xludf.DUMMYFUNCTION("""COMPUTED_VALUE"""),"Derived")</f>
        <v>Derived</v>
      </c>
      <c r="G275" s="258" t="str">
        <f>IFERROR(__xludf.DUMMYFUNCTION("""COMPUTED_VALUE"""),"numeric(21,2)")</f>
        <v>numeric(21,2)</v>
      </c>
      <c r="H275" s="258">
        <f>IFERROR(__xludf.DUMMYFUNCTION("""COMPUTED_VALUE"""),23.56)</f>
        <v>23.56</v>
      </c>
      <c r="I275" s="258" t="str">
        <f>IFERROR(__xludf.DUMMYFUNCTION("""COMPUTED_VALUE"""),"FVT")</f>
        <v>FVT</v>
      </c>
      <c r="J275" s="258" t="str">
        <f>IFERROR(__xludf.DUMMYFUNCTION("""COMPUTED_VALUE"""),"Daily")</f>
        <v>Daily</v>
      </c>
      <c r="K275" s="258" t="str">
        <f>IFERROR(__xludf.DUMMYFUNCTION("""COMPUTED_VALUE"""),"")</f>
        <v/>
      </c>
      <c r="L275" s="258" t="str">
        <f>IFERROR(__xludf.DUMMYFUNCTION("""COMPUTED_VALUE"""),"GHP-PREPAID, TM, PW")</f>
        <v>GHP-PREPAID, TM, PW</v>
      </c>
      <c r="M275" s="258" t="str">
        <f>IFERROR(__xludf.DUMMYFUNCTION("""COMPUTED_VALUE"""),"Consumer, EG, SG, IBG Traveler")</f>
        <v>Consumer, EG, SG, IBG Traveler</v>
      </c>
      <c r="N275" s="258" t="str">
        <f>IFERROR(__xludf.DUMMYFUNCTION("""COMPUTED_VALUE"""),"reload")</f>
        <v>reload</v>
      </c>
      <c r="O275" s="258" t="str">
        <f>IFERROR(__xludf.DUMMYFUNCTION("""COMPUTED_VALUE"""),"reload_profile")</f>
        <v>reload_profile</v>
      </c>
      <c r="P275" s="258"/>
    </row>
    <row r="276">
      <c r="A276" s="257" t="str">
        <f>IFERROR(__xludf.DUMMYFUNCTION("""COMPUTED_VALUE"""),"reload_max_total_monthly_past_90days")</f>
        <v>reload_max_total_monthly_past_90days</v>
      </c>
      <c r="B276" s="258" t="str">
        <f>IFERROR(__xludf.DUMMYFUNCTION("""COMPUTED_VALUE"""),"Behavioral")</f>
        <v>Behavioral</v>
      </c>
      <c r="C276" s="258" t="str">
        <f>IFERROR(__xludf.DUMMYFUNCTION("""COMPUTED_VALUE"""),"Non-PII")</f>
        <v>Non-PII</v>
      </c>
      <c r="D276" s="258" t="str">
        <f>IFERROR(__xludf.DUMMYFUNCTION("""COMPUTED_VALUE"""),"Non-PII")</f>
        <v>Non-PII</v>
      </c>
      <c r="E276" s="258" t="str">
        <f>IFERROR(__xludf.DUMMYFUNCTION("""COMPUTED_VALUE"""),"Maximum total monthly topup in 90 days")</f>
        <v>Maximum total monthly topup in 90 days</v>
      </c>
      <c r="F276" s="258" t="str">
        <f>IFERROR(__xludf.DUMMYFUNCTION("""COMPUTED_VALUE"""),"Derived")</f>
        <v>Derived</v>
      </c>
      <c r="G276" s="258" t="str">
        <f>IFERROR(__xludf.DUMMYFUNCTION("""COMPUTED_VALUE"""),"numeric(21,2)")</f>
        <v>numeric(21,2)</v>
      </c>
      <c r="H276" s="258">
        <f>IFERROR(__xludf.DUMMYFUNCTION("""COMPUTED_VALUE"""),23.56)</f>
        <v>23.56</v>
      </c>
      <c r="I276" s="258" t="str">
        <f>IFERROR(__xludf.DUMMYFUNCTION("""COMPUTED_VALUE"""),"FVT")</f>
        <v>FVT</v>
      </c>
      <c r="J276" s="258" t="str">
        <f>IFERROR(__xludf.DUMMYFUNCTION("""COMPUTED_VALUE"""),"Daily")</f>
        <v>Daily</v>
      </c>
      <c r="K276" s="258" t="str">
        <f>IFERROR(__xludf.DUMMYFUNCTION("""COMPUTED_VALUE"""),"")</f>
        <v/>
      </c>
      <c r="L276" s="258" t="str">
        <f>IFERROR(__xludf.DUMMYFUNCTION("""COMPUTED_VALUE"""),"GHP-PREPAID, TM, PW")</f>
        <v>GHP-PREPAID, TM, PW</v>
      </c>
      <c r="M276" s="258" t="str">
        <f>IFERROR(__xludf.DUMMYFUNCTION("""COMPUTED_VALUE"""),"Consumer, EG, SG, IBG Traveler")</f>
        <v>Consumer, EG, SG, IBG Traveler</v>
      </c>
      <c r="N276" s="258" t="str">
        <f>IFERROR(__xludf.DUMMYFUNCTION("""COMPUTED_VALUE"""),"reload")</f>
        <v>reload</v>
      </c>
      <c r="O276" s="258" t="str">
        <f>IFERROR(__xludf.DUMMYFUNCTION("""COMPUTED_VALUE"""),"reload_profile")</f>
        <v>reload_profile</v>
      </c>
      <c r="P276" s="258"/>
    </row>
    <row r="277">
      <c r="A277" s="257" t="str">
        <f>IFERROR(__xludf.DUMMYFUNCTION("""COMPUTED_VALUE"""),"reload_amount_latest_past_30days")</f>
        <v>reload_amount_latest_past_30days</v>
      </c>
      <c r="B277" s="258" t="str">
        <f>IFERROR(__xludf.DUMMYFUNCTION("""COMPUTED_VALUE"""),"Behavioral")</f>
        <v>Behavioral</v>
      </c>
      <c r="C277" s="258" t="str">
        <f>IFERROR(__xludf.DUMMYFUNCTION("""COMPUTED_VALUE"""),"Non-PII")</f>
        <v>Non-PII</v>
      </c>
      <c r="D277" s="258" t="str">
        <f>IFERROR(__xludf.DUMMYFUNCTION("""COMPUTED_VALUE"""),"Non-PII")</f>
        <v>Non-PII</v>
      </c>
      <c r="E277" s="258" t="str">
        <f>IFERROR(__xludf.DUMMYFUNCTION("""COMPUTED_VALUE"""),"Latest topup amount in the past 30 days")</f>
        <v>Latest topup amount in the past 30 days</v>
      </c>
      <c r="F277" s="258" t="str">
        <f>IFERROR(__xludf.DUMMYFUNCTION("""COMPUTED_VALUE"""),"Derived")</f>
        <v>Derived</v>
      </c>
      <c r="G277" s="258" t="str">
        <f>IFERROR(__xludf.DUMMYFUNCTION("""COMPUTED_VALUE"""),"numeric(21,2)")</f>
        <v>numeric(21,2)</v>
      </c>
      <c r="H277" s="258">
        <f>IFERROR(__xludf.DUMMYFUNCTION("""COMPUTED_VALUE"""),35.0)</f>
        <v>35</v>
      </c>
      <c r="I277" s="258" t="str">
        <f>IFERROR(__xludf.DUMMYFUNCTION("""COMPUTED_VALUE"""),"AMP")</f>
        <v>AMP</v>
      </c>
      <c r="J277" s="258" t="str">
        <f>IFERROR(__xludf.DUMMYFUNCTION("""COMPUTED_VALUE"""),"Daily")</f>
        <v>Daily</v>
      </c>
      <c r="K277" s="258" t="str">
        <f>IFERROR(__xludf.DUMMYFUNCTION("""COMPUTED_VALUE"""),"")</f>
        <v/>
      </c>
      <c r="L277" s="258" t="str">
        <f>IFERROR(__xludf.DUMMYFUNCTION("""COMPUTED_VALUE"""),"GHP-PREPAID, TM, PW")</f>
        <v>GHP-PREPAID, TM, PW</v>
      </c>
      <c r="M277" s="258" t="str">
        <f>IFERROR(__xludf.DUMMYFUNCTION("""COMPUTED_VALUE"""),"Consumer, EG, SG, IBG Traveler")</f>
        <v>Consumer, EG, SG, IBG Traveler</v>
      </c>
      <c r="N277" s="258" t="str">
        <f>IFERROR(__xludf.DUMMYFUNCTION("""COMPUTED_VALUE"""),"reload")</f>
        <v>reload</v>
      </c>
      <c r="O277" s="258" t="str">
        <f>IFERROR(__xludf.DUMMYFUNCTION("""COMPUTED_VALUE"""),"reload_profile")</f>
        <v>reload_profile</v>
      </c>
      <c r="P277" s="258"/>
    </row>
    <row r="278">
      <c r="A278" s="257" t="str">
        <f>IFERROR(__xludf.DUMMYFUNCTION("""COMPUTED_VALUE"""),"reload_amount_latest_past_60days")</f>
        <v>reload_amount_latest_past_60days</v>
      </c>
      <c r="B278" s="258" t="str">
        <f>IFERROR(__xludf.DUMMYFUNCTION("""COMPUTED_VALUE"""),"Behavioral")</f>
        <v>Behavioral</v>
      </c>
      <c r="C278" s="258" t="str">
        <f>IFERROR(__xludf.DUMMYFUNCTION("""COMPUTED_VALUE"""),"Non-PII")</f>
        <v>Non-PII</v>
      </c>
      <c r="D278" s="258" t="str">
        <f>IFERROR(__xludf.DUMMYFUNCTION("""COMPUTED_VALUE"""),"Non-PII")</f>
        <v>Non-PII</v>
      </c>
      <c r="E278" s="258" t="str">
        <f>IFERROR(__xludf.DUMMYFUNCTION("""COMPUTED_VALUE"""),"Latest topup amount in the past 60 days")</f>
        <v>Latest topup amount in the past 60 days</v>
      </c>
      <c r="F278" s="258" t="str">
        <f>IFERROR(__xludf.DUMMYFUNCTION("""COMPUTED_VALUE"""),"Derived")</f>
        <v>Derived</v>
      </c>
      <c r="G278" s="258" t="str">
        <f>IFERROR(__xludf.DUMMYFUNCTION("""COMPUTED_VALUE"""),"numeric(21,2)")</f>
        <v>numeric(21,2)</v>
      </c>
      <c r="H278" s="258">
        <f>IFERROR(__xludf.DUMMYFUNCTION("""COMPUTED_VALUE"""),23.56)</f>
        <v>23.56</v>
      </c>
      <c r="I278" s="258" t="str">
        <f>IFERROR(__xludf.DUMMYFUNCTION("""COMPUTED_VALUE"""),"AMP")</f>
        <v>AMP</v>
      </c>
      <c r="J278" s="258" t="str">
        <f>IFERROR(__xludf.DUMMYFUNCTION("""COMPUTED_VALUE"""),"Daily")</f>
        <v>Daily</v>
      </c>
      <c r="K278" s="258" t="str">
        <f>IFERROR(__xludf.DUMMYFUNCTION("""COMPUTED_VALUE"""),"")</f>
        <v/>
      </c>
      <c r="L278" s="258" t="str">
        <f>IFERROR(__xludf.DUMMYFUNCTION("""COMPUTED_VALUE"""),"GHP-PREPAID, TM, PW")</f>
        <v>GHP-PREPAID, TM, PW</v>
      </c>
      <c r="M278" s="258" t="str">
        <f>IFERROR(__xludf.DUMMYFUNCTION("""COMPUTED_VALUE"""),"Consumer, EG, SG, IBG Traveler")</f>
        <v>Consumer, EG, SG, IBG Traveler</v>
      </c>
      <c r="N278" s="258" t="str">
        <f>IFERROR(__xludf.DUMMYFUNCTION("""COMPUTED_VALUE"""),"reload")</f>
        <v>reload</v>
      </c>
      <c r="O278" s="258" t="str">
        <f>IFERROR(__xludf.DUMMYFUNCTION("""COMPUTED_VALUE"""),"reload_profile")</f>
        <v>reload_profile</v>
      </c>
      <c r="P278" s="258"/>
    </row>
    <row r="279">
      <c r="A279" s="257" t="str">
        <f>IFERROR(__xludf.DUMMYFUNCTION("""COMPUTED_VALUE"""),"reload_mode_tu_tra_rolling_60_days_amount")</f>
        <v>reload_mode_tu_tra_rolling_60_days_amount</v>
      </c>
      <c r="B279" s="258" t="str">
        <f>IFERROR(__xludf.DUMMYFUNCTION("""COMPUTED_VALUE"""),"Behavioral")</f>
        <v>Behavioral</v>
      </c>
      <c r="C279" s="258" t="str">
        <f>IFERROR(__xludf.DUMMYFUNCTION("""COMPUTED_VALUE"""),"Non-PII")</f>
        <v>Non-PII</v>
      </c>
      <c r="D279" s="258" t="str">
        <f>IFERROR(__xludf.DUMMYFUNCTION("""COMPUTED_VALUE"""),"Non-PII")</f>
        <v>Non-PII</v>
      </c>
      <c r="E279" s="258" t="str">
        <f>IFERROR(__xludf.DUMMYFUNCTION("""COMPUTED_VALUE"""),"Most availed top-up within 60 days")</f>
        <v>Most availed top-up within 60 days</v>
      </c>
      <c r="F279" s="258" t="str">
        <f>IFERROR(__xludf.DUMMYFUNCTION("""COMPUTED_VALUE"""),"Derived")</f>
        <v>Derived</v>
      </c>
      <c r="G279" s="258" t="str">
        <f>IFERROR(__xludf.DUMMYFUNCTION("""COMPUTED_VALUE"""),"numeric(21,2)")</f>
        <v>numeric(21,2)</v>
      </c>
      <c r="H279" s="258">
        <f>IFERROR(__xludf.DUMMYFUNCTION("""COMPUTED_VALUE"""),100.0)</f>
        <v>100</v>
      </c>
      <c r="I279" s="258" t="str">
        <f>IFERROR(__xludf.DUMMYFUNCTION("""COMPUTED_VALUE"""),"AMP")</f>
        <v>AMP</v>
      </c>
      <c r="J279" s="258" t="str">
        <f>IFERROR(__xludf.DUMMYFUNCTION("""COMPUTED_VALUE"""),"Daily")</f>
        <v>Daily</v>
      </c>
      <c r="K279" s="258" t="str">
        <f>IFERROR(__xludf.DUMMYFUNCTION("""COMPUTED_VALUE"""),"")</f>
        <v/>
      </c>
      <c r="L279" s="258" t="str">
        <f>IFERROR(__xludf.DUMMYFUNCTION("""COMPUTED_VALUE"""),"GHP-PREPAID, TM, PW")</f>
        <v>GHP-PREPAID, TM, PW</v>
      </c>
      <c r="M279" s="258" t="str">
        <f>IFERROR(__xludf.DUMMYFUNCTION("""COMPUTED_VALUE"""),"Consumer, EG, SG, IBG Traveler")</f>
        <v>Consumer, EG, SG, IBG Traveler</v>
      </c>
      <c r="N279" s="258" t="str">
        <f>IFERROR(__xludf.DUMMYFUNCTION("""COMPUTED_VALUE"""),"reload")</f>
        <v>reload</v>
      </c>
      <c r="O279" s="258" t="str">
        <f>IFERROR(__xludf.DUMMYFUNCTION("""COMPUTED_VALUE"""),"reload_profile")</f>
        <v>reload_profile</v>
      </c>
      <c r="P279" s="258"/>
    </row>
    <row r="280">
      <c r="A280" s="257" t="str">
        <f>IFERROR(__xludf.DUMMYFUNCTION("""COMPUTED_VALUE"""),"reload_latest_week_90days")</f>
        <v>reload_latest_week_90days</v>
      </c>
      <c r="B280" s="258" t="str">
        <f>IFERROR(__xludf.DUMMYFUNCTION("""COMPUTED_VALUE"""),"Behavioral")</f>
        <v>Behavioral</v>
      </c>
      <c r="C280" s="258" t="str">
        <f>IFERROR(__xludf.DUMMYFUNCTION("""COMPUTED_VALUE"""),"Non-PII")</f>
        <v>Non-PII</v>
      </c>
      <c r="D280" s="258" t="str">
        <f>IFERROR(__xludf.DUMMYFUNCTION("""COMPUTED_VALUE"""),"Non-PII")</f>
        <v>Non-PII</v>
      </c>
      <c r="E280" s="258" t="str">
        <f>IFERROR(__xludf.DUMMYFUNCTION("""COMPUTED_VALUE"""),"Latest topup week within 90 days (reload days from last txn convert to weeks, should be round up)")</f>
        <v>Latest topup week within 90 days (reload days from last txn convert to weeks, should be round up)</v>
      </c>
      <c r="F280" s="258" t="str">
        <f>IFERROR(__xludf.DUMMYFUNCTION("""COMPUTED_VALUE"""),"Derived")</f>
        <v>Derived</v>
      </c>
      <c r="G280" s="258" t="str">
        <f>IFERROR(__xludf.DUMMYFUNCTION("""COMPUTED_VALUE"""),"integer")</f>
        <v>integer</v>
      </c>
      <c r="H280" s="258">
        <f>IFERROR(__xludf.DUMMYFUNCTION("""COMPUTED_VALUE"""),8.0)</f>
        <v>8</v>
      </c>
      <c r="I280" s="258" t="str">
        <f>IFERROR(__xludf.DUMMYFUNCTION("""COMPUTED_VALUE"""),"AMP")</f>
        <v>AMP</v>
      </c>
      <c r="J280" s="258" t="str">
        <f>IFERROR(__xludf.DUMMYFUNCTION("""COMPUTED_VALUE"""),"Daily")</f>
        <v>Daily</v>
      </c>
      <c r="K280" s="258" t="str">
        <f>IFERROR(__xludf.DUMMYFUNCTION("""COMPUTED_VALUE"""),"")</f>
        <v/>
      </c>
      <c r="L280" s="258" t="str">
        <f>IFERROR(__xludf.DUMMYFUNCTION("""COMPUTED_VALUE"""),"GHP-PREPAID, TM, PW")</f>
        <v>GHP-PREPAID, TM, PW</v>
      </c>
      <c r="M280" s="258" t="str">
        <f>IFERROR(__xludf.DUMMYFUNCTION("""COMPUTED_VALUE"""),"Consumer, EG, SG, IBG Traveler")</f>
        <v>Consumer, EG, SG, IBG Traveler</v>
      </c>
      <c r="N280" s="258" t="str">
        <f>IFERROR(__xludf.DUMMYFUNCTION("""COMPUTED_VALUE"""),"reload")</f>
        <v>reload</v>
      </c>
      <c r="O280" s="258" t="str">
        <f>IFERROR(__xludf.DUMMYFUNCTION("""COMPUTED_VALUE"""),"reload_profile")</f>
        <v>reload_profile</v>
      </c>
      <c r="P280" s="258"/>
    </row>
    <row r="281">
      <c r="A281" s="257" t="str">
        <f>IFERROR(__xludf.DUMMYFUNCTION("""COMPUTED_VALUE"""),"reload_days_from_last_txn")</f>
        <v>reload_days_from_last_txn</v>
      </c>
      <c r="B281" s="258" t="str">
        <f>IFERROR(__xludf.DUMMYFUNCTION("""COMPUTED_VALUE"""),"Behavioral")</f>
        <v>Behavioral</v>
      </c>
      <c r="C281" s="258" t="str">
        <f>IFERROR(__xludf.DUMMYFUNCTION("""COMPUTED_VALUE"""),"Non-PII")</f>
        <v>Non-PII</v>
      </c>
      <c r="D281" s="258" t="str">
        <f>IFERROR(__xludf.DUMMYFUNCTION("""COMPUTED_VALUE"""),"Non-PII")</f>
        <v>Non-PII</v>
      </c>
      <c r="E281" s="258" t="str">
        <f>IFERROR(__xludf.DUMMYFUNCTION("""COMPUTED_VALUE"""),"No. of days between current date and latest topup date")</f>
        <v>No. of days between current date and latest topup date</v>
      </c>
      <c r="F281" s="258" t="str">
        <f>IFERROR(__xludf.DUMMYFUNCTION("""COMPUTED_VALUE"""),"Derived")</f>
        <v>Derived</v>
      </c>
      <c r="G281" s="258" t="str">
        <f>IFERROR(__xludf.DUMMYFUNCTION("""COMPUTED_VALUE"""),"integer")</f>
        <v>integer</v>
      </c>
      <c r="H281" s="258">
        <f>IFERROR(__xludf.DUMMYFUNCTION("""COMPUTED_VALUE"""),20.0)</f>
        <v>20</v>
      </c>
      <c r="I281" s="258" t="str">
        <f>IFERROR(__xludf.DUMMYFUNCTION("""COMPUTED_VALUE"""),"FVT")</f>
        <v>FVT</v>
      </c>
      <c r="J281" s="258" t="str">
        <f>IFERROR(__xludf.DUMMYFUNCTION("""COMPUTED_VALUE"""),"Daily")</f>
        <v>Daily</v>
      </c>
      <c r="K281" s="258" t="str">
        <f>IFERROR(__xludf.DUMMYFUNCTION("""COMPUTED_VALUE"""),"")</f>
        <v/>
      </c>
      <c r="L281" s="258" t="str">
        <f>IFERROR(__xludf.DUMMYFUNCTION("""COMPUTED_VALUE"""),"GHP-PREPAID, TM, PW")</f>
        <v>GHP-PREPAID, TM, PW</v>
      </c>
      <c r="M281" s="258" t="str">
        <f>IFERROR(__xludf.DUMMYFUNCTION("""COMPUTED_VALUE"""),"Consumer, EG, SG, IBG Traveler")</f>
        <v>Consumer, EG, SG, IBG Traveler</v>
      </c>
      <c r="N281" s="258" t="str">
        <f>IFERROR(__xludf.DUMMYFUNCTION("""COMPUTED_VALUE"""),"reload")</f>
        <v>reload</v>
      </c>
      <c r="O281" s="258" t="str">
        <f>IFERROR(__xludf.DUMMYFUNCTION("""COMPUTED_VALUE"""),"reload_profile")</f>
        <v>reload_profile</v>
      </c>
      <c r="P281" s="258"/>
    </row>
    <row r="282">
      <c r="A282" s="257" t="str">
        <f>IFERROR(__xludf.DUMMYFUNCTION("""COMPUTED_VALUE"""),"reload_top_channel_30days")</f>
        <v>reload_top_channel_30days</v>
      </c>
      <c r="B282" s="258" t="str">
        <f>IFERROR(__xludf.DUMMYFUNCTION("""COMPUTED_VALUE"""),"Behavioral")</f>
        <v>Behavioral</v>
      </c>
      <c r="C282" s="258" t="str">
        <f>IFERROR(__xludf.DUMMYFUNCTION("""COMPUTED_VALUE"""),"Non-PII")</f>
        <v>Non-PII</v>
      </c>
      <c r="D282" s="258" t="str">
        <f>IFERROR(__xludf.DUMMYFUNCTION("""COMPUTED_VALUE"""),"Non-PII")</f>
        <v>Non-PII</v>
      </c>
      <c r="E282" s="258" t="str">
        <f>IFERROR(__xludf.DUMMYFUNCTION("""COMPUTED_VALUE"""),"Most used reload channel within 30 days")</f>
        <v>Most used reload channel within 30 days</v>
      </c>
      <c r="F282" s="258" t="str">
        <f>IFERROR(__xludf.DUMMYFUNCTION("""COMPUTED_VALUE"""),"Derived")</f>
        <v>Derived</v>
      </c>
      <c r="G282" s="258" t="str">
        <f>IFERROR(__xludf.DUMMYFUNCTION("""COMPUTED_VALUE"""),"varchar(1000)")</f>
        <v>varchar(1000)</v>
      </c>
      <c r="H282" s="258" t="str">
        <f>IFERROR(__xludf.DUMMYFUNCTION("""COMPUTED_VALUE"""),"GCash Channel")</f>
        <v>GCash Channel</v>
      </c>
      <c r="I282" s="258" t="str">
        <f>IFERROR(__xludf.DUMMYFUNCTION("""COMPUTED_VALUE"""),"AMP")</f>
        <v>AMP</v>
      </c>
      <c r="J282" s="258" t="str">
        <f>IFERROR(__xludf.DUMMYFUNCTION("""COMPUTED_VALUE"""),"Daily")</f>
        <v>Daily</v>
      </c>
      <c r="K282" s="258" t="str">
        <f>IFERROR(__xludf.DUMMYFUNCTION("""COMPUTED_VALUE"""),"")</f>
        <v/>
      </c>
      <c r="L282" s="258" t="str">
        <f>IFERROR(__xludf.DUMMYFUNCTION("""COMPUTED_VALUE"""),"GHP-PREPAID, TM, PW")</f>
        <v>GHP-PREPAID, TM, PW</v>
      </c>
      <c r="M282" s="258" t="str">
        <f>IFERROR(__xludf.DUMMYFUNCTION("""COMPUTED_VALUE"""),"Consumer, EG, SG, IBG Traveler")</f>
        <v>Consumer, EG, SG, IBG Traveler</v>
      </c>
      <c r="N282" s="258" t="str">
        <f>IFERROR(__xludf.DUMMYFUNCTION("""COMPUTED_VALUE"""),"reload")</f>
        <v>reload</v>
      </c>
      <c r="O282" s="258" t="str">
        <f>IFERROR(__xludf.DUMMYFUNCTION("""COMPUTED_VALUE"""),"reload_profile")</f>
        <v>reload_profile</v>
      </c>
      <c r="P282" s="258"/>
    </row>
    <row r="283">
      <c r="A283" s="257" t="str">
        <f>IFERROR(__xludf.DUMMYFUNCTION("""COMPUTED_VALUE"""),"reload_top_channel_60days")</f>
        <v>reload_top_channel_60days</v>
      </c>
      <c r="B283" s="258" t="str">
        <f>IFERROR(__xludf.DUMMYFUNCTION("""COMPUTED_VALUE"""),"Behavioral")</f>
        <v>Behavioral</v>
      </c>
      <c r="C283" s="258" t="str">
        <f>IFERROR(__xludf.DUMMYFUNCTION("""COMPUTED_VALUE"""),"Non-PII")</f>
        <v>Non-PII</v>
      </c>
      <c r="D283" s="258" t="str">
        <f>IFERROR(__xludf.DUMMYFUNCTION("""COMPUTED_VALUE"""),"Non-PII")</f>
        <v>Non-PII</v>
      </c>
      <c r="E283" s="258" t="str">
        <f>IFERROR(__xludf.DUMMYFUNCTION("""COMPUTED_VALUE"""),"Most used reload channel within 60 days")</f>
        <v>Most used reload channel within 60 days</v>
      </c>
      <c r="F283" s="258" t="str">
        <f>IFERROR(__xludf.DUMMYFUNCTION("""COMPUTED_VALUE"""),"Derived")</f>
        <v>Derived</v>
      </c>
      <c r="G283" s="258" t="str">
        <f>IFERROR(__xludf.DUMMYFUNCTION("""COMPUTED_VALUE"""),"varchar(1000)")</f>
        <v>varchar(1000)</v>
      </c>
      <c r="H283" s="258" t="str">
        <f>IFERROR(__xludf.DUMMYFUNCTION("""COMPUTED_VALUE"""),"GCash Channel")</f>
        <v>GCash Channel</v>
      </c>
      <c r="I283" s="258" t="str">
        <f>IFERROR(__xludf.DUMMYFUNCTION("""COMPUTED_VALUE"""),"AMP")</f>
        <v>AMP</v>
      </c>
      <c r="J283" s="258" t="str">
        <f>IFERROR(__xludf.DUMMYFUNCTION("""COMPUTED_VALUE"""),"Daily")</f>
        <v>Daily</v>
      </c>
      <c r="K283" s="258" t="str">
        <f>IFERROR(__xludf.DUMMYFUNCTION("""COMPUTED_VALUE"""),"")</f>
        <v/>
      </c>
      <c r="L283" s="258" t="str">
        <f>IFERROR(__xludf.DUMMYFUNCTION("""COMPUTED_VALUE"""),"GHP-PREPAID, TM, PW")</f>
        <v>GHP-PREPAID, TM, PW</v>
      </c>
      <c r="M283" s="258" t="str">
        <f>IFERROR(__xludf.DUMMYFUNCTION("""COMPUTED_VALUE"""),"Consumer, EG, SG, IBG Traveler")</f>
        <v>Consumer, EG, SG, IBG Traveler</v>
      </c>
      <c r="N283" s="258" t="str">
        <f>IFERROR(__xludf.DUMMYFUNCTION("""COMPUTED_VALUE"""),"reload")</f>
        <v>reload</v>
      </c>
      <c r="O283" s="258" t="str">
        <f>IFERROR(__xludf.DUMMYFUNCTION("""COMPUTED_VALUE"""),"reload_profile")</f>
        <v>reload_profile</v>
      </c>
      <c r="P283" s="258"/>
    </row>
    <row r="284">
      <c r="A284" s="257" t="str">
        <f>IFERROR(__xludf.DUMMYFUNCTION("""COMPUTED_VALUE"""),"reload_top_channel_90days")</f>
        <v>reload_top_channel_90days</v>
      </c>
      <c r="B284" s="258" t="str">
        <f>IFERROR(__xludf.DUMMYFUNCTION("""COMPUTED_VALUE"""),"Behavioral")</f>
        <v>Behavioral</v>
      </c>
      <c r="C284" s="258" t="str">
        <f>IFERROR(__xludf.DUMMYFUNCTION("""COMPUTED_VALUE"""),"Non-PII")</f>
        <v>Non-PII</v>
      </c>
      <c r="D284" s="258" t="str">
        <f>IFERROR(__xludf.DUMMYFUNCTION("""COMPUTED_VALUE"""),"Non-PII")</f>
        <v>Non-PII</v>
      </c>
      <c r="E284" s="258" t="str">
        <f>IFERROR(__xludf.DUMMYFUNCTION("""COMPUTED_VALUE"""),"Most used reload channel within 90 days")</f>
        <v>Most used reload channel within 90 days</v>
      </c>
      <c r="F284" s="258" t="str">
        <f>IFERROR(__xludf.DUMMYFUNCTION("""COMPUTED_VALUE"""),"Derived")</f>
        <v>Derived</v>
      </c>
      <c r="G284" s="258" t="str">
        <f>IFERROR(__xludf.DUMMYFUNCTION("""COMPUTED_VALUE"""),"varchar(1000)")</f>
        <v>varchar(1000)</v>
      </c>
      <c r="H284" s="258" t="str">
        <f>IFERROR(__xludf.DUMMYFUNCTION("""COMPUTED_VALUE"""),"GCash Channel")</f>
        <v>GCash Channel</v>
      </c>
      <c r="I284" s="258" t="str">
        <f>IFERROR(__xludf.DUMMYFUNCTION("""COMPUTED_VALUE"""),"AMP")</f>
        <v>AMP</v>
      </c>
      <c r="J284" s="258" t="str">
        <f>IFERROR(__xludf.DUMMYFUNCTION("""COMPUTED_VALUE"""),"Daily")</f>
        <v>Daily</v>
      </c>
      <c r="K284" s="258" t="str">
        <f>IFERROR(__xludf.DUMMYFUNCTION("""COMPUTED_VALUE"""),"")</f>
        <v/>
      </c>
      <c r="L284" s="258" t="str">
        <f>IFERROR(__xludf.DUMMYFUNCTION("""COMPUTED_VALUE"""),"GHP-PREPAID, TM, PW")</f>
        <v>GHP-PREPAID, TM, PW</v>
      </c>
      <c r="M284" s="258" t="str">
        <f>IFERROR(__xludf.DUMMYFUNCTION("""COMPUTED_VALUE"""),"Consumer, EG, SG, IBG Traveler")</f>
        <v>Consumer, EG, SG, IBG Traveler</v>
      </c>
      <c r="N284" s="258" t="str">
        <f>IFERROR(__xludf.DUMMYFUNCTION("""COMPUTED_VALUE"""),"reload")</f>
        <v>reload</v>
      </c>
      <c r="O284" s="258" t="str">
        <f>IFERROR(__xludf.DUMMYFUNCTION("""COMPUTED_VALUE"""),"reload_profile")</f>
        <v>reload_profile</v>
      </c>
      <c r="P284" s="258"/>
    </row>
    <row r="285">
      <c r="A285" s="257" t="str">
        <f>IFERROR(__xludf.DUMMYFUNCTION("""COMPUTED_VALUE"""),"reload_latest_channel_30days")</f>
        <v>reload_latest_channel_30days</v>
      </c>
      <c r="B285" s="258" t="str">
        <f>IFERROR(__xludf.DUMMYFUNCTION("""COMPUTED_VALUE"""),"Behavioral")</f>
        <v>Behavioral</v>
      </c>
      <c r="C285" s="258" t="str">
        <f>IFERROR(__xludf.DUMMYFUNCTION("""COMPUTED_VALUE"""),"Non-PII")</f>
        <v>Non-PII</v>
      </c>
      <c r="D285" s="258" t="str">
        <f>IFERROR(__xludf.DUMMYFUNCTION("""COMPUTED_VALUE"""),"Non-PII")</f>
        <v>Non-PII</v>
      </c>
      <c r="E285" s="258" t="str">
        <f>IFERROR(__xludf.DUMMYFUNCTION("""COMPUTED_VALUE"""),"Latest reload channel within 30 days")</f>
        <v>Latest reload channel within 30 days</v>
      </c>
      <c r="F285" s="258" t="str">
        <f>IFERROR(__xludf.DUMMYFUNCTION("""COMPUTED_VALUE"""),"Derived")</f>
        <v>Derived</v>
      </c>
      <c r="G285" s="258" t="str">
        <f>IFERROR(__xludf.DUMMYFUNCTION("""COMPUTED_VALUE"""),"varchar(1000)")</f>
        <v>varchar(1000)</v>
      </c>
      <c r="H285" s="258" t="str">
        <f>IFERROR(__xludf.DUMMYFUNCTION("""COMPUTED_VALUE"""),"GCash Channel")</f>
        <v>GCash Channel</v>
      </c>
      <c r="I285" s="258" t="str">
        <f>IFERROR(__xludf.DUMMYFUNCTION("""COMPUTED_VALUE"""),"AMP")</f>
        <v>AMP</v>
      </c>
      <c r="J285" s="258" t="str">
        <f>IFERROR(__xludf.DUMMYFUNCTION("""COMPUTED_VALUE"""),"Daily")</f>
        <v>Daily</v>
      </c>
      <c r="K285" s="258" t="str">
        <f>IFERROR(__xludf.DUMMYFUNCTION("""COMPUTED_VALUE"""),"")</f>
        <v/>
      </c>
      <c r="L285" s="258" t="str">
        <f>IFERROR(__xludf.DUMMYFUNCTION("""COMPUTED_VALUE"""),"GHP-PREPAID, TM, PW")</f>
        <v>GHP-PREPAID, TM, PW</v>
      </c>
      <c r="M285" s="258" t="str">
        <f>IFERROR(__xludf.DUMMYFUNCTION("""COMPUTED_VALUE"""),"Consumer, EG, SG, IBG Traveler")</f>
        <v>Consumer, EG, SG, IBG Traveler</v>
      </c>
      <c r="N285" s="258" t="str">
        <f>IFERROR(__xludf.DUMMYFUNCTION("""COMPUTED_VALUE"""),"reload")</f>
        <v>reload</v>
      </c>
      <c r="O285" s="258" t="str">
        <f>IFERROR(__xludf.DUMMYFUNCTION("""COMPUTED_VALUE"""),"reload_profile")</f>
        <v>reload_profile</v>
      </c>
      <c r="P285" s="258"/>
    </row>
    <row r="286">
      <c r="A286" s="257" t="str">
        <f>IFERROR(__xludf.DUMMYFUNCTION("""COMPUTED_VALUE"""),"reload_latest_channel_60days")</f>
        <v>reload_latest_channel_60days</v>
      </c>
      <c r="B286" s="258" t="str">
        <f>IFERROR(__xludf.DUMMYFUNCTION("""COMPUTED_VALUE"""),"Behavioral")</f>
        <v>Behavioral</v>
      </c>
      <c r="C286" s="258" t="str">
        <f>IFERROR(__xludf.DUMMYFUNCTION("""COMPUTED_VALUE"""),"Non-PII")</f>
        <v>Non-PII</v>
      </c>
      <c r="D286" s="258" t="str">
        <f>IFERROR(__xludf.DUMMYFUNCTION("""COMPUTED_VALUE"""),"Non-PII")</f>
        <v>Non-PII</v>
      </c>
      <c r="E286" s="258" t="str">
        <f>IFERROR(__xludf.DUMMYFUNCTION("""COMPUTED_VALUE"""),"Latest reload channel within 60 days")</f>
        <v>Latest reload channel within 60 days</v>
      </c>
      <c r="F286" s="258" t="str">
        <f>IFERROR(__xludf.DUMMYFUNCTION("""COMPUTED_VALUE"""),"Derived")</f>
        <v>Derived</v>
      </c>
      <c r="G286" s="258" t="str">
        <f>IFERROR(__xludf.DUMMYFUNCTION("""COMPUTED_VALUE"""),"varchar(1000)")</f>
        <v>varchar(1000)</v>
      </c>
      <c r="H286" s="258" t="str">
        <f>IFERROR(__xludf.DUMMYFUNCTION("""COMPUTED_VALUE"""),"GCash Channel")</f>
        <v>GCash Channel</v>
      </c>
      <c r="I286" s="258" t="str">
        <f>IFERROR(__xludf.DUMMYFUNCTION("""COMPUTED_VALUE"""),"AMP")</f>
        <v>AMP</v>
      </c>
      <c r="J286" s="258" t="str">
        <f>IFERROR(__xludf.DUMMYFUNCTION("""COMPUTED_VALUE"""),"Daily")</f>
        <v>Daily</v>
      </c>
      <c r="K286" s="258" t="str">
        <f>IFERROR(__xludf.DUMMYFUNCTION("""COMPUTED_VALUE"""),"")</f>
        <v/>
      </c>
      <c r="L286" s="258" t="str">
        <f>IFERROR(__xludf.DUMMYFUNCTION("""COMPUTED_VALUE"""),"GHP-PREPAID, TM, PW")</f>
        <v>GHP-PREPAID, TM, PW</v>
      </c>
      <c r="M286" s="258" t="str">
        <f>IFERROR(__xludf.DUMMYFUNCTION("""COMPUTED_VALUE"""),"Consumer, EG, SG, IBG Traveler")</f>
        <v>Consumer, EG, SG, IBG Traveler</v>
      </c>
      <c r="N286" s="258" t="str">
        <f>IFERROR(__xludf.DUMMYFUNCTION("""COMPUTED_VALUE"""),"reload")</f>
        <v>reload</v>
      </c>
      <c r="O286" s="258" t="str">
        <f>IFERROR(__xludf.DUMMYFUNCTION("""COMPUTED_VALUE"""),"reload_profile")</f>
        <v>reload_profile</v>
      </c>
      <c r="P286" s="258"/>
    </row>
    <row r="287">
      <c r="A287" s="257" t="str">
        <f>IFERROR(__xludf.DUMMYFUNCTION("""COMPUTED_VALUE"""),"reload_latest_channel_90days")</f>
        <v>reload_latest_channel_90days</v>
      </c>
      <c r="B287" s="258" t="str">
        <f>IFERROR(__xludf.DUMMYFUNCTION("""COMPUTED_VALUE"""),"Behavioral")</f>
        <v>Behavioral</v>
      </c>
      <c r="C287" s="258" t="str">
        <f>IFERROR(__xludf.DUMMYFUNCTION("""COMPUTED_VALUE"""),"Non-PII")</f>
        <v>Non-PII</v>
      </c>
      <c r="D287" s="258" t="str">
        <f>IFERROR(__xludf.DUMMYFUNCTION("""COMPUTED_VALUE"""),"Non-PII")</f>
        <v>Non-PII</v>
      </c>
      <c r="E287" s="258" t="str">
        <f>IFERROR(__xludf.DUMMYFUNCTION("""COMPUTED_VALUE"""),"Latest reload channel within 90 days")</f>
        <v>Latest reload channel within 90 days</v>
      </c>
      <c r="F287" s="258" t="str">
        <f>IFERROR(__xludf.DUMMYFUNCTION("""COMPUTED_VALUE"""),"Derived")</f>
        <v>Derived</v>
      </c>
      <c r="G287" s="258" t="str">
        <f>IFERROR(__xludf.DUMMYFUNCTION("""COMPUTED_VALUE"""),"varchar(1000)")</f>
        <v>varchar(1000)</v>
      </c>
      <c r="H287" s="258" t="str">
        <f>IFERROR(__xludf.DUMMYFUNCTION("""COMPUTED_VALUE"""),"AMAX Channel")</f>
        <v>AMAX Channel</v>
      </c>
      <c r="I287" s="258" t="str">
        <f>IFERROR(__xludf.DUMMYFUNCTION("""COMPUTED_VALUE"""),"AMP")</f>
        <v>AMP</v>
      </c>
      <c r="J287" s="258" t="str">
        <f>IFERROR(__xludf.DUMMYFUNCTION("""COMPUTED_VALUE"""),"Daily")</f>
        <v>Daily</v>
      </c>
      <c r="K287" s="258" t="str">
        <f>IFERROR(__xludf.DUMMYFUNCTION("""COMPUTED_VALUE"""),"")</f>
        <v/>
      </c>
      <c r="L287" s="258" t="str">
        <f>IFERROR(__xludf.DUMMYFUNCTION("""COMPUTED_VALUE"""),"GHP-PREPAID, TM, PW")</f>
        <v>GHP-PREPAID, TM, PW</v>
      </c>
      <c r="M287" s="258" t="str">
        <f>IFERROR(__xludf.DUMMYFUNCTION("""COMPUTED_VALUE"""),"Consumer, EG, SG, IBG Traveler")</f>
        <v>Consumer, EG, SG, IBG Traveler</v>
      </c>
      <c r="N287" s="258" t="str">
        <f>IFERROR(__xludf.DUMMYFUNCTION("""COMPUTED_VALUE"""),"reload")</f>
        <v>reload</v>
      </c>
      <c r="O287" s="258" t="str">
        <f>IFERROR(__xludf.DUMMYFUNCTION("""COMPUTED_VALUE"""),"reload_profile")</f>
        <v>reload_profile</v>
      </c>
      <c r="P287" s="258"/>
    </row>
    <row r="288">
      <c r="A288" s="257" t="str">
        <f>IFERROR(__xludf.DUMMYFUNCTION("""COMPUTED_VALUE"""),"postpaid_contract_status_type")</f>
        <v>postpaid_contract_status_type</v>
      </c>
      <c r="B288" s="258" t="str">
        <f>IFERROR(__xludf.DUMMYFUNCTION("""COMPUTED_VALUE"""),"Globe ID")</f>
        <v>Globe ID</v>
      </c>
      <c r="C288" s="258" t="str">
        <f>IFERROR(__xludf.DUMMYFUNCTION("""COMPUTED_VALUE"""),"Non-PII")</f>
        <v>Non-PII</v>
      </c>
      <c r="D288" s="258" t="str">
        <f>IFERROR(__xludf.DUMMYFUNCTION("""COMPUTED_VALUE"""),"Non-PII")</f>
        <v>Non-PII</v>
      </c>
      <c r="E288" s="258" t="str">
        <f>IFERROR(__xludf.DUMMYFUNCTION("""COMPUTED_VALUE"""),"Indicates if contract is New or Recontract")</f>
        <v>Indicates if contract is New or Recontract</v>
      </c>
      <c r="F288" s="258" t="str">
        <f>IFERROR(__xludf.DUMMYFUNCTION("""COMPUTED_VALUE"""),"Derived")</f>
        <v>Derived</v>
      </c>
      <c r="G288" s="258" t="str">
        <f>IFERROR(__xludf.DUMMYFUNCTION("""COMPUTED_VALUE"""),"varchar(1000)")</f>
        <v>varchar(1000)</v>
      </c>
      <c r="H288" s="258" t="str">
        <f>IFERROR(__xludf.DUMMYFUNCTION("""COMPUTED_VALUE"""),"Recontract")</f>
        <v>Recontract</v>
      </c>
      <c r="I288" s="258" t="str">
        <f>IFERROR(__xludf.DUMMYFUNCTION("""COMPUTED_VALUE"""),"AMP")</f>
        <v>AMP</v>
      </c>
      <c r="J288" s="258" t="str">
        <f>IFERROR(__xludf.DUMMYFUNCTION("""COMPUTED_VALUE"""),"Daily")</f>
        <v>Daily</v>
      </c>
      <c r="K288" s="258" t="str">
        <f>IFERROR(__xludf.DUMMYFUNCTION("""COMPUTED_VALUE"""),"")</f>
        <v/>
      </c>
      <c r="L288" s="258" t="str">
        <f>IFERROR(__xludf.DUMMYFUNCTION("""COMPUTED_VALUE"""),"GHP")</f>
        <v>GHP</v>
      </c>
      <c r="M288" s="258" t="str">
        <f>IFERROR(__xludf.DUMMYFUNCTION("""COMPUTED_VALUE"""),"Consumer, EG, SG, In house")</f>
        <v>Consumer, EG, SG, In house</v>
      </c>
      <c r="N288" s="258" t="str">
        <f>IFERROR(__xludf.DUMMYFUNCTION("""COMPUTED_VALUE"""),"contract")</f>
        <v>contract</v>
      </c>
      <c r="O288" s="258" t="str">
        <f>IFERROR(__xludf.DUMMYFUNCTION("""COMPUTED_VALUE"""),"contract_profile")</f>
        <v>contract_profile</v>
      </c>
      <c r="P288" s="258"/>
    </row>
    <row r="289">
      <c r="A289" s="257" t="str">
        <f>IFERROR(__xludf.DUMMYFUNCTION("""COMPUTED_VALUE"""),"prepaid_spending_arpu_30days")</f>
        <v>prepaid_spending_arpu_30days</v>
      </c>
      <c r="B289" s="258" t="str">
        <f>IFERROR(__xludf.DUMMYFUNCTION("""COMPUTED_VALUE"""),"Behavioral")</f>
        <v>Behavioral</v>
      </c>
      <c r="C289" s="258" t="str">
        <f>IFERROR(__xludf.DUMMYFUNCTION("""COMPUTED_VALUE"""),"Non-PII")</f>
        <v>Non-PII</v>
      </c>
      <c r="D289" s="258" t="str">
        <f>IFERROR(__xludf.DUMMYFUNCTION("""COMPUTED_VALUE"""),"Non-PII")</f>
        <v>Non-PII</v>
      </c>
      <c r="E289" s="258" t="str">
        <f>IFERROR(__xludf.DUMMYFUNCTION("""COMPUTED_VALUE"""),"Prepaid Spending ARPU for 30 days (promo registrations, ppu, topup a promo)")</f>
        <v>Prepaid Spending ARPU for 30 days (promo registrations, ppu, topup a promo)</v>
      </c>
      <c r="F289" s="258" t="str">
        <f>IFERROR(__xludf.DUMMYFUNCTION("""COMPUTED_VALUE"""),"Derived")</f>
        <v>Derived</v>
      </c>
      <c r="G289" s="258" t="str">
        <f>IFERROR(__xludf.DUMMYFUNCTION("""COMPUTED_VALUE"""),"numeric(21,2)")</f>
        <v>numeric(21,2)</v>
      </c>
      <c r="H289" s="258">
        <f>IFERROR(__xludf.DUMMYFUNCTION("""COMPUTED_VALUE"""),56.67)</f>
        <v>56.67</v>
      </c>
      <c r="I289" s="258" t="str">
        <f>IFERROR(__xludf.DUMMYFUNCTION("""COMPUTED_VALUE"""),"AMP")</f>
        <v>AMP</v>
      </c>
      <c r="J289" s="258" t="str">
        <f>IFERROR(__xludf.DUMMYFUNCTION("""COMPUTED_VALUE"""),"Daily")</f>
        <v>Daily</v>
      </c>
      <c r="K289" s="258" t="str">
        <f>IFERROR(__xludf.DUMMYFUNCTION("""COMPUTED_VALUE"""),"")</f>
        <v/>
      </c>
      <c r="L289" s="258" t="str">
        <f>IFERROR(__xludf.DUMMYFUNCTION("""COMPUTED_VALUE"""),"GHP-PREPAID, TM, PW")</f>
        <v>GHP-PREPAID, TM, PW</v>
      </c>
      <c r="M289" s="258" t="str">
        <f>IFERROR(__xludf.DUMMYFUNCTION("""COMPUTED_VALUE"""),"Consumer, EG, SG, IBG Traveler")</f>
        <v>Consumer, EG, SG, IBG Traveler</v>
      </c>
      <c r="N289" s="258" t="str">
        <f>IFERROR(__xludf.DUMMYFUNCTION("""COMPUTED_VALUE"""),"revenue")</f>
        <v>revenue</v>
      </c>
      <c r="O289" s="258" t="str">
        <f>IFERROR(__xludf.DUMMYFUNCTION("""COMPUTED_VALUE"""),"revenue_profile")</f>
        <v>revenue_profile</v>
      </c>
      <c r="P289" s="258"/>
    </row>
    <row r="290">
      <c r="A290" s="257" t="str">
        <f>IFERROR(__xludf.DUMMYFUNCTION("""COMPUTED_VALUE"""),"prepaid_spending_arpu_60days")</f>
        <v>prepaid_spending_arpu_60days</v>
      </c>
      <c r="B290" s="258" t="str">
        <f>IFERROR(__xludf.DUMMYFUNCTION("""COMPUTED_VALUE"""),"Behavioral")</f>
        <v>Behavioral</v>
      </c>
      <c r="C290" s="258" t="str">
        <f>IFERROR(__xludf.DUMMYFUNCTION("""COMPUTED_VALUE"""),"Non-PII")</f>
        <v>Non-PII</v>
      </c>
      <c r="D290" s="258" t="str">
        <f>IFERROR(__xludf.DUMMYFUNCTION("""COMPUTED_VALUE"""),"Non-PII")</f>
        <v>Non-PII</v>
      </c>
      <c r="E290" s="258" t="str">
        <f>IFERROR(__xludf.DUMMYFUNCTION("""COMPUTED_VALUE"""),"Prepaid Spending ARPU for 60 days (promo registrations, ppu, topup a promo)")</f>
        <v>Prepaid Spending ARPU for 60 days (promo registrations, ppu, topup a promo)</v>
      </c>
      <c r="F290" s="258" t="str">
        <f>IFERROR(__xludf.DUMMYFUNCTION("""COMPUTED_VALUE"""),"Derived")</f>
        <v>Derived</v>
      </c>
      <c r="G290" s="258" t="str">
        <f>IFERROR(__xludf.DUMMYFUNCTION("""COMPUTED_VALUE"""),"numeric(21,2)")</f>
        <v>numeric(21,2)</v>
      </c>
      <c r="H290" s="258">
        <f>IFERROR(__xludf.DUMMYFUNCTION("""COMPUTED_VALUE"""),86.5)</f>
        <v>86.5</v>
      </c>
      <c r="I290" s="258" t="str">
        <f>IFERROR(__xludf.DUMMYFUNCTION("""COMPUTED_VALUE"""),"AMP")</f>
        <v>AMP</v>
      </c>
      <c r="J290" s="258" t="str">
        <f>IFERROR(__xludf.DUMMYFUNCTION("""COMPUTED_VALUE"""),"Daily")</f>
        <v>Daily</v>
      </c>
      <c r="K290" s="258" t="str">
        <f>IFERROR(__xludf.DUMMYFUNCTION("""COMPUTED_VALUE"""),"")</f>
        <v/>
      </c>
      <c r="L290" s="258" t="str">
        <f>IFERROR(__xludf.DUMMYFUNCTION("""COMPUTED_VALUE"""),"GHP-PREPAID, TM, PW")</f>
        <v>GHP-PREPAID, TM, PW</v>
      </c>
      <c r="M290" s="258" t="str">
        <f>IFERROR(__xludf.DUMMYFUNCTION("""COMPUTED_VALUE"""),"Consumer, EG, SG, IBG Traveler")</f>
        <v>Consumer, EG, SG, IBG Traveler</v>
      </c>
      <c r="N290" s="258" t="str">
        <f>IFERROR(__xludf.DUMMYFUNCTION("""COMPUTED_VALUE"""),"revenue")</f>
        <v>revenue</v>
      </c>
      <c r="O290" s="258" t="str">
        <f>IFERROR(__xludf.DUMMYFUNCTION("""COMPUTED_VALUE"""),"revenue_profile")</f>
        <v>revenue_profile</v>
      </c>
      <c r="P290" s="258"/>
    </row>
    <row r="291">
      <c r="A291" s="257" t="str">
        <f>IFERROR(__xludf.DUMMYFUNCTION("""COMPUTED_VALUE"""),"prepaid_spending_arpu_90days")</f>
        <v>prepaid_spending_arpu_90days</v>
      </c>
      <c r="B291" s="258" t="str">
        <f>IFERROR(__xludf.DUMMYFUNCTION("""COMPUTED_VALUE"""),"Behavioral")</f>
        <v>Behavioral</v>
      </c>
      <c r="C291" s="258" t="str">
        <f>IFERROR(__xludf.DUMMYFUNCTION("""COMPUTED_VALUE"""),"Non-PII")</f>
        <v>Non-PII</v>
      </c>
      <c r="D291" s="258" t="str">
        <f>IFERROR(__xludf.DUMMYFUNCTION("""COMPUTED_VALUE"""),"Non-PII")</f>
        <v>Non-PII</v>
      </c>
      <c r="E291" s="258" t="str">
        <f>IFERROR(__xludf.DUMMYFUNCTION("""COMPUTED_VALUE"""),"Prepaid Spending ARPU for 90 days coverage (day-91 to day-2) of promo registrations, ppu, topup a promo)")</f>
        <v>Prepaid Spending ARPU for 90 days coverage (day-91 to day-2) of promo registrations, ppu, topup a promo)</v>
      </c>
      <c r="F291" s="258" t="str">
        <f>IFERROR(__xludf.DUMMYFUNCTION("""COMPUTED_VALUE"""),"Derived")</f>
        <v>Derived</v>
      </c>
      <c r="G291" s="258" t="str">
        <f>IFERROR(__xludf.DUMMYFUNCTION("""COMPUTED_VALUE"""),"numeric(21,2)")</f>
        <v>numeric(21,2)</v>
      </c>
      <c r="H291" s="258">
        <f>IFERROR(__xludf.DUMMYFUNCTION("""COMPUTED_VALUE"""),61.0)</f>
        <v>61</v>
      </c>
      <c r="I291" s="258" t="str">
        <f>IFERROR(__xludf.DUMMYFUNCTION("""COMPUTED_VALUE"""),"AMP")</f>
        <v>AMP</v>
      </c>
      <c r="J291" s="258" t="str">
        <f>IFERROR(__xludf.DUMMYFUNCTION("""COMPUTED_VALUE"""),"Daily")</f>
        <v>Daily</v>
      </c>
      <c r="K291" s="258" t="str">
        <f>IFERROR(__xludf.DUMMYFUNCTION("""COMPUTED_VALUE"""),"")</f>
        <v/>
      </c>
      <c r="L291" s="258" t="str">
        <f>IFERROR(__xludf.DUMMYFUNCTION("""COMPUTED_VALUE"""),"GHP-PREPAID, TM, PW")</f>
        <v>GHP-PREPAID, TM, PW</v>
      </c>
      <c r="M291" s="258" t="str">
        <f>IFERROR(__xludf.DUMMYFUNCTION("""COMPUTED_VALUE"""),"Consumer, EG, SG, IBG Traveler")</f>
        <v>Consumer, EG, SG, IBG Traveler</v>
      </c>
      <c r="N291" s="258" t="str">
        <f>IFERROR(__xludf.DUMMYFUNCTION("""COMPUTED_VALUE"""),"revenue")</f>
        <v>revenue</v>
      </c>
      <c r="O291" s="258" t="str">
        <f>IFERROR(__xludf.DUMMYFUNCTION("""COMPUTED_VALUE"""),"revenue_profile")</f>
        <v>revenue_profile</v>
      </c>
      <c r="P291" s="258"/>
    </row>
    <row r="292">
      <c r="A292" s="257" t="str">
        <f>IFERROR(__xludf.DUMMYFUNCTION("""COMPUTED_VALUE"""),"contract_type_description")</f>
        <v>contract_type_description</v>
      </c>
      <c r="B292" s="258" t="str">
        <f>IFERROR(__xludf.DUMMYFUNCTION("""COMPUTED_VALUE"""),"Globe ID")</f>
        <v>Globe ID</v>
      </c>
      <c r="C292" s="258" t="str">
        <f>IFERROR(__xludf.DUMMYFUNCTION("""COMPUTED_VALUE"""),"Non-PII")</f>
        <v>Non-PII</v>
      </c>
      <c r="D292" s="258" t="str">
        <f>IFERROR(__xludf.DUMMYFUNCTION("""COMPUTED_VALUE"""),"Non-PII")</f>
        <v>Non-PII</v>
      </c>
      <c r="E292" s="258" t="str">
        <f>IFERROR(__xludf.DUMMYFUNCTION("""COMPUTED_VALUE"""),"Locked in a promo contract with handset (bill rebates or gift certificate)
  Locked in a promo contract without handset
  Open base/out of lock up with handset
  Open base/out of lock up without handset")</f>
        <v>Locked in a promo contract with handset (bill rebates or gift certificate)
  Locked in a promo contract without handset
  Open base/out of lock up with handset
  Open base/out of lock up without handset</v>
      </c>
      <c r="F292" s="258" t="str">
        <f>IFERROR(__xludf.DUMMYFUNCTION("""COMPUTED_VALUE"""),"Direct Pull")</f>
        <v>Direct Pull</v>
      </c>
      <c r="G292" s="258" t="str">
        <f>IFERROR(__xludf.DUMMYFUNCTION("""COMPUTED_VALUE"""),"varchar(1000)")</f>
        <v>varchar(1000)</v>
      </c>
      <c r="H292" s="258" t="str">
        <f>IFERROR(__xludf.DUMMYFUNCTION("""COMPUTED_VALUE"""),"Open base /Out of lock up - subscribers without contracts")</f>
        <v>Open base /Out of lock up - subscribers without contracts</v>
      </c>
      <c r="I292" s="258" t="str">
        <f>IFERROR(__xludf.DUMMYFUNCTION("""COMPUTED_VALUE"""),"AMP")</f>
        <v>AMP</v>
      </c>
      <c r="J292" s="258" t="str">
        <f>IFERROR(__xludf.DUMMYFUNCTION("""COMPUTED_VALUE"""),"Daily")</f>
        <v>Daily</v>
      </c>
      <c r="K292" s="258" t="str">
        <f>IFERROR(__xludf.DUMMYFUNCTION("""COMPUTED_VALUE"""),"")</f>
        <v/>
      </c>
      <c r="L292" s="258" t="str">
        <f>IFERROR(__xludf.DUMMYFUNCTION("""COMPUTED_VALUE"""),"GHP")</f>
        <v>GHP</v>
      </c>
      <c r="M292" s="258" t="str">
        <f>IFERROR(__xludf.DUMMYFUNCTION("""COMPUTED_VALUE"""),"Consumer, EG, SG, In house")</f>
        <v>Consumer, EG, SG, In house</v>
      </c>
      <c r="N292" s="258" t="str">
        <f>IFERROR(__xludf.DUMMYFUNCTION("""COMPUTED_VALUE"""),"contract")</f>
        <v>contract</v>
      </c>
      <c r="O292" s="258" t="str">
        <f>IFERROR(__xludf.DUMMYFUNCTION("""COMPUTED_VALUE"""),"contract_profile")</f>
        <v>contract_profile</v>
      </c>
      <c r="P292" s="258"/>
    </row>
    <row r="293">
      <c r="A293" s="257" t="str">
        <f>IFERROR(__xludf.DUMMYFUNCTION("""COMPUTED_VALUE"""),"usage_data_ppu_ave_amount_past_30days")</f>
        <v>usage_data_ppu_ave_amount_past_30days</v>
      </c>
      <c r="B293" s="258" t="str">
        <f>IFERROR(__xludf.DUMMYFUNCTION("""COMPUTED_VALUE"""),"Behavioral")</f>
        <v>Behavioral</v>
      </c>
      <c r="C293" s="258" t="str">
        <f>IFERROR(__xludf.DUMMYFUNCTION("""COMPUTED_VALUE"""),"Non-PII")</f>
        <v>Non-PII</v>
      </c>
      <c r="D293" s="258" t="str">
        <f>IFERROR(__xludf.DUMMYFUNCTION("""COMPUTED_VALUE"""),"Non-PII")</f>
        <v>Non-PII</v>
      </c>
      <c r="E293" s="258" t="str">
        <f>IFERROR(__xludf.DUMMYFUNCTION("""COMPUTED_VALUE"""),"Average PPU data usage amout (spend) past 30 days")</f>
        <v>Average PPU data usage amout (spend) past 30 days</v>
      </c>
      <c r="F293" s="258" t="str">
        <f>IFERROR(__xludf.DUMMYFUNCTION("""COMPUTED_VALUE"""),"Derived")</f>
        <v>Derived</v>
      </c>
      <c r="G293" s="258" t="str">
        <f>IFERROR(__xludf.DUMMYFUNCTION("""COMPUTED_VALUE"""),"numeric(21,2)")</f>
        <v>numeric(21,2)</v>
      </c>
      <c r="H293" s="258">
        <f>IFERROR(__xludf.DUMMYFUNCTION("""COMPUTED_VALUE"""),25.0)</f>
        <v>25</v>
      </c>
      <c r="I293" s="258" t="str">
        <f>IFERROR(__xludf.DUMMYFUNCTION("""COMPUTED_VALUE"""),"AMP")</f>
        <v>AMP</v>
      </c>
      <c r="J293" s="258" t="str">
        <f>IFERROR(__xludf.DUMMYFUNCTION("""COMPUTED_VALUE"""),"Daily")</f>
        <v>Daily</v>
      </c>
      <c r="K293" s="258" t="str">
        <f>IFERROR(__xludf.DUMMYFUNCTION("""COMPUTED_VALUE"""),"")</f>
        <v/>
      </c>
      <c r="L293" s="258" t="str">
        <f>IFERROR(__xludf.DUMMYFUNCTION("""COMPUTED_VALUE"""),"GHP, GHP-PREPAID, TM, PW")</f>
        <v>GHP, GHP-PREPAID, TM, PW</v>
      </c>
      <c r="M293" s="258" t="str">
        <f>IFERROR(__xludf.DUMMYFUNCTION("""COMPUTED_VALUE"""),"Consumer, EG, SG, In house, IBG Traveler")</f>
        <v>Consumer, EG, SG, In house, IBG Traveler</v>
      </c>
      <c r="N293" s="258" t="str">
        <f>IFERROR(__xludf.DUMMYFUNCTION("""COMPUTED_VALUE"""),"usage")</f>
        <v>usage</v>
      </c>
      <c r="O293" s="258" t="str">
        <f>IFERROR(__xludf.DUMMYFUNCTION("""COMPUTED_VALUE"""),"usage_profile")</f>
        <v>usage_profile</v>
      </c>
      <c r="P293" s="258"/>
    </row>
    <row r="294">
      <c r="A294" s="257" t="str">
        <f>IFERROR(__xludf.DUMMYFUNCTION("""COMPUTED_VALUE"""),"usage_data_ppu_ave_amount_past_120days")</f>
        <v>usage_data_ppu_ave_amount_past_120days</v>
      </c>
      <c r="B294" s="258" t="str">
        <f>IFERROR(__xludf.DUMMYFUNCTION("""COMPUTED_VALUE"""),"Behavioral")</f>
        <v>Behavioral</v>
      </c>
      <c r="C294" s="258" t="str">
        <f>IFERROR(__xludf.DUMMYFUNCTION("""COMPUTED_VALUE"""),"Non-PII")</f>
        <v>Non-PII</v>
      </c>
      <c r="D294" s="258" t="str">
        <f>IFERROR(__xludf.DUMMYFUNCTION("""COMPUTED_VALUE"""),"Non-PII")</f>
        <v>Non-PII</v>
      </c>
      <c r="E294" s="258" t="str">
        <f>IFERROR(__xludf.DUMMYFUNCTION("""COMPUTED_VALUE"""),"Average PPU data usage amount (spend) past 120 days prior 30 days")</f>
        <v>Average PPU data usage amount (spend) past 120 days prior 30 days</v>
      </c>
      <c r="F294" s="258" t="str">
        <f>IFERROR(__xludf.DUMMYFUNCTION("""COMPUTED_VALUE"""),"Derived")</f>
        <v>Derived</v>
      </c>
      <c r="G294" s="258" t="str">
        <f>IFERROR(__xludf.DUMMYFUNCTION("""COMPUTED_VALUE"""),"numeric(21,2)")</f>
        <v>numeric(21,2)</v>
      </c>
      <c r="H294" s="258">
        <f>IFERROR(__xludf.DUMMYFUNCTION("""COMPUTED_VALUE"""),5.0)</f>
        <v>5</v>
      </c>
      <c r="I294" s="258" t="str">
        <f>IFERROR(__xludf.DUMMYFUNCTION("""COMPUTED_VALUE"""),"AMP")</f>
        <v>AMP</v>
      </c>
      <c r="J294" s="258" t="str">
        <f>IFERROR(__xludf.DUMMYFUNCTION("""COMPUTED_VALUE"""),"Daily")</f>
        <v>Daily</v>
      </c>
      <c r="K294" s="258" t="str">
        <f>IFERROR(__xludf.DUMMYFUNCTION("""COMPUTED_VALUE"""),"")</f>
        <v/>
      </c>
      <c r="L294" s="258" t="str">
        <f>IFERROR(__xludf.DUMMYFUNCTION("""COMPUTED_VALUE"""),"GHP, GHP-PREPAID, TM, PW")</f>
        <v>GHP, GHP-PREPAID, TM, PW</v>
      </c>
      <c r="M294" s="258" t="str">
        <f>IFERROR(__xludf.DUMMYFUNCTION("""COMPUTED_VALUE"""),"Consumer, EG, SG, In house, IBG Traveler")</f>
        <v>Consumer, EG, SG, In house, IBG Traveler</v>
      </c>
      <c r="N294" s="258" t="str">
        <f>IFERROR(__xludf.DUMMYFUNCTION("""COMPUTED_VALUE"""),"usage")</f>
        <v>usage</v>
      </c>
      <c r="O294" s="258" t="str">
        <f>IFERROR(__xludf.DUMMYFUNCTION("""COMPUTED_VALUE"""),"usage_profile")</f>
        <v>usage_profile</v>
      </c>
      <c r="P294" s="258"/>
    </row>
    <row r="295">
      <c r="A295" s="257" t="str">
        <f>IFERROR(__xludf.DUMMYFUNCTION("""COMPUTED_VALUE"""),"multisim_tag")</f>
        <v>multisim_tag</v>
      </c>
      <c r="B295" s="258" t="str">
        <f>IFERROR(__xludf.DUMMYFUNCTION("""COMPUTED_VALUE"""),"Behavioral")</f>
        <v>Behavioral</v>
      </c>
      <c r="C295" s="258" t="str">
        <f>IFERROR(__xludf.DUMMYFUNCTION("""COMPUTED_VALUE"""),"Non-PII")</f>
        <v>Non-PII</v>
      </c>
      <c r="D295" s="258" t="str">
        <f>IFERROR(__xludf.DUMMYFUNCTION("""COMPUTED_VALUE"""),"Non-PII")</f>
        <v>Non-PII</v>
      </c>
      <c r="E295" s="258" t="str">
        <f>IFERROR(__xludf.DUMMYFUNCTION("""COMPUTED_VALUE"""),"Indicator whether the subscriber is likely a single sim card holder or a multiple sim card holder.
 TRUE - Multisim 
 FALSE - Single Sim")</f>
        <v>Indicator whether the subscriber is likely a single sim card holder or a multiple sim card holder.
 TRUE - Multisim 
 FALSE - Single Sim</v>
      </c>
      <c r="F295" s="258" t="str">
        <f>IFERROR(__xludf.DUMMYFUNCTION("""COMPUTED_VALUE"""),"Derived")</f>
        <v>Derived</v>
      </c>
      <c r="G295" s="258" t="str">
        <f>IFERROR(__xludf.DUMMYFUNCTION("""COMPUTED_VALUE"""),"boolean")</f>
        <v>boolean</v>
      </c>
      <c r="H295" s="258" t="b">
        <f>IFERROR(__xludf.DUMMYFUNCTION("""COMPUTED_VALUE"""),TRUE)</f>
        <v>1</v>
      </c>
      <c r="I295" s="258" t="str">
        <f>IFERROR(__xludf.DUMMYFUNCTION("""COMPUTED_VALUE"""),"MSH")</f>
        <v>MSH</v>
      </c>
      <c r="J295" s="258" t="str">
        <f>IFERROR(__xludf.DUMMYFUNCTION("""COMPUTED_VALUE"""),"Monthly")</f>
        <v>Monthly</v>
      </c>
      <c r="K295" s="258" t="str">
        <f>IFERROR(__xludf.DUMMYFUNCTION("""COMPUTED_VALUE"""),"mo-1")</f>
        <v>mo-1</v>
      </c>
      <c r="L295" s="258" t="str">
        <f>IFERROR(__xludf.DUMMYFUNCTION("""COMPUTED_VALUE"""),"GHP-PREPAID, TM")</f>
        <v>GHP-PREPAID, TM</v>
      </c>
      <c r="M295" s="258" t="str">
        <f>IFERROR(__xludf.DUMMYFUNCTION("""COMPUTED_VALUE"""),"Consumer")</f>
        <v>Consumer</v>
      </c>
      <c r="N295" s="258" t="str">
        <f>IFERROR(__xludf.DUMMYFUNCTION("""COMPUTED_VALUE"""),"product")</f>
        <v>product</v>
      </c>
      <c r="O295" s="258" t="str">
        <f>IFERROR(__xludf.DUMMYFUNCTION("""COMPUTED_VALUE"""),"product_profile")</f>
        <v>product_profile</v>
      </c>
      <c r="P295" s="258"/>
    </row>
    <row r="296">
      <c r="A296" s="257" t="str">
        <f>IFERROR(__xludf.DUMMYFUNCTION("""COMPUTED_VALUE"""),"usage_data_latest_date_past_120days")</f>
        <v>usage_data_latest_date_past_120days</v>
      </c>
      <c r="B296" s="258" t="str">
        <f>IFERROR(__xludf.DUMMYFUNCTION("""COMPUTED_VALUE"""),"Behavioral")</f>
        <v>Behavioral</v>
      </c>
      <c r="C296" s="258" t="str">
        <f>IFERROR(__xludf.DUMMYFUNCTION("""COMPUTED_VALUE"""),"Non-PII")</f>
        <v>Non-PII</v>
      </c>
      <c r="D296" s="258" t="str">
        <f>IFERROR(__xludf.DUMMYFUNCTION("""COMPUTED_VALUE"""),"Non-PII")</f>
        <v>Non-PII</v>
      </c>
      <c r="E296" s="258" t="str">
        <f>IFERROR(__xludf.DUMMYFUNCTION("""COMPUTED_VALUE"""),"Gets latest event_start_date with data filter")</f>
        <v>Gets latest event_start_date with data filter</v>
      </c>
      <c r="F296" s="258" t="str">
        <f>IFERROR(__xludf.DUMMYFUNCTION("""COMPUTED_VALUE"""),"Derived")</f>
        <v>Derived</v>
      </c>
      <c r="G296" s="258" t="str">
        <f>IFERROR(__xludf.DUMMYFUNCTION("""COMPUTED_VALUE"""),"timestamp")</f>
        <v>timestamp</v>
      </c>
      <c r="H296" s="258">
        <f>IFERROR(__xludf.DUMMYFUNCTION("""COMPUTED_VALUE"""),40417.48922)</f>
        <v>40417.48922</v>
      </c>
      <c r="I296" s="258" t="str">
        <f>IFERROR(__xludf.DUMMYFUNCTION("""COMPUTED_VALUE"""),"FVT CRM HPW/BB")</f>
        <v>FVT CRM HPW/BB</v>
      </c>
      <c r="J296" s="258" t="str">
        <f>IFERROR(__xludf.DUMMYFUNCTION("""COMPUTED_VALUE"""),"Daily")</f>
        <v>Daily</v>
      </c>
      <c r="K296" s="258" t="str">
        <f>IFERROR(__xludf.DUMMYFUNCTION("""COMPUTED_VALUE"""),"")</f>
        <v/>
      </c>
      <c r="L296" s="258" t="str">
        <f>IFERROR(__xludf.DUMMYFUNCTION("""COMPUTED_VALUE"""),"GHP, GHP-PREPAID, TM, PW, GOMO")</f>
        <v>GHP, GHP-PREPAID, TM, PW, GOMO</v>
      </c>
      <c r="M296" s="258" t="str">
        <f>IFERROR(__xludf.DUMMYFUNCTION("""COMPUTED_VALUE"""),"Consumer, EG, SG, In house, IBG Traveler")</f>
        <v>Consumer, EG, SG, In house, IBG Traveler</v>
      </c>
      <c r="N296" s="258" t="str">
        <f>IFERROR(__xludf.DUMMYFUNCTION("""COMPUTED_VALUE"""),"usage")</f>
        <v>usage</v>
      </c>
      <c r="O296" s="258" t="str">
        <f>IFERROR(__xludf.DUMMYFUNCTION("""COMPUTED_VALUE"""),"usage_profile")</f>
        <v>usage_profile</v>
      </c>
      <c r="P296" s="258"/>
    </row>
    <row r="297">
      <c r="A297" s="257" t="str">
        <f>IFERROR(__xludf.DUMMYFUNCTION("""COMPUTED_VALUE"""),"availment_amount_past_60days")</f>
        <v>availment_amount_past_60days</v>
      </c>
      <c r="B297" s="258" t="str">
        <f>IFERROR(__xludf.DUMMYFUNCTION("""COMPUTED_VALUE"""),"Campaign History")</f>
        <v>Campaign History</v>
      </c>
      <c r="C297" s="258" t="str">
        <f>IFERROR(__xludf.DUMMYFUNCTION("""COMPUTED_VALUE"""),"Non-PII")</f>
        <v>Non-PII</v>
      </c>
      <c r="D297" s="258" t="str">
        <f>IFERROR(__xludf.DUMMYFUNCTION("""COMPUTED_VALUE"""),"Non-PII")</f>
        <v>Non-PII</v>
      </c>
      <c r="E297" s="258" t="str">
        <f>IFERROR(__xludf.DUMMYFUNCTION("""COMPUTED_VALUE"""),"Sum of promo registrations in past 60 days")</f>
        <v>Sum of promo registrations in past 60 days</v>
      </c>
      <c r="F297" s="258" t="str">
        <f>IFERROR(__xludf.DUMMYFUNCTION("""COMPUTED_VALUE"""),"Derived")</f>
        <v>Derived</v>
      </c>
      <c r="G297" s="258" t="str">
        <f>IFERROR(__xludf.DUMMYFUNCTION("""COMPUTED_VALUE"""),"numeric(21,2)")</f>
        <v>numeric(21,2)</v>
      </c>
      <c r="H297" s="258">
        <f>IFERROR(__xludf.DUMMYFUNCTION("""COMPUTED_VALUE"""),120.0)</f>
        <v>120</v>
      </c>
      <c r="I297" s="258" t="str">
        <f>IFERROR(__xludf.DUMMYFUNCTION("""COMPUTED_VALUE"""),"FVT CRM HPW/BB")</f>
        <v>FVT CRM HPW/BB</v>
      </c>
      <c r="J297" s="258" t="str">
        <f>IFERROR(__xludf.DUMMYFUNCTION("""COMPUTED_VALUE"""),"Daily")</f>
        <v>Daily</v>
      </c>
      <c r="K297" s="258" t="str">
        <f>IFERROR(__xludf.DUMMYFUNCTION("""COMPUTED_VALUE"""),"")</f>
        <v/>
      </c>
      <c r="L297" s="258" t="str">
        <f>IFERROR(__xludf.DUMMYFUNCTION("""COMPUTED_VALUE"""),"GHP-PREPAID, TM, PW")</f>
        <v>GHP-PREPAID, TM, PW</v>
      </c>
      <c r="M297" s="258" t="str">
        <f>IFERROR(__xludf.DUMMYFUNCTION("""COMPUTED_VALUE"""),"Consumer, EG, SG, IBG Traveler")</f>
        <v>Consumer, EG, SG, IBG Traveler</v>
      </c>
      <c r="N297" s="258" t="str">
        <f>IFERROR(__xludf.DUMMYFUNCTION("""COMPUTED_VALUE"""),"availment")</f>
        <v>availment</v>
      </c>
      <c r="O297" s="258" t="str">
        <f>IFERROR(__xludf.DUMMYFUNCTION("""COMPUTED_VALUE"""),"availment_profile")</f>
        <v>availment_profile</v>
      </c>
      <c r="P297" s="258"/>
    </row>
    <row r="298">
      <c r="A298" s="257" t="str">
        <f>IFERROR(__xludf.DUMMYFUNCTION("""COMPUTED_VALUE"""),"availment_amount_past_90days")</f>
        <v>availment_amount_past_90days</v>
      </c>
      <c r="B298" s="258" t="str">
        <f>IFERROR(__xludf.DUMMYFUNCTION("""COMPUTED_VALUE"""),"Campaign History")</f>
        <v>Campaign History</v>
      </c>
      <c r="C298" s="258" t="str">
        <f>IFERROR(__xludf.DUMMYFUNCTION("""COMPUTED_VALUE"""),"Non-PII")</f>
        <v>Non-PII</v>
      </c>
      <c r="D298" s="258" t="str">
        <f>IFERROR(__xludf.DUMMYFUNCTION("""COMPUTED_VALUE"""),"Non-PII")</f>
        <v>Non-PII</v>
      </c>
      <c r="E298" s="258" t="str">
        <f>IFERROR(__xludf.DUMMYFUNCTION("""COMPUTED_VALUE"""),"Sum of promo registrations in past 90 days")</f>
        <v>Sum of promo registrations in past 90 days</v>
      </c>
      <c r="F298" s="258" t="str">
        <f>IFERROR(__xludf.DUMMYFUNCTION("""COMPUTED_VALUE"""),"Derived")</f>
        <v>Derived</v>
      </c>
      <c r="G298" s="258" t="str">
        <f>IFERROR(__xludf.DUMMYFUNCTION("""COMPUTED_VALUE"""),"numeric(21,2)")</f>
        <v>numeric(21,2)</v>
      </c>
      <c r="H298" s="258">
        <f>IFERROR(__xludf.DUMMYFUNCTION("""COMPUTED_VALUE"""),120.0)</f>
        <v>120</v>
      </c>
      <c r="I298" s="258" t="str">
        <f>IFERROR(__xludf.DUMMYFUNCTION("""COMPUTED_VALUE"""),"FVT CRM HPW/BB")</f>
        <v>FVT CRM HPW/BB</v>
      </c>
      <c r="J298" s="258" t="str">
        <f>IFERROR(__xludf.DUMMYFUNCTION("""COMPUTED_VALUE"""),"Daily")</f>
        <v>Daily</v>
      </c>
      <c r="K298" s="258" t="str">
        <f>IFERROR(__xludf.DUMMYFUNCTION("""COMPUTED_VALUE"""),"")</f>
        <v/>
      </c>
      <c r="L298" s="258" t="str">
        <f>IFERROR(__xludf.DUMMYFUNCTION("""COMPUTED_VALUE"""),"GHP-PREPAID, TM, PW")</f>
        <v>GHP-PREPAID, TM, PW</v>
      </c>
      <c r="M298" s="258" t="str">
        <f>IFERROR(__xludf.DUMMYFUNCTION("""COMPUTED_VALUE"""),"Consumer, EG, SG, IBG Traveler")</f>
        <v>Consumer, EG, SG, IBG Traveler</v>
      </c>
      <c r="N298" s="258" t="str">
        <f>IFERROR(__xludf.DUMMYFUNCTION("""COMPUTED_VALUE"""),"availment")</f>
        <v>availment</v>
      </c>
      <c r="O298" s="258" t="str">
        <f>IFERROR(__xludf.DUMMYFUNCTION("""COMPUTED_VALUE"""),"availment_profile")</f>
        <v>availment_profile</v>
      </c>
      <c r="P298" s="258"/>
    </row>
    <row r="299">
      <c r="A299" s="257" t="str">
        <f>IFERROR(__xludf.DUMMYFUNCTION("""COMPUTED_VALUE"""),"prepaid_spending_arpu_120days")</f>
        <v>prepaid_spending_arpu_120days</v>
      </c>
      <c r="B299" s="258" t="str">
        <f>IFERROR(__xludf.DUMMYFUNCTION("""COMPUTED_VALUE"""),"Behavioral")</f>
        <v>Behavioral</v>
      </c>
      <c r="C299" s="258" t="str">
        <f>IFERROR(__xludf.DUMMYFUNCTION("""COMPUTED_VALUE"""),"Non-PII")</f>
        <v>Non-PII</v>
      </c>
      <c r="D299" s="258" t="str">
        <f>IFERROR(__xludf.DUMMYFUNCTION("""COMPUTED_VALUE"""),"Non-PII")</f>
        <v>Non-PII</v>
      </c>
      <c r="E299" s="258" t="str">
        <f>IFERROR(__xludf.DUMMYFUNCTION("""COMPUTED_VALUE"""),"Prepaid Spending ARPU (promo registrations, ppu, topup a promo) for 120 days
  divided by 4 (months)")</f>
        <v>Prepaid Spending ARPU (promo registrations, ppu, topup a promo) for 120 days
  divided by 4 (months)</v>
      </c>
      <c r="F299" s="258" t="str">
        <f>IFERROR(__xludf.DUMMYFUNCTION("""COMPUTED_VALUE"""),"Derived")</f>
        <v>Derived</v>
      </c>
      <c r="G299" s="258" t="str">
        <f>IFERROR(__xludf.DUMMYFUNCTION("""COMPUTED_VALUE"""),"numeric(21,2)")</f>
        <v>numeric(21,2)</v>
      </c>
      <c r="H299" s="258">
        <f>IFERROR(__xludf.DUMMYFUNCTION("""COMPUTED_VALUE"""),20.25)</f>
        <v>20.25</v>
      </c>
      <c r="I299" s="258" t="str">
        <f>IFERROR(__xludf.DUMMYFUNCTION("""COMPUTED_VALUE"""),"FVT CRM HPW/BB")</f>
        <v>FVT CRM HPW/BB</v>
      </c>
      <c r="J299" s="258" t="str">
        <f>IFERROR(__xludf.DUMMYFUNCTION("""COMPUTED_VALUE"""),"Daily")</f>
        <v>Daily</v>
      </c>
      <c r="K299" s="258" t="str">
        <f>IFERROR(__xludf.DUMMYFUNCTION("""COMPUTED_VALUE"""),"")</f>
        <v/>
      </c>
      <c r="L299" s="258" t="str">
        <f>IFERROR(__xludf.DUMMYFUNCTION("""COMPUTED_VALUE"""),"GHP-PREPAID, TM, PW")</f>
        <v>GHP-PREPAID, TM, PW</v>
      </c>
      <c r="M299" s="258" t="str">
        <f>IFERROR(__xludf.DUMMYFUNCTION("""COMPUTED_VALUE"""),"Consumer, EG, SG, IBG Traveler")</f>
        <v>Consumer, EG, SG, IBG Traveler</v>
      </c>
      <c r="N299" s="258" t="str">
        <f>IFERROR(__xludf.DUMMYFUNCTION("""COMPUTED_VALUE"""),"revenue")</f>
        <v>revenue</v>
      </c>
      <c r="O299" s="258" t="str">
        <f>IFERROR(__xludf.DUMMYFUNCTION("""COMPUTED_VALUE"""),"revenue_profile")</f>
        <v>revenue_profile</v>
      </c>
      <c r="P299" s="258"/>
    </row>
    <row r="300">
      <c r="A300" s="257" t="str">
        <f>IFERROR(__xludf.DUMMYFUNCTION("""COMPUTED_VALUE"""),"network_monthly_top_2_data_location_province")</f>
        <v>network_monthly_top_2_data_location_province</v>
      </c>
      <c r="B300" s="258" t="str">
        <f>IFERROR(__xludf.DUMMYFUNCTION("""COMPUTED_VALUE"""),"Customer PII")</f>
        <v>Customer PII</v>
      </c>
      <c r="C300" s="258" t="str">
        <f>IFERROR(__xludf.DUMMYFUNCTION("""COMPUTED_VALUE"""),"Non-PII")</f>
        <v>Non-PII</v>
      </c>
      <c r="D300" s="258" t="str">
        <f>IFERROR(__xludf.DUMMYFUNCTION("""COMPUTED_VALUE"""),"Non-PII")</f>
        <v>Non-PII</v>
      </c>
      <c r="E300" s="258" t="str">
        <f>IFERROR(__xludf.DUMMYFUNCTION("""COMPUTED_VALUE"""),"Top 2 Location (Province) of Customer based on customer's data usage from previous month")</f>
        <v>Top 2 Location (Province) of Customer based on customer's data usage from previous month</v>
      </c>
      <c r="F300" s="258" t="str">
        <f>IFERROR(__xludf.DUMMYFUNCTION("""COMPUTED_VALUE"""),"Derived")</f>
        <v>Derived</v>
      </c>
      <c r="G300" s="258" t="str">
        <f>IFERROR(__xludf.DUMMYFUNCTION("""COMPUTED_VALUE"""),"varchar(1000)")</f>
        <v>varchar(1000)</v>
      </c>
      <c r="H300" s="258" t="str">
        <f>IFERROR(__xludf.DUMMYFUNCTION("""COMPUTED_VALUE"""),"National Capital Region (NCR)")</f>
        <v>National Capital Region (NCR)</v>
      </c>
      <c r="I300" s="258" t="str">
        <f>IFERROR(__xludf.DUMMYFUNCTION("""COMPUTED_VALUE"""),"FVT CRM Hoarding")</f>
        <v>FVT CRM Hoarding</v>
      </c>
      <c r="J300" s="258" t="str">
        <f>IFERROR(__xludf.DUMMYFUNCTION("""COMPUTED_VALUE"""),"Monthly")</f>
        <v>Monthly</v>
      </c>
      <c r="K300" s="258" t="str">
        <f>IFERROR(__xludf.DUMMYFUNCTION("""COMPUTED_VALUE"""),"")</f>
        <v/>
      </c>
      <c r="L300" s="258" t="str">
        <f>IFERROR(__xludf.DUMMYFUNCTION("""COMPUTED_VALUE"""),"GHP, GHP-PREPAID, TM, PW, GOMO, WIRELINE")</f>
        <v>GHP, GHP-PREPAID, TM, PW, GOMO, WIRELINE</v>
      </c>
      <c r="M300" s="258" t="str">
        <f>IFERROR(__xludf.DUMMYFUNCTION("""COMPUTED_VALUE"""),"Consumer, EG, SG, In house, IBG Traveler")</f>
        <v>Consumer, EG, SG, In house, IBG Traveler</v>
      </c>
      <c r="N300" s="258" t="str">
        <f>IFERROR(__xludf.DUMMYFUNCTION("""COMPUTED_VALUE"""),"network")</f>
        <v>network</v>
      </c>
      <c r="O300" s="258" t="str">
        <f>IFERROR(__xludf.DUMMYFUNCTION("""COMPUTED_VALUE"""),"network_profile")</f>
        <v>network_profile</v>
      </c>
      <c r="P300" s="258"/>
    </row>
    <row r="301">
      <c r="A301" s="257" t="str">
        <f>IFERROR(__xludf.DUMMYFUNCTION("""COMPUTED_VALUE"""),"network_monthly_top_2_data_location_town")</f>
        <v>network_monthly_top_2_data_location_town</v>
      </c>
      <c r="B301" s="258" t="str">
        <f>IFERROR(__xludf.DUMMYFUNCTION("""COMPUTED_VALUE"""),"Customer PII")</f>
        <v>Customer PII</v>
      </c>
      <c r="C301" s="258" t="str">
        <f>IFERROR(__xludf.DUMMYFUNCTION("""COMPUTED_VALUE"""),"Non-PII")</f>
        <v>Non-PII</v>
      </c>
      <c r="D301" s="258" t="str">
        <f>IFERROR(__xludf.DUMMYFUNCTION("""COMPUTED_VALUE"""),"Non-PII")</f>
        <v>Non-PII</v>
      </c>
      <c r="E301" s="258" t="str">
        <f>IFERROR(__xludf.DUMMYFUNCTION("""COMPUTED_VALUE"""),"Top 2 Location (Town) of Customer based on customer's data usage from previous month")</f>
        <v>Top 2 Location (Town) of Customer based on customer's data usage from previous month</v>
      </c>
      <c r="F301" s="258" t="str">
        <f>IFERROR(__xludf.DUMMYFUNCTION("""COMPUTED_VALUE"""),"Derived")</f>
        <v>Derived</v>
      </c>
      <c r="G301" s="258" t="str">
        <f>IFERROR(__xludf.DUMMYFUNCTION("""COMPUTED_VALUE"""),"varchar(1000)")</f>
        <v>varchar(1000)</v>
      </c>
      <c r="H301" s="258" t="str">
        <f>IFERROR(__xludf.DUMMYFUNCTION("""COMPUTED_VALUE"""),"CITY OF MAKATI")</f>
        <v>CITY OF MAKATI</v>
      </c>
      <c r="I301" s="258" t="str">
        <f>IFERROR(__xludf.DUMMYFUNCTION("""COMPUTED_VALUE"""),"FVT CRM Hoarding")</f>
        <v>FVT CRM Hoarding</v>
      </c>
      <c r="J301" s="258" t="str">
        <f>IFERROR(__xludf.DUMMYFUNCTION("""COMPUTED_VALUE"""),"Monthly")</f>
        <v>Monthly</v>
      </c>
      <c r="K301" s="258" t="str">
        <f>IFERROR(__xludf.DUMMYFUNCTION("""COMPUTED_VALUE"""),"")</f>
        <v/>
      </c>
      <c r="L301" s="258" t="str">
        <f>IFERROR(__xludf.DUMMYFUNCTION("""COMPUTED_VALUE"""),"GHP, GHP-PREPAID, TM, PW, GOMO, WIRELINE")</f>
        <v>GHP, GHP-PREPAID, TM, PW, GOMO, WIRELINE</v>
      </c>
      <c r="M301" s="258" t="str">
        <f>IFERROR(__xludf.DUMMYFUNCTION("""COMPUTED_VALUE"""),"Consumer, EG, SG, In house, IBG Traveler")</f>
        <v>Consumer, EG, SG, In house, IBG Traveler</v>
      </c>
      <c r="N301" s="258" t="str">
        <f>IFERROR(__xludf.DUMMYFUNCTION("""COMPUTED_VALUE"""),"network")</f>
        <v>network</v>
      </c>
      <c r="O301" s="258" t="str">
        <f>IFERROR(__xludf.DUMMYFUNCTION("""COMPUTED_VALUE"""),"network_profile")</f>
        <v>network_profile</v>
      </c>
      <c r="P301" s="258"/>
    </row>
    <row r="302">
      <c r="A302" s="257" t="str">
        <f>IFERROR(__xludf.DUMMYFUNCTION("""COMPUTED_VALUE"""),"network_monthly_top_3_data_location_province")</f>
        <v>network_monthly_top_3_data_location_province</v>
      </c>
      <c r="B302" s="258" t="str">
        <f>IFERROR(__xludf.DUMMYFUNCTION("""COMPUTED_VALUE"""),"Customer PII")</f>
        <v>Customer PII</v>
      </c>
      <c r="C302" s="258" t="str">
        <f>IFERROR(__xludf.DUMMYFUNCTION("""COMPUTED_VALUE"""),"Non-PII")</f>
        <v>Non-PII</v>
      </c>
      <c r="D302" s="258" t="str">
        <f>IFERROR(__xludf.DUMMYFUNCTION("""COMPUTED_VALUE"""),"Non-PII")</f>
        <v>Non-PII</v>
      </c>
      <c r="E302" s="258" t="str">
        <f>IFERROR(__xludf.DUMMYFUNCTION("""COMPUTED_VALUE"""),"Top 3 Location (Province) of Customer based on customer's data usage from previous month")</f>
        <v>Top 3 Location (Province) of Customer based on customer's data usage from previous month</v>
      </c>
      <c r="F302" s="258" t="str">
        <f>IFERROR(__xludf.DUMMYFUNCTION("""COMPUTED_VALUE"""),"Derived")</f>
        <v>Derived</v>
      </c>
      <c r="G302" s="258" t="str">
        <f>IFERROR(__xludf.DUMMYFUNCTION("""COMPUTED_VALUE"""),"varchar(1000)")</f>
        <v>varchar(1000)</v>
      </c>
      <c r="H302" s="258" t="str">
        <f>IFERROR(__xludf.DUMMYFUNCTION("""COMPUTED_VALUE"""),"National Capital Region (NCR)")</f>
        <v>National Capital Region (NCR)</v>
      </c>
      <c r="I302" s="258" t="str">
        <f>IFERROR(__xludf.DUMMYFUNCTION("""COMPUTED_VALUE"""),"FVT CRM Hoarding")</f>
        <v>FVT CRM Hoarding</v>
      </c>
      <c r="J302" s="258" t="str">
        <f>IFERROR(__xludf.DUMMYFUNCTION("""COMPUTED_VALUE"""),"Monthly")</f>
        <v>Monthly</v>
      </c>
      <c r="K302" s="258" t="str">
        <f>IFERROR(__xludf.DUMMYFUNCTION("""COMPUTED_VALUE"""),"")</f>
        <v/>
      </c>
      <c r="L302" s="258" t="str">
        <f>IFERROR(__xludf.DUMMYFUNCTION("""COMPUTED_VALUE"""),"GHP, GHP-PREPAID, TM, PW, GOMO, WIRELINE")</f>
        <v>GHP, GHP-PREPAID, TM, PW, GOMO, WIRELINE</v>
      </c>
      <c r="M302" s="258" t="str">
        <f>IFERROR(__xludf.DUMMYFUNCTION("""COMPUTED_VALUE"""),"Consumer, EG, SG, In house, IBG Traveler")</f>
        <v>Consumer, EG, SG, In house, IBG Traveler</v>
      </c>
      <c r="N302" s="258" t="str">
        <f>IFERROR(__xludf.DUMMYFUNCTION("""COMPUTED_VALUE"""),"network")</f>
        <v>network</v>
      </c>
      <c r="O302" s="258" t="str">
        <f>IFERROR(__xludf.DUMMYFUNCTION("""COMPUTED_VALUE"""),"network_profile")</f>
        <v>network_profile</v>
      </c>
      <c r="P302" s="258"/>
    </row>
    <row r="303">
      <c r="A303" s="257" t="str">
        <f>IFERROR(__xludf.DUMMYFUNCTION("""COMPUTED_VALUE"""),"network_monthly_top_3_data_location_town")</f>
        <v>network_monthly_top_3_data_location_town</v>
      </c>
      <c r="B303" s="258" t="str">
        <f>IFERROR(__xludf.DUMMYFUNCTION("""COMPUTED_VALUE"""),"Customer PII")</f>
        <v>Customer PII</v>
      </c>
      <c r="C303" s="258" t="str">
        <f>IFERROR(__xludf.DUMMYFUNCTION("""COMPUTED_VALUE"""),"Non-PII")</f>
        <v>Non-PII</v>
      </c>
      <c r="D303" s="258" t="str">
        <f>IFERROR(__xludf.DUMMYFUNCTION("""COMPUTED_VALUE"""),"Non-PII")</f>
        <v>Non-PII</v>
      </c>
      <c r="E303" s="258" t="str">
        <f>IFERROR(__xludf.DUMMYFUNCTION("""COMPUTED_VALUE"""),"Top 3 Location (Town) of Customer based on customer's data usage from previous month")</f>
        <v>Top 3 Location (Town) of Customer based on customer's data usage from previous month</v>
      </c>
      <c r="F303" s="258" t="str">
        <f>IFERROR(__xludf.DUMMYFUNCTION("""COMPUTED_VALUE"""),"Derived")</f>
        <v>Derived</v>
      </c>
      <c r="G303" s="258" t="str">
        <f>IFERROR(__xludf.DUMMYFUNCTION("""COMPUTED_VALUE"""),"varchar(1000)")</f>
        <v>varchar(1000)</v>
      </c>
      <c r="H303" s="258" t="str">
        <f>IFERROR(__xludf.DUMMYFUNCTION("""COMPUTED_VALUE"""),"CITY OF MAKATI")</f>
        <v>CITY OF MAKATI</v>
      </c>
      <c r="I303" s="258" t="str">
        <f>IFERROR(__xludf.DUMMYFUNCTION("""COMPUTED_VALUE"""),"FVT CRM Hoarding")</f>
        <v>FVT CRM Hoarding</v>
      </c>
      <c r="J303" s="258" t="str">
        <f>IFERROR(__xludf.DUMMYFUNCTION("""COMPUTED_VALUE"""),"Monthly")</f>
        <v>Monthly</v>
      </c>
      <c r="K303" s="258" t="str">
        <f>IFERROR(__xludf.DUMMYFUNCTION("""COMPUTED_VALUE"""),"")</f>
        <v/>
      </c>
      <c r="L303" s="258" t="str">
        <f>IFERROR(__xludf.DUMMYFUNCTION("""COMPUTED_VALUE"""),"GHP, GHP-PREPAID, TM, PW, GOMO, WIRELINE")</f>
        <v>GHP, GHP-PREPAID, TM, PW, GOMO, WIRELINE</v>
      </c>
      <c r="M303" s="258" t="str">
        <f>IFERROR(__xludf.DUMMYFUNCTION("""COMPUTED_VALUE"""),"Consumer, EG, SG, In house, IBG Traveler")</f>
        <v>Consumer, EG, SG, In house, IBG Traveler</v>
      </c>
      <c r="N303" s="258" t="str">
        <f>IFERROR(__xludf.DUMMYFUNCTION("""COMPUTED_VALUE"""),"network")</f>
        <v>network</v>
      </c>
      <c r="O303" s="258" t="str">
        <f>IFERROR(__xludf.DUMMYFUNCTION("""COMPUTED_VALUE"""),"network_profile")</f>
        <v>network_profile</v>
      </c>
      <c r="P303" s="258"/>
    </row>
    <row r="304">
      <c r="A304" s="257" t="str">
        <f>IFERROR(__xludf.DUMMYFUNCTION("""COMPUTED_VALUE"""),"reload_amount_total_past_90days")</f>
        <v>reload_amount_total_past_90days</v>
      </c>
      <c r="B304" s="258" t="str">
        <f>IFERROR(__xludf.DUMMYFUNCTION("""COMPUTED_VALUE"""),"Behavioral")</f>
        <v>Behavioral</v>
      </c>
      <c r="C304" s="258" t="str">
        <f>IFERROR(__xludf.DUMMYFUNCTION("""COMPUTED_VALUE"""),"Non-PII")</f>
        <v>Non-PII</v>
      </c>
      <c r="D304" s="258" t="str">
        <f>IFERROR(__xludf.DUMMYFUNCTION("""COMPUTED_VALUE"""),"Non-PII")</f>
        <v>Non-PII</v>
      </c>
      <c r="E304" s="258" t="str">
        <f>IFERROR(__xludf.DUMMYFUNCTION("""COMPUTED_VALUE"""),"Total of top-up amount for the past 90 days")</f>
        <v>Total of top-up amount for the past 90 days</v>
      </c>
      <c r="F304" s="258" t="str">
        <f>IFERROR(__xludf.DUMMYFUNCTION("""COMPUTED_VALUE"""),"Derived")</f>
        <v>Derived</v>
      </c>
      <c r="G304" s="258" t="str">
        <f>IFERROR(__xludf.DUMMYFUNCTION("""COMPUTED_VALUE"""),"numeric(21,2)")</f>
        <v>numeric(21,2)</v>
      </c>
      <c r="H304" s="258">
        <f>IFERROR(__xludf.DUMMYFUNCTION("""COMPUTED_VALUE"""),23.55)</f>
        <v>23.55</v>
      </c>
      <c r="I304" s="258" t="str">
        <f>IFERROR(__xludf.DUMMYFUNCTION("""COMPUTED_VALUE"""),"FVT CRM HPW/BB")</f>
        <v>FVT CRM HPW/BB</v>
      </c>
      <c r="J304" s="258" t="str">
        <f>IFERROR(__xludf.DUMMYFUNCTION("""COMPUTED_VALUE"""),"Daily")</f>
        <v>Daily</v>
      </c>
      <c r="K304" s="258" t="str">
        <f>IFERROR(__xludf.DUMMYFUNCTION("""COMPUTED_VALUE"""),"")</f>
        <v/>
      </c>
      <c r="L304" s="258" t="str">
        <f>IFERROR(__xludf.DUMMYFUNCTION("""COMPUTED_VALUE"""),"GHP-PREPAID, TM, PW")</f>
        <v>GHP-PREPAID, TM, PW</v>
      </c>
      <c r="M304" s="258" t="str">
        <f>IFERROR(__xludf.DUMMYFUNCTION("""COMPUTED_VALUE"""),"Consumer, EG, SG, IBG Traveler")</f>
        <v>Consumer, EG, SG, IBG Traveler</v>
      </c>
      <c r="N304" s="258" t="str">
        <f>IFERROR(__xludf.DUMMYFUNCTION("""COMPUTED_VALUE"""),"reload")</f>
        <v>reload</v>
      </c>
      <c r="O304" s="258" t="str">
        <f>IFERROR(__xludf.DUMMYFUNCTION("""COMPUTED_VALUE"""),"reload_profile")</f>
        <v>reload_profile</v>
      </c>
      <c r="P304" s="258"/>
    </row>
    <row r="305">
      <c r="A305" s="257" t="str">
        <f>IFERROR(__xludf.DUMMYFUNCTION("""COMPUTED_VALUE"""),"hpw_prepaid_topup_segmentation_score")</f>
        <v>hpw_prepaid_topup_segmentation_score</v>
      </c>
      <c r="B305" s="258" t="str">
        <f>IFERROR(__xludf.DUMMYFUNCTION("""COMPUTED_VALUE"""),"Behavioral")</f>
        <v>Behavioral</v>
      </c>
      <c r="C305" s="258" t="str">
        <f>IFERROR(__xludf.DUMMYFUNCTION("""COMPUTED_VALUE"""),"Non-PII")</f>
        <v>Non-PII</v>
      </c>
      <c r="D305" s="258" t="str">
        <f>IFERROR(__xludf.DUMMYFUNCTION("""COMPUTED_VALUE"""),"Non-PII")</f>
        <v>Non-PII</v>
      </c>
      <c r="E305" s="258" t="str">
        <f>IFERROR(__xludf.DUMMYFUNCTION("""COMPUTED_VALUE"""),"Topup segment based on the topup behavior of the HPW subscriber. Values are derived from the old HPW topup segmentation model based on average monthly count and average amount per transaction for active HPW subscribers with at least one topup in the last "&amp;"3 months and refreshed monthly.
 Valid values:
 Bulk
 Frequent
 Mid
 Sporadic
 Low")</f>
        <v>Topup segment based on the topup behavior of the HPW subscriber. Values are derived from the old HPW topup segmentation model based on average monthly count and average amount per transaction for active HPW subscribers with at least one topup in the last 3 months and refreshed monthly.
 Valid values:
 Bulk
 Frequent
 Mid
 Sporadic
 Low</v>
      </c>
      <c r="F305" s="258" t="str">
        <f>IFERROR(__xludf.DUMMYFUNCTION("""COMPUTED_VALUE"""),"Derived")</f>
        <v>Derived</v>
      </c>
      <c r="G305" s="258" t="str">
        <f>IFERROR(__xludf.DUMMYFUNCTION("""COMPUTED_VALUE"""),"varchar(1000)")</f>
        <v>varchar(1000)</v>
      </c>
      <c r="H305" s="258" t="str">
        <f>IFERROR(__xludf.DUMMYFUNCTION("""COMPUTED_VALUE"""),"Frequent")</f>
        <v>Frequent</v>
      </c>
      <c r="I305" s="258" t="str">
        <f>IFERROR(__xludf.DUMMYFUNCTION("""COMPUTED_VALUE"""),"EDO-AA")</f>
        <v>EDO-AA</v>
      </c>
      <c r="J305" s="258" t="str">
        <f>IFERROR(__xludf.DUMMYFUNCTION("""COMPUTED_VALUE"""),"Monthly")</f>
        <v>Monthly</v>
      </c>
      <c r="K305" s="258" t="str">
        <f>IFERROR(__xludf.DUMMYFUNCTION("""COMPUTED_VALUE"""),"")</f>
        <v/>
      </c>
      <c r="L305" s="258" t="str">
        <f>IFERROR(__xludf.DUMMYFUNCTION("""COMPUTED_VALUE"""),"PW")</f>
        <v>PW</v>
      </c>
      <c r="M305" s="258" t="str">
        <f>IFERROR(__xludf.DUMMYFUNCTION("""COMPUTED_VALUE"""),"Consumer, SG")</f>
        <v>Consumer, SG</v>
      </c>
      <c r="N305" s="258" t="str">
        <f>IFERROR(__xludf.DUMMYFUNCTION("""COMPUTED_VALUE"""),"reload")</f>
        <v>reload</v>
      </c>
      <c r="O305" s="258" t="str">
        <f>IFERROR(__xludf.DUMMYFUNCTION("""COMPUTED_VALUE"""),"reload_profile")</f>
        <v>reload_profile</v>
      </c>
      <c r="P305" s="258"/>
    </row>
    <row r="306">
      <c r="A306" s="257" t="str">
        <f>IFERROR(__xludf.DUMMYFUNCTION("""COMPUTED_VALUE"""),"previous_main_billing_offer_id")</f>
        <v>previous_main_billing_offer_id</v>
      </c>
      <c r="B306" s="258" t="str">
        <f>IFERROR(__xludf.DUMMYFUNCTION("""COMPUTED_VALUE"""),"Globe ID")</f>
        <v>Globe ID</v>
      </c>
      <c r="C306" s="258" t="str">
        <f>IFERROR(__xludf.DUMMYFUNCTION("""COMPUTED_VALUE"""),"Non-PII")</f>
        <v>Non-PII</v>
      </c>
      <c r="D306" s="258" t="str">
        <f>IFERROR(__xludf.DUMMYFUNCTION("""COMPUTED_VALUE"""),"Non-PII")</f>
        <v>Non-PII</v>
      </c>
      <c r="E306" s="258" t="str">
        <f>IFERROR(__xludf.DUMMYFUNCTION("""COMPUTED_VALUE"""),"The previous main plan ID of the subscriber")</f>
        <v>The previous main plan ID of the subscriber</v>
      </c>
      <c r="F306" s="258" t="str">
        <f>IFERROR(__xludf.DUMMYFUNCTION("""COMPUTED_VALUE"""),"Derived")</f>
        <v>Derived</v>
      </c>
      <c r="G306" s="258" t="str">
        <f>IFERROR(__xludf.DUMMYFUNCTION("""COMPUTED_VALUE"""),"varchar(1000)")</f>
        <v>varchar(1000)</v>
      </c>
      <c r="H306" s="258">
        <f>IFERROR(__xludf.DUMMYFUNCTION("""COMPUTED_VALUE"""),4977716.0)</f>
        <v>4977716</v>
      </c>
      <c r="I306" s="258" t="str">
        <f>IFERROR(__xludf.DUMMYFUNCTION("""COMPUTED_VALUE"""),"FVT CRM BB Postpaid")</f>
        <v>FVT CRM BB Postpaid</v>
      </c>
      <c r="J306" s="258" t="str">
        <f>IFERROR(__xludf.DUMMYFUNCTION("""COMPUTED_VALUE"""),"Daily")</f>
        <v>Daily</v>
      </c>
      <c r="K306" s="258" t="str">
        <f>IFERROR(__xludf.DUMMYFUNCTION("""COMPUTED_VALUE"""),"")</f>
        <v/>
      </c>
      <c r="L306" s="258" t="str">
        <f>IFERROR(__xludf.DUMMYFUNCTION("""COMPUTED_VALUE"""),"GHP, WIRELINE, BAYAN, GLOBE")</f>
        <v>GHP, WIRELINE, BAYAN, GLOBE</v>
      </c>
      <c r="M306" s="258" t="str">
        <f>IFERROR(__xludf.DUMMYFUNCTION("""COMPUTED_VALUE"""),"Consumer, EG, SG, In house")</f>
        <v>Consumer, EG, SG, In house</v>
      </c>
      <c r="N306" s="258" t="str">
        <f>IFERROR(__xludf.DUMMYFUNCTION("""COMPUTED_VALUE"""),"product")</f>
        <v>product</v>
      </c>
      <c r="O306" s="258" t="str">
        <f>IFERROR(__xludf.DUMMYFUNCTION("""COMPUTED_VALUE"""),"product_profile")</f>
        <v>product_profile</v>
      </c>
      <c r="P306" s="258"/>
    </row>
    <row r="307">
      <c r="A307" s="257" t="str">
        <f>IFERROR(__xludf.DUMMYFUNCTION("""COMPUTED_VALUE"""),"previous_billing_offer_desc")</f>
        <v>previous_billing_offer_desc</v>
      </c>
      <c r="B307" s="258" t="str">
        <f>IFERROR(__xludf.DUMMYFUNCTION("""COMPUTED_VALUE"""),"Globe ID")</f>
        <v>Globe ID</v>
      </c>
      <c r="C307" s="258" t="str">
        <f>IFERROR(__xludf.DUMMYFUNCTION("""COMPUTED_VALUE"""),"Non-PII")</f>
        <v>Non-PII</v>
      </c>
      <c r="D307" s="258" t="str">
        <f>IFERROR(__xludf.DUMMYFUNCTION("""COMPUTED_VALUE"""),"Non-PII")</f>
        <v>Non-PII</v>
      </c>
      <c r="E307" s="258" t="str">
        <f>IFERROR(__xludf.DUMMYFUNCTION("""COMPUTED_VALUE"""),"The previous main plan of the subscriber")</f>
        <v>The previous main plan of the subscriber</v>
      </c>
      <c r="F307" s="258" t="str">
        <f>IFERROR(__xludf.DUMMYFUNCTION("""COMPUTED_VALUE"""),"Direct Pull")</f>
        <v>Direct Pull</v>
      </c>
      <c r="G307" s="258" t="str">
        <f>IFERROR(__xludf.DUMMYFUNCTION("""COMPUTED_VALUE"""),"varchar(1000)")</f>
        <v>varchar(1000)</v>
      </c>
      <c r="H307" s="258" t="str">
        <f>IFERROR(__xludf.DUMMYFUNCTION("""COMPUTED_VALUE"""),"EXECUTIVE PLAN")</f>
        <v>EXECUTIVE PLAN</v>
      </c>
      <c r="I307" s="258" t="str">
        <f>IFERROR(__xludf.DUMMYFUNCTION("""COMPUTED_VALUE"""),"FVT CRM BB Postpaid")</f>
        <v>FVT CRM BB Postpaid</v>
      </c>
      <c r="J307" s="258" t="str">
        <f>IFERROR(__xludf.DUMMYFUNCTION("""COMPUTED_VALUE"""),"Daily")</f>
        <v>Daily</v>
      </c>
      <c r="K307" s="258" t="str">
        <f>IFERROR(__xludf.DUMMYFUNCTION("""COMPUTED_VALUE"""),"")</f>
        <v/>
      </c>
      <c r="L307" s="258" t="str">
        <f>IFERROR(__xludf.DUMMYFUNCTION("""COMPUTED_VALUE"""),"GHP, WIRELINE, BAYAN, GLOBE")</f>
        <v>GHP, WIRELINE, BAYAN, GLOBE</v>
      </c>
      <c r="M307" s="258" t="str">
        <f>IFERROR(__xludf.DUMMYFUNCTION("""COMPUTED_VALUE"""),"Consumer, EG, SG, In house")</f>
        <v>Consumer, EG, SG, In house</v>
      </c>
      <c r="N307" s="258" t="str">
        <f>IFERROR(__xludf.DUMMYFUNCTION("""COMPUTED_VALUE"""),"product")</f>
        <v>product</v>
      </c>
      <c r="O307" s="258" t="str">
        <f>IFERROR(__xludf.DUMMYFUNCTION("""COMPUTED_VALUE"""),"product_profile")</f>
        <v>product_profile</v>
      </c>
      <c r="P307" s="258"/>
    </row>
    <row r="308">
      <c r="A308" s="257" t="str">
        <f>IFERROR(__xludf.DUMMYFUNCTION("""COMPUTED_VALUE"""),"previous_msf")</f>
        <v>previous_msf</v>
      </c>
      <c r="B308" s="258" t="str">
        <f>IFERROR(__xludf.DUMMYFUNCTION("""COMPUTED_VALUE"""),"Globe ID")</f>
        <v>Globe ID</v>
      </c>
      <c r="C308" s="258" t="str">
        <f>IFERROR(__xludf.DUMMYFUNCTION("""COMPUTED_VALUE"""),"Non-PII")</f>
        <v>Non-PII</v>
      </c>
      <c r="D308" s="258" t="str">
        <f>IFERROR(__xludf.DUMMYFUNCTION("""COMPUTED_VALUE"""),"Non-PII")</f>
        <v>Non-PII</v>
      </c>
      <c r="E308" s="258" t="str">
        <f>IFERROR(__xludf.DUMMYFUNCTION("""COMPUTED_VALUE"""),"Previous monthly subscription fee amount")</f>
        <v>Previous monthly subscription fee amount</v>
      </c>
      <c r="F308" s="258" t="str">
        <f>IFERROR(__xludf.DUMMYFUNCTION("""COMPUTED_VALUE"""),"Derived")</f>
        <v>Derived</v>
      </c>
      <c r="G308" s="258" t="str">
        <f>IFERROR(__xludf.DUMMYFUNCTION("""COMPUTED_VALUE"""),"numeric(19,4)")</f>
        <v>numeric(19,4)</v>
      </c>
      <c r="H308" s="258">
        <f>IFERROR(__xludf.DUMMYFUNCTION("""COMPUTED_VALUE"""),2500.006)</f>
        <v>2500.006</v>
      </c>
      <c r="I308" s="258" t="str">
        <f>IFERROR(__xludf.DUMMYFUNCTION("""COMPUTED_VALUE"""),"FVT CRM BB Postpaid")</f>
        <v>FVT CRM BB Postpaid</v>
      </c>
      <c r="J308" s="258" t="str">
        <f>IFERROR(__xludf.DUMMYFUNCTION("""COMPUTED_VALUE"""),"Daily")</f>
        <v>Daily</v>
      </c>
      <c r="K308" s="258" t="str">
        <f>IFERROR(__xludf.DUMMYFUNCTION("""COMPUTED_VALUE"""),"")</f>
        <v/>
      </c>
      <c r="L308" s="258" t="str">
        <f>IFERROR(__xludf.DUMMYFUNCTION("""COMPUTED_VALUE"""),"GHP, BAYAN, GLOBE")</f>
        <v>GHP, BAYAN, GLOBE</v>
      </c>
      <c r="M308" s="258" t="str">
        <f>IFERROR(__xludf.DUMMYFUNCTION("""COMPUTED_VALUE"""),"Consumer, EG, SG, In house")</f>
        <v>Consumer, EG, SG, In house</v>
      </c>
      <c r="N308" s="258" t="str">
        <f>IFERROR(__xludf.DUMMYFUNCTION("""COMPUTED_VALUE"""),"contract")</f>
        <v>contract</v>
      </c>
      <c r="O308" s="258" t="str">
        <f>IFERROR(__xludf.DUMMYFUNCTION("""COMPUTED_VALUE"""),"contract_profile")</f>
        <v>contract_profile</v>
      </c>
      <c r="P308" s="258"/>
    </row>
    <row r="309">
      <c r="A309" s="257" t="str">
        <f>IFERROR(__xludf.DUMMYFUNCTION("""COMPUTED_VALUE"""),"previous_contract_start_date")</f>
        <v>previous_contract_start_date</v>
      </c>
      <c r="B309" s="258" t="str">
        <f>IFERROR(__xludf.DUMMYFUNCTION("""COMPUTED_VALUE"""),"Globe ID")</f>
        <v>Globe ID</v>
      </c>
      <c r="C309" s="258" t="str">
        <f>IFERROR(__xludf.DUMMYFUNCTION("""COMPUTED_VALUE"""),"Non-PII")</f>
        <v>Non-PII</v>
      </c>
      <c r="D309" s="258" t="str">
        <f>IFERROR(__xludf.DUMMYFUNCTION("""COMPUTED_VALUE"""),"Non-PII")</f>
        <v>Non-PII</v>
      </c>
      <c r="E309" s="258" t="str">
        <f>IFERROR(__xludf.DUMMYFUNCTION("""COMPUTED_VALUE"""),"Previous contract start date")</f>
        <v>Previous contract start date</v>
      </c>
      <c r="F309" s="258" t="str">
        <f>IFERROR(__xludf.DUMMYFUNCTION("""COMPUTED_VALUE"""),"Derived")</f>
        <v>Derived</v>
      </c>
      <c r="G309" s="258" t="str">
        <f>IFERROR(__xludf.DUMMYFUNCTION("""COMPUTED_VALUE"""),"timestamp")</f>
        <v>timestamp</v>
      </c>
      <c r="H309" s="258">
        <f>IFERROR(__xludf.DUMMYFUNCTION("""COMPUTED_VALUE"""),40155.461)</f>
        <v>40155.461</v>
      </c>
      <c r="I309" s="258" t="str">
        <f>IFERROR(__xludf.DUMMYFUNCTION("""COMPUTED_VALUE"""),"FVT CRM Mobile")</f>
        <v>FVT CRM Mobile</v>
      </c>
      <c r="J309" s="258" t="str">
        <f>IFERROR(__xludf.DUMMYFUNCTION("""COMPUTED_VALUE"""),"Daily")</f>
        <v>Daily</v>
      </c>
      <c r="K309" s="258" t="str">
        <f>IFERROR(__xludf.DUMMYFUNCTION("""COMPUTED_VALUE"""),"")</f>
        <v/>
      </c>
      <c r="L309" s="258" t="str">
        <f>IFERROR(__xludf.DUMMYFUNCTION("""COMPUTED_VALUE"""),"GHP, BAYAN, GLOBE")</f>
        <v>GHP, BAYAN, GLOBE</v>
      </c>
      <c r="M309" s="258" t="str">
        <f>IFERROR(__xludf.DUMMYFUNCTION("""COMPUTED_VALUE"""),"Consumer, EG, SG, In house")</f>
        <v>Consumer, EG, SG, In house</v>
      </c>
      <c r="N309" s="258" t="str">
        <f>IFERROR(__xludf.DUMMYFUNCTION("""COMPUTED_VALUE"""),"contract")</f>
        <v>contract</v>
      </c>
      <c r="O309" s="258" t="str">
        <f>IFERROR(__xludf.DUMMYFUNCTION("""COMPUTED_VALUE"""),"contract_profile")</f>
        <v>contract_profile</v>
      </c>
      <c r="P309" s="258"/>
    </row>
    <row r="310">
      <c r="A310" s="257" t="str">
        <f>IFERROR(__xludf.DUMMYFUNCTION("""COMPUTED_VALUE"""),"bb_technology_value")</f>
        <v>bb_technology_value</v>
      </c>
      <c r="B310" s="258" t="str">
        <f>IFERROR(__xludf.DUMMYFUNCTION("""COMPUTED_VALUE"""),"Globe ID")</f>
        <v>Globe ID</v>
      </c>
      <c r="C310" s="258" t="str">
        <f>IFERROR(__xludf.DUMMYFUNCTION("""COMPUTED_VALUE"""),"Non-PII")</f>
        <v>Non-PII</v>
      </c>
      <c r="D310" s="258" t="str">
        <f>IFERROR(__xludf.DUMMYFUNCTION("""COMPUTED_VALUE"""),"Non-PII")</f>
        <v>Non-PII</v>
      </c>
      <c r="E310" s="258" t="str">
        <f>IFERROR(__xludf.DUMMYFUNCTION("""COMPUTED_VALUE"""),"Technology value of a broadband subscriber.")</f>
        <v>Technology value of a broadband subscriber.</v>
      </c>
      <c r="F310" s="258" t="str">
        <f>IFERROR(__xludf.DUMMYFUNCTION("""COMPUTED_VALUE"""),"Direct Pull")</f>
        <v>Direct Pull</v>
      </c>
      <c r="G310" s="258" t="str">
        <f>IFERROR(__xludf.DUMMYFUNCTION("""COMPUTED_VALUE"""),"varchar(1000)")</f>
        <v>varchar(1000)</v>
      </c>
      <c r="H310" s="258" t="str">
        <f>IFERROR(__xludf.DUMMYFUNCTION("""COMPUTED_VALUE"""),"DSL")</f>
        <v>DSL</v>
      </c>
      <c r="I310" s="258" t="str">
        <f>IFERROR(__xludf.DUMMYFUNCTION("""COMPUTED_VALUE"""),"FVT CRM BB Postpaid")</f>
        <v>FVT CRM BB Postpaid</v>
      </c>
      <c r="J310" s="258" t="str">
        <f>IFERROR(__xludf.DUMMYFUNCTION("""COMPUTED_VALUE"""),"Daily")</f>
        <v>Daily</v>
      </c>
      <c r="K310" s="258" t="str">
        <f>IFERROR(__xludf.DUMMYFUNCTION("""COMPUTED_VALUE"""),"")</f>
        <v/>
      </c>
      <c r="L310" s="258" t="str">
        <f>IFERROR(__xludf.DUMMYFUNCTION("""COMPUTED_VALUE"""),"WIRELINE, BAYAN, GLOBE")</f>
        <v>WIRELINE, BAYAN, GLOBE</v>
      </c>
      <c r="M310" s="258" t="str">
        <f>IFERROR(__xludf.DUMMYFUNCTION("""COMPUTED_VALUE"""),"Consumer, EG, SG")</f>
        <v>Consumer, EG, SG</v>
      </c>
      <c r="N310" s="258" t="str">
        <f>IFERROR(__xludf.DUMMYFUNCTION("""COMPUTED_VALUE"""),"contract")</f>
        <v>contract</v>
      </c>
      <c r="O310" s="258" t="str">
        <f>IFERROR(__xludf.DUMMYFUNCTION("""COMPUTED_VALUE"""),"contract_profile")</f>
        <v>contract_profile</v>
      </c>
      <c r="P310" s="258"/>
    </row>
    <row r="311">
      <c r="A311" s="257" t="str">
        <f>IFERROR(__xludf.DUMMYFUNCTION("""COMPUTED_VALUE"""),"bb_previous_technology_value")</f>
        <v>bb_previous_technology_value</v>
      </c>
      <c r="B311" s="258" t="str">
        <f>IFERROR(__xludf.DUMMYFUNCTION("""COMPUTED_VALUE"""),"Globe ID")</f>
        <v>Globe ID</v>
      </c>
      <c r="C311" s="258" t="str">
        <f>IFERROR(__xludf.DUMMYFUNCTION("""COMPUTED_VALUE"""),"Non-PII")</f>
        <v>Non-PII</v>
      </c>
      <c r="D311" s="258" t="str">
        <f>IFERROR(__xludf.DUMMYFUNCTION("""COMPUTED_VALUE"""),"Non-PII")</f>
        <v>Non-PII</v>
      </c>
      <c r="E311" s="258" t="str">
        <f>IFERROR(__xludf.DUMMYFUNCTION("""COMPUTED_VALUE"""),"Technology value of the subscriber's previous contract plan")</f>
        <v>Technology value of the subscriber's previous contract plan</v>
      </c>
      <c r="F311" s="258" t="str">
        <f>IFERROR(__xludf.DUMMYFUNCTION("""COMPUTED_VALUE"""),"Derived")</f>
        <v>Derived</v>
      </c>
      <c r="G311" s="258" t="str">
        <f>IFERROR(__xludf.DUMMYFUNCTION("""COMPUTED_VALUE"""),"varchar(1000)")</f>
        <v>varchar(1000)</v>
      </c>
      <c r="H311" s="258" t="str">
        <f>IFERROR(__xludf.DUMMYFUNCTION("""COMPUTED_VALUE"""),"DSL")</f>
        <v>DSL</v>
      </c>
      <c r="I311" s="258" t="str">
        <f>IFERROR(__xludf.DUMMYFUNCTION("""COMPUTED_VALUE"""),"FVT CRM BB Postpaid")</f>
        <v>FVT CRM BB Postpaid</v>
      </c>
      <c r="J311" s="258" t="str">
        <f>IFERROR(__xludf.DUMMYFUNCTION("""COMPUTED_VALUE"""),"Daily")</f>
        <v>Daily</v>
      </c>
      <c r="K311" s="258" t="str">
        <f>IFERROR(__xludf.DUMMYFUNCTION("""COMPUTED_VALUE"""),"")</f>
        <v/>
      </c>
      <c r="L311" s="258" t="str">
        <f>IFERROR(__xludf.DUMMYFUNCTION("""COMPUTED_VALUE"""),"BAYAN, GLOBE")</f>
        <v>BAYAN, GLOBE</v>
      </c>
      <c r="M311" s="258" t="str">
        <f>IFERROR(__xludf.DUMMYFUNCTION("""COMPUTED_VALUE"""),"Consumer, EG, SG")</f>
        <v>Consumer, EG, SG</v>
      </c>
      <c r="N311" s="258" t="str">
        <f>IFERROR(__xludf.DUMMYFUNCTION("""COMPUTED_VALUE"""),"contract")</f>
        <v>contract</v>
      </c>
      <c r="O311" s="258" t="str">
        <f>IFERROR(__xludf.DUMMYFUNCTION("""COMPUTED_VALUE"""),"contract_profile")</f>
        <v>contract_profile</v>
      </c>
      <c r="P311" s="258"/>
    </row>
    <row r="312">
      <c r="A312" s="257" t="str">
        <f>IFERROR(__xludf.DUMMYFUNCTION("""COMPUTED_VALUE"""),"contract_period_value")</f>
        <v>contract_period_value</v>
      </c>
      <c r="B312" s="258" t="str">
        <f>IFERROR(__xludf.DUMMYFUNCTION("""COMPUTED_VALUE"""),"Globe ID")</f>
        <v>Globe ID</v>
      </c>
      <c r="C312" s="258" t="str">
        <f>IFERROR(__xludf.DUMMYFUNCTION("""COMPUTED_VALUE"""),"Non-PII")</f>
        <v>Non-PII</v>
      </c>
      <c r="D312" s="258" t="str">
        <f>IFERROR(__xludf.DUMMYFUNCTION("""COMPUTED_VALUE"""),"Non-PII")</f>
        <v>Non-PII</v>
      </c>
      <c r="E312" s="258" t="str">
        <f>IFERROR(__xludf.DUMMYFUNCTION("""COMPUTED_VALUE"""),"Duration of the contract for the product")</f>
        <v>Duration of the contract for the product</v>
      </c>
      <c r="F312" s="258" t="str">
        <f>IFERROR(__xludf.DUMMYFUNCTION("""COMPUTED_VALUE"""),"Derived")</f>
        <v>Derived</v>
      </c>
      <c r="G312" s="258" t="str">
        <f>IFERROR(__xludf.DUMMYFUNCTION("""COMPUTED_VALUE"""),"numeric(19,4)")</f>
        <v>numeric(19,4)</v>
      </c>
      <c r="H312" s="258">
        <f>IFERROR(__xludf.DUMMYFUNCTION("""COMPUTED_VALUE"""),15.0)</f>
        <v>15</v>
      </c>
      <c r="I312" s="258" t="str">
        <f>IFERROR(__xludf.DUMMYFUNCTION("""COMPUTED_VALUE"""),"FVT CRM BB Postpaid")</f>
        <v>FVT CRM BB Postpaid</v>
      </c>
      <c r="J312" s="258" t="str">
        <f>IFERROR(__xludf.DUMMYFUNCTION("""COMPUTED_VALUE"""),"Daily")</f>
        <v>Daily</v>
      </c>
      <c r="K312" s="258" t="str">
        <f>IFERROR(__xludf.DUMMYFUNCTION("""COMPUTED_VALUE"""),"")</f>
        <v/>
      </c>
      <c r="L312" s="258" t="str">
        <f>IFERROR(__xludf.DUMMYFUNCTION("""COMPUTED_VALUE"""),"GHP, WIRELINE, BAYAN, GLOBE")</f>
        <v>GHP, WIRELINE, BAYAN, GLOBE</v>
      </c>
      <c r="M312" s="258" t="str">
        <f>IFERROR(__xludf.DUMMYFUNCTION("""COMPUTED_VALUE"""),"Consumer, EG, SG, In house")</f>
        <v>Consumer, EG, SG, In house</v>
      </c>
      <c r="N312" s="258" t="str">
        <f>IFERROR(__xludf.DUMMYFUNCTION("""COMPUTED_VALUE"""),"contract")</f>
        <v>contract</v>
      </c>
      <c r="O312" s="258" t="str">
        <f>IFERROR(__xludf.DUMMYFUNCTION("""COMPUTED_VALUE"""),"contract_profile")</f>
        <v>contract_profile</v>
      </c>
      <c r="P312" s="258"/>
    </row>
    <row r="313">
      <c r="A313" s="257" t="str">
        <f>IFERROR(__xludf.DUMMYFUNCTION("""COMPUTED_VALUE"""),"previous_contract_period_value")</f>
        <v>previous_contract_period_value</v>
      </c>
      <c r="B313" s="258" t="str">
        <f>IFERROR(__xludf.DUMMYFUNCTION("""COMPUTED_VALUE"""),"Globe ID")</f>
        <v>Globe ID</v>
      </c>
      <c r="C313" s="258" t="str">
        <f>IFERROR(__xludf.DUMMYFUNCTION("""COMPUTED_VALUE"""),"Non-PII")</f>
        <v>Non-PII</v>
      </c>
      <c r="D313" s="258" t="str">
        <f>IFERROR(__xludf.DUMMYFUNCTION("""COMPUTED_VALUE"""),"Non-PII")</f>
        <v>Non-PII</v>
      </c>
      <c r="E313" s="258" t="str">
        <f>IFERROR(__xludf.DUMMYFUNCTION("""COMPUTED_VALUE"""),"Length of the subscriber's previous contract in months")</f>
        <v>Length of the subscriber's previous contract in months</v>
      </c>
      <c r="F313" s="258" t="str">
        <f>IFERROR(__xludf.DUMMYFUNCTION("""COMPUTED_VALUE"""),"Derived")</f>
        <v>Derived</v>
      </c>
      <c r="G313" s="258" t="str">
        <f>IFERROR(__xludf.DUMMYFUNCTION("""COMPUTED_VALUE"""),"numeric(19,4)")</f>
        <v>numeric(19,4)</v>
      </c>
      <c r="H313" s="258">
        <f>IFERROR(__xludf.DUMMYFUNCTION("""COMPUTED_VALUE"""),15.0)</f>
        <v>15</v>
      </c>
      <c r="I313" s="258" t="str">
        <f>IFERROR(__xludf.DUMMYFUNCTION("""COMPUTED_VALUE"""),"FVT CRM BB Postpaid")</f>
        <v>FVT CRM BB Postpaid</v>
      </c>
      <c r="J313" s="258" t="str">
        <f>IFERROR(__xludf.DUMMYFUNCTION("""COMPUTED_VALUE"""),"Daily")</f>
        <v>Daily</v>
      </c>
      <c r="K313" s="258" t="str">
        <f>IFERROR(__xludf.DUMMYFUNCTION("""COMPUTED_VALUE"""),"")</f>
        <v/>
      </c>
      <c r="L313" s="258" t="str">
        <f>IFERROR(__xludf.DUMMYFUNCTION("""COMPUTED_VALUE"""),"GHP, BAYAN, GLOBE")</f>
        <v>GHP, BAYAN, GLOBE</v>
      </c>
      <c r="M313" s="258" t="str">
        <f>IFERROR(__xludf.DUMMYFUNCTION("""COMPUTED_VALUE"""),"Consumer, EG, SG, In house")</f>
        <v>Consumer, EG, SG, In house</v>
      </c>
      <c r="N313" s="258" t="str">
        <f>IFERROR(__xludf.DUMMYFUNCTION("""COMPUTED_VALUE"""),"contract")</f>
        <v>contract</v>
      </c>
      <c r="O313" s="258" t="str">
        <f>IFERROR(__xludf.DUMMYFUNCTION("""COMPUTED_VALUE"""),"contract_profile")</f>
        <v>contract_profile</v>
      </c>
      <c r="P313" s="258"/>
    </row>
    <row r="314">
      <c r="A314" s="257" t="str">
        <f>IFERROR(__xludf.DUMMYFUNCTION("""COMPUTED_VALUE"""),"financial_account_id")</f>
        <v>financial_account_id</v>
      </c>
      <c r="B314" s="258" t="str">
        <f>IFERROR(__xludf.DUMMYFUNCTION("""COMPUTED_VALUE"""),"Globe ID")</f>
        <v>Globe ID</v>
      </c>
      <c r="C314" s="258" t="str">
        <f>IFERROR(__xludf.DUMMYFUNCTION("""COMPUTED_VALUE"""),"Non-PII")</f>
        <v>Non-PII</v>
      </c>
      <c r="D314" s="258" t="str">
        <f>IFERROR(__xludf.DUMMYFUNCTION("""COMPUTED_VALUE"""),"Non-PII")</f>
        <v>Non-PII</v>
      </c>
      <c r="E314" s="258" t="str">
        <f>IFERROR(__xludf.DUMMYFUNCTION("""COMPUTED_VALUE"""),"The unique identifier of the financial account of the subscriber")</f>
        <v>The unique identifier of the financial account of the subscriber</v>
      </c>
      <c r="F314" s="258" t="str">
        <f>IFERROR(__xludf.DUMMYFUNCTION("""COMPUTED_VALUE"""),"Direct Pull")</f>
        <v>Direct Pull</v>
      </c>
      <c r="G314" s="258" t="str">
        <f>IFERROR(__xludf.DUMMYFUNCTION("""COMPUTED_VALUE"""),"integer")</f>
        <v>integer</v>
      </c>
      <c r="H314" s="258">
        <f>IFERROR(__xludf.DUMMYFUNCTION("""COMPUTED_VALUE"""),15.0)</f>
        <v>15</v>
      </c>
      <c r="I314" s="258" t="str">
        <f>IFERROR(__xludf.DUMMYFUNCTION("""COMPUTED_VALUE"""),"FVT CRM BB Postpaid")</f>
        <v>FVT CRM BB Postpaid</v>
      </c>
      <c r="J314" s="258" t="str">
        <f>IFERROR(__xludf.DUMMYFUNCTION("""COMPUTED_VALUE"""),"Daily")</f>
        <v>Daily</v>
      </c>
      <c r="K314" s="258" t="str">
        <f>IFERROR(__xludf.DUMMYFUNCTION("""COMPUTED_VALUE"""),"")</f>
        <v/>
      </c>
      <c r="L314" s="258" t="str">
        <f>IFERROR(__xludf.DUMMYFUNCTION("""COMPUTED_VALUE"""),"GHP, WIRELINE, BAYAN, GLOBE")</f>
        <v>GHP, WIRELINE, BAYAN, GLOBE</v>
      </c>
      <c r="M314" s="258" t="str">
        <f>IFERROR(__xludf.DUMMYFUNCTION("""COMPUTED_VALUE"""),"Consumer, EG, SG, In house")</f>
        <v>Consumer, EG, SG, In house</v>
      </c>
      <c r="N314" s="258" t="str">
        <f>IFERROR(__xludf.DUMMYFUNCTION("""COMPUTED_VALUE"""),"financial_account")</f>
        <v>financial_account</v>
      </c>
      <c r="O314" s="258" t="str">
        <f>IFERROR(__xludf.DUMMYFUNCTION("""COMPUTED_VALUE"""),"financial_account_profile")</f>
        <v>financial_account_profile</v>
      </c>
      <c r="P314" s="258"/>
    </row>
    <row r="315">
      <c r="A315" s="257" t="str">
        <f>IFERROR(__xludf.DUMMYFUNCTION("""COMPUTED_VALUE"""),"customer_contact_email_id")</f>
        <v>customer_contact_email_id</v>
      </c>
      <c r="B315" s="258" t="str">
        <f>IFERROR(__xludf.DUMMYFUNCTION("""COMPUTED_VALUE"""),"Customer PII - Masked")</f>
        <v>Customer PII - Masked</v>
      </c>
      <c r="C315" s="258" t="str">
        <f>IFERROR(__xludf.DUMMYFUNCTION("""COMPUTED_VALUE"""),"Customer PII - Masked")</f>
        <v>Customer PII - Masked</v>
      </c>
      <c r="D315" s="258" t="str">
        <f>IFERROR(__xludf.DUMMYFUNCTION("""COMPUTED_VALUE"""),"Contact")</f>
        <v>Contact</v>
      </c>
      <c r="E315" s="258" t="str">
        <f>IFERROR(__xludf.DUMMYFUNCTION("""COMPUTED_VALUE"""),"The primary e-mail address of the contact")</f>
        <v>The primary e-mail address of the contact</v>
      </c>
      <c r="F315" s="258" t="str">
        <f>IFERROR(__xludf.DUMMYFUNCTION("""COMPUTED_VALUE"""),"Direct Pull")</f>
        <v>Direct Pull</v>
      </c>
      <c r="G315" s="258" t="str">
        <f>IFERROR(__xludf.DUMMYFUNCTION("""COMPUTED_VALUE"""),"varchar(1000)")</f>
        <v>varchar(1000)</v>
      </c>
      <c r="H315" s="258" t="str">
        <f>IFERROR(__xludf.DUMMYFUNCTION("""COMPUTED_VALUE"""),"marie@gmail.com")</f>
        <v>marie@gmail.com</v>
      </c>
      <c r="I315" s="258" t="str">
        <f>IFERROR(__xludf.DUMMYFUNCTION("""COMPUTED_VALUE"""),"FVT CRM BB Postpaid")</f>
        <v>FVT CRM BB Postpaid</v>
      </c>
      <c r="J315" s="258" t="str">
        <f>IFERROR(__xludf.DUMMYFUNCTION("""COMPUTED_VALUE"""),"Daily")</f>
        <v>Daily</v>
      </c>
      <c r="K315" s="258" t="str">
        <f>IFERROR(__xludf.DUMMYFUNCTION("""COMPUTED_VALUE"""),"")</f>
        <v/>
      </c>
      <c r="L315" s="258" t="str">
        <f>IFERROR(__xludf.DUMMYFUNCTION("""COMPUTED_VALUE"""),"GHP, GHP-PREPAID, TM, PW, WIRELINE, BAYAN, GLOBE")</f>
        <v>GHP, GHP-PREPAID, TM, PW, WIRELINE, BAYAN, GLOBE</v>
      </c>
      <c r="M315" s="258" t="str">
        <f>IFERROR(__xludf.DUMMYFUNCTION("""COMPUTED_VALUE"""),"Consumer, EG, SG, In house, IBG Traveler")</f>
        <v>Consumer, EG, SG, In house, IBG Traveler</v>
      </c>
      <c r="N315" s="258" t="str">
        <f>IFERROR(__xludf.DUMMYFUNCTION("""COMPUTED_VALUE"""),"customer")</f>
        <v>customer</v>
      </c>
      <c r="O315" s="258" t="str">
        <f>IFERROR(__xludf.DUMMYFUNCTION("""COMPUTED_VALUE"""),"customer_profile")</f>
        <v>customer_profile</v>
      </c>
      <c r="P315" s="258"/>
    </row>
    <row r="316">
      <c r="A316" s="257" t="str">
        <f>IFERROR(__xludf.DUMMYFUNCTION("""COMPUTED_VALUE"""),"customer_contact_msisdn_value")</f>
        <v>customer_contact_msisdn_value</v>
      </c>
      <c r="B316" s="258" t="str">
        <f>IFERROR(__xludf.DUMMYFUNCTION("""COMPUTED_VALUE"""),"Customer PII")</f>
        <v>Customer PII</v>
      </c>
      <c r="C316" s="258" t="str">
        <f>IFERROR(__xludf.DUMMYFUNCTION("""COMPUTED_VALUE"""),"Non-PII")</f>
        <v>Non-PII</v>
      </c>
      <c r="D316" s="258" t="str">
        <f>IFERROR(__xludf.DUMMYFUNCTION("""COMPUTED_VALUE"""),"Non-PII")</f>
        <v>Non-PII</v>
      </c>
      <c r="E316" s="258" t="str">
        <f>IFERROR(__xludf.DUMMYFUNCTION("""COMPUTED_VALUE"""),"Contact number of the customer contact")</f>
        <v>Contact number of the customer contact</v>
      </c>
      <c r="F316" s="258" t="str">
        <f>IFERROR(__xludf.DUMMYFUNCTION("""COMPUTED_VALUE"""),"Derived")</f>
        <v>Derived</v>
      </c>
      <c r="G316" s="258" t="str">
        <f>IFERROR(__xludf.DUMMYFUNCTION("""COMPUTED_VALUE"""),"varchar(1000)")</f>
        <v>varchar(1000)</v>
      </c>
      <c r="H316" s="258">
        <f>IFERROR(__xludf.DUMMYFUNCTION("""COMPUTED_VALUE"""),9.18E9)</f>
        <v>9180000000</v>
      </c>
      <c r="I316" s="258" t="str">
        <f>IFERROR(__xludf.DUMMYFUNCTION("""COMPUTED_VALUE"""),"FVT CRM BB Postpaid")</f>
        <v>FVT CRM BB Postpaid</v>
      </c>
      <c r="J316" s="258" t="str">
        <f>IFERROR(__xludf.DUMMYFUNCTION("""COMPUTED_VALUE"""),"Daily")</f>
        <v>Daily</v>
      </c>
      <c r="K316" s="258" t="str">
        <f>IFERROR(__xludf.DUMMYFUNCTION("""COMPUTED_VALUE"""),"")</f>
        <v/>
      </c>
      <c r="L316" s="258" t="str">
        <f>IFERROR(__xludf.DUMMYFUNCTION("""COMPUTED_VALUE"""),"GHP, GHP-PREPAID, TM, PW, WIRELINE, BAYAN, GLOBE")</f>
        <v>GHP, GHP-PREPAID, TM, PW, WIRELINE, BAYAN, GLOBE</v>
      </c>
      <c r="M316" s="258" t="str">
        <f>IFERROR(__xludf.DUMMYFUNCTION("""COMPUTED_VALUE"""),"Consumer, EG, SG, In house, IBG Traveler")</f>
        <v>Consumer, EG, SG, In house, IBG Traveler</v>
      </c>
      <c r="N316" s="258" t="str">
        <f>IFERROR(__xludf.DUMMYFUNCTION("""COMPUTED_VALUE"""),"customer")</f>
        <v>customer</v>
      </c>
      <c r="O316" s="258" t="str">
        <f>IFERROR(__xludf.DUMMYFUNCTION("""COMPUTED_VALUE"""),"customer_profile")</f>
        <v>customer_profile</v>
      </c>
      <c r="P316" s="258"/>
    </row>
    <row r="317">
      <c r="A317" s="257" t="str">
        <f>IFERROR(__xludf.DUMMYFUNCTION("""COMPUTED_VALUE"""),"bb_installation_sequence_number")</f>
        <v>bb_installation_sequence_number</v>
      </c>
      <c r="B317" s="258" t="str">
        <f>IFERROR(__xludf.DUMMYFUNCTION("""COMPUTED_VALUE"""),"Globe ID")</f>
        <v>Globe ID</v>
      </c>
      <c r="C317" s="258" t="str">
        <f>IFERROR(__xludf.DUMMYFUNCTION("""COMPUTED_VALUE"""),"Non-PII")</f>
        <v>Non-PII</v>
      </c>
      <c r="D317" s="258" t="str">
        <f>IFERROR(__xludf.DUMMYFUNCTION("""COMPUTED_VALUE"""),"Non-PII")</f>
        <v>Non-PII</v>
      </c>
      <c r="E317" s="258" t="str">
        <f>IFERROR(__xludf.DUMMYFUNCTION("""COMPUTED_VALUE"""),"Installation sequence number, only applicable for subscriber in ICCBS, not applicable for BSS migrated subs")</f>
        <v>Installation sequence number, only applicable for subscriber in ICCBS, not applicable for BSS migrated subs</v>
      </c>
      <c r="F317" s="258" t="str">
        <f>IFERROR(__xludf.DUMMYFUNCTION("""COMPUTED_VALUE"""),"Direct Pull")</f>
        <v>Direct Pull</v>
      </c>
      <c r="G317" s="258" t="str">
        <f>IFERROR(__xludf.DUMMYFUNCTION("""COMPUTED_VALUE"""),"varchar(1000)")</f>
        <v>varchar(1000)</v>
      </c>
      <c r="H317" s="258">
        <f>IFERROR(__xludf.DUMMYFUNCTION("""COMPUTED_VALUE"""),1.0)</f>
        <v>1</v>
      </c>
      <c r="I317" s="258" t="str">
        <f>IFERROR(__xludf.DUMMYFUNCTION("""COMPUTED_VALUE"""),"FVT CRM BB Postpaid")</f>
        <v>FVT CRM BB Postpaid</v>
      </c>
      <c r="J317" s="258" t="str">
        <f>IFERROR(__xludf.DUMMYFUNCTION("""COMPUTED_VALUE"""),"Daily")</f>
        <v>Daily</v>
      </c>
      <c r="K317" s="258" t="str">
        <f>IFERROR(__xludf.DUMMYFUNCTION("""COMPUTED_VALUE"""),"")</f>
        <v/>
      </c>
      <c r="L317" s="258" t="str">
        <f>IFERROR(__xludf.DUMMYFUNCTION("""COMPUTED_VALUE"""),"BAYAN, GLOBE")</f>
        <v>BAYAN, GLOBE</v>
      </c>
      <c r="M317" s="258" t="str">
        <f>IFERROR(__xludf.DUMMYFUNCTION("""COMPUTED_VALUE"""),"Consumer, EG, SG")</f>
        <v>Consumer, EG, SG</v>
      </c>
      <c r="N317" s="258" t="str">
        <f>IFERROR(__xludf.DUMMYFUNCTION("""COMPUTED_VALUE"""),"contract")</f>
        <v>contract</v>
      </c>
      <c r="O317" s="258" t="str">
        <f>IFERROR(__xludf.DUMMYFUNCTION("""COMPUTED_VALUE"""),"contract_profile")</f>
        <v>contract_profile</v>
      </c>
      <c r="P317" s="258"/>
    </row>
    <row r="318">
      <c r="A318" s="257" t="str">
        <f>IFERROR(__xludf.DUMMYFUNCTION("""COMPUTED_VALUE"""),"fashionista_indicator")</f>
        <v>fashionista_indicator</v>
      </c>
      <c r="B318" s="258" t="str">
        <f>IFERROR(__xludf.DUMMYFUNCTION("""COMPUTED_VALUE"""),"Audience/Persona")</f>
        <v>Audience/Persona</v>
      </c>
      <c r="C318" s="258" t="str">
        <f>IFERROR(__xludf.DUMMYFUNCTION("""COMPUTED_VALUE"""),"Non-PII")</f>
        <v>Non-PII</v>
      </c>
      <c r="D318" s="258" t="str">
        <f>IFERROR(__xludf.DUMMYFUNCTION("""COMPUTED_VALUE"""),"Non-PII")</f>
        <v>Non-PII</v>
      </c>
      <c r="E318" s="258" t="str">
        <f>IFERROR(__xludf.DUMMYFUNCTION("""COMPUTED_VALUE"""),"Indicator if a subscriber visits online fashion stores like zaful, mango, zalora
 For wireline subscribers, only subscriptions within Metro Manila (including some areas in Rizal) and with DSL, VDSL and GPON technology value are covered.")</f>
        <v>Indicator if a subscriber visits online fashion stores like zaful, mango, zalora
 For wireline subscribers, only subscriptions within Metro Manila (including some areas in Rizal) and with DSL, VDSL and GPON technology value are covered.</v>
      </c>
      <c r="F318" s="258" t="str">
        <f>IFERROR(__xludf.DUMMYFUNCTION("""COMPUTED_VALUE"""),"Derived")</f>
        <v>Derived</v>
      </c>
      <c r="G318" s="258" t="str">
        <f>IFERROR(__xludf.DUMMYFUNCTION("""COMPUTED_VALUE"""),"boolean")</f>
        <v>boolean</v>
      </c>
      <c r="H318" s="258" t="b">
        <f>IFERROR(__xludf.DUMMYFUNCTION("""COMPUTED_VALUE"""),TRUE)</f>
        <v>1</v>
      </c>
      <c r="I318" s="258" t="str">
        <f>IFERROR(__xludf.DUMMYFUNCTION("""COMPUTED_VALUE"""),"EDO-UUP")</f>
        <v>EDO-UUP</v>
      </c>
      <c r="J318" s="258" t="str">
        <f>IFERROR(__xludf.DUMMYFUNCTION("""COMPUTED_VALUE"""),"Monthly")</f>
        <v>Monthly</v>
      </c>
      <c r="K318" s="258" t="str">
        <f>IFERROR(__xludf.DUMMYFUNCTION("""COMPUTED_VALUE"""),"")</f>
        <v/>
      </c>
      <c r="L318" s="258" t="str">
        <f>IFERROR(__xludf.DUMMYFUNCTION("""COMPUTED_VALUE"""),"GHP, GHP-PREPAID, TM, PW, GOMO, WIRELINE, BAYAN, GLOBE")</f>
        <v>GHP, GHP-PREPAID, TM, PW, GOMO, WIRELINE, BAYAN, GLOBE</v>
      </c>
      <c r="M318" s="258" t="str">
        <f>IFERROR(__xludf.DUMMYFUNCTION("""COMPUTED_VALUE"""),"Consumer, EG, SG, In house, IBG Traveler")</f>
        <v>Consumer, EG, SG, In house, IBG Traveler</v>
      </c>
      <c r="N318" s="258" t="str">
        <f>IFERROR(__xludf.DUMMYFUNCTION("""COMPUTED_VALUE"""),"interest")</f>
        <v>interest</v>
      </c>
      <c r="O318" s="258" t="str">
        <f>IFERROR(__xludf.DUMMYFUNCTION("""COMPUTED_VALUE"""),"network_profile")</f>
        <v>network_profile</v>
      </c>
      <c r="P318" s="258"/>
    </row>
    <row r="319">
      <c r="A319" s="257" t="str">
        <f>IFERROR(__xludf.DUMMYFUNCTION("""COMPUTED_VALUE"""),"fashionista_bucket")</f>
        <v>fashionista_bucket</v>
      </c>
      <c r="B319" s="258" t="str">
        <f>IFERROR(__xludf.DUMMYFUNCTION("""COMPUTED_VALUE"""),"Audience/Persona")</f>
        <v>Audience/Persona</v>
      </c>
      <c r="C319" s="258" t="str">
        <f>IFERROR(__xludf.DUMMYFUNCTION("""COMPUTED_VALUE"""),"Non-PII")</f>
        <v>Non-PII</v>
      </c>
      <c r="D319" s="258" t="str">
        <f>IFERROR(__xludf.DUMMYFUNCTION("""COMPUTED_VALUE"""),"Non-PII")</f>
        <v>Non-PII</v>
      </c>
      <c r="E319" s="258" t="str">
        <f>IFERROR(__xludf.DUMMYFUNCTION("""COMPUTED_VALUE"""),"Bucketing based on identified metric for Fashionista profile
 Metric: Total Hits in a Month
 Valid values: 
 LOW: &lt;= 10 hits
 MID: &gt; 10 &amp; &lt;= 22 hits
 HIGH: &gt; 22 hits
 For wireline subscribers, only subscriptions within Metro Manila (including some are"&amp;"as in Rizal) and with DSL, VDSL and GPON technology value are covered.")</f>
        <v>Bucketing based on identified metric for Fashionista profile
 Metric: Total Hits in a Month
 Valid values: 
 LOW: &lt;= 10 hits
 MID: &gt; 10 &amp; &lt;= 22 hits
 HIGH: &gt; 22 hits
 For wireline subscribers, only subscriptions within Metro Manila (including some areas in Rizal) and with DSL, VDSL and GPON technology value are covered.</v>
      </c>
      <c r="F319" s="258" t="str">
        <f>IFERROR(__xludf.DUMMYFUNCTION("""COMPUTED_VALUE"""),"Direct Pull")</f>
        <v>Direct Pull</v>
      </c>
      <c r="G319" s="258" t="str">
        <f>IFERROR(__xludf.DUMMYFUNCTION("""COMPUTED_VALUE"""),"varchar(65535)")</f>
        <v>varchar(65535)</v>
      </c>
      <c r="H319" s="258" t="str">
        <f>IFERROR(__xludf.DUMMYFUNCTION("""COMPUTED_VALUE"""),"LOW")</f>
        <v>LOW</v>
      </c>
      <c r="I319" s="258" t="str">
        <f>IFERROR(__xludf.DUMMYFUNCTION("""COMPUTED_VALUE"""),"EDO-UUP")</f>
        <v>EDO-UUP</v>
      </c>
      <c r="J319" s="258" t="str">
        <f>IFERROR(__xludf.DUMMYFUNCTION("""COMPUTED_VALUE"""),"Monthly")</f>
        <v>Monthly</v>
      </c>
      <c r="K319" s="258" t="str">
        <f>IFERROR(__xludf.DUMMYFUNCTION("""COMPUTED_VALUE"""),"")</f>
        <v/>
      </c>
      <c r="L319" s="258" t="str">
        <f>IFERROR(__xludf.DUMMYFUNCTION("""COMPUTED_VALUE"""),"GHP, GHP-PREPAID, TM, PW, GOMO, WIRELINE, BAYAN, GLOBE")</f>
        <v>GHP, GHP-PREPAID, TM, PW, GOMO, WIRELINE, BAYAN, GLOBE</v>
      </c>
      <c r="M319" s="258" t="str">
        <f>IFERROR(__xludf.DUMMYFUNCTION("""COMPUTED_VALUE"""),"Consumer, EG, SG, In house, IBG Traveler")</f>
        <v>Consumer, EG, SG, In house, IBG Traveler</v>
      </c>
      <c r="N319" s="258" t="str">
        <f>IFERROR(__xludf.DUMMYFUNCTION("""COMPUTED_VALUE"""),"interest")</f>
        <v>interest</v>
      </c>
      <c r="O319" s="258" t="str">
        <f>IFERROR(__xludf.DUMMYFUNCTION("""COMPUTED_VALUE"""),"network_profile")</f>
        <v>network_profile</v>
      </c>
      <c r="P319" s="258"/>
    </row>
    <row r="320">
      <c r="A320" s="257" t="str">
        <f>IFERROR(__xludf.DUMMYFUNCTION("""COMPUTED_VALUE"""),"fashionista_details")</f>
        <v>fashionista_details</v>
      </c>
      <c r="B320" s="258" t="str">
        <f>IFERROR(__xludf.DUMMYFUNCTION("""COMPUTED_VALUE"""),"Audience/Persona")</f>
        <v>Audience/Persona</v>
      </c>
      <c r="C320" s="258" t="str">
        <f>IFERROR(__xludf.DUMMYFUNCTION("""COMPUTED_VALUE"""),"Non-PII")</f>
        <v>Non-PII</v>
      </c>
      <c r="D320" s="258" t="str">
        <f>IFERROR(__xludf.DUMMYFUNCTION("""COMPUTED_VALUE"""),"Non-PII")</f>
        <v>Non-PII</v>
      </c>
      <c r="E320" s="258" t="str">
        <f>IFERROR(__xludf.DUMMYFUNCTION("""COMPUTED_VALUE"""),"Metric used and value for the Fashionista profile
 For wireline subscribers, only subscriptions within Metro Manila (including some areas in Rizal) and with DSL, VDSL and GPON technology value are covered.")</f>
        <v>Metric used and value for the Fashionista profile
 For wireline subscribers, only subscriptions within Metro Manila (including some areas in Rizal) and with DSL, VDSL and GPON technology value are covered.</v>
      </c>
      <c r="F320" s="258" t="str">
        <f>IFERROR(__xludf.DUMMYFUNCTION("""COMPUTED_VALUE"""),"Derived")</f>
        <v>Derived</v>
      </c>
      <c r="G320" s="258" t="str">
        <f>IFERROR(__xludf.DUMMYFUNCTION("""COMPUTED_VALUE"""),"varchar(65535)")</f>
        <v>varchar(65535)</v>
      </c>
      <c r="H320" s="258" t="str">
        <f>IFERROR(__xludf.DUMMYFUNCTION("""COMPUTED_VALUE"""),"{""Total Hits in a Month"": 4}")</f>
        <v>{"Total Hits in a Month": 4}</v>
      </c>
      <c r="I320" s="258" t="str">
        <f>IFERROR(__xludf.DUMMYFUNCTION("""COMPUTED_VALUE"""),"EDO-UUP")</f>
        <v>EDO-UUP</v>
      </c>
      <c r="J320" s="258" t="str">
        <f>IFERROR(__xludf.DUMMYFUNCTION("""COMPUTED_VALUE"""),"Adhoc")</f>
        <v>Adhoc</v>
      </c>
      <c r="K320" s="258" t="str">
        <f>IFERROR(__xludf.DUMMYFUNCTION("""COMPUTED_VALUE"""),"")</f>
        <v/>
      </c>
      <c r="L320" s="258" t="str">
        <f>IFERROR(__xludf.DUMMYFUNCTION("""COMPUTED_VALUE"""),"GHP, GHP-PREPAID, TM, PW, GOMO, WIRELINE, BAYAN, GLOBE")</f>
        <v>GHP, GHP-PREPAID, TM, PW, GOMO, WIRELINE, BAYAN, GLOBE</v>
      </c>
      <c r="M320" s="258" t="str">
        <f>IFERROR(__xludf.DUMMYFUNCTION("""COMPUTED_VALUE"""),"Consumer, EG, SG, In house, IBG Traveler")</f>
        <v>Consumer, EG, SG, In house, IBG Traveler</v>
      </c>
      <c r="N320" s="258" t="str">
        <f>IFERROR(__xludf.DUMMYFUNCTION("""COMPUTED_VALUE"""),"interest")</f>
        <v>interest</v>
      </c>
      <c r="O320" s="258" t="str">
        <f>IFERROR(__xludf.DUMMYFUNCTION("""COMPUTED_VALUE"""),"network_profile")</f>
        <v>network_profile</v>
      </c>
      <c r="P320" s="258"/>
    </row>
    <row r="321">
      <c r="A321" s="257" t="str">
        <f>IFERROR(__xludf.DUMMYFUNCTION("""COMPUTED_VALUE"""),"iot_user_indicator")</f>
        <v>iot_user_indicator</v>
      </c>
      <c r="B321" s="258" t="str">
        <f>IFERROR(__xludf.DUMMYFUNCTION("""COMPUTED_VALUE"""),"Audience/Persona")</f>
        <v>Audience/Persona</v>
      </c>
      <c r="C321" s="258" t="str">
        <f>IFERROR(__xludf.DUMMYFUNCTION("""COMPUTED_VALUE"""),"Non-PII")</f>
        <v>Non-PII</v>
      </c>
      <c r="D321" s="258" t="str">
        <f>IFERROR(__xludf.DUMMYFUNCTION("""COMPUTED_VALUE"""),"Non-PII")</f>
        <v>Non-PII</v>
      </c>
      <c r="E321" s="258" t="str">
        <f>IFERROR(__xludf.DUMMYFUNCTION("""COMPUTED_VALUE"""),"Indicator if a subscriber uses IoT such as alexa, siri, eero
 For wireline subscribers, only subscriptions within Metro Manila (including some areas in Rizal) and with DSL, VDSL and GPON technology value are covered.")</f>
        <v>Indicator if a subscriber uses IoT such as alexa, siri, eero
 For wireline subscribers, only subscriptions within Metro Manila (including some areas in Rizal) and with DSL, VDSL and GPON technology value are covered.</v>
      </c>
      <c r="F321" s="258" t="str">
        <f>IFERROR(__xludf.DUMMYFUNCTION("""COMPUTED_VALUE"""),"Derived")</f>
        <v>Derived</v>
      </c>
      <c r="G321" s="258" t="str">
        <f>IFERROR(__xludf.DUMMYFUNCTION("""COMPUTED_VALUE"""),"boolean")</f>
        <v>boolean</v>
      </c>
      <c r="H321" s="258" t="b">
        <f>IFERROR(__xludf.DUMMYFUNCTION("""COMPUTED_VALUE"""),TRUE)</f>
        <v>1</v>
      </c>
      <c r="I321" s="258" t="str">
        <f>IFERROR(__xludf.DUMMYFUNCTION("""COMPUTED_VALUE"""),"EDO-UUP")</f>
        <v>EDO-UUP</v>
      </c>
      <c r="J321" s="258" t="str">
        <f>IFERROR(__xludf.DUMMYFUNCTION("""COMPUTED_VALUE"""),"Adhoc")</f>
        <v>Adhoc</v>
      </c>
      <c r="K321" s="258" t="str">
        <f>IFERROR(__xludf.DUMMYFUNCTION("""COMPUTED_VALUE"""),"")</f>
        <v/>
      </c>
      <c r="L321" s="258" t="str">
        <f>IFERROR(__xludf.DUMMYFUNCTION("""COMPUTED_VALUE"""),"GHP, GHP-PREPAID, TM, PW, GOMO, WIRELINE, BAYAN, GLOBE")</f>
        <v>GHP, GHP-PREPAID, TM, PW, GOMO, WIRELINE, BAYAN, GLOBE</v>
      </c>
      <c r="M321" s="258" t="str">
        <f>IFERROR(__xludf.DUMMYFUNCTION("""COMPUTED_VALUE"""),"Consumer, EG, SG, In house, IBG Traveler")</f>
        <v>Consumer, EG, SG, In house, IBG Traveler</v>
      </c>
      <c r="N321" s="258" t="str">
        <f>IFERROR(__xludf.DUMMYFUNCTION("""COMPUTED_VALUE"""),"interest")</f>
        <v>interest</v>
      </c>
      <c r="O321" s="258" t="str">
        <f>IFERROR(__xludf.DUMMYFUNCTION("""COMPUTED_VALUE"""),"network_profile")</f>
        <v>network_profile</v>
      </c>
      <c r="P321" s="258"/>
    </row>
    <row r="322">
      <c r="A322" s="257" t="str">
        <f>IFERROR(__xludf.DUMMYFUNCTION("""COMPUTED_VALUE"""),"iot_user_bucket")</f>
        <v>iot_user_bucket</v>
      </c>
      <c r="B322" s="258" t="str">
        <f>IFERROR(__xludf.DUMMYFUNCTION("""COMPUTED_VALUE"""),"Audience/Persona")</f>
        <v>Audience/Persona</v>
      </c>
      <c r="C322" s="258" t="str">
        <f>IFERROR(__xludf.DUMMYFUNCTION("""COMPUTED_VALUE"""),"Non-PII")</f>
        <v>Non-PII</v>
      </c>
      <c r="D322" s="258" t="str">
        <f>IFERROR(__xludf.DUMMYFUNCTION("""COMPUTED_VALUE"""),"Non-PII")</f>
        <v>Non-PII</v>
      </c>
      <c r="E322" s="258" t="str">
        <f>IFERROR(__xludf.DUMMYFUNCTION("""COMPUTED_VALUE"""),"Bucketing based on identified metric for IOT User profile
 Metric: Average Daily Hits in a Month
 Valid values: 
 LOW: &lt;= 6 hits
 MID: &gt; 6 &amp; &lt;= 10 hits
 HIGH: &gt; 10 hits
 For wireline subscribers, only subscriptions within Metro Manila (including some "&amp;"areas in Rizal) and with DSL, VDSL and GPON technology value are covered.")</f>
        <v>Bucketing based on identified metric for IOT User profile
 Metric: Average Daily Hits in a Month
 Valid values: 
 LOW: &lt;= 6 hits
 MID: &gt; 6 &amp; &lt;= 10 hits
 HIGH: &gt; 10 hits
 For wireline subscribers, only subscriptions within Metro Manila (including some areas in Rizal) and with DSL, VDSL and GPON technology value are covered.</v>
      </c>
      <c r="F322" s="258" t="str">
        <f>IFERROR(__xludf.DUMMYFUNCTION("""COMPUTED_VALUE"""),"Direct Pull")</f>
        <v>Direct Pull</v>
      </c>
      <c r="G322" s="258" t="str">
        <f>IFERROR(__xludf.DUMMYFUNCTION("""COMPUTED_VALUE"""),"varchar(65535)")</f>
        <v>varchar(65535)</v>
      </c>
      <c r="H322" s="258" t="str">
        <f>IFERROR(__xludf.DUMMYFUNCTION("""COMPUTED_VALUE"""),"LOW")</f>
        <v>LOW</v>
      </c>
      <c r="I322" s="258" t="str">
        <f>IFERROR(__xludf.DUMMYFUNCTION("""COMPUTED_VALUE"""),"EDO-UUP")</f>
        <v>EDO-UUP</v>
      </c>
      <c r="J322" s="258" t="str">
        <f>IFERROR(__xludf.DUMMYFUNCTION("""COMPUTED_VALUE"""),"Adhoc")</f>
        <v>Adhoc</v>
      </c>
      <c r="K322" s="258" t="str">
        <f>IFERROR(__xludf.DUMMYFUNCTION("""COMPUTED_VALUE"""),"")</f>
        <v/>
      </c>
      <c r="L322" s="258" t="str">
        <f>IFERROR(__xludf.DUMMYFUNCTION("""COMPUTED_VALUE"""),"GHP, GHP-PREPAID, TM, PW, GOMO, WIRELINE, BAYAN, GLOBE")</f>
        <v>GHP, GHP-PREPAID, TM, PW, GOMO, WIRELINE, BAYAN, GLOBE</v>
      </c>
      <c r="M322" s="258" t="str">
        <f>IFERROR(__xludf.DUMMYFUNCTION("""COMPUTED_VALUE"""),"Consumer, EG, SG, In house, IBG Traveler")</f>
        <v>Consumer, EG, SG, In house, IBG Traveler</v>
      </c>
      <c r="N322" s="258" t="str">
        <f>IFERROR(__xludf.DUMMYFUNCTION("""COMPUTED_VALUE"""),"interest")</f>
        <v>interest</v>
      </c>
      <c r="O322" s="258" t="str">
        <f>IFERROR(__xludf.DUMMYFUNCTION("""COMPUTED_VALUE"""),"network_profile")</f>
        <v>network_profile</v>
      </c>
      <c r="P322" s="258"/>
    </row>
    <row r="323">
      <c r="A323" s="257" t="str">
        <f>IFERROR(__xludf.DUMMYFUNCTION("""COMPUTED_VALUE"""),"iot_user_details")</f>
        <v>iot_user_details</v>
      </c>
      <c r="B323" s="258" t="str">
        <f>IFERROR(__xludf.DUMMYFUNCTION("""COMPUTED_VALUE"""),"Audience/Persona")</f>
        <v>Audience/Persona</v>
      </c>
      <c r="C323" s="258" t="str">
        <f>IFERROR(__xludf.DUMMYFUNCTION("""COMPUTED_VALUE"""),"Non-PII")</f>
        <v>Non-PII</v>
      </c>
      <c r="D323" s="258" t="str">
        <f>IFERROR(__xludf.DUMMYFUNCTION("""COMPUTED_VALUE"""),"Non-PII")</f>
        <v>Non-PII</v>
      </c>
      <c r="E323" s="258" t="str">
        <f>IFERROR(__xludf.DUMMYFUNCTION("""COMPUTED_VALUE"""),"Metric used and value for the IOT User profile
 For wireline subscribers, only subscriptions within Metro Manila (including some areas in Rizal) and with DSL, VDSL and GPON technology value are covered.")</f>
        <v>Metric used and value for the IOT User profile
 For wireline subscribers, only subscriptions within Metro Manila (including some areas in Rizal) and with DSL, VDSL and GPON technology value are covered.</v>
      </c>
      <c r="F323" s="258" t="str">
        <f>IFERROR(__xludf.DUMMYFUNCTION("""COMPUTED_VALUE"""),"Derived")</f>
        <v>Derived</v>
      </c>
      <c r="G323" s="258" t="str">
        <f>IFERROR(__xludf.DUMMYFUNCTION("""COMPUTED_VALUE"""),"varchar(65535)")</f>
        <v>varchar(65535)</v>
      </c>
      <c r="H323" s="258" t="str">
        <f>IFERROR(__xludf.DUMMYFUNCTION("""COMPUTED_VALUE"""),"{""Average Daily Hits in a Month"": 22}")</f>
        <v>{"Average Daily Hits in a Month": 22}</v>
      </c>
      <c r="I323" s="258" t="str">
        <f>IFERROR(__xludf.DUMMYFUNCTION("""COMPUTED_VALUE"""),"EDO-UUP")</f>
        <v>EDO-UUP</v>
      </c>
      <c r="J323" s="258" t="str">
        <f>IFERROR(__xludf.DUMMYFUNCTION("""COMPUTED_VALUE"""),"Adhoc")</f>
        <v>Adhoc</v>
      </c>
      <c r="K323" s="258" t="str">
        <f>IFERROR(__xludf.DUMMYFUNCTION("""COMPUTED_VALUE"""),"")</f>
        <v/>
      </c>
      <c r="L323" s="258" t="str">
        <f>IFERROR(__xludf.DUMMYFUNCTION("""COMPUTED_VALUE"""),"GHP, GHP-PREPAID, TM, PW, GOMO, WIRELINE, BAYAN, GLOBE")</f>
        <v>GHP, GHP-PREPAID, TM, PW, GOMO, WIRELINE, BAYAN, GLOBE</v>
      </c>
      <c r="M323" s="258" t="str">
        <f>IFERROR(__xludf.DUMMYFUNCTION("""COMPUTED_VALUE"""),"Consumer, EG, SG, In house, IBG Traveler")</f>
        <v>Consumer, EG, SG, In house, IBG Traveler</v>
      </c>
      <c r="N323" s="258" t="str">
        <f>IFERROR(__xludf.DUMMYFUNCTION("""COMPUTED_VALUE"""),"interest")</f>
        <v>interest</v>
      </c>
      <c r="O323" s="258" t="str">
        <f>IFERROR(__xludf.DUMMYFUNCTION("""COMPUTED_VALUE"""),"network_profile")</f>
        <v>network_profile</v>
      </c>
      <c r="P323" s="258"/>
    </row>
    <row r="324">
      <c r="A324" s="257" t="str">
        <f>IFERROR(__xludf.DUMMYFUNCTION("""COMPUTED_VALUE"""),"gcash_user_consented_indicator")</f>
        <v>gcash_user_consented_indicator</v>
      </c>
      <c r="B324" s="258" t="str">
        <f>IFERROR(__xludf.DUMMYFUNCTION("""COMPUTED_VALUE"""),"Behavioral")</f>
        <v>Behavioral</v>
      </c>
      <c r="C324" s="258" t="str">
        <f>IFERROR(__xludf.DUMMYFUNCTION("""COMPUTED_VALUE"""),"Non-PII")</f>
        <v>Non-PII</v>
      </c>
      <c r="D324" s="258" t="str">
        <f>IFERROR(__xludf.DUMMYFUNCTION("""COMPUTED_VALUE"""),"Non-PII")</f>
        <v>Non-PII</v>
      </c>
      <c r="E324" s="258" t="str">
        <f>IFERROR(__xludf.DUMMYFUNCTION("""COMPUTED_VALUE"""),"Indicates that the subscriber is a consented GCASH member, who agree to share GCASH information details.")</f>
        <v>Indicates that the subscriber is a consented GCASH member, who agree to share GCASH information details.</v>
      </c>
      <c r="F324" s="258" t="str">
        <f>IFERROR(__xludf.DUMMYFUNCTION("""COMPUTED_VALUE"""),"Derived")</f>
        <v>Derived</v>
      </c>
      <c r="G324" s="258" t="str">
        <f>IFERROR(__xludf.DUMMYFUNCTION("""COMPUTED_VALUE"""),"boolean")</f>
        <v>boolean</v>
      </c>
      <c r="H324" s="258" t="b">
        <f>IFERROR(__xludf.DUMMYFUNCTION("""COMPUTED_VALUE"""),TRUE)</f>
        <v>1</v>
      </c>
      <c r="I324" s="258" t="str">
        <f>IFERROR(__xludf.DUMMYFUNCTION("""COMPUTED_VALUE"""),"EDO-UUP")</f>
        <v>EDO-UUP</v>
      </c>
      <c r="J324" s="258" t="str">
        <f>IFERROR(__xludf.DUMMYFUNCTION("""COMPUTED_VALUE"""),"Monthly")</f>
        <v>Monthly</v>
      </c>
      <c r="K324" s="258" t="str">
        <f>IFERROR(__xludf.DUMMYFUNCTION("""COMPUTED_VALUE"""),"")</f>
        <v/>
      </c>
      <c r="L324" s="258" t="str">
        <f>IFERROR(__xludf.DUMMYFUNCTION("""COMPUTED_VALUE"""),"GHP, GHP-PREPAID, TM, PW, GOMO")</f>
        <v>GHP, GHP-PREPAID, TM, PW, GOMO</v>
      </c>
      <c r="M324" s="258" t="str">
        <f>IFERROR(__xludf.DUMMYFUNCTION("""COMPUTED_VALUE"""),"Consumer, EG, SG, In house, IBG Traveler")</f>
        <v>Consumer, EG, SG, In house, IBG Traveler</v>
      </c>
      <c r="N324" s="258" t="str">
        <f>IFERROR(__xludf.DUMMYFUNCTION("""COMPUTED_VALUE"""),"product")</f>
        <v>product</v>
      </c>
      <c r="O324" s="258" t="str">
        <f>IFERROR(__xludf.DUMMYFUNCTION("""COMPUTED_VALUE"""),"product_profile")</f>
        <v>product_profile</v>
      </c>
      <c r="P324" s="258"/>
    </row>
    <row r="325">
      <c r="A325" s="257" t="str">
        <f>IFERROR(__xludf.DUMMYFUNCTION("""COMPUTED_VALUE"""),"bb_cabinet_id")</f>
        <v>bb_cabinet_id</v>
      </c>
      <c r="B325" s="258" t="str">
        <f>IFERROR(__xludf.DUMMYFUNCTION("""COMPUTED_VALUE"""),"Globe ID")</f>
        <v>Globe ID</v>
      </c>
      <c r="C325" s="258" t="str">
        <f>IFERROR(__xludf.DUMMYFUNCTION("""COMPUTED_VALUE"""),"Non-PII")</f>
        <v>Non-PII</v>
      </c>
      <c r="D325" s="258" t="str">
        <f>IFERROR(__xludf.DUMMYFUNCTION("""COMPUTED_VALUE"""),"Non-PII")</f>
        <v>Non-PII</v>
      </c>
      <c r="E325" s="258" t="str">
        <f>IFERROR(__xludf.DUMMYFUNCTION("""COMPUTED_VALUE"""),"Cabinet ID of broadband subscriber connection")</f>
        <v>Cabinet ID of broadband subscriber connection</v>
      </c>
      <c r="F325" s="258" t="str">
        <f>IFERROR(__xludf.DUMMYFUNCTION("""COMPUTED_VALUE"""),"Direct Pull")</f>
        <v>Direct Pull</v>
      </c>
      <c r="G325" s="258" t="str">
        <f>IFERROR(__xludf.DUMMYFUNCTION("""COMPUTED_VALUE"""),"varchar(1000)")</f>
        <v>varchar(1000)</v>
      </c>
      <c r="H325" s="258" t="str">
        <f>IFERROR(__xludf.DUMMYFUNCTION("""COMPUTED_VALUE"""),"CATAL2H-242572-1")</f>
        <v>CATAL2H-242572-1</v>
      </c>
      <c r="I325" s="258" t="str">
        <f>IFERROR(__xludf.DUMMYFUNCTION("""COMPUTED_VALUE"""),"FVT CRM BB Postpaid")</f>
        <v>FVT CRM BB Postpaid</v>
      </c>
      <c r="J325" s="258" t="str">
        <f>IFERROR(__xludf.DUMMYFUNCTION("""COMPUTED_VALUE"""),"Daily")</f>
        <v>Daily</v>
      </c>
      <c r="K325" s="258" t="str">
        <f>IFERROR(__xludf.DUMMYFUNCTION("""COMPUTED_VALUE"""),"")</f>
        <v/>
      </c>
      <c r="L325" s="258" t="str">
        <f>IFERROR(__xludf.DUMMYFUNCTION("""COMPUTED_VALUE"""),"WIRELINE, BAYAN, GLOBE")</f>
        <v>WIRELINE, BAYAN, GLOBE</v>
      </c>
      <c r="M325" s="258" t="str">
        <f>IFERROR(__xludf.DUMMYFUNCTION("""COMPUTED_VALUE"""),"Consumer, EG, SG")</f>
        <v>Consumer, EG, SG</v>
      </c>
      <c r="N325" s="258" t="str">
        <f>IFERROR(__xludf.DUMMYFUNCTION("""COMPUTED_VALUE"""),"contract")</f>
        <v>contract</v>
      </c>
      <c r="O325" s="258" t="str">
        <f>IFERROR(__xludf.DUMMYFUNCTION("""COMPUTED_VALUE"""),"contract_profile")</f>
        <v>contract_profile</v>
      </c>
      <c r="P325" s="258"/>
    </row>
    <row r="326">
      <c r="A326" s="257" t="str">
        <f>IFERROR(__xludf.DUMMYFUNCTION("""COMPUTED_VALUE"""),"bb_data_sim_msisdn_value")</f>
        <v>bb_data_sim_msisdn_value</v>
      </c>
      <c r="B326" s="258" t="str">
        <f>IFERROR(__xludf.DUMMYFUNCTION("""COMPUTED_VALUE"""),"Customer PII")</f>
        <v>Customer PII</v>
      </c>
      <c r="C326" s="258" t="str">
        <f>IFERROR(__xludf.DUMMYFUNCTION("""COMPUTED_VALUE"""),"Non-PII")</f>
        <v>Non-PII</v>
      </c>
      <c r="D326" s="258" t="str">
        <f>IFERROR(__xludf.DUMMYFUNCTION("""COMPUTED_VALUE"""),"Non-PII")</f>
        <v>Non-PII</v>
      </c>
      <c r="E326" s="258" t="str">
        <f>IFERROR(__xludf.DUMMYFUNCTION("""COMPUTED_VALUE"""),"Mobile number of the broadband sim card")</f>
        <v>Mobile number of the broadband sim card</v>
      </c>
      <c r="F326" s="258" t="str">
        <f>IFERROR(__xludf.DUMMYFUNCTION("""COMPUTED_VALUE"""),"Direct Pull")</f>
        <v>Direct Pull</v>
      </c>
      <c r="G326" s="258" t="str">
        <f>IFERROR(__xludf.DUMMYFUNCTION("""COMPUTED_VALUE"""),"varchar(1000)")</f>
        <v>varchar(1000)</v>
      </c>
      <c r="H326" s="258">
        <f>IFERROR(__xludf.DUMMYFUNCTION("""COMPUTED_VALUE"""),6.32E11)</f>
        <v>632000000000</v>
      </c>
      <c r="I326" s="258" t="str">
        <f>IFERROR(__xludf.DUMMYFUNCTION("""COMPUTED_VALUE"""),"FVT CRM BB Postpaid")</f>
        <v>FVT CRM BB Postpaid</v>
      </c>
      <c r="J326" s="258" t="str">
        <f>IFERROR(__xludf.DUMMYFUNCTION("""COMPUTED_VALUE"""),"Daily")</f>
        <v>Daily</v>
      </c>
      <c r="K326" s="258" t="str">
        <f>IFERROR(__xludf.DUMMYFUNCTION("""COMPUTED_VALUE"""),"")</f>
        <v/>
      </c>
      <c r="L326" s="258" t="str">
        <f>IFERROR(__xludf.DUMMYFUNCTION("""COMPUTED_VALUE"""),"WIRELINE, BAYAN, GLOBE")</f>
        <v>WIRELINE, BAYAN, GLOBE</v>
      </c>
      <c r="M326" s="258" t="str">
        <f>IFERROR(__xludf.DUMMYFUNCTION("""COMPUTED_VALUE"""),"Consumer, EG, SG")</f>
        <v>Consumer, EG, SG</v>
      </c>
      <c r="N326" s="258" t="str">
        <f>IFERROR(__xludf.DUMMYFUNCTION("""COMPUTED_VALUE"""),"contract")</f>
        <v>contract</v>
      </c>
      <c r="O326" s="258" t="str">
        <f>IFERROR(__xludf.DUMMYFUNCTION("""COMPUTED_VALUE"""),"contract_profile")</f>
        <v>contract_profile</v>
      </c>
      <c r="P326" s="258"/>
    </row>
    <row r="327">
      <c r="A327" s="257" t="str">
        <f>IFERROR(__xludf.DUMMYFUNCTION("""COMPUTED_VALUE"""),"sim_serial_value")</f>
        <v>sim_serial_value</v>
      </c>
      <c r="B327" s="258" t="str">
        <f>IFERROR(__xludf.DUMMYFUNCTION("""COMPUTED_VALUE"""),"Customer PII - Masked")</f>
        <v>Customer PII - Masked</v>
      </c>
      <c r="C327" s="258" t="str">
        <f>IFERROR(__xludf.DUMMYFUNCTION("""COMPUTED_VALUE"""),"Customer PII - Masked")</f>
        <v>Customer PII - Masked</v>
      </c>
      <c r="D327" s="258" t="str">
        <f>IFERROR(__xludf.DUMMYFUNCTION("""COMPUTED_VALUE"""),"Device")</f>
        <v>Device</v>
      </c>
      <c r="E327" s="258" t="str">
        <f>IFERROR(__xludf.DUMMYFUNCTION("""COMPUTED_VALUE"""),"Sim serial number value associated with the SIM card.")</f>
        <v>Sim serial number value associated with the SIM card.</v>
      </c>
      <c r="F327" s="258" t="str">
        <f>IFERROR(__xludf.DUMMYFUNCTION("""COMPUTED_VALUE"""),"Direct Pull")</f>
        <v>Direct Pull</v>
      </c>
      <c r="G327" s="258" t="str">
        <f>IFERROR(__xludf.DUMMYFUNCTION("""COMPUTED_VALUE"""),"varchar(1000)")</f>
        <v>varchar(1000)</v>
      </c>
      <c r="H327" s="258">
        <f>IFERROR(__xludf.DUMMYFUNCTION("""COMPUTED_VALUE"""),8.96E19)</f>
        <v>8.96E+19</v>
      </c>
      <c r="I327" s="258" t="str">
        <f>IFERROR(__xludf.DUMMYFUNCTION("""COMPUTED_VALUE"""),"FVT CRM BB Postpaid")</f>
        <v>FVT CRM BB Postpaid</v>
      </c>
      <c r="J327" s="258" t="str">
        <f>IFERROR(__xludf.DUMMYFUNCTION("""COMPUTED_VALUE"""),"Daily")</f>
        <v>Daily</v>
      </c>
      <c r="K327" s="258" t="str">
        <f>IFERROR(__xludf.DUMMYFUNCTION("""COMPUTED_VALUE"""),"")</f>
        <v/>
      </c>
      <c r="L327" s="258" t="str">
        <f>IFERROR(__xludf.DUMMYFUNCTION("""COMPUTED_VALUE"""),"GHP, GHP-PREPAID, TM, PW, GOMO, WIRELINE, BAYAN, GLOBE")</f>
        <v>GHP, GHP-PREPAID, TM, PW, GOMO, WIRELINE, BAYAN, GLOBE</v>
      </c>
      <c r="M327" s="258" t="str">
        <f>IFERROR(__xludf.DUMMYFUNCTION("""COMPUTED_VALUE"""),"Consumer, EG, SG, In house, IBG Traveler")</f>
        <v>Consumer, EG, SG, In house, IBG Traveler</v>
      </c>
      <c r="N327" s="258" t="str">
        <f>IFERROR(__xludf.DUMMYFUNCTION("""COMPUTED_VALUE"""),"contract")</f>
        <v>contract</v>
      </c>
      <c r="O327" s="258" t="str">
        <f>IFERROR(__xludf.DUMMYFUNCTION("""COMPUTED_VALUE"""),"contract_profile")</f>
        <v>contract_profile</v>
      </c>
      <c r="P327" s="258"/>
    </row>
    <row r="328">
      <c r="A328" s="257" t="str">
        <f>IFERROR(__xludf.DUMMYFUNCTION("""COMPUTED_VALUE"""),"bb_port_number_value")</f>
        <v>bb_port_number_value</v>
      </c>
      <c r="B328" s="258" t="str">
        <f>IFERROR(__xludf.DUMMYFUNCTION("""COMPUTED_VALUE"""),"Globe ID")</f>
        <v>Globe ID</v>
      </c>
      <c r="C328" s="258" t="str">
        <f>IFERROR(__xludf.DUMMYFUNCTION("""COMPUTED_VALUE"""),"Non-PII")</f>
        <v>Non-PII</v>
      </c>
      <c r="D328" s="258" t="str">
        <f>IFERROR(__xludf.DUMMYFUNCTION("""COMPUTED_VALUE"""),"Non-PII")</f>
        <v>Non-PII</v>
      </c>
      <c r="E328" s="258" t="str">
        <f>IFERROR(__xludf.DUMMYFUNCTION("""COMPUTED_VALUE"""),"Number of the broadband port")</f>
        <v>Number of the broadband port</v>
      </c>
      <c r="F328" s="258" t="str">
        <f>IFERROR(__xludf.DUMMYFUNCTION("""COMPUTED_VALUE"""),"Direct Pull")</f>
        <v>Direct Pull</v>
      </c>
      <c r="G328" s="258" t="str">
        <f>IFERROR(__xludf.DUMMYFUNCTION("""COMPUTED_VALUE"""),"integer")</f>
        <v>integer</v>
      </c>
      <c r="H328" s="258">
        <f>IFERROR(__xludf.DUMMYFUNCTION("""COMPUTED_VALUE"""),8.0)</f>
        <v>8</v>
      </c>
      <c r="I328" s="258" t="str">
        <f>IFERROR(__xludf.DUMMYFUNCTION("""COMPUTED_VALUE"""),"FVT CRM BB Postpaid")</f>
        <v>FVT CRM BB Postpaid</v>
      </c>
      <c r="J328" s="258" t="str">
        <f>IFERROR(__xludf.DUMMYFUNCTION("""COMPUTED_VALUE"""),"Daily")</f>
        <v>Daily</v>
      </c>
      <c r="K328" s="258" t="str">
        <f>IFERROR(__xludf.DUMMYFUNCTION("""COMPUTED_VALUE"""),"")</f>
        <v/>
      </c>
      <c r="L328" s="258" t="str">
        <f>IFERROR(__xludf.DUMMYFUNCTION("""COMPUTED_VALUE"""),"WIRELINE, BAYAN, GLOBE")</f>
        <v>WIRELINE, BAYAN, GLOBE</v>
      </c>
      <c r="M328" s="258" t="str">
        <f>IFERROR(__xludf.DUMMYFUNCTION("""COMPUTED_VALUE"""),"Consumer, EG, SG")</f>
        <v>Consumer, EG, SG</v>
      </c>
      <c r="N328" s="258" t="str">
        <f>IFERROR(__xludf.DUMMYFUNCTION("""COMPUTED_VALUE"""),"contract")</f>
        <v>contract</v>
      </c>
      <c r="O328" s="258" t="str">
        <f>IFERROR(__xludf.DUMMYFUNCTION("""COMPUTED_VALUE"""),"contract_profile")</f>
        <v>contract_profile</v>
      </c>
      <c r="P328" s="258"/>
    </row>
    <row r="329">
      <c r="A329" s="257" t="str">
        <f>IFERROR(__xludf.DUMMYFUNCTION("""COMPUTED_VALUE"""),"bb_distribution_point_id")</f>
        <v>bb_distribution_point_id</v>
      </c>
      <c r="B329" s="258" t="str">
        <f>IFERROR(__xludf.DUMMYFUNCTION("""COMPUTED_VALUE"""),"Globe ID")</f>
        <v>Globe ID</v>
      </c>
      <c r="C329" s="258" t="str">
        <f>IFERROR(__xludf.DUMMYFUNCTION("""COMPUTED_VALUE"""),"Non-PII")</f>
        <v>Non-PII</v>
      </c>
      <c r="D329" s="258" t="str">
        <f>IFERROR(__xludf.DUMMYFUNCTION("""COMPUTED_VALUE"""),"Non-PII")</f>
        <v>Non-PII</v>
      </c>
      <c r="E329" s="258" t="str">
        <f>IFERROR(__xludf.DUMMYFUNCTION("""COMPUTED_VALUE"""),"Distribution ID of broadband subscriber connection")</f>
        <v>Distribution ID of broadband subscriber connection</v>
      </c>
      <c r="F329" s="258" t="str">
        <f>IFERROR(__xludf.DUMMYFUNCTION("""COMPUTED_VALUE"""),"Direct Pull")</f>
        <v>Direct Pull</v>
      </c>
      <c r="G329" s="258" t="str">
        <f>IFERROR(__xludf.DUMMYFUNCTION("""COMPUTED_VALUE"""),"varchar(1000)")</f>
        <v>varchar(1000)</v>
      </c>
      <c r="H329" s="258" t="str">
        <f>IFERROR(__xludf.DUMMYFUNCTION("""COMPUTED_VALUE"""),"APLAYAH-1")</f>
        <v>APLAYAH-1</v>
      </c>
      <c r="I329" s="258" t="str">
        <f>IFERROR(__xludf.DUMMYFUNCTION("""COMPUTED_VALUE"""),"FVT CRM BB Postpaid")</f>
        <v>FVT CRM BB Postpaid</v>
      </c>
      <c r="J329" s="258" t="str">
        <f>IFERROR(__xludf.DUMMYFUNCTION("""COMPUTED_VALUE"""),"Daily")</f>
        <v>Daily</v>
      </c>
      <c r="K329" s="258" t="str">
        <f>IFERROR(__xludf.DUMMYFUNCTION("""COMPUTED_VALUE"""),"")</f>
        <v/>
      </c>
      <c r="L329" s="258" t="str">
        <f>IFERROR(__xludf.DUMMYFUNCTION("""COMPUTED_VALUE"""),"WIRELINE, BAYAN, GLOBE")</f>
        <v>WIRELINE, BAYAN, GLOBE</v>
      </c>
      <c r="M329" s="258" t="str">
        <f>IFERROR(__xludf.DUMMYFUNCTION("""COMPUTED_VALUE"""),"Consumer, EG, SG")</f>
        <v>Consumer, EG, SG</v>
      </c>
      <c r="N329" s="258" t="str">
        <f>IFERROR(__xludf.DUMMYFUNCTION("""COMPUTED_VALUE"""),"contract")</f>
        <v>contract</v>
      </c>
      <c r="O329" s="258" t="str">
        <f>IFERROR(__xludf.DUMMYFUNCTION("""COMPUTED_VALUE"""),"contract_profile")</f>
        <v>contract_profile</v>
      </c>
      <c r="P329" s="258"/>
    </row>
    <row r="330">
      <c r="A330" s="257" t="str">
        <f>IFERROR(__xludf.DUMMYFUNCTION("""COMPUTED_VALUE"""),"reload_amount_delta_30days_60days_percent")</f>
        <v>reload_amount_delta_30days_60days_percent</v>
      </c>
      <c r="B330" s="258" t="str">
        <f>IFERROR(__xludf.DUMMYFUNCTION("""COMPUTED_VALUE"""),"Behavioral")</f>
        <v>Behavioral</v>
      </c>
      <c r="C330" s="258" t="str">
        <f>IFERROR(__xludf.DUMMYFUNCTION("""COMPUTED_VALUE"""),"Non-PII")</f>
        <v>Non-PII</v>
      </c>
      <c r="D330" s="258" t="str">
        <f>IFERROR(__xludf.DUMMYFUNCTION("""COMPUTED_VALUE"""),"Non-PII")</f>
        <v>Non-PII</v>
      </c>
      <c r="E330" s="258" t="str">
        <f>IFERROR(__xludf.DUMMYFUNCTION("""COMPUTED_VALUE"""),"Relative change in the top-up amount from the past 30 days over the past 60 days")</f>
        <v>Relative change in the top-up amount from the past 30 days over the past 60 days</v>
      </c>
      <c r="F330" s="258" t="str">
        <f>IFERROR(__xludf.DUMMYFUNCTION("""COMPUTED_VALUE"""),"Derived")</f>
        <v>Derived</v>
      </c>
      <c r="G330" s="258" t="str">
        <f>IFERROR(__xludf.DUMMYFUNCTION("""COMPUTED_VALUE"""),"numeric(21,2)")</f>
        <v>numeric(21,2)</v>
      </c>
      <c r="H330" s="258">
        <f>IFERROR(__xludf.DUMMYFUNCTION("""COMPUTED_VALUE"""),73.91)</f>
        <v>73.91</v>
      </c>
      <c r="I330" s="258" t="str">
        <f>IFERROR(__xludf.DUMMYFUNCTION("""COMPUTED_VALUE"""),"FVT CRM Mobile")</f>
        <v>FVT CRM Mobile</v>
      </c>
      <c r="J330" s="258" t="str">
        <f>IFERROR(__xludf.DUMMYFUNCTION("""COMPUTED_VALUE"""),"Daily")</f>
        <v>Daily</v>
      </c>
      <c r="K330" s="258" t="str">
        <f>IFERROR(__xludf.DUMMYFUNCTION("""COMPUTED_VALUE"""),"")</f>
        <v/>
      </c>
      <c r="L330" s="258" t="str">
        <f>IFERROR(__xludf.DUMMYFUNCTION("""COMPUTED_VALUE"""),"GHP-PREPAID, TM, PW")</f>
        <v>GHP-PREPAID, TM, PW</v>
      </c>
      <c r="M330" s="258" t="str">
        <f>IFERROR(__xludf.DUMMYFUNCTION("""COMPUTED_VALUE"""),"Consumer, EG, SG, IBG Traveler")</f>
        <v>Consumer, EG, SG, IBG Traveler</v>
      </c>
      <c r="N330" s="258" t="str">
        <f>IFERROR(__xludf.DUMMYFUNCTION("""COMPUTED_VALUE"""),"reload")</f>
        <v>reload</v>
      </c>
      <c r="O330" s="258" t="str">
        <f>IFERROR(__xludf.DUMMYFUNCTION("""COMPUTED_VALUE"""),"reload_profile")</f>
        <v>reload_profile</v>
      </c>
      <c r="P330" s="258"/>
    </row>
    <row r="331">
      <c r="A331" s="257" t="str">
        <f>IFERROR(__xludf.DUMMYFUNCTION("""COMPUTED_VALUE"""),"prepaid_subscriber_balance")</f>
        <v>prepaid_subscriber_balance</v>
      </c>
      <c r="B331" s="258" t="str">
        <f>IFERROR(__xludf.DUMMYFUNCTION("""COMPUTED_VALUE"""),"Customer PII")</f>
        <v>Customer PII</v>
      </c>
      <c r="C331" s="258" t="str">
        <f>IFERROR(__xludf.DUMMYFUNCTION("""COMPUTED_VALUE"""),"Non-PII")</f>
        <v>Non-PII</v>
      </c>
      <c r="D331" s="258" t="str">
        <f>IFERROR(__xludf.DUMMYFUNCTION("""COMPUTED_VALUE"""),"Non-PII")</f>
        <v>Non-PII</v>
      </c>
      <c r="E331" s="258" t="str">
        <f>IFERROR(__xludf.DUMMYFUNCTION("""COMPUTED_VALUE"""),"The ending balance amount of the prepaid subscriber (day-1).")</f>
        <v>The ending balance amount of the prepaid subscriber (day-1).</v>
      </c>
      <c r="F331" s="258" t="str">
        <f>IFERROR(__xludf.DUMMYFUNCTION("""COMPUTED_VALUE"""),"Derived")</f>
        <v>Derived</v>
      </c>
      <c r="G331" s="258" t="str">
        <f>IFERROR(__xludf.DUMMYFUNCTION("""COMPUTED_VALUE"""),"numeric(21,2)")</f>
        <v>numeric(21,2)</v>
      </c>
      <c r="H331" s="258">
        <f>IFERROR(__xludf.DUMMYFUNCTION("""COMPUTED_VALUE"""),58.5)</f>
        <v>58.5</v>
      </c>
      <c r="I331" s="258" t="str">
        <f>IFERROR(__xludf.DUMMYFUNCTION("""COMPUTED_VALUE"""),"FVT CRM HPW/BB")</f>
        <v>FVT CRM HPW/BB</v>
      </c>
      <c r="J331" s="258" t="str">
        <f>IFERROR(__xludf.DUMMYFUNCTION("""COMPUTED_VALUE"""),"Daily")</f>
        <v>Daily</v>
      </c>
      <c r="K331" s="258" t="str">
        <f>IFERROR(__xludf.DUMMYFUNCTION("""COMPUTED_VALUE"""),"")</f>
        <v/>
      </c>
      <c r="L331" s="258" t="str">
        <f>IFERROR(__xludf.DUMMYFUNCTION("""COMPUTED_VALUE"""),"GHP-PREPAID, TM, PW")</f>
        <v>GHP-PREPAID, TM, PW</v>
      </c>
      <c r="M331" s="258" t="str">
        <f>IFERROR(__xludf.DUMMYFUNCTION("""COMPUTED_VALUE"""),"Consumer, EG, SG, IBG Traveler")</f>
        <v>Consumer, EG, SG, IBG Traveler</v>
      </c>
      <c r="N331" s="258" t="str">
        <f>IFERROR(__xludf.DUMMYFUNCTION("""COMPUTED_VALUE"""),"reload")</f>
        <v>reload</v>
      </c>
      <c r="O331" s="258" t="str">
        <f>IFERROR(__xludf.DUMMYFUNCTION("""COMPUTED_VALUE"""),"reload_profile")</f>
        <v>reload_profile</v>
      </c>
      <c r="P331" s="258"/>
    </row>
    <row r="332">
      <c r="A332" s="257" t="str">
        <f>IFERROR(__xludf.DUMMYFUNCTION("""COMPUTED_VALUE"""),"usage_monthly_vas_amount")</f>
        <v>usage_monthly_vas_amount</v>
      </c>
      <c r="B332" s="258" t="str">
        <f>IFERROR(__xludf.DUMMYFUNCTION("""COMPUTED_VALUE"""),"Behavioral")</f>
        <v>Behavioral</v>
      </c>
      <c r="C332" s="258" t="str">
        <f>IFERROR(__xludf.DUMMYFUNCTION("""COMPUTED_VALUE"""),"Non-PII")</f>
        <v>Non-PII</v>
      </c>
      <c r="D332" s="258" t="str">
        <f>IFERROR(__xludf.DUMMYFUNCTION("""COMPUTED_VALUE"""),"Non-PII")</f>
        <v>Non-PII</v>
      </c>
      <c r="E332" s="258" t="str">
        <f>IFERROR(__xludf.DUMMYFUNCTION("""COMPUTED_VALUE"""),"Monthly value added services amount.")</f>
        <v>Monthly value added services amount.</v>
      </c>
      <c r="F332" s="258" t="str">
        <f>IFERROR(__xludf.DUMMYFUNCTION("""COMPUTED_VALUE"""),"Derived")</f>
        <v>Derived</v>
      </c>
      <c r="G332" s="258" t="str">
        <f>IFERROR(__xludf.DUMMYFUNCTION("""COMPUTED_VALUE"""),"numeric(21,2)")</f>
        <v>numeric(21,2)</v>
      </c>
      <c r="H332" s="258">
        <f>IFERROR(__xludf.DUMMYFUNCTION("""COMPUTED_VALUE"""),10.94)</f>
        <v>10.94</v>
      </c>
      <c r="I332" s="258" t="str">
        <f>IFERROR(__xludf.DUMMYFUNCTION("""COMPUTED_VALUE"""),"FVT CRM BB Postpaid")</f>
        <v>FVT CRM BB Postpaid</v>
      </c>
      <c r="J332" s="258" t="str">
        <f>IFERROR(__xludf.DUMMYFUNCTION("""COMPUTED_VALUE"""),"Daily")</f>
        <v>Daily</v>
      </c>
      <c r="K332" s="258" t="str">
        <f>IFERROR(__xludf.DUMMYFUNCTION("""COMPUTED_VALUE"""),"")</f>
        <v/>
      </c>
      <c r="L332" s="258" t="str">
        <f>IFERROR(__xludf.DUMMYFUNCTION("""COMPUTED_VALUE"""),"GHP, GHP-PREPAID, TM, PW, WIRELINE")</f>
        <v>GHP, GHP-PREPAID, TM, PW, WIRELINE</v>
      </c>
      <c r="M332" s="258" t="str">
        <f>IFERROR(__xludf.DUMMYFUNCTION("""COMPUTED_VALUE"""),"Consumer, EG, SG, In house, IBG Traveler")</f>
        <v>Consumer, EG, SG, In house, IBG Traveler</v>
      </c>
      <c r="N332" s="258" t="str">
        <f>IFERROR(__xludf.DUMMYFUNCTION("""COMPUTED_VALUE"""),"usage")</f>
        <v>usage</v>
      </c>
      <c r="O332" s="258" t="str">
        <f>IFERROR(__xludf.DUMMYFUNCTION("""COMPUTED_VALUE"""),"usage_profile")</f>
        <v>usage_profile</v>
      </c>
      <c r="P332" s="258"/>
    </row>
    <row r="333">
      <c r="A333" s="257" t="str">
        <f>IFERROR(__xludf.DUMMYFUNCTION("""COMPUTED_VALUE"""),"usage_sms_ppu_amount_past_90days")</f>
        <v>usage_sms_ppu_amount_past_90days</v>
      </c>
      <c r="B333" s="258" t="str">
        <f>IFERROR(__xludf.DUMMYFUNCTION("""COMPUTED_VALUE"""),"Behavioral")</f>
        <v>Behavioral</v>
      </c>
      <c r="C333" s="258" t="str">
        <f>IFERROR(__xludf.DUMMYFUNCTION("""COMPUTED_VALUE"""),"Non-PII")</f>
        <v>Non-PII</v>
      </c>
      <c r="D333" s="258" t="str">
        <f>IFERROR(__xludf.DUMMYFUNCTION("""COMPUTED_VALUE"""),"Non-PII")</f>
        <v>Non-PII</v>
      </c>
      <c r="E333" s="258" t="str">
        <f>IFERROR(__xludf.DUMMYFUNCTION("""COMPUTED_VALUE"""),"Sum of pay-per-use spent in sms in the past 90 days")</f>
        <v>Sum of pay-per-use spent in sms in the past 90 days</v>
      </c>
      <c r="F333" s="258" t="str">
        <f>IFERROR(__xludf.DUMMYFUNCTION("""COMPUTED_VALUE"""),"Derived")</f>
        <v>Derived</v>
      </c>
      <c r="G333" s="258" t="str">
        <f>IFERROR(__xludf.DUMMYFUNCTION("""COMPUTED_VALUE"""),"numeric(21,2)")</f>
        <v>numeric(21,2)</v>
      </c>
      <c r="H333" s="258">
        <f>IFERROR(__xludf.DUMMYFUNCTION("""COMPUTED_VALUE"""),22.0)</f>
        <v>22</v>
      </c>
      <c r="I333" s="258" t="str">
        <f>IFERROR(__xludf.DUMMYFUNCTION("""COMPUTED_VALUE"""),"FVT CRM Postpaid")</f>
        <v>FVT CRM Postpaid</v>
      </c>
      <c r="J333" s="258" t="str">
        <f>IFERROR(__xludf.DUMMYFUNCTION("""COMPUTED_VALUE"""),"Daily")</f>
        <v>Daily</v>
      </c>
      <c r="K333" s="258" t="str">
        <f>IFERROR(__xludf.DUMMYFUNCTION("""COMPUTED_VALUE"""),"")</f>
        <v/>
      </c>
      <c r="L333" s="258" t="str">
        <f>IFERROR(__xludf.DUMMYFUNCTION("""COMPUTED_VALUE"""),"GHP, GHP-PREPAID, TM, PW")</f>
        <v>GHP, GHP-PREPAID, TM, PW</v>
      </c>
      <c r="M333" s="258" t="str">
        <f>IFERROR(__xludf.DUMMYFUNCTION("""COMPUTED_VALUE"""),"Consumer, EG, SG, In house, IBG Traveler")</f>
        <v>Consumer, EG, SG, In house, IBG Traveler</v>
      </c>
      <c r="N333" s="258" t="str">
        <f>IFERROR(__xludf.DUMMYFUNCTION("""COMPUTED_VALUE"""),"usage")</f>
        <v>usage</v>
      </c>
      <c r="O333" s="258" t="str">
        <f>IFERROR(__xludf.DUMMYFUNCTION("""COMPUTED_VALUE"""),"usage_profile")</f>
        <v>usage_profile</v>
      </c>
      <c r="P333" s="258"/>
    </row>
    <row r="334">
      <c r="A334" s="257" t="str">
        <f>IFERROR(__xludf.DUMMYFUNCTION("""COMPUTED_VALUE"""),"usage_voice_ppu_amount_past_90days")</f>
        <v>usage_voice_ppu_amount_past_90days</v>
      </c>
      <c r="B334" s="258" t="str">
        <f>IFERROR(__xludf.DUMMYFUNCTION("""COMPUTED_VALUE"""),"Behavioral")</f>
        <v>Behavioral</v>
      </c>
      <c r="C334" s="258" t="str">
        <f>IFERROR(__xludf.DUMMYFUNCTION("""COMPUTED_VALUE"""),"Non-PII")</f>
        <v>Non-PII</v>
      </c>
      <c r="D334" s="258" t="str">
        <f>IFERROR(__xludf.DUMMYFUNCTION("""COMPUTED_VALUE"""),"Non-PII")</f>
        <v>Non-PII</v>
      </c>
      <c r="E334" s="258" t="str">
        <f>IFERROR(__xludf.DUMMYFUNCTION("""COMPUTED_VALUE"""),"Sum of pay-per-use spent in voice in the past 90 days")</f>
        <v>Sum of pay-per-use spent in voice in the past 90 days</v>
      </c>
      <c r="F334" s="258" t="str">
        <f>IFERROR(__xludf.DUMMYFUNCTION("""COMPUTED_VALUE"""),"Derived")</f>
        <v>Derived</v>
      </c>
      <c r="G334" s="258" t="str">
        <f>IFERROR(__xludf.DUMMYFUNCTION("""COMPUTED_VALUE"""),"numeric(21,2)")</f>
        <v>numeric(21,2)</v>
      </c>
      <c r="H334" s="258">
        <f>IFERROR(__xludf.DUMMYFUNCTION("""COMPUTED_VALUE"""),446.32)</f>
        <v>446.32</v>
      </c>
      <c r="I334" s="258" t="str">
        <f>IFERROR(__xludf.DUMMYFUNCTION("""COMPUTED_VALUE"""),"FVT CRM Postpaid")</f>
        <v>FVT CRM Postpaid</v>
      </c>
      <c r="J334" s="258" t="str">
        <f>IFERROR(__xludf.DUMMYFUNCTION("""COMPUTED_VALUE"""),"Daily")</f>
        <v>Daily</v>
      </c>
      <c r="K334" s="258" t="str">
        <f>IFERROR(__xludf.DUMMYFUNCTION("""COMPUTED_VALUE"""),"")</f>
        <v/>
      </c>
      <c r="L334" s="258" t="str">
        <f>IFERROR(__xludf.DUMMYFUNCTION("""COMPUTED_VALUE"""),"GHP, GHP-PREPAID, TM, PW, WIRELINE")</f>
        <v>GHP, GHP-PREPAID, TM, PW, WIRELINE</v>
      </c>
      <c r="M334" s="258" t="str">
        <f>IFERROR(__xludf.DUMMYFUNCTION("""COMPUTED_VALUE"""),"Consumer, EG, SG, In house, IBG Traveler")</f>
        <v>Consumer, EG, SG, In house, IBG Traveler</v>
      </c>
      <c r="N334" s="258" t="str">
        <f>IFERROR(__xludf.DUMMYFUNCTION("""COMPUTED_VALUE"""),"usage")</f>
        <v>usage</v>
      </c>
      <c r="O334" s="258" t="str">
        <f>IFERROR(__xludf.DUMMYFUNCTION("""COMPUTED_VALUE"""),"usage_profile")</f>
        <v>usage_profile</v>
      </c>
      <c r="P334" s="258"/>
    </row>
    <row r="335">
      <c r="A335" s="257" t="str">
        <f>IFERROR(__xludf.DUMMYFUNCTION("""COMPUTED_VALUE"""),"usage_data_quantity_per_bill_cycle_mb")</f>
        <v>usage_data_quantity_per_bill_cycle_mb</v>
      </c>
      <c r="B335" s="258" t="str">
        <f>IFERROR(__xludf.DUMMYFUNCTION("""COMPUTED_VALUE"""),"Behavioral")</f>
        <v>Behavioral</v>
      </c>
      <c r="C335" s="258" t="str">
        <f>IFERROR(__xludf.DUMMYFUNCTION("""COMPUTED_VALUE"""),"Non-PII")</f>
        <v>Non-PII</v>
      </c>
      <c r="D335" s="258" t="str">
        <f>IFERROR(__xludf.DUMMYFUNCTION("""COMPUTED_VALUE"""),"Non-PII")</f>
        <v>Non-PII</v>
      </c>
      <c r="E335" s="258" t="str">
        <f>IFERROR(__xludf.DUMMYFUNCTION("""COMPUTED_VALUE"""),"Data usage of the subscriber for the bill cycle in megabytes (MB)")</f>
        <v>Data usage of the subscriber for the bill cycle in megabytes (MB)</v>
      </c>
      <c r="F335" s="258" t="str">
        <f>IFERROR(__xludf.DUMMYFUNCTION("""COMPUTED_VALUE"""),"Derived")</f>
        <v>Derived</v>
      </c>
      <c r="G335" s="258" t="str">
        <f>IFERROR(__xludf.DUMMYFUNCTION("""COMPUTED_VALUE"""),"integer")</f>
        <v>integer</v>
      </c>
      <c r="H335" s="258">
        <f>IFERROR(__xludf.DUMMYFUNCTION("""COMPUTED_VALUE"""),25.0)</f>
        <v>25</v>
      </c>
      <c r="I335" s="258" t="str">
        <f>IFERROR(__xludf.DUMMYFUNCTION("""COMPUTED_VALUE"""),"FVT CRM Postpaid")</f>
        <v>FVT CRM Postpaid</v>
      </c>
      <c r="J335" s="258" t="str">
        <f>IFERROR(__xludf.DUMMYFUNCTION("""COMPUTED_VALUE"""),"Daily")</f>
        <v>Daily</v>
      </c>
      <c r="K335" s="258" t="str">
        <f>IFERROR(__xludf.DUMMYFUNCTION("""COMPUTED_VALUE"""),"")</f>
        <v/>
      </c>
      <c r="L335" s="258" t="str">
        <f>IFERROR(__xludf.DUMMYFUNCTION("""COMPUTED_VALUE"""),"GHP")</f>
        <v>GHP</v>
      </c>
      <c r="M335" s="258" t="str">
        <f>IFERROR(__xludf.DUMMYFUNCTION("""COMPUTED_VALUE"""),"Consumer, EG, SG, In house")</f>
        <v>Consumer, EG, SG, In house</v>
      </c>
      <c r="N335" s="258" t="str">
        <f>IFERROR(__xludf.DUMMYFUNCTION("""COMPUTED_VALUE"""),"usage")</f>
        <v>usage</v>
      </c>
      <c r="O335" s="258" t="str">
        <f>IFERROR(__xludf.DUMMYFUNCTION("""COMPUTED_VALUE"""),"usage_profile")</f>
        <v>usage_profile</v>
      </c>
      <c r="P335" s="258"/>
    </row>
    <row r="336">
      <c r="A336" s="257" t="str">
        <f>IFERROR(__xludf.DUMMYFUNCTION("""COMPUTED_VALUE"""),"deposit_date")</f>
        <v>deposit_date</v>
      </c>
      <c r="B336" s="258" t="str">
        <f>IFERROR(__xludf.DUMMYFUNCTION("""COMPUTED_VALUE"""),"Customer PII")</f>
        <v>Customer PII</v>
      </c>
      <c r="C336" s="258" t="str">
        <f>IFERROR(__xludf.DUMMYFUNCTION("""COMPUTED_VALUE"""),"Non-PII")</f>
        <v>Non-PII</v>
      </c>
      <c r="D336" s="258" t="str">
        <f>IFERROR(__xludf.DUMMYFUNCTION("""COMPUTED_VALUE"""),"Non-PII")</f>
        <v>Non-PII</v>
      </c>
      <c r="E336" s="258" t="str">
        <f>IFERROR(__xludf.DUMMYFUNCTION("""COMPUTED_VALUE"""),"Payment deposit date for past 30 days of the subscriber")</f>
        <v>Payment deposit date for past 30 days of the subscriber</v>
      </c>
      <c r="F336" s="258" t="str">
        <f>IFERROR(__xludf.DUMMYFUNCTION("""COMPUTED_VALUE"""),"Derived")</f>
        <v>Derived</v>
      </c>
      <c r="G336" s="258" t="str">
        <f>IFERROR(__xludf.DUMMYFUNCTION("""COMPUTED_VALUE"""),"timestamp")</f>
        <v>timestamp</v>
      </c>
      <c r="H336" s="258">
        <f>IFERROR(__xludf.DUMMYFUNCTION("""COMPUTED_VALUE"""),43705.0)</f>
        <v>43705</v>
      </c>
      <c r="I336" s="258" t="str">
        <f>IFERROR(__xludf.DUMMYFUNCTION("""COMPUTED_VALUE"""),"DPA")</f>
        <v>DPA</v>
      </c>
      <c r="J336" s="258" t="str">
        <f>IFERROR(__xludf.DUMMYFUNCTION("""COMPUTED_VALUE"""),"Monthly")</f>
        <v>Monthly</v>
      </c>
      <c r="K336" s="258" t="str">
        <f>IFERROR(__xludf.DUMMYFUNCTION("""COMPUTED_VALUE"""),"")</f>
        <v/>
      </c>
      <c r="L336" s="258" t="str">
        <f>IFERROR(__xludf.DUMMYFUNCTION("""COMPUTED_VALUE"""),"GHP, WIRELINE")</f>
        <v>GHP, WIRELINE</v>
      </c>
      <c r="M336" s="258" t="str">
        <f>IFERROR(__xludf.DUMMYFUNCTION("""COMPUTED_VALUE"""),"Consumer, EG, SG, In house")</f>
        <v>Consumer, EG, SG, In house</v>
      </c>
      <c r="N336" s="258" t="str">
        <f>IFERROR(__xludf.DUMMYFUNCTION("""COMPUTED_VALUE"""),"payment")</f>
        <v>payment</v>
      </c>
      <c r="O336" s="258" t="str">
        <f>IFERROR(__xludf.DUMMYFUNCTION("""COMPUTED_VALUE"""),"payment_profile")</f>
        <v>payment_profile</v>
      </c>
      <c r="P336" s="258"/>
    </row>
    <row r="337">
      <c r="A337" s="257" t="str">
        <f>IFERROR(__xludf.DUMMYFUNCTION("""COMPUTED_VALUE"""),"logistics_delivery_app_indicator")</f>
        <v>logistics_delivery_app_indicator</v>
      </c>
      <c r="B337" s="258" t="str">
        <f>IFERROR(__xludf.DUMMYFUNCTION("""COMPUTED_VALUE"""),"Audience/Persona")</f>
        <v>Audience/Persona</v>
      </c>
      <c r="C337" s="258" t="str">
        <f>IFERROR(__xludf.DUMMYFUNCTION("""COMPUTED_VALUE"""),"Non-PII")</f>
        <v>Non-PII</v>
      </c>
      <c r="D337" s="258" t="str">
        <f>IFERROR(__xludf.DUMMYFUNCTION("""COMPUTED_VALUE"""),"Non-PII")</f>
        <v>Non-PII</v>
      </c>
      <c r="E337" s="258" t="str">
        <f>IFERROR(__xludf.DUMMYFUNCTION("""COMPUTED_VALUE"""),"Indicator if a subscriber accesses logistics and delivery apps and sites such as j&amp;t, joyride, lalamove
 For wireline subscribers, only subscriptions within Metro Manila (including some areas in Rizal) and with DSL, VDSL and GPON technology value are co"&amp;"vered.")</f>
        <v>Indicator if a subscriber accesses logistics and delivery apps and sites such as j&amp;t, joyride, lalamove
 For wireline subscribers, only subscriptions within Metro Manila (including some areas in Rizal) and with DSL, VDSL and GPON technology value are covered.</v>
      </c>
      <c r="F337" s="258" t="str">
        <f>IFERROR(__xludf.DUMMYFUNCTION("""COMPUTED_VALUE"""),"Derived")</f>
        <v>Derived</v>
      </c>
      <c r="G337" s="258" t="str">
        <f>IFERROR(__xludf.DUMMYFUNCTION("""COMPUTED_VALUE"""),"boolean")</f>
        <v>boolean</v>
      </c>
      <c r="H337" s="258" t="b">
        <f>IFERROR(__xludf.DUMMYFUNCTION("""COMPUTED_VALUE"""),TRUE)</f>
        <v>1</v>
      </c>
      <c r="I337" s="258" t="str">
        <f>IFERROR(__xludf.DUMMYFUNCTION("""COMPUTED_VALUE"""),"EDO-UUP")</f>
        <v>EDO-UUP</v>
      </c>
      <c r="J337" s="258" t="str">
        <f>IFERROR(__xludf.DUMMYFUNCTION("""COMPUTED_VALUE"""),"Monthly")</f>
        <v>Monthly</v>
      </c>
      <c r="K337" s="258" t="str">
        <f>IFERROR(__xludf.DUMMYFUNCTION("""COMPUTED_VALUE"""),"")</f>
        <v/>
      </c>
      <c r="L337" s="258" t="str">
        <f>IFERROR(__xludf.DUMMYFUNCTION("""COMPUTED_VALUE"""),"GHP, GHP-PREPAID, TM, PW, GOMO, WIRELINE, BAYAN, GLOBE")</f>
        <v>GHP, GHP-PREPAID, TM, PW, GOMO, WIRELINE, BAYAN, GLOBE</v>
      </c>
      <c r="M337" s="258" t="str">
        <f>IFERROR(__xludf.DUMMYFUNCTION("""COMPUTED_VALUE"""),"Consumer, EG, SG, In house, IBG Traveler")</f>
        <v>Consumer, EG, SG, In house, IBG Traveler</v>
      </c>
      <c r="N337" s="258" t="str">
        <f>IFERROR(__xludf.DUMMYFUNCTION("""COMPUTED_VALUE"""),"interest")</f>
        <v>interest</v>
      </c>
      <c r="O337" s="258" t="str">
        <f>IFERROR(__xludf.DUMMYFUNCTION("""COMPUTED_VALUE"""),"network_profile")</f>
        <v>network_profile</v>
      </c>
      <c r="P337" s="258"/>
    </row>
    <row r="338">
      <c r="A338" s="257" t="str">
        <f>IFERROR(__xludf.DUMMYFUNCTION("""COMPUTED_VALUE"""),"logistics_delivery_app_bucket")</f>
        <v>logistics_delivery_app_bucket</v>
      </c>
      <c r="B338" s="258" t="str">
        <f>IFERROR(__xludf.DUMMYFUNCTION("""COMPUTED_VALUE"""),"Audience/Persona")</f>
        <v>Audience/Persona</v>
      </c>
      <c r="C338" s="258" t="str">
        <f>IFERROR(__xludf.DUMMYFUNCTION("""COMPUTED_VALUE"""),"Non-PII")</f>
        <v>Non-PII</v>
      </c>
      <c r="D338" s="258" t="str">
        <f>IFERROR(__xludf.DUMMYFUNCTION("""COMPUTED_VALUE"""),"Non-PII")</f>
        <v>Non-PII</v>
      </c>
      <c r="E338" s="258" t="str">
        <f>IFERROR(__xludf.DUMMYFUNCTION("""COMPUTED_VALUE"""),"Bucketing based on identified metric for Logistics and Delivery App User profile
 Metric: Total Hits in a Month
 Valid values: 
 LOW: &lt;= 5 hits
 MID &gt; 5 &amp; &lt;= 12 hits
 HIGH: &gt; 12 hits
 For wireline subscribers, only subscriptions within Metro Manila (i"&amp;"ncluding some areas in Rizal) and with DSL, VDSL and GPON technology value are covered.")</f>
        <v>Bucketing based on identified metric for Logistics and Delivery App User profile
 Metric: Total Hits in a Month
 Valid values: 
 LOW: &lt;= 5 hits
 MID &gt; 5 &amp; &lt;= 12 hits
 HIGH: &gt; 12 hits
 For wireline subscribers, only subscriptions within Metro Manila (including some areas in Rizal) and with DSL, VDSL and GPON technology value are covered.</v>
      </c>
      <c r="F338" s="258" t="str">
        <f>IFERROR(__xludf.DUMMYFUNCTION("""COMPUTED_VALUE"""),"Direct Pull")</f>
        <v>Direct Pull</v>
      </c>
      <c r="G338" s="258" t="str">
        <f>IFERROR(__xludf.DUMMYFUNCTION("""COMPUTED_VALUE"""),"varchar(1000)")</f>
        <v>varchar(1000)</v>
      </c>
      <c r="H338" s="258" t="str">
        <f>IFERROR(__xludf.DUMMYFUNCTION("""COMPUTED_VALUE"""),"HIGH")</f>
        <v>HIGH</v>
      </c>
      <c r="I338" s="258" t="str">
        <f>IFERROR(__xludf.DUMMYFUNCTION("""COMPUTED_VALUE"""),"EDO-UUP")</f>
        <v>EDO-UUP</v>
      </c>
      <c r="J338" s="258" t="str">
        <f>IFERROR(__xludf.DUMMYFUNCTION("""COMPUTED_VALUE"""),"Monthly")</f>
        <v>Monthly</v>
      </c>
      <c r="K338" s="258" t="str">
        <f>IFERROR(__xludf.DUMMYFUNCTION("""COMPUTED_VALUE"""),"")</f>
        <v/>
      </c>
      <c r="L338" s="258" t="str">
        <f>IFERROR(__xludf.DUMMYFUNCTION("""COMPUTED_VALUE"""),"GHP, GHP-PREPAID, TM, PW, GOMO, WIRELINE, BAYAN, GLOBE")</f>
        <v>GHP, GHP-PREPAID, TM, PW, GOMO, WIRELINE, BAYAN, GLOBE</v>
      </c>
      <c r="M338" s="258" t="str">
        <f>IFERROR(__xludf.DUMMYFUNCTION("""COMPUTED_VALUE"""),"Consumer, EG, SG, In house, IBG Traveler")</f>
        <v>Consumer, EG, SG, In house, IBG Traveler</v>
      </c>
      <c r="N338" s="258" t="str">
        <f>IFERROR(__xludf.DUMMYFUNCTION("""COMPUTED_VALUE"""),"interest")</f>
        <v>interest</v>
      </c>
      <c r="O338" s="258" t="str">
        <f>IFERROR(__xludf.DUMMYFUNCTION("""COMPUTED_VALUE"""),"network_profile")</f>
        <v>network_profile</v>
      </c>
      <c r="P338" s="258"/>
    </row>
    <row r="339">
      <c r="A339" s="257" t="str">
        <f>IFERROR(__xludf.DUMMYFUNCTION("""COMPUTED_VALUE"""),"logistics_delivery_app_details")</f>
        <v>logistics_delivery_app_details</v>
      </c>
      <c r="B339" s="258" t="str">
        <f>IFERROR(__xludf.DUMMYFUNCTION("""COMPUTED_VALUE"""),"Audience/Persona")</f>
        <v>Audience/Persona</v>
      </c>
      <c r="C339" s="258" t="str">
        <f>IFERROR(__xludf.DUMMYFUNCTION("""COMPUTED_VALUE"""),"Non-PII")</f>
        <v>Non-PII</v>
      </c>
      <c r="D339" s="258" t="str">
        <f>IFERROR(__xludf.DUMMYFUNCTION("""COMPUTED_VALUE"""),"Non-PII")</f>
        <v>Non-PII</v>
      </c>
      <c r="E339" s="258" t="str">
        <f>IFERROR(__xludf.DUMMYFUNCTION("""COMPUTED_VALUE"""),"Metric used and value for the Logistics and Delivery App User
 For wireline subscribers, only subscriptions within Metro Manila (including some areas in Rizal) and with DSL, VDSL and GPON technology value are covered.")</f>
        <v>Metric used and value for the Logistics and Delivery App User
 For wireline subscribers, only subscriptions within Metro Manila (including some areas in Rizal) and with DSL, VDSL and GPON technology value are covered.</v>
      </c>
      <c r="F339" s="258" t="str">
        <f>IFERROR(__xludf.DUMMYFUNCTION("""COMPUTED_VALUE"""),"Derived")</f>
        <v>Derived</v>
      </c>
      <c r="G339" s="258" t="str">
        <f>IFERROR(__xludf.DUMMYFUNCTION("""COMPUTED_VALUE"""),"varchar(1000)")</f>
        <v>varchar(1000)</v>
      </c>
      <c r="H339" s="258" t="str">
        <f>IFERROR(__xludf.DUMMYFUNCTION("""COMPUTED_VALUE"""),"{""Total Hits in a Month"": 46}")</f>
        <v>{"Total Hits in a Month": 46}</v>
      </c>
      <c r="I339" s="258" t="str">
        <f>IFERROR(__xludf.DUMMYFUNCTION("""COMPUTED_VALUE"""),"EDO-UUP")</f>
        <v>EDO-UUP</v>
      </c>
      <c r="J339" s="258" t="str">
        <f>IFERROR(__xludf.DUMMYFUNCTION("""COMPUTED_VALUE"""),"Monthly")</f>
        <v>Monthly</v>
      </c>
      <c r="K339" s="258" t="str">
        <f>IFERROR(__xludf.DUMMYFUNCTION("""COMPUTED_VALUE"""),"")</f>
        <v/>
      </c>
      <c r="L339" s="258" t="str">
        <f>IFERROR(__xludf.DUMMYFUNCTION("""COMPUTED_VALUE"""),"GHP, GHP-PREPAID, TM, PW, GOMO, WIRELINE, BAYAN, GLOBE")</f>
        <v>GHP, GHP-PREPAID, TM, PW, GOMO, WIRELINE, BAYAN, GLOBE</v>
      </c>
      <c r="M339" s="258" t="str">
        <f>IFERROR(__xludf.DUMMYFUNCTION("""COMPUTED_VALUE"""),"Consumer, EG, SG, In house, IBG Traveler")</f>
        <v>Consumer, EG, SG, In house, IBG Traveler</v>
      </c>
      <c r="N339" s="258" t="str">
        <f>IFERROR(__xludf.DUMMYFUNCTION("""COMPUTED_VALUE"""),"interest")</f>
        <v>interest</v>
      </c>
      <c r="O339" s="258" t="str">
        <f>IFERROR(__xludf.DUMMYFUNCTION("""COMPUTED_VALUE"""),"network_profile")</f>
        <v>network_profile</v>
      </c>
      <c r="P339" s="258"/>
    </row>
    <row r="340">
      <c r="A340" s="257" t="str">
        <f>IFERROR(__xludf.DUMMYFUNCTION("""COMPUTED_VALUE"""),"active_latest_date_past_120days")</f>
        <v>active_latest_date_past_120days</v>
      </c>
      <c r="B340" s="258" t="str">
        <f>IFERROR(__xludf.DUMMYFUNCTION("""COMPUTED_VALUE"""),"Behavioral")</f>
        <v>Behavioral</v>
      </c>
      <c r="C340" s="258" t="str">
        <f>IFERROR(__xludf.DUMMYFUNCTION("""COMPUTED_VALUE"""),"Non-PII")</f>
        <v>Non-PII</v>
      </c>
      <c r="D340" s="258" t="str">
        <f>IFERROR(__xludf.DUMMYFUNCTION("""COMPUTED_VALUE"""),"Non-PII")</f>
        <v>Non-PII</v>
      </c>
      <c r="E340" s="258" t="str">
        <f>IFERROR(__xludf.DUMMYFUNCTION("""COMPUTED_VALUE"""),"Latest date when the subscriber is active for the past 120 days")</f>
        <v>Latest date when the subscriber is active for the past 120 days</v>
      </c>
      <c r="F340" s="258" t="str">
        <f>IFERROR(__xludf.DUMMYFUNCTION("""COMPUTED_VALUE"""),"Derived")</f>
        <v>Derived</v>
      </c>
      <c r="G340" s="258" t="str">
        <f>IFERROR(__xludf.DUMMYFUNCTION("""COMPUTED_VALUE"""),"timestamp")</f>
        <v>timestamp</v>
      </c>
      <c r="H340" s="258">
        <f>IFERROR(__xludf.DUMMYFUNCTION("""COMPUTED_VALUE"""),40417.48922)</f>
        <v>40417.48922</v>
      </c>
      <c r="I340" s="258" t="str">
        <f>IFERROR(__xludf.DUMMYFUNCTION("""COMPUTED_VALUE"""),"FVT CRM Mobile")</f>
        <v>FVT CRM Mobile</v>
      </c>
      <c r="J340" s="258" t="str">
        <f>IFERROR(__xludf.DUMMYFUNCTION("""COMPUTED_VALUE"""),"Daily")</f>
        <v>Daily</v>
      </c>
      <c r="K340" s="258" t="str">
        <f>IFERROR(__xludf.DUMMYFUNCTION("""COMPUTED_VALUE"""),"")</f>
        <v/>
      </c>
      <c r="L340" s="258" t="str">
        <f>IFERROR(__xludf.DUMMYFUNCTION("""COMPUTED_VALUE"""),"GHP, GHP-PREPAID, TM, PW, GOMO, WIRELINE")</f>
        <v>GHP, GHP-PREPAID, TM, PW, GOMO, WIRELINE</v>
      </c>
      <c r="M340" s="258" t="str">
        <f>IFERROR(__xludf.DUMMYFUNCTION("""COMPUTED_VALUE"""),"Consumer, EG, SG, In house, IBG Traveler")</f>
        <v>Consumer, EG, SG, In house, IBG Traveler</v>
      </c>
      <c r="N340" s="258" t="str">
        <f>IFERROR(__xludf.DUMMYFUNCTION("""COMPUTED_VALUE"""),"usage")</f>
        <v>usage</v>
      </c>
      <c r="O340" s="258" t="str">
        <f>IFERROR(__xludf.DUMMYFUNCTION("""COMPUTED_VALUE"""),"usage_profile")</f>
        <v>usage_profile</v>
      </c>
      <c r="P340" s="258"/>
    </row>
    <row r="341">
      <c r="A341" s="257" t="str">
        <f>IFERROR(__xludf.DUMMYFUNCTION("""COMPUTED_VALUE"""),"availment_data_days_past_90days")</f>
        <v>availment_data_days_past_90days</v>
      </c>
      <c r="B341" s="258" t="str">
        <f>IFERROR(__xludf.DUMMYFUNCTION("""COMPUTED_VALUE"""),"Campaign History")</f>
        <v>Campaign History</v>
      </c>
      <c r="C341" s="258" t="str">
        <f>IFERROR(__xludf.DUMMYFUNCTION("""COMPUTED_VALUE"""),"Non-PII")</f>
        <v>Non-PII</v>
      </c>
      <c r="D341" s="258" t="str">
        <f>IFERROR(__xludf.DUMMYFUNCTION("""COMPUTED_VALUE"""),"Non-PII")</f>
        <v>Non-PII</v>
      </c>
      <c r="E341" s="258" t="str">
        <f>IFERROR(__xludf.DUMMYFUNCTION("""COMPUTED_VALUE"""),"Number days the subscriber is registered to data promo for the past 90 days")</f>
        <v>Number days the subscriber is registered to data promo for the past 90 days</v>
      </c>
      <c r="F341" s="258" t="str">
        <f>IFERROR(__xludf.DUMMYFUNCTION("""COMPUTED_VALUE"""),"Derived")</f>
        <v>Derived</v>
      </c>
      <c r="G341" s="258" t="str">
        <f>IFERROR(__xludf.DUMMYFUNCTION("""COMPUTED_VALUE"""),"integer")</f>
        <v>integer</v>
      </c>
      <c r="H341" s="258">
        <f>IFERROR(__xludf.DUMMYFUNCTION("""COMPUTED_VALUE"""),5.0)</f>
        <v>5</v>
      </c>
      <c r="I341" s="258" t="str">
        <f>IFERROR(__xludf.DUMMYFUNCTION("""COMPUTED_VALUE"""),"FVT CRM Mobile")</f>
        <v>FVT CRM Mobile</v>
      </c>
      <c r="J341" s="258" t="str">
        <f>IFERROR(__xludf.DUMMYFUNCTION("""COMPUTED_VALUE"""),"Daily")</f>
        <v>Daily</v>
      </c>
      <c r="K341" s="258" t="str">
        <f>IFERROR(__xludf.DUMMYFUNCTION("""COMPUTED_VALUE"""),"")</f>
        <v/>
      </c>
      <c r="L341" s="258" t="str">
        <f>IFERROR(__xludf.DUMMYFUNCTION("""COMPUTED_VALUE"""),"GHP-PREPAID, TM, PW")</f>
        <v>GHP-PREPAID, TM, PW</v>
      </c>
      <c r="M341" s="258" t="str">
        <f>IFERROR(__xludf.DUMMYFUNCTION("""COMPUTED_VALUE"""),"Consumer, EG, SG, IBG Traveler")</f>
        <v>Consumer, EG, SG, IBG Traveler</v>
      </c>
      <c r="N341" s="258" t="str">
        <f>IFERROR(__xludf.DUMMYFUNCTION("""COMPUTED_VALUE"""),"availment")</f>
        <v>availment</v>
      </c>
      <c r="O341" s="258" t="str">
        <f>IFERROR(__xludf.DUMMYFUNCTION("""COMPUTED_VALUE"""),"availment_profile")</f>
        <v>availment_profile</v>
      </c>
      <c r="P341" s="258"/>
    </row>
    <row r="342">
      <c r="A342" s="257" t="str">
        <f>IFERROR(__xludf.DUMMYFUNCTION("""COMPUTED_VALUE"""),"inbound_hotline_call_count_past_30days")</f>
        <v>inbound_hotline_call_count_past_30days</v>
      </c>
      <c r="B342" s="258" t="str">
        <f>IFERROR(__xludf.DUMMYFUNCTION("""COMPUTED_VALUE"""),"Behavioral")</f>
        <v>Behavioral</v>
      </c>
      <c r="C342" s="258" t="str">
        <f>IFERROR(__xludf.DUMMYFUNCTION("""COMPUTED_VALUE"""),"Non-PII")</f>
        <v>Non-PII</v>
      </c>
      <c r="D342" s="258" t="str">
        <f>IFERROR(__xludf.DUMMYFUNCTION("""COMPUTED_VALUE"""),"Non-PII")</f>
        <v>Non-PII</v>
      </c>
      <c r="E342" s="258" t="str">
        <f>IFERROR(__xludf.DUMMYFUNCTION("""COMPUTED_VALUE"""),"Number of Inbound Calls received in last 30 Days")</f>
        <v>Number of Inbound Calls received in last 30 Days</v>
      </c>
      <c r="F342" s="258" t="str">
        <f>IFERROR(__xludf.DUMMYFUNCTION("""COMPUTED_VALUE"""),"Derived")</f>
        <v>Derived</v>
      </c>
      <c r="G342" s="258" t="str">
        <f>IFERROR(__xludf.DUMMYFUNCTION("""COMPUTED_VALUE"""),"integer")</f>
        <v>integer</v>
      </c>
      <c r="H342" s="258">
        <f>IFERROR(__xludf.DUMMYFUNCTION("""COMPUTED_VALUE"""),5.0)</f>
        <v>5</v>
      </c>
      <c r="I342" s="258" t="str">
        <f>IFERROR(__xludf.DUMMYFUNCTION("""COMPUTED_VALUE"""),"FVT CRM Mobile")</f>
        <v>FVT CRM Mobile</v>
      </c>
      <c r="J342" s="258" t="str">
        <f>IFERROR(__xludf.DUMMYFUNCTION("""COMPUTED_VALUE"""),"Daily")</f>
        <v>Daily</v>
      </c>
      <c r="K342" s="258" t="str">
        <f>IFERROR(__xludf.DUMMYFUNCTION("""COMPUTED_VALUE"""),"")</f>
        <v/>
      </c>
      <c r="L342" s="258" t="str">
        <f>IFERROR(__xludf.DUMMYFUNCTION("""COMPUTED_VALUE"""),"GHP, GHP-PREPAID, TM, PW, WIRELINE")</f>
        <v>GHP, GHP-PREPAID, TM, PW, WIRELINE</v>
      </c>
      <c r="M342" s="258" t="str">
        <f>IFERROR(__xludf.DUMMYFUNCTION("""COMPUTED_VALUE"""),"Consumer, EG, SG, In house, IBG Traveler")</f>
        <v>Consumer, EG, SG, In house, IBG Traveler</v>
      </c>
      <c r="N342" s="258" t="str">
        <f>IFERROR(__xludf.DUMMYFUNCTION("""COMPUTED_VALUE"""),"customer_service")</f>
        <v>customer_service</v>
      </c>
      <c r="O342" s="258" t="str">
        <f>IFERROR(__xludf.DUMMYFUNCTION("""COMPUTED_VALUE"""),"customer_service_profile")</f>
        <v>customer_service_profile</v>
      </c>
      <c r="P342" s="258"/>
    </row>
    <row r="343">
      <c r="A343" s="257" t="str">
        <f>IFERROR(__xludf.DUMMYFUNCTION("""COMPUTED_VALUE"""),"bb_monthly_content_amount")</f>
        <v>bb_monthly_content_amount</v>
      </c>
      <c r="B343" s="258" t="str">
        <f>IFERROR(__xludf.DUMMYFUNCTION("""COMPUTED_VALUE"""),"Profitability")</f>
        <v>Profitability</v>
      </c>
      <c r="C343" s="258" t="str">
        <f>IFERROR(__xludf.DUMMYFUNCTION("""COMPUTED_VALUE"""),"Non-PII")</f>
        <v>Non-PII</v>
      </c>
      <c r="D343" s="258" t="str">
        <f>IFERROR(__xludf.DUMMYFUNCTION("""COMPUTED_VALUE"""),"Non-PII")</f>
        <v>Non-PII</v>
      </c>
      <c r="E343" s="258" t="str">
        <f>IFERROR(__xludf.DUMMYFUNCTION("""COMPUTED_VALUE"""),"Monthly content amount for broadband subscriptions")</f>
        <v>Monthly content amount for broadband subscriptions</v>
      </c>
      <c r="F343" s="258" t="str">
        <f>IFERROR(__xludf.DUMMYFUNCTION("""COMPUTED_VALUE"""),"Derived")</f>
        <v>Derived</v>
      </c>
      <c r="G343" s="258" t="str">
        <f>IFERROR(__xludf.DUMMYFUNCTION("""COMPUTED_VALUE"""),"numeric(21,2)")</f>
        <v>numeric(21,2)</v>
      </c>
      <c r="H343" s="258">
        <f>IFERROR(__xludf.DUMMYFUNCTION("""COMPUTED_VALUE"""),25.33)</f>
        <v>25.33</v>
      </c>
      <c r="I343" s="258" t="str">
        <f>IFERROR(__xludf.DUMMYFUNCTION("""COMPUTED_VALUE"""),"FVT CRM BB Postpaid")</f>
        <v>FVT CRM BB Postpaid</v>
      </c>
      <c r="J343" s="258" t="str">
        <f>IFERROR(__xludf.DUMMYFUNCTION("""COMPUTED_VALUE"""),"Daily
Monthly")</f>
        <v>Daily
Monthly</v>
      </c>
      <c r="K343" s="258" t="str">
        <f>IFERROR(__xludf.DUMMYFUNCTION("""COMPUTED_VALUE"""),"")</f>
        <v/>
      </c>
      <c r="L343" s="258" t="str">
        <f>IFERROR(__xludf.DUMMYFUNCTION("""COMPUTED_VALUE"""),"GLOBE")</f>
        <v>GLOBE</v>
      </c>
      <c r="M343" s="258" t="str">
        <f>IFERROR(__xludf.DUMMYFUNCTION("""COMPUTED_VALUE"""),"Consumer")</f>
        <v>Consumer</v>
      </c>
      <c r="N343" s="258" t="str">
        <f>IFERROR(__xludf.DUMMYFUNCTION("""COMPUTED_VALUE"""),"availment")</f>
        <v>availment</v>
      </c>
      <c r="O343" s="258" t="str">
        <f>IFERROR(__xludf.DUMMYFUNCTION("""COMPUTED_VALUE"""),"availment_profile")</f>
        <v>availment_profile</v>
      </c>
      <c r="P343" s="258"/>
    </row>
    <row r="344">
      <c r="A344" s="257" t="str">
        <f>IFERROR(__xludf.DUMMYFUNCTION("""COMPUTED_VALUE"""),"reload_days_below_5_balance_past_90days")</f>
        <v>reload_days_below_5_balance_past_90days</v>
      </c>
      <c r="B344" s="258" t="str">
        <f>IFERROR(__xludf.DUMMYFUNCTION("""COMPUTED_VALUE"""),"Behavioral")</f>
        <v>Behavioral</v>
      </c>
      <c r="C344" s="258" t="str">
        <f>IFERROR(__xludf.DUMMYFUNCTION("""COMPUTED_VALUE"""),"Non-PII")</f>
        <v>Non-PII</v>
      </c>
      <c r="D344" s="258" t="str">
        <f>IFERROR(__xludf.DUMMYFUNCTION("""COMPUTED_VALUE"""),"Non-PII")</f>
        <v>Non-PII</v>
      </c>
      <c r="E344" s="258" t="str">
        <f>IFERROR(__xludf.DUMMYFUNCTION("""COMPUTED_VALUE"""),"Number of days when the subscriber's closing load balance amount is less than 5.00 within the last 90 days")</f>
        <v>Number of days when the subscriber's closing load balance amount is less than 5.00 within the last 90 days</v>
      </c>
      <c r="F344" s="258" t="str">
        <f>IFERROR(__xludf.DUMMYFUNCTION("""COMPUTED_VALUE"""),"Derived")</f>
        <v>Derived</v>
      </c>
      <c r="G344" s="258" t="str">
        <f>IFERROR(__xludf.DUMMYFUNCTION("""COMPUTED_VALUE"""),"integer")</f>
        <v>integer</v>
      </c>
      <c r="H344" s="258">
        <f>IFERROR(__xludf.DUMMYFUNCTION("""COMPUTED_VALUE"""),5.0)</f>
        <v>5</v>
      </c>
      <c r="I344" s="258" t="str">
        <f>IFERROR(__xludf.DUMMYFUNCTION("""COMPUTED_VALUE"""),"FVT CRM Mobile")</f>
        <v>FVT CRM Mobile</v>
      </c>
      <c r="J344" s="258" t="str">
        <f>IFERROR(__xludf.DUMMYFUNCTION("""COMPUTED_VALUE"""),"Daily")</f>
        <v>Daily</v>
      </c>
      <c r="K344" s="258" t="str">
        <f>IFERROR(__xludf.DUMMYFUNCTION("""COMPUTED_VALUE"""),"")</f>
        <v/>
      </c>
      <c r="L344" s="258" t="str">
        <f>IFERROR(__xludf.DUMMYFUNCTION("""COMPUTED_VALUE"""),"GHP-PREPAID, TM, PW")</f>
        <v>GHP-PREPAID, TM, PW</v>
      </c>
      <c r="M344" s="258" t="str">
        <f>IFERROR(__xludf.DUMMYFUNCTION("""COMPUTED_VALUE"""),"Consumer, EG, SG, IBG Traveler")</f>
        <v>Consumer, EG, SG, IBG Traveler</v>
      </c>
      <c r="N344" s="258" t="str">
        <f>IFERROR(__xludf.DUMMYFUNCTION("""COMPUTED_VALUE"""),"reload")</f>
        <v>reload</v>
      </c>
      <c r="O344" s="258" t="str">
        <f>IFERROR(__xludf.DUMMYFUNCTION("""COMPUTED_VALUE"""),"reload_profile")</f>
        <v>reload_profile</v>
      </c>
      <c r="P344" s="258"/>
    </row>
    <row r="345">
      <c r="A345" s="257" t="str">
        <f>IFERROR(__xludf.DUMMYFUNCTION("""COMPUTED_VALUE"""),"bb_plan_migration_type_value")</f>
        <v>bb_plan_migration_type_value</v>
      </c>
      <c r="B345" s="258" t="str">
        <f>IFERROR(__xludf.DUMMYFUNCTION("""COMPUTED_VALUE"""),"Globe ID")</f>
        <v>Globe ID</v>
      </c>
      <c r="C345" s="258" t="str">
        <f>IFERROR(__xludf.DUMMYFUNCTION("""COMPUTED_VALUE"""),"Non-PII")</f>
        <v>Non-PII</v>
      </c>
      <c r="D345" s="258" t="str">
        <f>IFERROR(__xludf.DUMMYFUNCTION("""COMPUTED_VALUE"""),"Non-PII")</f>
        <v>Non-PII</v>
      </c>
      <c r="E345" s="258" t="str">
        <f>IFERROR(__xludf.DUMMYFUNCTION("""COMPUTED_VALUE"""),"Classification whether there is a change on the monthly service fee from the previous plan.
  Valid values:
  UPGRADE - increase in MSF
  DOWNGRADE - decrease in MSF
  RETAIN - equal MSF")</f>
        <v>Classification whether there is a change on the monthly service fee from the previous plan.
  Valid values:
  UPGRADE - increase in MSF
  DOWNGRADE - decrease in MSF
  RETAIN - equal MSF</v>
      </c>
      <c r="F345" s="258" t="str">
        <f>IFERROR(__xludf.DUMMYFUNCTION("""COMPUTED_VALUE"""),"Derived")</f>
        <v>Derived</v>
      </c>
      <c r="G345" s="258" t="str">
        <f>IFERROR(__xludf.DUMMYFUNCTION("""COMPUTED_VALUE"""),"varchar(1000)")</f>
        <v>varchar(1000)</v>
      </c>
      <c r="H345" s="258" t="str">
        <f>IFERROR(__xludf.DUMMYFUNCTION("""COMPUTED_VALUE"""),"RETAIN")</f>
        <v>RETAIN</v>
      </c>
      <c r="I345" s="258" t="str">
        <f>IFERROR(__xludf.DUMMYFUNCTION("""COMPUTED_VALUE"""),"FVT CRM BB Postpaid")</f>
        <v>FVT CRM BB Postpaid</v>
      </c>
      <c r="J345" s="258" t="str">
        <f>IFERROR(__xludf.DUMMYFUNCTION("""COMPUTED_VALUE"""),"Daily")</f>
        <v>Daily</v>
      </c>
      <c r="K345" s="258" t="str">
        <f>IFERROR(__xludf.DUMMYFUNCTION("""COMPUTED_VALUE"""),"")</f>
        <v/>
      </c>
      <c r="L345" s="258" t="str">
        <f>IFERROR(__xludf.DUMMYFUNCTION("""COMPUTED_VALUE"""),"GHP, WIRELINE, BAYAN, GLOBE")</f>
        <v>GHP, WIRELINE, BAYAN, GLOBE</v>
      </c>
      <c r="M345" s="258" t="str">
        <f>IFERROR(__xludf.DUMMYFUNCTION("""COMPUTED_VALUE"""),"Consumer, EG, SG, In house")</f>
        <v>Consumer, EG, SG, In house</v>
      </c>
      <c r="N345" s="258" t="str">
        <f>IFERROR(__xludf.DUMMYFUNCTION("""COMPUTED_VALUE"""),"contract")</f>
        <v>contract</v>
      </c>
      <c r="O345" s="258" t="str">
        <f>IFERROR(__xludf.DUMMYFUNCTION("""COMPUTED_VALUE"""),"contract_profile")</f>
        <v>contract_profile</v>
      </c>
      <c r="P345" s="258"/>
    </row>
    <row r="346">
      <c r="A346" s="257" t="str">
        <f>IFERROR(__xludf.DUMMYFUNCTION("""COMPUTED_VALUE"""),"original_activation_date")</f>
        <v>original_activation_date</v>
      </c>
      <c r="B346" s="258" t="str">
        <f>IFERROR(__xludf.DUMMYFUNCTION("""COMPUTED_VALUE"""),"Globe ID")</f>
        <v>Globe ID</v>
      </c>
      <c r="C346" s="258" t="str">
        <f>IFERROR(__xludf.DUMMYFUNCTION("""COMPUTED_VALUE"""),"Non-PII")</f>
        <v>Non-PII</v>
      </c>
      <c r="D346" s="258" t="str">
        <f>IFERROR(__xludf.DUMMYFUNCTION("""COMPUTED_VALUE"""),"Non-PII")</f>
        <v>Non-PII</v>
      </c>
      <c r="E346" s="258" t="str">
        <f>IFERROR(__xludf.DUMMYFUNCTION("""COMPUTED_VALUE"""),"The original activation date of the moved subscriber.")</f>
        <v>The original activation date of the moved subscriber.</v>
      </c>
      <c r="F346" s="258" t="str">
        <f>IFERROR(__xludf.DUMMYFUNCTION("""COMPUTED_VALUE"""),"Direct Pull")</f>
        <v>Direct Pull</v>
      </c>
      <c r="G346" s="258" t="str">
        <f>IFERROR(__xludf.DUMMYFUNCTION("""COMPUTED_VALUE"""),"timestamp")</f>
        <v>timestamp</v>
      </c>
      <c r="H346" s="258">
        <f>IFERROR(__xludf.DUMMYFUNCTION("""COMPUTED_VALUE"""),40131.52979)</f>
        <v>40131.52979</v>
      </c>
      <c r="I346" s="258" t="str">
        <f>IFERROR(__xludf.DUMMYFUNCTION("""COMPUTED_VALUE"""),"FVT CRM MNP")</f>
        <v>FVT CRM MNP</v>
      </c>
      <c r="J346" s="258" t="str">
        <f>IFERROR(__xludf.DUMMYFUNCTION("""COMPUTED_VALUE"""),"Daily")</f>
        <v>Daily</v>
      </c>
      <c r="K346" s="258" t="str">
        <f>IFERROR(__xludf.DUMMYFUNCTION("""COMPUTED_VALUE"""),"")</f>
        <v/>
      </c>
      <c r="L346" s="258" t="str">
        <f>IFERROR(__xludf.DUMMYFUNCTION("""COMPUTED_VALUE"""),"GHP, GHP-PREPAID, TM, PW, WIRELINE, BAYAN, GLOBE")</f>
        <v>GHP, GHP-PREPAID, TM, PW, WIRELINE, BAYAN, GLOBE</v>
      </c>
      <c r="M346" s="258" t="str">
        <f>IFERROR(__xludf.DUMMYFUNCTION("""COMPUTED_VALUE"""),"Consumer, EG, SG, In house, IBG Traveler")</f>
        <v>Consumer, EG, SG, In house, IBG Traveler</v>
      </c>
      <c r="N346" s="258" t="str">
        <f>IFERROR(__xludf.DUMMYFUNCTION("""COMPUTED_VALUE"""),"customer")</f>
        <v>customer</v>
      </c>
      <c r="O346" s="258" t="str">
        <f>IFERROR(__xludf.DUMMYFUNCTION("""COMPUTED_VALUE"""),"customer_profile")</f>
        <v>customer_profile</v>
      </c>
      <c r="P346" s="258"/>
    </row>
    <row r="347">
      <c r="A347" s="257" t="str">
        <f>IFERROR(__xludf.DUMMYFUNCTION("""COMPUTED_VALUE"""),"lifetime_tenure_count")</f>
        <v>lifetime_tenure_count</v>
      </c>
      <c r="B347" s="258" t="str">
        <f>IFERROR(__xludf.DUMMYFUNCTION("""COMPUTED_VALUE"""),"Loyalty &amp; Retention")</f>
        <v>Loyalty &amp; Retention</v>
      </c>
      <c r="C347" s="258" t="str">
        <f>IFERROR(__xludf.DUMMYFUNCTION("""COMPUTED_VALUE"""),"Non-PII")</f>
        <v>Non-PII</v>
      </c>
      <c r="D347" s="258" t="str">
        <f>IFERROR(__xludf.DUMMYFUNCTION("""COMPUTED_VALUE"""),"Non-PII")</f>
        <v>Non-PII</v>
      </c>
      <c r="E347" s="258" t="str">
        <f>IFERROR(__xludf.DUMMYFUNCTION("""COMPUTED_VALUE"""),"Number of years of subscriber's tenure.")</f>
        <v>Number of years of subscriber's tenure.</v>
      </c>
      <c r="F347" s="258" t="str">
        <f>IFERROR(__xludf.DUMMYFUNCTION("""COMPUTED_VALUE"""),"Derived")</f>
        <v>Derived</v>
      </c>
      <c r="G347" s="258" t="str">
        <f>IFERROR(__xludf.DUMMYFUNCTION("""COMPUTED_VALUE"""),"bigint")</f>
        <v>bigint</v>
      </c>
      <c r="H347" s="258">
        <f>IFERROR(__xludf.DUMMYFUNCTION("""COMPUTED_VALUE"""),15.0)</f>
        <v>15</v>
      </c>
      <c r="I347" s="258" t="str">
        <f>IFERROR(__xludf.DUMMYFUNCTION("""COMPUTED_VALUE"""),"FVT CRM HPW/BB")</f>
        <v>FVT CRM HPW/BB</v>
      </c>
      <c r="J347" s="258" t="str">
        <f>IFERROR(__xludf.DUMMYFUNCTION("""COMPUTED_VALUE"""),"Daily")</f>
        <v>Daily</v>
      </c>
      <c r="K347" s="258" t="str">
        <f>IFERROR(__xludf.DUMMYFUNCTION("""COMPUTED_VALUE"""),"")</f>
        <v/>
      </c>
      <c r="L347" s="258" t="str">
        <f>IFERROR(__xludf.DUMMYFUNCTION("""COMPUTED_VALUE"""),"GHP, GHP-PREPAID, TM, PW, WIRELINE, BAYAN, GLOBE")</f>
        <v>GHP, GHP-PREPAID, TM, PW, WIRELINE, BAYAN, GLOBE</v>
      </c>
      <c r="M347" s="258" t="str">
        <f>IFERROR(__xludf.DUMMYFUNCTION("""COMPUTED_VALUE"""),"Consumer, EG, SG, In house, IBG Traveler")</f>
        <v>Consumer, EG, SG, In house, IBG Traveler</v>
      </c>
      <c r="N347" s="258" t="str">
        <f>IFERROR(__xludf.DUMMYFUNCTION("""COMPUTED_VALUE"""),"customer")</f>
        <v>customer</v>
      </c>
      <c r="O347" s="258" t="str">
        <f>IFERROR(__xludf.DUMMYFUNCTION("""COMPUTED_VALUE"""),"customer_profile")</f>
        <v>customer_profile</v>
      </c>
      <c r="P347" s="258"/>
    </row>
    <row r="348">
      <c r="A348" s="257" t="str">
        <f>IFERROR(__xludf.DUMMYFUNCTION("""COMPUTED_VALUE"""),"platinum_subscriber_indicator")</f>
        <v>platinum_subscriber_indicator</v>
      </c>
      <c r="B348" s="258" t="str">
        <f>IFERROR(__xludf.DUMMYFUNCTION("""COMPUTED_VALUE"""),"Behavioral")</f>
        <v>Behavioral</v>
      </c>
      <c r="C348" s="258" t="str">
        <f>IFERROR(__xludf.DUMMYFUNCTION("""COMPUTED_VALUE"""),"Non-PII")</f>
        <v>Non-PII</v>
      </c>
      <c r="D348" s="258" t="str">
        <f>IFERROR(__xludf.DUMMYFUNCTION("""COMPUTED_VALUE"""),"Non-PII")</f>
        <v>Non-PII</v>
      </c>
      <c r="E348" s="258" t="str">
        <f>IFERROR(__xludf.DUMMYFUNCTION("""COMPUTED_VALUE"""),"Indicator whether the subscriber is a platinum subscriber")</f>
        <v>Indicator whether the subscriber is a platinum subscriber</v>
      </c>
      <c r="F348" s="258" t="str">
        <f>IFERROR(__xludf.DUMMYFUNCTION("""COMPUTED_VALUE"""),"Derived")</f>
        <v>Derived</v>
      </c>
      <c r="G348" s="258" t="str">
        <f>IFERROR(__xludf.DUMMYFUNCTION("""COMPUTED_VALUE"""),"boolean")</f>
        <v>boolean</v>
      </c>
      <c r="H348" s="258" t="b">
        <f>IFERROR(__xludf.DUMMYFUNCTION("""COMPUTED_VALUE"""),TRUE)</f>
        <v>1</v>
      </c>
      <c r="I348" s="258" t="str">
        <f>IFERROR(__xludf.DUMMYFUNCTION("""COMPUTED_VALUE"""),"FVT CRM BB Postpaid")</f>
        <v>FVT CRM BB Postpaid</v>
      </c>
      <c r="J348" s="258" t="str">
        <f>IFERROR(__xludf.DUMMYFUNCTION("""COMPUTED_VALUE"""),"Daily")</f>
        <v>Daily</v>
      </c>
      <c r="K348" s="258" t="str">
        <f>IFERROR(__xludf.DUMMYFUNCTION("""COMPUTED_VALUE"""),"")</f>
        <v/>
      </c>
      <c r="L348" s="258" t="str">
        <f>IFERROR(__xludf.DUMMYFUNCTION("""COMPUTED_VALUE"""),"GHP, WIRELINE, BAYAN, GLOBE")</f>
        <v>GHP, WIRELINE, BAYAN, GLOBE</v>
      </c>
      <c r="M348" s="258" t="str">
        <f>IFERROR(__xludf.DUMMYFUNCTION("""COMPUTED_VALUE"""),"Consumer, EG, SG, In house")</f>
        <v>Consumer, EG, SG, In house</v>
      </c>
      <c r="N348" s="258" t="str">
        <f>IFERROR(__xludf.DUMMYFUNCTION("""COMPUTED_VALUE"""),"customer")</f>
        <v>customer</v>
      </c>
      <c r="O348" s="258" t="str">
        <f>IFERROR(__xludf.DUMMYFUNCTION("""COMPUTED_VALUE"""),"customer_profile")</f>
        <v>customer_profile</v>
      </c>
      <c r="P348" s="258"/>
    </row>
    <row r="349">
      <c r="A349" s="257" t="str">
        <f>IFERROR(__xludf.DUMMYFUNCTION("""COMPUTED_VALUE"""),"bb_data_cap_value")</f>
        <v>bb_data_cap_value</v>
      </c>
      <c r="B349" s="258" t="str">
        <f>IFERROR(__xludf.DUMMYFUNCTION("""COMPUTED_VALUE"""),"Globe ID")</f>
        <v>Globe ID</v>
      </c>
      <c r="C349" s="258" t="str">
        <f>IFERROR(__xludf.DUMMYFUNCTION("""COMPUTED_VALUE"""),"Non-PII")</f>
        <v>Non-PII</v>
      </c>
      <c r="D349" s="258" t="str">
        <f>IFERROR(__xludf.DUMMYFUNCTION("""COMPUTED_VALUE"""),"Non-PII")</f>
        <v>Non-PII</v>
      </c>
      <c r="E349" s="258" t="str">
        <f>IFERROR(__xludf.DUMMYFUNCTION("""COMPUTED_VALUE"""),"Data limit of a subscriber")</f>
        <v>Data limit of a subscriber</v>
      </c>
      <c r="F349" s="258" t="str">
        <f>IFERROR(__xludf.DUMMYFUNCTION("""COMPUTED_VALUE"""),"Direct Pull")</f>
        <v>Direct Pull</v>
      </c>
      <c r="G349" s="258" t="str">
        <f>IFERROR(__xludf.DUMMYFUNCTION("""COMPUTED_VALUE"""),"varchar(1000)")</f>
        <v>varchar(1000)</v>
      </c>
      <c r="H349" s="258" t="str">
        <f>IFERROR(__xludf.DUMMYFUNCTION("""COMPUTED_VALUE"""),"40GB")</f>
        <v>40GB</v>
      </c>
      <c r="I349" s="258" t="str">
        <f>IFERROR(__xludf.DUMMYFUNCTION("""COMPUTED_VALUE"""),"FVT CRM BB Postpaid")</f>
        <v>FVT CRM BB Postpaid</v>
      </c>
      <c r="J349" s="258" t="str">
        <f>IFERROR(__xludf.DUMMYFUNCTION("""COMPUTED_VALUE"""),"Daily")</f>
        <v>Daily</v>
      </c>
      <c r="K349" s="258" t="str">
        <f>IFERROR(__xludf.DUMMYFUNCTION("""COMPUTED_VALUE"""),"")</f>
        <v/>
      </c>
      <c r="L349" s="258" t="str">
        <f>IFERROR(__xludf.DUMMYFUNCTION("""COMPUTED_VALUE"""),"WIRELINE, BAYAN, GLOBE")</f>
        <v>WIRELINE, BAYAN, GLOBE</v>
      </c>
      <c r="M349" s="258" t="str">
        <f>IFERROR(__xludf.DUMMYFUNCTION("""COMPUTED_VALUE"""),"Consumer, EG, SG")</f>
        <v>Consumer, EG, SG</v>
      </c>
      <c r="N349" s="258" t="str">
        <f>IFERROR(__xludf.DUMMYFUNCTION("""COMPUTED_VALUE"""),"contract")</f>
        <v>contract</v>
      </c>
      <c r="O349" s="258" t="str">
        <f>IFERROR(__xludf.DUMMYFUNCTION("""COMPUTED_VALUE"""),"contract_profile")</f>
        <v>contract_profile</v>
      </c>
      <c r="P349" s="258"/>
    </row>
    <row r="350">
      <c r="A350" s="257" t="str">
        <f>IFERROR(__xludf.DUMMYFUNCTION("""COMPUTED_VALUE"""),"bb_data_sim_imsi_value")</f>
        <v>bb_data_sim_imsi_value</v>
      </c>
      <c r="B350" s="258" t="str">
        <f>IFERROR(__xludf.DUMMYFUNCTION("""COMPUTED_VALUE"""),"Customer PII - Masked")</f>
        <v>Customer PII - Masked</v>
      </c>
      <c r="C350" s="258" t="str">
        <f>IFERROR(__xludf.DUMMYFUNCTION("""COMPUTED_VALUE"""),"Customer PII - Masked")</f>
        <v>Customer PII - Masked</v>
      </c>
      <c r="D350" s="258" t="str">
        <f>IFERROR(__xludf.DUMMYFUNCTION("""COMPUTED_VALUE"""),"Device")</f>
        <v>Device</v>
      </c>
      <c r="E350" s="258" t="str">
        <f>IFERROR(__xludf.DUMMYFUNCTION("""COMPUTED_VALUE"""),"Unique identifier of the SIM card")</f>
        <v>Unique identifier of the SIM card</v>
      </c>
      <c r="F350" s="258" t="str">
        <f>IFERROR(__xludf.DUMMYFUNCTION("""COMPUTED_VALUE"""),"Direct Pull")</f>
        <v>Direct Pull</v>
      </c>
      <c r="G350" s="258" t="str">
        <f>IFERROR(__xludf.DUMMYFUNCTION("""COMPUTED_VALUE"""),"varchar(1000)")</f>
        <v>varchar(1000)</v>
      </c>
      <c r="H350" s="258">
        <f>IFERROR(__xludf.DUMMYFUNCTION("""COMPUTED_VALUE"""),5.15E14)</f>
        <v>515000000000000</v>
      </c>
      <c r="I350" s="258" t="str">
        <f>IFERROR(__xludf.DUMMYFUNCTION("""COMPUTED_VALUE"""),"FVT CRM BB Postpaid")</f>
        <v>FVT CRM BB Postpaid</v>
      </c>
      <c r="J350" s="258" t="str">
        <f>IFERROR(__xludf.DUMMYFUNCTION("""COMPUTED_VALUE"""),"Daily")</f>
        <v>Daily</v>
      </c>
      <c r="K350" s="258" t="str">
        <f>IFERROR(__xludf.DUMMYFUNCTION("""COMPUTED_VALUE"""),"")</f>
        <v/>
      </c>
      <c r="L350" s="258" t="str">
        <f>IFERROR(__xludf.DUMMYFUNCTION("""COMPUTED_VALUE"""),"BAYAN, GLOBE")</f>
        <v>BAYAN, GLOBE</v>
      </c>
      <c r="M350" s="258" t="str">
        <f>IFERROR(__xludf.DUMMYFUNCTION("""COMPUTED_VALUE"""),"Consumer, EG, SG")</f>
        <v>Consumer, EG, SG</v>
      </c>
      <c r="N350" s="258" t="str">
        <f>IFERROR(__xludf.DUMMYFUNCTION("""COMPUTED_VALUE"""),"contract")</f>
        <v>contract</v>
      </c>
      <c r="O350" s="258" t="str">
        <f>IFERROR(__xludf.DUMMYFUNCTION("""COMPUTED_VALUE"""),"contract_profile")</f>
        <v>contract_profile</v>
      </c>
      <c r="P350" s="258"/>
    </row>
    <row r="351">
      <c r="A351" s="257" t="str">
        <f>IFERROR(__xludf.DUMMYFUNCTION("""COMPUTED_VALUE"""),"bb_installation_barangay_name")</f>
        <v>bb_installation_barangay_name</v>
      </c>
      <c r="B351" s="258" t="str">
        <f>IFERROR(__xludf.DUMMYFUNCTION("""COMPUTED_VALUE"""),"Customer PII")</f>
        <v>Customer PII</v>
      </c>
      <c r="C351" s="258" t="str">
        <f>IFERROR(__xludf.DUMMYFUNCTION("""COMPUTED_VALUE"""),"Non-PII")</f>
        <v>Non-PII</v>
      </c>
      <c r="D351" s="258" t="str">
        <f>IFERROR(__xludf.DUMMYFUNCTION("""COMPUTED_VALUE"""),"Non-PII")</f>
        <v>Non-PII</v>
      </c>
      <c r="E351" s="258" t="str">
        <f>IFERROR(__xludf.DUMMYFUNCTION("""COMPUTED_VALUE"""),"Installation area name")</f>
        <v>Installation area name</v>
      </c>
      <c r="F351" s="258" t="str">
        <f>IFERROR(__xludf.DUMMYFUNCTION("""COMPUTED_VALUE"""),"Direct Pull")</f>
        <v>Direct Pull</v>
      </c>
      <c r="G351" s="258" t="str">
        <f>IFERROR(__xludf.DUMMYFUNCTION("""COMPUTED_VALUE"""),"varchar(1000)")</f>
        <v>varchar(1000)</v>
      </c>
      <c r="H351" s="258" t="str">
        <f>IFERROR(__xludf.DUMMYFUNCTION("""COMPUTED_VALUE"""),"Tandang Sora")</f>
        <v>Tandang Sora</v>
      </c>
      <c r="I351" s="258" t="str">
        <f>IFERROR(__xludf.DUMMYFUNCTION("""COMPUTED_VALUE"""),"FVT CRM BB Postpaid")</f>
        <v>FVT CRM BB Postpaid</v>
      </c>
      <c r="J351" s="258" t="str">
        <f>IFERROR(__xludf.DUMMYFUNCTION("""COMPUTED_VALUE"""),"Daily")</f>
        <v>Daily</v>
      </c>
      <c r="K351" s="258" t="str">
        <f>IFERROR(__xludf.DUMMYFUNCTION("""COMPUTED_VALUE"""),"")</f>
        <v/>
      </c>
      <c r="L351" s="258" t="str">
        <f>IFERROR(__xludf.DUMMYFUNCTION("""COMPUTED_VALUE"""),"WIRELINE, BAYAN, GLOBE")</f>
        <v>WIRELINE, BAYAN, GLOBE</v>
      </c>
      <c r="M351" s="258" t="str">
        <f>IFERROR(__xludf.DUMMYFUNCTION("""COMPUTED_VALUE"""),"Consumer, EG, SG")</f>
        <v>Consumer, EG, SG</v>
      </c>
      <c r="N351" s="258" t="str">
        <f>IFERROR(__xludf.DUMMYFUNCTION("""COMPUTED_VALUE"""),"contract")</f>
        <v>contract</v>
      </c>
      <c r="O351" s="258" t="str">
        <f>IFERROR(__xludf.DUMMYFUNCTION("""COMPUTED_VALUE"""),"contract_profile")</f>
        <v>contract_profile</v>
      </c>
      <c r="P351" s="258"/>
    </row>
    <row r="352">
      <c r="A352" s="257" t="str">
        <f>IFERROR(__xludf.DUMMYFUNCTION("""COMPUTED_VALUE"""),"bb_installation_building_name")</f>
        <v>bb_installation_building_name</v>
      </c>
      <c r="B352" s="258" t="str">
        <f>IFERROR(__xludf.DUMMYFUNCTION("""COMPUTED_VALUE"""),"Customer PII - Masked")</f>
        <v>Customer PII - Masked</v>
      </c>
      <c r="C352" s="258" t="str">
        <f>IFERROR(__xludf.DUMMYFUNCTION("""COMPUTED_VALUE"""),"Customer PII - Masked")</f>
        <v>Customer PII - Masked</v>
      </c>
      <c r="D352" s="258" t="str">
        <f>IFERROR(__xludf.DUMMYFUNCTION("""COMPUTED_VALUE"""),"Confidential")</f>
        <v>Confidential</v>
      </c>
      <c r="E352" s="258" t="str">
        <f>IFERROR(__xludf.DUMMYFUNCTION("""COMPUTED_VALUE"""),"Building name of the installation address")</f>
        <v>Building name of the installation address</v>
      </c>
      <c r="F352" s="258" t="str">
        <f>IFERROR(__xludf.DUMMYFUNCTION("""COMPUTED_VALUE"""),"Direct Pull")</f>
        <v>Direct Pull</v>
      </c>
      <c r="G352" s="258" t="str">
        <f>IFERROR(__xludf.DUMMYFUNCTION("""COMPUTED_VALUE"""),"varchar(1000)")</f>
        <v>varchar(1000)</v>
      </c>
      <c r="H352" s="258" t="str">
        <f>IFERROR(__xludf.DUMMYFUNCTION("""COMPUTED_VALUE"""),"Filinvest East Homes")</f>
        <v>Filinvest East Homes</v>
      </c>
      <c r="I352" s="258" t="str">
        <f>IFERROR(__xludf.DUMMYFUNCTION("""COMPUTED_VALUE"""),"FVT CRM BB Postpaid")</f>
        <v>FVT CRM BB Postpaid</v>
      </c>
      <c r="J352" s="258" t="str">
        <f>IFERROR(__xludf.DUMMYFUNCTION("""COMPUTED_VALUE"""),"Daily")</f>
        <v>Daily</v>
      </c>
      <c r="K352" s="258" t="str">
        <f>IFERROR(__xludf.DUMMYFUNCTION("""COMPUTED_VALUE"""),"")</f>
        <v/>
      </c>
      <c r="L352" s="258" t="str">
        <f>IFERROR(__xludf.DUMMYFUNCTION("""COMPUTED_VALUE"""),"WIRELINE, BAYAN, GLOBE")</f>
        <v>WIRELINE, BAYAN, GLOBE</v>
      </c>
      <c r="M352" s="258" t="str">
        <f>IFERROR(__xludf.DUMMYFUNCTION("""COMPUTED_VALUE"""),"Consumer, EG, SG")</f>
        <v>Consumer, EG, SG</v>
      </c>
      <c r="N352" s="258" t="str">
        <f>IFERROR(__xludf.DUMMYFUNCTION("""COMPUTED_VALUE"""),"contract")</f>
        <v>contract</v>
      </c>
      <c r="O352" s="258" t="str">
        <f>IFERROR(__xludf.DUMMYFUNCTION("""COMPUTED_VALUE"""),"contract_profile")</f>
        <v>contract_profile</v>
      </c>
      <c r="P352" s="258"/>
    </row>
    <row r="353">
      <c r="A353" s="257" t="str">
        <f>IFERROR(__xludf.DUMMYFUNCTION("""COMPUTED_VALUE"""),"bb_installation_city_name")</f>
        <v>bb_installation_city_name</v>
      </c>
      <c r="B353" s="258" t="str">
        <f>IFERROR(__xludf.DUMMYFUNCTION("""COMPUTED_VALUE"""),"Customer PII")</f>
        <v>Customer PII</v>
      </c>
      <c r="C353" s="258" t="str">
        <f>IFERROR(__xludf.DUMMYFUNCTION("""COMPUTED_VALUE"""),"Non-PII")</f>
        <v>Non-PII</v>
      </c>
      <c r="D353" s="258" t="str">
        <f>IFERROR(__xludf.DUMMYFUNCTION("""COMPUTED_VALUE"""),"Non-PII")</f>
        <v>Non-PII</v>
      </c>
      <c r="E353" s="258" t="str">
        <f>IFERROR(__xludf.DUMMYFUNCTION("""COMPUTED_VALUE"""),"City name of the installation address")</f>
        <v>City name of the installation address</v>
      </c>
      <c r="F353" s="258" t="str">
        <f>IFERROR(__xludf.DUMMYFUNCTION("""COMPUTED_VALUE"""),"Direct Pull")</f>
        <v>Direct Pull</v>
      </c>
      <c r="G353" s="258" t="str">
        <f>IFERROR(__xludf.DUMMYFUNCTION("""COMPUTED_VALUE"""),"varchar(1000)")</f>
        <v>varchar(1000)</v>
      </c>
      <c r="H353" s="258" t="str">
        <f>IFERROR(__xludf.DUMMYFUNCTION("""COMPUTED_VALUE"""),"Cainta")</f>
        <v>Cainta</v>
      </c>
      <c r="I353" s="258" t="str">
        <f>IFERROR(__xludf.DUMMYFUNCTION("""COMPUTED_VALUE"""),"FVT CRM BB Postpaid")</f>
        <v>FVT CRM BB Postpaid</v>
      </c>
      <c r="J353" s="258" t="str">
        <f>IFERROR(__xludf.DUMMYFUNCTION("""COMPUTED_VALUE"""),"Daily")</f>
        <v>Daily</v>
      </c>
      <c r="K353" s="258" t="str">
        <f>IFERROR(__xludf.DUMMYFUNCTION("""COMPUTED_VALUE"""),"")</f>
        <v/>
      </c>
      <c r="L353" s="258" t="str">
        <f>IFERROR(__xludf.DUMMYFUNCTION("""COMPUTED_VALUE"""),"WIRELINE, BAYAN, GLOBE")</f>
        <v>WIRELINE, BAYAN, GLOBE</v>
      </c>
      <c r="M353" s="258" t="str">
        <f>IFERROR(__xludf.DUMMYFUNCTION("""COMPUTED_VALUE"""),"Consumer, EG, SG")</f>
        <v>Consumer, EG, SG</v>
      </c>
      <c r="N353" s="258" t="str">
        <f>IFERROR(__xludf.DUMMYFUNCTION("""COMPUTED_VALUE"""),"contract")</f>
        <v>contract</v>
      </c>
      <c r="O353" s="258" t="str">
        <f>IFERROR(__xludf.DUMMYFUNCTION("""COMPUTED_VALUE"""),"contract_profile")</f>
        <v>contract_profile</v>
      </c>
      <c r="P353" s="258"/>
    </row>
    <row r="354">
      <c r="A354" s="257" t="str">
        <f>IFERROR(__xludf.DUMMYFUNCTION("""COMPUTED_VALUE"""),"bb_installation_house_number")</f>
        <v>bb_installation_house_number</v>
      </c>
      <c r="B354" s="258" t="str">
        <f>IFERROR(__xludf.DUMMYFUNCTION("""COMPUTED_VALUE"""),"Customer PII - Masked")</f>
        <v>Customer PII - Masked</v>
      </c>
      <c r="C354" s="258" t="str">
        <f>IFERROR(__xludf.DUMMYFUNCTION("""COMPUTED_VALUE"""),"Customer PII - Masked")</f>
        <v>Customer PII - Masked</v>
      </c>
      <c r="D354" s="258" t="str">
        <f>IFERROR(__xludf.DUMMYFUNCTION("""COMPUTED_VALUE"""),"Confidential")</f>
        <v>Confidential</v>
      </c>
      <c r="E354" s="258" t="str">
        <f>IFERROR(__xludf.DUMMYFUNCTION("""COMPUTED_VALUE"""),"House number of the installation address")</f>
        <v>House number of the installation address</v>
      </c>
      <c r="F354" s="258" t="str">
        <f>IFERROR(__xludf.DUMMYFUNCTION("""COMPUTED_VALUE"""),"Direct Pull")</f>
        <v>Direct Pull</v>
      </c>
      <c r="G354" s="258" t="str">
        <f>IFERROR(__xludf.DUMMYFUNCTION("""COMPUTED_VALUE"""),"varchar(1000)")</f>
        <v>varchar(1000)</v>
      </c>
      <c r="H354" s="258" t="str">
        <f>IFERROR(__xludf.DUMMYFUNCTION("""COMPUTED_VALUE"""),"B1 L10 #10")</f>
        <v>B1 L10 #10</v>
      </c>
      <c r="I354" s="258" t="str">
        <f>IFERROR(__xludf.DUMMYFUNCTION("""COMPUTED_VALUE"""),"FVT CRM BB Postpaid")</f>
        <v>FVT CRM BB Postpaid</v>
      </c>
      <c r="J354" s="258" t="str">
        <f>IFERROR(__xludf.DUMMYFUNCTION("""COMPUTED_VALUE"""),"Daily")</f>
        <v>Daily</v>
      </c>
      <c r="K354" s="258" t="str">
        <f>IFERROR(__xludf.DUMMYFUNCTION("""COMPUTED_VALUE"""),"")</f>
        <v/>
      </c>
      <c r="L354" s="258" t="str">
        <f>IFERROR(__xludf.DUMMYFUNCTION("""COMPUTED_VALUE"""),"WIRELINE, BAYAN, GLOBE")</f>
        <v>WIRELINE, BAYAN, GLOBE</v>
      </c>
      <c r="M354" s="258" t="str">
        <f>IFERROR(__xludf.DUMMYFUNCTION("""COMPUTED_VALUE"""),"Consumer, EG, SG")</f>
        <v>Consumer, EG, SG</v>
      </c>
      <c r="N354" s="258" t="str">
        <f>IFERROR(__xludf.DUMMYFUNCTION("""COMPUTED_VALUE"""),"contract")</f>
        <v>contract</v>
      </c>
      <c r="O354" s="258" t="str">
        <f>IFERROR(__xludf.DUMMYFUNCTION("""COMPUTED_VALUE"""),"contract_profile")</f>
        <v>contract_profile</v>
      </c>
      <c r="P354" s="258"/>
    </row>
    <row r="355">
      <c r="A355" s="257" t="str">
        <f>IFERROR(__xludf.DUMMYFUNCTION("""COMPUTED_VALUE"""),"bb_installation_postal_code")</f>
        <v>bb_installation_postal_code</v>
      </c>
      <c r="B355" s="258" t="str">
        <f>IFERROR(__xludf.DUMMYFUNCTION("""COMPUTED_VALUE"""),"Customer PII")</f>
        <v>Customer PII</v>
      </c>
      <c r="C355" s="258" t="str">
        <f>IFERROR(__xludf.DUMMYFUNCTION("""COMPUTED_VALUE"""),"Non-PII")</f>
        <v>Non-PII</v>
      </c>
      <c r="D355" s="258" t="str">
        <f>IFERROR(__xludf.DUMMYFUNCTION("""COMPUTED_VALUE"""),"Non-PII")</f>
        <v>Non-PII</v>
      </c>
      <c r="E355" s="258" t="str">
        <f>IFERROR(__xludf.DUMMYFUNCTION("""COMPUTED_VALUE"""),"The zip or other postal code for the specified address")</f>
        <v>The zip or other postal code for the specified address</v>
      </c>
      <c r="F355" s="258" t="str">
        <f>IFERROR(__xludf.DUMMYFUNCTION("""COMPUTED_VALUE"""),"Direct Pull")</f>
        <v>Direct Pull</v>
      </c>
      <c r="G355" s="258" t="str">
        <f>IFERROR(__xludf.DUMMYFUNCTION("""COMPUTED_VALUE"""),"varchar(1000)")</f>
        <v>varchar(1000)</v>
      </c>
      <c r="H355" s="258">
        <f>IFERROR(__xludf.DUMMYFUNCTION("""COMPUTED_VALUE"""),1200.0)</f>
        <v>1200</v>
      </c>
      <c r="I355" s="258" t="str">
        <f>IFERROR(__xludf.DUMMYFUNCTION("""COMPUTED_VALUE"""),"FVT CRM BB Postpaid")</f>
        <v>FVT CRM BB Postpaid</v>
      </c>
      <c r="J355" s="258" t="str">
        <f>IFERROR(__xludf.DUMMYFUNCTION("""COMPUTED_VALUE"""),"Daily")</f>
        <v>Daily</v>
      </c>
      <c r="K355" s="258" t="str">
        <f>IFERROR(__xludf.DUMMYFUNCTION("""COMPUTED_VALUE"""),"")</f>
        <v/>
      </c>
      <c r="L355" s="258" t="str">
        <f>IFERROR(__xludf.DUMMYFUNCTION("""COMPUTED_VALUE"""),"WIRELINE, BAYAN, GLOBE")</f>
        <v>WIRELINE, BAYAN, GLOBE</v>
      </c>
      <c r="M355" s="258" t="str">
        <f>IFERROR(__xludf.DUMMYFUNCTION("""COMPUTED_VALUE"""),"Consumer, EG, SG")</f>
        <v>Consumer, EG, SG</v>
      </c>
      <c r="N355" s="258" t="str">
        <f>IFERROR(__xludf.DUMMYFUNCTION("""COMPUTED_VALUE"""),"contract")</f>
        <v>contract</v>
      </c>
      <c r="O355" s="258" t="str">
        <f>IFERROR(__xludf.DUMMYFUNCTION("""COMPUTED_VALUE"""),"contract_profile")</f>
        <v>contract_profile</v>
      </c>
      <c r="P355" s="258"/>
    </row>
    <row r="356">
      <c r="A356" s="257" t="str">
        <f>IFERROR(__xludf.DUMMYFUNCTION("""COMPUTED_VALUE"""),"bb_installation_street_name")</f>
        <v>bb_installation_street_name</v>
      </c>
      <c r="B356" s="258" t="str">
        <f>IFERROR(__xludf.DUMMYFUNCTION("""COMPUTED_VALUE"""),"Customer PII - Masked")</f>
        <v>Customer PII - Masked</v>
      </c>
      <c r="C356" s="258" t="str">
        <f>IFERROR(__xludf.DUMMYFUNCTION("""COMPUTED_VALUE"""),"Customer PII - Masked")</f>
        <v>Customer PII - Masked</v>
      </c>
      <c r="D356" s="258" t="str">
        <f>IFERROR(__xludf.DUMMYFUNCTION("""COMPUTED_VALUE"""),"Confidential")</f>
        <v>Confidential</v>
      </c>
      <c r="E356" s="258" t="str">
        <f>IFERROR(__xludf.DUMMYFUNCTION("""COMPUTED_VALUE"""),"Installation street name")</f>
        <v>Installation street name</v>
      </c>
      <c r="F356" s="258" t="str">
        <f>IFERROR(__xludf.DUMMYFUNCTION("""COMPUTED_VALUE"""),"Direct Pull")</f>
        <v>Direct Pull</v>
      </c>
      <c r="G356" s="258" t="str">
        <f>IFERROR(__xludf.DUMMYFUNCTION("""COMPUTED_VALUE"""),"varchar(1000)")</f>
        <v>varchar(1000)</v>
      </c>
      <c r="H356" s="258" t="str">
        <f>IFERROR(__xludf.DUMMYFUNCTION("""COMPUTED_VALUE"""),"Phoenix West Fairview Villa Orion")</f>
        <v>Phoenix West Fairview Villa Orion</v>
      </c>
      <c r="I356" s="258" t="str">
        <f>IFERROR(__xludf.DUMMYFUNCTION("""COMPUTED_VALUE"""),"FVT CRM BB Postpaid")</f>
        <v>FVT CRM BB Postpaid</v>
      </c>
      <c r="J356" s="258" t="str">
        <f>IFERROR(__xludf.DUMMYFUNCTION("""COMPUTED_VALUE"""),"Daily")</f>
        <v>Daily</v>
      </c>
      <c r="K356" s="258" t="str">
        <f>IFERROR(__xludf.DUMMYFUNCTION("""COMPUTED_VALUE"""),"")</f>
        <v/>
      </c>
      <c r="L356" s="258" t="str">
        <f>IFERROR(__xludf.DUMMYFUNCTION("""COMPUTED_VALUE"""),"WIRELINE, BAYAN, GLOBE")</f>
        <v>WIRELINE, BAYAN, GLOBE</v>
      </c>
      <c r="M356" s="258" t="str">
        <f>IFERROR(__xludf.DUMMYFUNCTION("""COMPUTED_VALUE"""),"Consumer, EG, SG")</f>
        <v>Consumer, EG, SG</v>
      </c>
      <c r="N356" s="258" t="str">
        <f>IFERROR(__xludf.DUMMYFUNCTION("""COMPUTED_VALUE"""),"contract")</f>
        <v>contract</v>
      </c>
      <c r="O356" s="258" t="str">
        <f>IFERROR(__xludf.DUMMYFUNCTION("""COMPUTED_VALUE"""),"contract_profile")</f>
        <v>contract_profile</v>
      </c>
      <c r="P356" s="258"/>
    </row>
    <row r="357">
      <c r="A357" s="257" t="str">
        <f>IFERROR(__xludf.DUMMYFUNCTION("""COMPUTED_VALUE"""),"bb_installation_province_name")</f>
        <v>bb_installation_province_name</v>
      </c>
      <c r="B357" s="258" t="str">
        <f>IFERROR(__xludf.DUMMYFUNCTION("""COMPUTED_VALUE"""),"Customer PII")</f>
        <v>Customer PII</v>
      </c>
      <c r="C357" s="258" t="str">
        <f>IFERROR(__xludf.DUMMYFUNCTION("""COMPUTED_VALUE"""),"Non-PII")</f>
        <v>Non-PII</v>
      </c>
      <c r="D357" s="258" t="str">
        <f>IFERROR(__xludf.DUMMYFUNCTION("""COMPUTED_VALUE"""),"Non-PII")</f>
        <v>Non-PII</v>
      </c>
      <c r="E357" s="258" t="str">
        <f>IFERROR(__xludf.DUMMYFUNCTION("""COMPUTED_VALUE"""),"Installation province name")</f>
        <v>Installation province name</v>
      </c>
      <c r="F357" s="258" t="str">
        <f>IFERROR(__xludf.DUMMYFUNCTION("""COMPUTED_VALUE"""),"Direct Pull")</f>
        <v>Direct Pull</v>
      </c>
      <c r="G357" s="258" t="str">
        <f>IFERROR(__xludf.DUMMYFUNCTION("""COMPUTED_VALUE"""),"varchar(1000)")</f>
        <v>varchar(1000)</v>
      </c>
      <c r="H357" s="258" t="str">
        <f>IFERROR(__xludf.DUMMYFUNCTION("""COMPUTED_VALUE"""),"Metro Manila")</f>
        <v>Metro Manila</v>
      </c>
      <c r="I357" s="258" t="str">
        <f>IFERROR(__xludf.DUMMYFUNCTION("""COMPUTED_VALUE"""),"FVT CRM BB Postpaid")</f>
        <v>FVT CRM BB Postpaid</v>
      </c>
      <c r="J357" s="258" t="str">
        <f>IFERROR(__xludf.DUMMYFUNCTION("""COMPUTED_VALUE"""),"Daily")</f>
        <v>Daily</v>
      </c>
      <c r="K357" s="258" t="str">
        <f>IFERROR(__xludf.DUMMYFUNCTION("""COMPUTED_VALUE"""),"")</f>
        <v/>
      </c>
      <c r="L357" s="258" t="str">
        <f>IFERROR(__xludf.DUMMYFUNCTION("""COMPUTED_VALUE"""),"WIRELINE, BAYAN, GLOBE")</f>
        <v>WIRELINE, BAYAN, GLOBE</v>
      </c>
      <c r="M357" s="258" t="str">
        <f>IFERROR(__xludf.DUMMYFUNCTION("""COMPUTED_VALUE"""),"Consumer, EG, SG")</f>
        <v>Consumer, EG, SG</v>
      </c>
      <c r="N357" s="258" t="str">
        <f>IFERROR(__xludf.DUMMYFUNCTION("""COMPUTED_VALUE"""),"contract")</f>
        <v>contract</v>
      </c>
      <c r="O357" s="258" t="str">
        <f>IFERROR(__xludf.DUMMYFUNCTION("""COMPUTED_VALUE"""),"contract_profile")</f>
        <v>contract_profile</v>
      </c>
      <c r="P357" s="258"/>
    </row>
    <row r="358">
      <c r="A358" s="257" t="str">
        <f>IFERROR(__xludf.DUMMYFUNCTION("""COMPUTED_VALUE"""),"bb_data_cap_freq_refresh_value")</f>
        <v>bb_data_cap_freq_refresh_value</v>
      </c>
      <c r="B358" s="258" t="str">
        <f>IFERROR(__xludf.DUMMYFUNCTION("""COMPUTED_VALUE"""),"Globe ID")</f>
        <v>Globe ID</v>
      </c>
      <c r="C358" s="258" t="str">
        <f>IFERROR(__xludf.DUMMYFUNCTION("""COMPUTED_VALUE"""),"Non-PII")</f>
        <v>Non-PII</v>
      </c>
      <c r="D358" s="258" t="str">
        <f>IFERROR(__xludf.DUMMYFUNCTION("""COMPUTED_VALUE"""),"Non-PII")</f>
        <v>Non-PII</v>
      </c>
      <c r="E358" s="258" t="str">
        <f>IFERROR(__xludf.DUMMYFUNCTION("""COMPUTED_VALUE"""),"Schedule of refresh for data capping (i.e. Monthly, Daily)")</f>
        <v>Schedule of refresh for data capping (i.e. Monthly, Daily)</v>
      </c>
      <c r="F358" s="258" t="str">
        <f>IFERROR(__xludf.DUMMYFUNCTION("""COMPUTED_VALUE"""),"Derived")</f>
        <v>Derived</v>
      </c>
      <c r="G358" s="258" t="str">
        <f>IFERROR(__xludf.DUMMYFUNCTION("""COMPUTED_VALUE"""),"varchar(1000)")</f>
        <v>varchar(1000)</v>
      </c>
      <c r="H358" s="258" t="str">
        <f>IFERROR(__xludf.DUMMYFUNCTION("""COMPUTED_VALUE"""),"Monthly")</f>
        <v>Monthly</v>
      </c>
      <c r="I358" s="258" t="str">
        <f>IFERROR(__xludf.DUMMYFUNCTION("""COMPUTED_VALUE"""),"FVT CRM BB Postpaid")</f>
        <v>FVT CRM BB Postpaid</v>
      </c>
      <c r="J358" s="258" t="str">
        <f>IFERROR(__xludf.DUMMYFUNCTION("""COMPUTED_VALUE"""),"Daily")</f>
        <v>Daily</v>
      </c>
      <c r="K358" s="258" t="str">
        <f>IFERROR(__xludf.DUMMYFUNCTION("""COMPUTED_VALUE"""),"")</f>
        <v/>
      </c>
      <c r="L358" s="258" t="str">
        <f>IFERROR(__xludf.DUMMYFUNCTION("""COMPUTED_VALUE"""),"WIRELINE, BAYAN, GLOBE")</f>
        <v>WIRELINE, BAYAN, GLOBE</v>
      </c>
      <c r="M358" s="258" t="str">
        <f>IFERROR(__xludf.DUMMYFUNCTION("""COMPUTED_VALUE"""),"Consumer, EG, SG")</f>
        <v>Consumer, EG, SG</v>
      </c>
      <c r="N358" s="258" t="str">
        <f>IFERROR(__xludf.DUMMYFUNCTION("""COMPUTED_VALUE"""),"contract")</f>
        <v>contract</v>
      </c>
      <c r="O358" s="258" t="str">
        <f>IFERROR(__xludf.DUMMYFUNCTION("""COMPUTED_VALUE"""),"contract_profile")</f>
        <v>contract_profile</v>
      </c>
      <c r="P358" s="258"/>
    </row>
    <row r="359">
      <c r="A359" s="257" t="str">
        <f>IFERROR(__xludf.DUMMYFUNCTION("""COMPUTED_VALUE"""),"bb_plan_type_value")</f>
        <v>bb_plan_type_value</v>
      </c>
      <c r="B359" s="258" t="str">
        <f>IFERROR(__xludf.DUMMYFUNCTION("""COMPUTED_VALUE"""),"Globe ID")</f>
        <v>Globe ID</v>
      </c>
      <c r="C359" s="258" t="str">
        <f>IFERROR(__xludf.DUMMYFUNCTION("""COMPUTED_VALUE"""),"Non-PII")</f>
        <v>Non-PII</v>
      </c>
      <c r="D359" s="258" t="str">
        <f>IFERROR(__xludf.DUMMYFUNCTION("""COMPUTED_VALUE"""),"Non-PII")</f>
        <v>Non-PII</v>
      </c>
      <c r="E359" s="258" t="str">
        <f>IFERROR(__xludf.DUMMYFUNCTION("""COMPUTED_VALUE"""),"The type of product availed by the subscriber --
  Valid values:
  Bundle
  DataOnlyPlan
  VoiceOnlyPlan")</f>
        <v>The type of product availed by the subscriber --
  Valid values:
  Bundle
  DataOnlyPlan
  VoiceOnlyPlan</v>
      </c>
      <c r="F359" s="258" t="str">
        <f>IFERROR(__xludf.DUMMYFUNCTION("""COMPUTED_VALUE"""),"Derived")</f>
        <v>Derived</v>
      </c>
      <c r="G359" s="258" t="str">
        <f>IFERROR(__xludf.DUMMYFUNCTION("""COMPUTED_VALUE"""),"varchar(1000)")</f>
        <v>varchar(1000)</v>
      </c>
      <c r="H359" s="258" t="str">
        <f>IFERROR(__xludf.DUMMYFUNCTION("""COMPUTED_VALUE"""),"Bundle")</f>
        <v>Bundle</v>
      </c>
      <c r="I359" s="258" t="str">
        <f>IFERROR(__xludf.DUMMYFUNCTION("""COMPUTED_VALUE"""),"FVT CRM BB Postpaid")</f>
        <v>FVT CRM BB Postpaid</v>
      </c>
      <c r="J359" s="258" t="str">
        <f>IFERROR(__xludf.DUMMYFUNCTION("""COMPUTED_VALUE"""),"Daily")</f>
        <v>Daily</v>
      </c>
      <c r="K359" s="258" t="str">
        <f>IFERROR(__xludf.DUMMYFUNCTION("""COMPUTED_VALUE"""),"")</f>
        <v/>
      </c>
      <c r="L359" s="258" t="str">
        <f>IFERROR(__xludf.DUMMYFUNCTION("""COMPUTED_VALUE"""),"WIRELINE, BAYAN, GLOBE")</f>
        <v>WIRELINE, BAYAN, GLOBE</v>
      </c>
      <c r="M359" s="258" t="str">
        <f>IFERROR(__xludf.DUMMYFUNCTION("""COMPUTED_VALUE"""),"Consumer, EG, SG")</f>
        <v>Consumer, EG, SG</v>
      </c>
      <c r="N359" s="258" t="str">
        <f>IFERROR(__xludf.DUMMYFUNCTION("""COMPUTED_VALUE"""),"contract")</f>
        <v>contract</v>
      </c>
      <c r="O359" s="258" t="str">
        <f>IFERROR(__xludf.DUMMYFUNCTION("""COMPUTED_VALUE"""),"contract_profile")</f>
        <v>contract_profile</v>
      </c>
      <c r="P359" s="258"/>
    </row>
    <row r="360">
      <c r="A360" s="257" t="str">
        <f>IFERROR(__xludf.DUMMYFUNCTION("""COMPUTED_VALUE"""),"subscriber_contact_landline_value")</f>
        <v>subscriber_contact_landline_value</v>
      </c>
      <c r="B360" s="258" t="str">
        <f>IFERROR(__xludf.DUMMYFUNCTION("""COMPUTED_VALUE"""),"Customer PII - Masked")</f>
        <v>Customer PII - Masked</v>
      </c>
      <c r="C360" s="258" t="str">
        <f>IFERROR(__xludf.DUMMYFUNCTION("""COMPUTED_VALUE"""),"Customer PII - Masked")</f>
        <v>Customer PII - Masked</v>
      </c>
      <c r="D360" s="258" t="str">
        <f>IFERROR(__xludf.DUMMYFUNCTION("""COMPUTED_VALUE"""),"Contact")</f>
        <v>Contact</v>
      </c>
      <c r="E360" s="258" t="str">
        <f>IFERROR(__xludf.DUMMYFUNCTION("""COMPUTED_VALUE"""),"Telephone number of the customer")</f>
        <v>Telephone number of the customer</v>
      </c>
      <c r="F360" s="258" t="str">
        <f>IFERROR(__xludf.DUMMYFUNCTION("""COMPUTED_VALUE"""),"Derived")</f>
        <v>Derived</v>
      </c>
      <c r="G360" s="258" t="str">
        <f>IFERROR(__xludf.DUMMYFUNCTION("""COMPUTED_VALUE"""),"varchar(1000)")</f>
        <v>varchar(1000)</v>
      </c>
      <c r="H360" s="258">
        <f>IFERROR(__xludf.DUMMYFUNCTION("""COMPUTED_VALUE"""),9.12E9)</f>
        <v>9120000000</v>
      </c>
      <c r="I360" s="258" t="str">
        <f>IFERROR(__xludf.DUMMYFUNCTION("""COMPUTED_VALUE"""),"FVT CRM BB Postpaid")</f>
        <v>FVT CRM BB Postpaid</v>
      </c>
      <c r="J360" s="258" t="str">
        <f>IFERROR(__xludf.DUMMYFUNCTION("""COMPUTED_VALUE"""),"Daily")</f>
        <v>Daily</v>
      </c>
      <c r="K360" s="258" t="str">
        <f>IFERROR(__xludf.DUMMYFUNCTION("""COMPUTED_VALUE"""),"")</f>
        <v/>
      </c>
      <c r="L360" s="258" t="str">
        <f>IFERROR(__xludf.DUMMYFUNCTION("""COMPUTED_VALUE"""),"GHP, GHP-PREPAID, TM, PW, WIRELINE, BAYAN, GLOBE")</f>
        <v>GHP, GHP-PREPAID, TM, PW, WIRELINE, BAYAN, GLOBE</v>
      </c>
      <c r="M360" s="258" t="str">
        <f>IFERROR(__xludf.DUMMYFUNCTION("""COMPUTED_VALUE"""),"Consumer, EG, SG, In house, IBG Traveler")</f>
        <v>Consumer, EG, SG, In house, IBG Traveler</v>
      </c>
      <c r="N360" s="258" t="str">
        <f>IFERROR(__xludf.DUMMYFUNCTION("""COMPUTED_VALUE"""),"customer")</f>
        <v>customer</v>
      </c>
      <c r="O360" s="258" t="str">
        <f>IFERROR(__xludf.DUMMYFUNCTION("""COMPUTED_VALUE"""),"customer_profile")</f>
        <v>customer_profile</v>
      </c>
      <c r="P360" s="258"/>
    </row>
    <row r="361">
      <c r="A361" s="257" t="str">
        <f>IFERROR(__xludf.DUMMYFUNCTION("""COMPUTED_VALUE"""),"spending_segment")</f>
        <v>spending_segment</v>
      </c>
      <c r="B361" s="258" t="str">
        <f>IFERROR(__xludf.DUMMYFUNCTION("""COMPUTED_VALUE"""),"Audience/Persona")</f>
        <v>Audience/Persona</v>
      </c>
      <c r="C361" s="258" t="str">
        <f>IFERROR(__xludf.DUMMYFUNCTION("""COMPUTED_VALUE"""),"Non-PII")</f>
        <v>Non-PII</v>
      </c>
      <c r="D361" s="258" t="str">
        <f>IFERROR(__xludf.DUMMYFUNCTION("""COMPUTED_VALUE"""),"Non-PII")</f>
        <v>Non-PII</v>
      </c>
      <c r="E361" s="258" t="str">
        <f>IFERROR(__xludf.DUMMYFUNCTION("""COMPUTED_VALUE"""),"Spending behavior of a subscriber
  GHP:
  HIGH ROLLER
  FRUGAL SPENDER
  RURAL SAVER
  YOLO
  GHP-Prepaid:
  HIGH ROLLER
  FRUGAL SPENDER
  SPEND TO CONNECT
  PAY PER USE
  TM:
  HIGH ROLLER
  FRUGAL SPENDER
  SPEND TO CONNECT
  LIGHT SPENDER")</f>
        <v>Spending behavior of a subscriber
  GHP:
  HIGH ROLLER
  FRUGAL SPENDER
  RURAL SAVER
  YOLO
  GHP-Prepaid:
  HIGH ROLLER
  FRUGAL SPENDER
  SPEND TO CONNECT
  PAY PER USE
  TM:
  HIGH ROLLER
  FRUGAL SPENDER
  SPEND TO CONNECT
  LIGHT SPENDER</v>
      </c>
      <c r="F361" s="258" t="str">
        <f>IFERROR(__xludf.DUMMYFUNCTION("""COMPUTED_VALUE"""),"Inferred")</f>
        <v>Inferred</v>
      </c>
      <c r="G361" s="258" t="str">
        <f>IFERROR(__xludf.DUMMYFUNCTION("""COMPUTED_VALUE"""),"varchar(1000)")</f>
        <v>varchar(1000)</v>
      </c>
      <c r="H361" s="258" t="str">
        <f>IFERROR(__xludf.DUMMYFUNCTION("""COMPUTED_VALUE"""),"HIGH ROLLER")</f>
        <v>HIGH ROLLER</v>
      </c>
      <c r="I361" s="258" t="str">
        <f>IFERROR(__xludf.DUMMYFUNCTION("""COMPUTED_VALUE"""),"EDO-AA")</f>
        <v>EDO-AA</v>
      </c>
      <c r="J361" s="258" t="str">
        <f>IFERROR(__xludf.DUMMYFUNCTION("""COMPUTED_VALUE"""),"Monthly")</f>
        <v>Monthly</v>
      </c>
      <c r="K361" s="258" t="str">
        <f>IFERROR(__xludf.DUMMYFUNCTION("""COMPUTED_VALUE"""),"")</f>
        <v/>
      </c>
      <c r="L361" s="258" t="str">
        <f>IFERROR(__xludf.DUMMYFUNCTION("""COMPUTED_VALUE"""),"GHP, GHP-PREPAID, TM")</f>
        <v>GHP, GHP-PREPAID, TM</v>
      </c>
      <c r="M361" s="258" t="str">
        <f>IFERROR(__xludf.DUMMYFUNCTION("""COMPUTED_VALUE"""),"Consumer")</f>
        <v>Consumer</v>
      </c>
      <c r="N361" s="258" t="str">
        <f>IFERROR(__xludf.DUMMYFUNCTION("""COMPUTED_VALUE"""),"revenue")</f>
        <v>revenue</v>
      </c>
      <c r="O361" s="258" t="str">
        <f>IFERROR(__xludf.DUMMYFUNCTION("""COMPUTED_VALUE"""),"revenue_profile")</f>
        <v>revenue_profile</v>
      </c>
      <c r="P361" s="258"/>
    </row>
    <row r="362">
      <c r="A362" s="257" t="str">
        <f>IFERROR(__xludf.DUMMYFUNCTION("""COMPUTED_VALUE"""),"spending_by_brand_bucket")</f>
        <v>spending_by_brand_bucket</v>
      </c>
      <c r="B362" s="258" t="str">
        <f>IFERROR(__xludf.DUMMYFUNCTION("""COMPUTED_VALUE"""),"Audience/Persona")</f>
        <v>Audience/Persona</v>
      </c>
      <c r="C362" s="258" t="str">
        <f>IFERROR(__xludf.DUMMYFUNCTION("""COMPUTED_VALUE"""),"Non-PII")</f>
        <v>Non-PII</v>
      </c>
      <c r="D362" s="258" t="str">
        <f>IFERROR(__xludf.DUMMYFUNCTION("""COMPUTED_VALUE"""),"Non-PII")</f>
        <v>Non-PII</v>
      </c>
      <c r="E362" s="258" t="str">
        <f>IFERROR(__xludf.DUMMYFUNCTION("""COMPUTED_VALUE"""),"Spending level of a subscriber per brand
  Values:
  HIGH
  MID
  LOW")</f>
        <v>Spending level of a subscriber per brand
  Values:
  HIGH
  MID
  LOW</v>
      </c>
      <c r="F362" s="258" t="str">
        <f>IFERROR(__xludf.DUMMYFUNCTION("""COMPUTED_VALUE"""),"Inferred")</f>
        <v>Inferred</v>
      </c>
      <c r="G362" s="258" t="str">
        <f>IFERROR(__xludf.DUMMYFUNCTION("""COMPUTED_VALUE"""),"varchar(1000)")</f>
        <v>varchar(1000)</v>
      </c>
      <c r="H362" s="258" t="str">
        <f>IFERROR(__xludf.DUMMYFUNCTION("""COMPUTED_VALUE"""),"HIGH")</f>
        <v>HIGH</v>
      </c>
      <c r="I362" s="258" t="str">
        <f>IFERROR(__xludf.DUMMYFUNCTION("""COMPUTED_VALUE"""),"EDO-AA")</f>
        <v>EDO-AA</v>
      </c>
      <c r="J362" s="258" t="str">
        <f>IFERROR(__xludf.DUMMYFUNCTION("""COMPUTED_VALUE"""),"Monthly")</f>
        <v>Monthly</v>
      </c>
      <c r="K362" s="258" t="str">
        <f>IFERROR(__xludf.DUMMYFUNCTION("""COMPUTED_VALUE"""),"")</f>
        <v/>
      </c>
      <c r="L362" s="258" t="str">
        <f>IFERROR(__xludf.DUMMYFUNCTION("""COMPUTED_VALUE"""),"GHP, GHP-PREPAID, TM")</f>
        <v>GHP, GHP-PREPAID, TM</v>
      </c>
      <c r="M362" s="258" t="str">
        <f>IFERROR(__xludf.DUMMYFUNCTION("""COMPUTED_VALUE"""),"Consumer")</f>
        <v>Consumer</v>
      </c>
      <c r="N362" s="258" t="str">
        <f>IFERROR(__xludf.DUMMYFUNCTION("""COMPUTED_VALUE"""),"revenue")</f>
        <v>revenue</v>
      </c>
      <c r="O362" s="258" t="str">
        <f>IFERROR(__xludf.DUMMYFUNCTION("""COMPUTED_VALUE"""),"revenue_profile")</f>
        <v>revenue_profile</v>
      </c>
      <c r="P362" s="258"/>
    </row>
    <row r="363">
      <c r="A363" s="257" t="str">
        <f>IFERROR(__xludf.DUMMYFUNCTION("""COMPUTED_VALUE"""),"spending_overall_bucket")</f>
        <v>spending_overall_bucket</v>
      </c>
      <c r="B363" s="258" t="str">
        <f>IFERROR(__xludf.DUMMYFUNCTION("""COMPUTED_VALUE"""),"Audience/Persona")</f>
        <v>Audience/Persona</v>
      </c>
      <c r="C363" s="258" t="str">
        <f>IFERROR(__xludf.DUMMYFUNCTION("""COMPUTED_VALUE"""),"Non-PII")</f>
        <v>Non-PII</v>
      </c>
      <c r="D363" s="258" t="str">
        <f>IFERROR(__xludf.DUMMYFUNCTION("""COMPUTED_VALUE"""),"Non-PII")</f>
        <v>Non-PII</v>
      </c>
      <c r="E363" s="258" t="str">
        <f>IFERROR(__xludf.DUMMYFUNCTION("""COMPUTED_VALUE"""),"Spending level of a subscriber overall (regardless of brand)
  Values:
  HIGH
  MID
  LOW")</f>
        <v>Spending level of a subscriber overall (regardless of brand)
  Values:
  HIGH
  MID
  LOW</v>
      </c>
      <c r="F363" s="258" t="str">
        <f>IFERROR(__xludf.DUMMYFUNCTION("""COMPUTED_VALUE"""),"Inferred")</f>
        <v>Inferred</v>
      </c>
      <c r="G363" s="258" t="str">
        <f>IFERROR(__xludf.DUMMYFUNCTION("""COMPUTED_VALUE"""),"varchar(1000)")</f>
        <v>varchar(1000)</v>
      </c>
      <c r="H363" s="258" t="str">
        <f>IFERROR(__xludf.DUMMYFUNCTION("""COMPUTED_VALUE"""),"HIGH")</f>
        <v>HIGH</v>
      </c>
      <c r="I363" s="258" t="str">
        <f>IFERROR(__xludf.DUMMYFUNCTION("""COMPUTED_VALUE"""),"EDO-AA")</f>
        <v>EDO-AA</v>
      </c>
      <c r="J363" s="258" t="str">
        <f>IFERROR(__xludf.DUMMYFUNCTION("""COMPUTED_VALUE"""),"Monthly")</f>
        <v>Monthly</v>
      </c>
      <c r="K363" s="258" t="str">
        <f>IFERROR(__xludf.DUMMYFUNCTION("""COMPUTED_VALUE"""),"")</f>
        <v/>
      </c>
      <c r="L363" s="258" t="str">
        <f>IFERROR(__xludf.DUMMYFUNCTION("""COMPUTED_VALUE"""),"GHP, GHP-PREPAID, TM")</f>
        <v>GHP, GHP-PREPAID, TM</v>
      </c>
      <c r="M363" s="258" t="str">
        <f>IFERROR(__xludf.DUMMYFUNCTION("""COMPUTED_VALUE"""),"Consumer")</f>
        <v>Consumer</v>
      </c>
      <c r="N363" s="258" t="str">
        <f>IFERROR(__xludf.DUMMYFUNCTION("""COMPUTED_VALUE"""),"revenue")</f>
        <v>revenue</v>
      </c>
      <c r="O363" s="258" t="str">
        <f>IFERROR(__xludf.DUMMYFUNCTION("""COMPUTED_VALUE"""),"revenue_profile")</f>
        <v>revenue_profile</v>
      </c>
      <c r="P363" s="258"/>
    </row>
    <row r="364">
      <c r="A364" s="257" t="str">
        <f>IFERROR(__xludf.DUMMYFUNCTION("""COMPUTED_VALUE"""),"prepaid_load_low_balance_threshold_score")</f>
        <v>prepaid_load_low_balance_threshold_score</v>
      </c>
      <c r="B364" s="258" t="str">
        <f>IFERROR(__xludf.DUMMYFUNCTION("""COMPUTED_VALUE"""),"Behavioral")</f>
        <v>Behavioral</v>
      </c>
      <c r="C364" s="258" t="str">
        <f>IFERROR(__xludf.DUMMYFUNCTION("""COMPUTED_VALUE"""),"Non-PII")</f>
        <v>Non-PII</v>
      </c>
      <c r="D364" s="258" t="str">
        <f>IFERROR(__xludf.DUMMYFUNCTION("""COMPUTED_VALUE"""),"Non-PII")</f>
        <v>Non-PII</v>
      </c>
      <c r="E364" s="258" t="str">
        <f>IFERROR(__xludf.DUMMYFUNCTION("""COMPUTED_VALUE"""),"To identify when the subscriber’s load wallet balance becomes really “LOW” and identify subscribers who breach their “usual” threshold")</f>
        <v>To identify when the subscriber’s load wallet balance becomes really “LOW” and identify subscribers who breach their “usual” threshold</v>
      </c>
      <c r="F364" s="258" t="str">
        <f>IFERROR(__xludf.DUMMYFUNCTION("""COMPUTED_VALUE"""),"Derived")</f>
        <v>Derived</v>
      </c>
      <c r="G364" s="258" t="str">
        <f>IFERROR(__xludf.DUMMYFUNCTION("""COMPUTED_VALUE"""),"numeric(21,2)")</f>
        <v>numeric(21,2)</v>
      </c>
      <c r="H364" s="258">
        <f>IFERROR(__xludf.DUMMYFUNCTION("""COMPUTED_VALUE"""),9.84)</f>
        <v>9.84</v>
      </c>
      <c r="I364" s="258" t="str">
        <f>IFERROR(__xludf.DUMMYFUNCTION("""COMPUTED_VALUE"""),"EDO-AA")</f>
        <v>EDO-AA</v>
      </c>
      <c r="J364" s="258" t="str">
        <f>IFERROR(__xludf.DUMMYFUNCTION("""COMPUTED_VALUE"""),"Monthly")</f>
        <v>Monthly</v>
      </c>
      <c r="K364" s="258" t="str">
        <f>IFERROR(__xludf.DUMMYFUNCTION("""COMPUTED_VALUE"""),"")</f>
        <v/>
      </c>
      <c r="L364" s="258" t="str">
        <f>IFERROR(__xludf.DUMMYFUNCTION("""COMPUTED_VALUE"""),"GHP-PREPAID, TM")</f>
        <v>GHP-PREPAID, TM</v>
      </c>
      <c r="M364" s="258" t="str">
        <f>IFERROR(__xludf.DUMMYFUNCTION("""COMPUTED_VALUE"""),"Consumer")</f>
        <v>Consumer</v>
      </c>
      <c r="N364" s="258" t="str">
        <f>IFERROR(__xludf.DUMMYFUNCTION("""COMPUTED_VALUE"""),"reload")</f>
        <v>reload</v>
      </c>
      <c r="O364" s="258" t="str">
        <f>IFERROR(__xludf.DUMMYFUNCTION("""COMPUTED_VALUE"""),"reload_profile")</f>
        <v>reload_profile</v>
      </c>
      <c r="P364" s="258"/>
    </row>
    <row r="365">
      <c r="A365" s="257" t="str">
        <f>IFERROR(__xludf.DUMMYFUNCTION("""COMPUTED_VALUE"""),"latest_punishment_level_code")</f>
        <v>latest_punishment_level_code</v>
      </c>
      <c r="B365" s="258" t="str">
        <f>IFERROR(__xludf.DUMMYFUNCTION("""COMPUTED_VALUE"""),"Behavioral")</f>
        <v>Behavioral</v>
      </c>
      <c r="C365" s="258" t="str">
        <f>IFERROR(__xludf.DUMMYFUNCTION("""COMPUTED_VALUE"""),"Non-PII")</f>
        <v>Non-PII</v>
      </c>
      <c r="D365" s="258" t="str">
        <f>IFERROR(__xludf.DUMMYFUNCTION("""COMPUTED_VALUE"""),"Non-PII")</f>
        <v>Non-PII</v>
      </c>
      <c r="E365" s="258" t="str">
        <f>IFERROR(__xludf.DUMMYFUNCTION("""COMPUTED_VALUE"""),"Level_1 - All services barred
  Level_2 - Subscriber Intra voice and Globe to TM services is barred
  Level_3 - Subscriber local data services is barred
  Level_4 - All subscriber services except Voice Intra, Voice TM, and Local Data is barred.")</f>
        <v>Level_1 - All services barred
  Level_2 - Subscriber Intra voice and Globe to TM services is barred
  Level_3 - Subscriber local data services is barred
  Level_4 - All subscriber services except Voice Intra, Voice TM, and Local Data is barred.</v>
      </c>
      <c r="F365" s="258" t="str">
        <f>IFERROR(__xludf.DUMMYFUNCTION("""COMPUTED_VALUE"""),"Derived")</f>
        <v>Derived</v>
      </c>
      <c r="G365" s="258" t="str">
        <f>IFERROR(__xludf.DUMMYFUNCTION("""COMPUTED_VALUE"""),"varchar(1000)")</f>
        <v>varchar(1000)</v>
      </c>
      <c r="H365" s="258" t="str">
        <f>IFERROR(__xludf.DUMMYFUNCTION("""COMPUTED_VALUE"""),"Level 4")</f>
        <v>Level 4</v>
      </c>
      <c r="I365" s="258" t="str">
        <f>IFERROR(__xludf.DUMMYFUNCTION("""COMPUTED_VALUE"""),"FVT CRM Mobile")</f>
        <v>FVT CRM Mobile</v>
      </c>
      <c r="J365" s="258" t="str">
        <f>IFERROR(__xludf.DUMMYFUNCTION("""COMPUTED_VALUE"""),"Daily")</f>
        <v>Daily</v>
      </c>
      <c r="K365" s="258" t="str">
        <f>IFERROR(__xludf.DUMMYFUNCTION("""COMPUTED_VALUE"""),"")</f>
        <v/>
      </c>
      <c r="L365" s="258" t="str">
        <f>IFERROR(__xludf.DUMMYFUNCTION("""COMPUTED_VALUE"""),"GHP")</f>
        <v>GHP</v>
      </c>
      <c r="M365" s="258" t="str">
        <f>IFERROR(__xludf.DUMMYFUNCTION("""COMPUTED_VALUE"""),"Consumer, EG, SG")</f>
        <v>Consumer, EG, SG</v>
      </c>
      <c r="N365" s="258" t="str">
        <f>IFERROR(__xludf.DUMMYFUNCTION("""COMPUTED_VALUE"""),"invoice")</f>
        <v>invoice</v>
      </c>
      <c r="O365" s="258" t="str">
        <f>IFERROR(__xludf.DUMMYFUNCTION("""COMPUTED_VALUE"""),"invoice_profile")</f>
        <v>invoice_profile</v>
      </c>
      <c r="P365" s="258"/>
    </row>
    <row r="366">
      <c r="A366" s="257" t="str">
        <f>IFERROR(__xludf.DUMMYFUNCTION("""COMPUTED_VALUE"""),"usage_top_loc_timeblock1_past_30days")</f>
        <v>usage_top_loc_timeblock1_past_30days</v>
      </c>
      <c r="B366" s="258" t="str">
        <f>IFERROR(__xludf.DUMMYFUNCTION("""COMPUTED_VALUE"""),"Behavioral")</f>
        <v>Behavioral</v>
      </c>
      <c r="C366" s="258" t="str">
        <f>IFERROR(__xludf.DUMMYFUNCTION("""COMPUTED_VALUE"""),"Non-PII")</f>
        <v>Non-PII</v>
      </c>
      <c r="D366" s="258" t="str">
        <f>IFERROR(__xludf.DUMMYFUNCTION("""COMPUTED_VALUE"""),"Non-PII")</f>
        <v>Non-PII</v>
      </c>
      <c r="E366" s="258" t="str">
        <f>IFERROR(__xludf.DUMMYFUNCTION("""COMPUTED_VALUE"""),"Top location (cell_site_town_name and cell_site_province_name) where 'DATA' transaction usage of the subscriber mostly happen during this specific time 01:00 AM - 04:59 AM for the past 30 days")</f>
        <v>Top location (cell_site_town_name and cell_site_province_name) where 'DATA' transaction usage of the subscriber mostly happen during this specific time 01:00 AM - 04:59 AM for the past 30 days</v>
      </c>
      <c r="F366" s="258" t="str">
        <f>IFERROR(__xludf.DUMMYFUNCTION("""COMPUTED_VALUE"""),"Derived")</f>
        <v>Derived</v>
      </c>
      <c r="G366" s="258" t="str">
        <f>IFERROR(__xludf.DUMMYFUNCTION("""COMPUTED_VALUE"""),"varchar(1000)")</f>
        <v>varchar(1000)</v>
      </c>
      <c r="H366" s="258" t="str">
        <f>IFERROR(__xludf.DUMMYFUNCTION("""COMPUTED_VALUE"""),"NORZAGARAY|BULACAN")</f>
        <v>NORZAGARAY|BULACAN</v>
      </c>
      <c r="I366" s="258" t="str">
        <f>IFERROR(__xludf.DUMMYFUNCTION("""COMPUTED_VALUE"""),"FVT CRM Mobile")</f>
        <v>FVT CRM Mobile</v>
      </c>
      <c r="J366" s="258" t="str">
        <f>IFERROR(__xludf.DUMMYFUNCTION("""COMPUTED_VALUE"""),"Daily (Day-7)")</f>
        <v>Daily (Day-7)</v>
      </c>
      <c r="K366" s="258" t="str">
        <f>IFERROR(__xludf.DUMMYFUNCTION("""COMPUTED_VALUE"""),"")</f>
        <v/>
      </c>
      <c r="L366" s="258" t="str">
        <f>IFERROR(__xludf.DUMMYFUNCTION("""COMPUTED_VALUE"""),"GHP, GHP-PREPAID, TM, PW, GOMO")</f>
        <v>GHP, GHP-PREPAID, TM, PW, GOMO</v>
      </c>
      <c r="M366" s="258" t="str">
        <f>IFERROR(__xludf.DUMMYFUNCTION("""COMPUTED_VALUE"""),"Consumer, EG, SG, In house, IBG Traveler")</f>
        <v>Consumer, EG, SG, In house, IBG Traveler</v>
      </c>
      <c r="N366" s="258" t="str">
        <f>IFERROR(__xludf.DUMMYFUNCTION("""COMPUTED_VALUE"""),"usage")</f>
        <v>usage</v>
      </c>
      <c r="O366" s="258" t="str">
        <f>IFERROR(__xludf.DUMMYFUNCTION("""COMPUTED_VALUE"""),"adjustment_profile")</f>
        <v>adjustment_profile</v>
      </c>
      <c r="P366" s="258"/>
    </row>
    <row r="367">
      <c r="A367" s="257" t="str">
        <f>IFERROR(__xludf.DUMMYFUNCTION("""COMPUTED_VALUE"""),"usage_top_loc_timeblock2_past_30days")</f>
        <v>usage_top_loc_timeblock2_past_30days</v>
      </c>
      <c r="B367" s="258" t="str">
        <f>IFERROR(__xludf.DUMMYFUNCTION("""COMPUTED_VALUE"""),"Behavioral")</f>
        <v>Behavioral</v>
      </c>
      <c r="C367" s="258" t="str">
        <f>IFERROR(__xludf.DUMMYFUNCTION("""COMPUTED_VALUE"""),"Non-PII")</f>
        <v>Non-PII</v>
      </c>
      <c r="D367" s="258" t="str">
        <f>IFERROR(__xludf.DUMMYFUNCTION("""COMPUTED_VALUE"""),"Non-PII")</f>
        <v>Non-PII</v>
      </c>
      <c r="E367" s="258" t="str">
        <f>IFERROR(__xludf.DUMMYFUNCTION("""COMPUTED_VALUE"""),"Top location (cell_site_town_name and cell_site_province_name) where 'DATA' transaction usage of the subscriber mostly happen during this specific time 05:00 AM - 08:59 AM for the past 30 days")</f>
        <v>Top location (cell_site_town_name and cell_site_province_name) where 'DATA' transaction usage of the subscriber mostly happen during this specific time 05:00 AM - 08:59 AM for the past 30 days</v>
      </c>
      <c r="F367" s="258" t="str">
        <f>IFERROR(__xludf.DUMMYFUNCTION("""COMPUTED_VALUE"""),"Derived")</f>
        <v>Derived</v>
      </c>
      <c r="G367" s="258" t="str">
        <f>IFERROR(__xludf.DUMMYFUNCTION("""COMPUTED_VALUE"""),"varchar(1000)")</f>
        <v>varchar(1000)</v>
      </c>
      <c r="H367" s="258" t="str">
        <f>IFERROR(__xludf.DUMMYFUNCTION("""COMPUTED_VALUE"""),"SAN NARCISO|QUEZON")</f>
        <v>SAN NARCISO|QUEZON</v>
      </c>
      <c r="I367" s="258" t="str">
        <f>IFERROR(__xludf.DUMMYFUNCTION("""COMPUTED_VALUE"""),"FVT CRM Mobile")</f>
        <v>FVT CRM Mobile</v>
      </c>
      <c r="J367" s="258" t="str">
        <f>IFERROR(__xludf.DUMMYFUNCTION("""COMPUTED_VALUE"""),"Daily (Day-7)")</f>
        <v>Daily (Day-7)</v>
      </c>
      <c r="K367" s="258" t="str">
        <f>IFERROR(__xludf.DUMMYFUNCTION("""COMPUTED_VALUE"""),"")</f>
        <v/>
      </c>
      <c r="L367" s="258" t="str">
        <f>IFERROR(__xludf.DUMMYFUNCTION("""COMPUTED_VALUE"""),"GHP, GHP-PREPAID, TM, PW, GOMO")</f>
        <v>GHP, GHP-PREPAID, TM, PW, GOMO</v>
      </c>
      <c r="M367" s="258" t="str">
        <f>IFERROR(__xludf.DUMMYFUNCTION("""COMPUTED_VALUE"""),"Consumer, EG, SG, In house, IBG Traveler")</f>
        <v>Consumer, EG, SG, In house, IBG Traveler</v>
      </c>
      <c r="N367" s="258" t="str">
        <f>IFERROR(__xludf.DUMMYFUNCTION("""COMPUTED_VALUE"""),"usage")</f>
        <v>usage</v>
      </c>
      <c r="O367" s="258" t="str">
        <f>IFERROR(__xludf.DUMMYFUNCTION("""COMPUTED_VALUE"""),"adjustment_profile")</f>
        <v>adjustment_profile</v>
      </c>
      <c r="P367" s="258"/>
    </row>
    <row r="368">
      <c r="A368" s="257" t="str">
        <f>IFERROR(__xludf.DUMMYFUNCTION("""COMPUTED_VALUE"""),"usage_top_loc_timeblock3_past_30days")</f>
        <v>usage_top_loc_timeblock3_past_30days</v>
      </c>
      <c r="B368" s="258" t="str">
        <f>IFERROR(__xludf.DUMMYFUNCTION("""COMPUTED_VALUE"""),"Behavioral")</f>
        <v>Behavioral</v>
      </c>
      <c r="C368" s="258" t="str">
        <f>IFERROR(__xludf.DUMMYFUNCTION("""COMPUTED_VALUE"""),"Non-PII")</f>
        <v>Non-PII</v>
      </c>
      <c r="D368" s="258" t="str">
        <f>IFERROR(__xludf.DUMMYFUNCTION("""COMPUTED_VALUE"""),"Non-PII")</f>
        <v>Non-PII</v>
      </c>
      <c r="E368" s="258" t="str">
        <f>IFERROR(__xludf.DUMMYFUNCTION("""COMPUTED_VALUE"""),"Top location (cell_site_town_name and cell_site_province_name) where 'DATA' transaction usage of the subscriber mostly happen during this specific time 09:00 AM - 12:59 PM for the past 30 days")</f>
        <v>Top location (cell_site_town_name and cell_site_province_name) where 'DATA' transaction usage of the subscriber mostly happen during this specific time 09:00 AM - 12:59 PM for the past 30 days</v>
      </c>
      <c r="F368" s="258" t="str">
        <f>IFERROR(__xludf.DUMMYFUNCTION("""COMPUTED_VALUE"""),"Derived")</f>
        <v>Derived</v>
      </c>
      <c r="G368" s="258" t="str">
        <f>IFERROR(__xludf.DUMMYFUNCTION("""COMPUTED_VALUE"""),"varchar(1000)")</f>
        <v>varchar(1000)</v>
      </c>
      <c r="H368" s="258" t="str">
        <f>IFERROR(__xludf.DUMMYFUNCTION("""COMPUTED_VALUE"""),"CAVITE CITY|CAVITE")</f>
        <v>CAVITE CITY|CAVITE</v>
      </c>
      <c r="I368" s="258" t="str">
        <f>IFERROR(__xludf.DUMMYFUNCTION("""COMPUTED_VALUE"""),"FVT CRM Mobile")</f>
        <v>FVT CRM Mobile</v>
      </c>
      <c r="J368" s="258" t="str">
        <f>IFERROR(__xludf.DUMMYFUNCTION("""COMPUTED_VALUE"""),"Daily (Day-7)")</f>
        <v>Daily (Day-7)</v>
      </c>
      <c r="K368" s="258" t="str">
        <f>IFERROR(__xludf.DUMMYFUNCTION("""COMPUTED_VALUE"""),"")</f>
        <v/>
      </c>
      <c r="L368" s="258" t="str">
        <f>IFERROR(__xludf.DUMMYFUNCTION("""COMPUTED_VALUE"""),"GHP, GHP-PREPAID, TM, PW, GOMO")</f>
        <v>GHP, GHP-PREPAID, TM, PW, GOMO</v>
      </c>
      <c r="M368" s="258" t="str">
        <f>IFERROR(__xludf.DUMMYFUNCTION("""COMPUTED_VALUE"""),"Consumer, EG, SG, In house, IBG Traveler")</f>
        <v>Consumer, EG, SG, In house, IBG Traveler</v>
      </c>
      <c r="N368" s="258" t="str">
        <f>IFERROR(__xludf.DUMMYFUNCTION("""COMPUTED_VALUE"""),"usage")</f>
        <v>usage</v>
      </c>
      <c r="O368" s="258" t="str">
        <f>IFERROR(__xludf.DUMMYFUNCTION("""COMPUTED_VALUE"""),"adjustment_profile")</f>
        <v>adjustment_profile</v>
      </c>
      <c r="P368" s="258"/>
    </row>
    <row r="369">
      <c r="A369" s="257" t="str">
        <f>IFERROR(__xludf.DUMMYFUNCTION("""COMPUTED_VALUE"""),"usage_top_loc_timeblock4_past_30days")</f>
        <v>usage_top_loc_timeblock4_past_30days</v>
      </c>
      <c r="B369" s="258" t="str">
        <f>IFERROR(__xludf.DUMMYFUNCTION("""COMPUTED_VALUE"""),"Behavioral")</f>
        <v>Behavioral</v>
      </c>
      <c r="C369" s="258" t="str">
        <f>IFERROR(__xludf.DUMMYFUNCTION("""COMPUTED_VALUE"""),"Non-PII")</f>
        <v>Non-PII</v>
      </c>
      <c r="D369" s="258" t="str">
        <f>IFERROR(__xludf.DUMMYFUNCTION("""COMPUTED_VALUE"""),"Non-PII")</f>
        <v>Non-PII</v>
      </c>
      <c r="E369" s="258" t="str">
        <f>IFERROR(__xludf.DUMMYFUNCTION("""COMPUTED_VALUE"""),"Top location (cell_site_town_name and cell_site_province_name) where 'DATA' transaction usage of the subscriber mostly happen during this specific time 01:00 PM - 04:59 PM for the past 30 days")</f>
        <v>Top location (cell_site_town_name and cell_site_province_name) where 'DATA' transaction usage of the subscriber mostly happen during this specific time 01:00 PM - 04:59 PM for the past 30 days</v>
      </c>
      <c r="F369" s="258" t="str">
        <f>IFERROR(__xludf.DUMMYFUNCTION("""COMPUTED_VALUE"""),"Derived")</f>
        <v>Derived</v>
      </c>
      <c r="G369" s="258" t="str">
        <f>IFERROR(__xludf.DUMMYFUNCTION("""COMPUTED_VALUE"""),"varchar(1000)")</f>
        <v>varchar(1000)</v>
      </c>
      <c r="H369" s="258" t="str">
        <f>IFERROR(__xludf.DUMMYFUNCTION("""COMPUTED_VALUE"""),"SAN MIGUEL|BULACAN")</f>
        <v>SAN MIGUEL|BULACAN</v>
      </c>
      <c r="I369" s="258" t="str">
        <f>IFERROR(__xludf.DUMMYFUNCTION("""COMPUTED_VALUE"""),"FVT CRM Mobile")</f>
        <v>FVT CRM Mobile</v>
      </c>
      <c r="J369" s="258" t="str">
        <f>IFERROR(__xludf.DUMMYFUNCTION("""COMPUTED_VALUE"""),"Daily (Day-7)")</f>
        <v>Daily (Day-7)</v>
      </c>
      <c r="K369" s="258" t="str">
        <f>IFERROR(__xludf.DUMMYFUNCTION("""COMPUTED_VALUE"""),"")</f>
        <v/>
      </c>
      <c r="L369" s="258" t="str">
        <f>IFERROR(__xludf.DUMMYFUNCTION("""COMPUTED_VALUE"""),"GHP, GHP-PREPAID, TM, PW, GOMO")</f>
        <v>GHP, GHP-PREPAID, TM, PW, GOMO</v>
      </c>
      <c r="M369" s="258" t="str">
        <f>IFERROR(__xludf.DUMMYFUNCTION("""COMPUTED_VALUE"""),"Consumer, EG, SG, In house, IBG Traveler")</f>
        <v>Consumer, EG, SG, In house, IBG Traveler</v>
      </c>
      <c r="N369" s="258" t="str">
        <f>IFERROR(__xludf.DUMMYFUNCTION("""COMPUTED_VALUE"""),"usage")</f>
        <v>usage</v>
      </c>
      <c r="O369" s="258" t="str">
        <f>IFERROR(__xludf.DUMMYFUNCTION("""COMPUTED_VALUE"""),"adjustment_profile")</f>
        <v>adjustment_profile</v>
      </c>
      <c r="P369" s="258"/>
    </row>
    <row r="370">
      <c r="A370" s="257" t="str">
        <f>IFERROR(__xludf.DUMMYFUNCTION("""COMPUTED_VALUE"""),"usage_top_loc_timeblock5_past_30days")</f>
        <v>usage_top_loc_timeblock5_past_30days</v>
      </c>
      <c r="B370" s="258" t="str">
        <f>IFERROR(__xludf.DUMMYFUNCTION("""COMPUTED_VALUE"""),"Behavioral")</f>
        <v>Behavioral</v>
      </c>
      <c r="C370" s="258" t="str">
        <f>IFERROR(__xludf.DUMMYFUNCTION("""COMPUTED_VALUE"""),"Non-PII")</f>
        <v>Non-PII</v>
      </c>
      <c r="D370" s="258" t="str">
        <f>IFERROR(__xludf.DUMMYFUNCTION("""COMPUTED_VALUE"""),"Non-PII")</f>
        <v>Non-PII</v>
      </c>
      <c r="E370" s="258" t="str">
        <f>IFERROR(__xludf.DUMMYFUNCTION("""COMPUTED_VALUE"""),"Top location (cell_site_town_name and cell_site_province_name) where 'DATA' transaction usage of the subscriber mostly happen during this specific time 05:00 PM - 08:59 PM for the past 30 days")</f>
        <v>Top location (cell_site_town_name and cell_site_province_name) where 'DATA' transaction usage of the subscriber mostly happen during this specific time 05:00 PM - 08:59 PM for the past 30 days</v>
      </c>
      <c r="F370" s="258" t="str">
        <f>IFERROR(__xludf.DUMMYFUNCTION("""COMPUTED_VALUE"""),"Derived")</f>
        <v>Derived</v>
      </c>
      <c r="G370" s="258" t="str">
        <f>IFERROR(__xludf.DUMMYFUNCTION("""COMPUTED_VALUE"""),"varchar(1000)")</f>
        <v>varchar(1000)</v>
      </c>
      <c r="H370" s="258" t="str">
        <f>IFERROR(__xludf.DUMMYFUNCTION("""COMPUTED_VALUE"""),"SAN NARCISO|QUEZON")</f>
        <v>SAN NARCISO|QUEZON</v>
      </c>
      <c r="I370" s="258" t="str">
        <f>IFERROR(__xludf.DUMMYFUNCTION("""COMPUTED_VALUE"""),"FVT CRM Mobile")</f>
        <v>FVT CRM Mobile</v>
      </c>
      <c r="J370" s="258" t="str">
        <f>IFERROR(__xludf.DUMMYFUNCTION("""COMPUTED_VALUE"""),"Daily (Day-7)")</f>
        <v>Daily (Day-7)</v>
      </c>
      <c r="K370" s="258" t="str">
        <f>IFERROR(__xludf.DUMMYFUNCTION("""COMPUTED_VALUE"""),"")</f>
        <v/>
      </c>
      <c r="L370" s="258" t="str">
        <f>IFERROR(__xludf.DUMMYFUNCTION("""COMPUTED_VALUE"""),"GHP, GHP-PREPAID, TM, PW, GOMO")</f>
        <v>GHP, GHP-PREPAID, TM, PW, GOMO</v>
      </c>
      <c r="M370" s="258" t="str">
        <f>IFERROR(__xludf.DUMMYFUNCTION("""COMPUTED_VALUE"""),"Consumer, EG, SG, In house, IBG Traveler")</f>
        <v>Consumer, EG, SG, In house, IBG Traveler</v>
      </c>
      <c r="N370" s="258" t="str">
        <f>IFERROR(__xludf.DUMMYFUNCTION("""COMPUTED_VALUE"""),"usage")</f>
        <v>usage</v>
      </c>
      <c r="O370" s="258" t="str">
        <f>IFERROR(__xludf.DUMMYFUNCTION("""COMPUTED_VALUE"""),"adjustment_profile")</f>
        <v>adjustment_profile</v>
      </c>
      <c r="P370" s="258"/>
    </row>
    <row r="371">
      <c r="A371" s="257" t="str">
        <f>IFERROR(__xludf.DUMMYFUNCTION("""COMPUTED_VALUE"""),"usage_top_loc_timeblock6_past_30days")</f>
        <v>usage_top_loc_timeblock6_past_30days</v>
      </c>
      <c r="B371" s="258" t="str">
        <f>IFERROR(__xludf.DUMMYFUNCTION("""COMPUTED_VALUE"""),"Behavioral")</f>
        <v>Behavioral</v>
      </c>
      <c r="C371" s="258" t="str">
        <f>IFERROR(__xludf.DUMMYFUNCTION("""COMPUTED_VALUE"""),"Non-PII")</f>
        <v>Non-PII</v>
      </c>
      <c r="D371" s="258" t="str">
        <f>IFERROR(__xludf.DUMMYFUNCTION("""COMPUTED_VALUE"""),"Non-PII")</f>
        <v>Non-PII</v>
      </c>
      <c r="E371" s="258" t="str">
        <f>IFERROR(__xludf.DUMMYFUNCTION("""COMPUTED_VALUE"""),"Top location (cell_site_town_name and cell_site_province_name) where 'DATA' transaction usage of the subscriber mostly happen during this specific time 09:00 PM - 12:59 AM for the past 30 days")</f>
        <v>Top location (cell_site_town_name and cell_site_province_name) where 'DATA' transaction usage of the subscriber mostly happen during this specific time 09:00 PM - 12:59 AM for the past 30 days</v>
      </c>
      <c r="F371" s="258" t="str">
        <f>IFERROR(__xludf.DUMMYFUNCTION("""COMPUTED_VALUE"""),"Derived")</f>
        <v>Derived</v>
      </c>
      <c r="G371" s="258" t="str">
        <f>IFERROR(__xludf.DUMMYFUNCTION("""COMPUTED_VALUE"""),"varchar(1000)")</f>
        <v>varchar(1000)</v>
      </c>
      <c r="H371" s="258" t="str">
        <f>IFERROR(__xludf.DUMMYFUNCTION("""COMPUTED_VALUE"""),"NORZAGARAY|BULACAN")</f>
        <v>NORZAGARAY|BULACAN</v>
      </c>
      <c r="I371" s="258" t="str">
        <f>IFERROR(__xludf.DUMMYFUNCTION("""COMPUTED_VALUE"""),"FVT CRM Mobile")</f>
        <v>FVT CRM Mobile</v>
      </c>
      <c r="J371" s="258" t="str">
        <f>IFERROR(__xludf.DUMMYFUNCTION("""COMPUTED_VALUE"""),"Daily (Day-7)")</f>
        <v>Daily (Day-7)</v>
      </c>
      <c r="K371" s="258" t="str">
        <f>IFERROR(__xludf.DUMMYFUNCTION("""COMPUTED_VALUE"""),"")</f>
        <v/>
      </c>
      <c r="L371" s="258" t="str">
        <f>IFERROR(__xludf.DUMMYFUNCTION("""COMPUTED_VALUE"""),"GHP, GHP-PREPAID, TM, PW, GOMO")</f>
        <v>GHP, GHP-PREPAID, TM, PW, GOMO</v>
      </c>
      <c r="M371" s="258" t="str">
        <f>IFERROR(__xludf.DUMMYFUNCTION("""COMPUTED_VALUE"""),"Consumer, EG, SG, In house, IBG Traveler")</f>
        <v>Consumer, EG, SG, In house, IBG Traveler</v>
      </c>
      <c r="N371" s="258" t="str">
        <f>IFERROR(__xludf.DUMMYFUNCTION("""COMPUTED_VALUE"""),"usage")</f>
        <v>usage</v>
      </c>
      <c r="O371" s="258" t="str">
        <f>IFERROR(__xludf.DUMMYFUNCTION("""COMPUTED_VALUE"""),"adjustment_profile")</f>
        <v>adjustment_profile</v>
      </c>
      <c r="P371" s="258"/>
    </row>
    <row r="372">
      <c r="A372" s="257" t="str">
        <f>IFERROR(__xludf.DUMMYFUNCTION("""COMPUTED_VALUE"""),"usage_top_loc_timeblock1_past_60days")</f>
        <v>usage_top_loc_timeblock1_past_60days</v>
      </c>
      <c r="B372" s="258" t="str">
        <f>IFERROR(__xludf.DUMMYFUNCTION("""COMPUTED_VALUE"""),"Behavioral")</f>
        <v>Behavioral</v>
      </c>
      <c r="C372" s="258" t="str">
        <f>IFERROR(__xludf.DUMMYFUNCTION("""COMPUTED_VALUE"""),"Non-PII")</f>
        <v>Non-PII</v>
      </c>
      <c r="D372" s="258" t="str">
        <f>IFERROR(__xludf.DUMMYFUNCTION("""COMPUTED_VALUE"""),"Non-PII")</f>
        <v>Non-PII</v>
      </c>
      <c r="E372" s="258" t="str">
        <f>IFERROR(__xludf.DUMMYFUNCTION("""COMPUTED_VALUE"""),"Top location (cell_site_town_name and cell_site_province_name) where 'DATA' transaction usage of the subscriber mostly happen during this specific time 01:00 AM - 04:59 AM for the past 60 days")</f>
        <v>Top location (cell_site_town_name and cell_site_province_name) where 'DATA' transaction usage of the subscriber mostly happen during this specific time 01:00 AM - 04:59 AM for the past 60 days</v>
      </c>
      <c r="F372" s="258" t="str">
        <f>IFERROR(__xludf.DUMMYFUNCTION("""COMPUTED_VALUE"""),"Derived")</f>
        <v>Derived</v>
      </c>
      <c r="G372" s="258" t="str">
        <f>IFERROR(__xludf.DUMMYFUNCTION("""COMPUTED_VALUE"""),"varchar(1000)")</f>
        <v>varchar(1000)</v>
      </c>
      <c r="H372" s="258" t="str">
        <f>IFERROR(__xludf.DUMMYFUNCTION("""COMPUTED_VALUE"""),"IMUS CITY|CAVITE")</f>
        <v>IMUS CITY|CAVITE</v>
      </c>
      <c r="I372" s="258" t="str">
        <f>IFERROR(__xludf.DUMMYFUNCTION("""COMPUTED_VALUE"""),"FVT CRM Mobile")</f>
        <v>FVT CRM Mobile</v>
      </c>
      <c r="J372" s="258" t="str">
        <f>IFERROR(__xludf.DUMMYFUNCTION("""COMPUTED_VALUE"""),"Daily (Day-7)")</f>
        <v>Daily (Day-7)</v>
      </c>
      <c r="K372" s="258" t="str">
        <f>IFERROR(__xludf.DUMMYFUNCTION("""COMPUTED_VALUE"""),"")</f>
        <v/>
      </c>
      <c r="L372" s="258" t="str">
        <f>IFERROR(__xludf.DUMMYFUNCTION("""COMPUTED_VALUE"""),"GHP, GHP-PREPAID, TM, PW, GOMO")</f>
        <v>GHP, GHP-PREPAID, TM, PW, GOMO</v>
      </c>
      <c r="M372" s="258" t="str">
        <f>IFERROR(__xludf.DUMMYFUNCTION("""COMPUTED_VALUE"""),"Consumer, EG, SG, In house, IBG Traveler")</f>
        <v>Consumer, EG, SG, In house, IBG Traveler</v>
      </c>
      <c r="N372" s="258" t="str">
        <f>IFERROR(__xludf.DUMMYFUNCTION("""COMPUTED_VALUE"""),"usage")</f>
        <v>usage</v>
      </c>
      <c r="O372" s="258" t="str">
        <f>IFERROR(__xludf.DUMMYFUNCTION("""COMPUTED_VALUE"""),"adjustment_profile")</f>
        <v>adjustment_profile</v>
      </c>
      <c r="P372" s="258"/>
    </row>
    <row r="373">
      <c r="A373" s="257" t="str">
        <f>IFERROR(__xludf.DUMMYFUNCTION("""COMPUTED_VALUE"""),"usage_top_loc_timeblock2_past_60days")</f>
        <v>usage_top_loc_timeblock2_past_60days</v>
      </c>
      <c r="B373" s="258" t="str">
        <f>IFERROR(__xludf.DUMMYFUNCTION("""COMPUTED_VALUE"""),"Behavioral")</f>
        <v>Behavioral</v>
      </c>
      <c r="C373" s="258" t="str">
        <f>IFERROR(__xludf.DUMMYFUNCTION("""COMPUTED_VALUE"""),"Non-PII")</f>
        <v>Non-PII</v>
      </c>
      <c r="D373" s="258" t="str">
        <f>IFERROR(__xludf.DUMMYFUNCTION("""COMPUTED_VALUE"""),"Non-PII")</f>
        <v>Non-PII</v>
      </c>
      <c r="E373" s="258" t="str">
        <f>IFERROR(__xludf.DUMMYFUNCTION("""COMPUTED_VALUE"""),"Top location (cell_site_town_name and cell_site_province_name) where 'DATA' transaction usage of the subscriber mostly happen during this specific time 05:00 AM - 08:59 AM for the past 60 days")</f>
        <v>Top location (cell_site_town_name and cell_site_province_name) where 'DATA' transaction usage of the subscriber mostly happen during this specific time 05:00 AM - 08:59 AM for the past 60 days</v>
      </c>
      <c r="F373" s="258" t="str">
        <f>IFERROR(__xludf.DUMMYFUNCTION("""COMPUTED_VALUE"""),"Derived")</f>
        <v>Derived</v>
      </c>
      <c r="G373" s="258" t="str">
        <f>IFERROR(__xludf.DUMMYFUNCTION("""COMPUTED_VALUE"""),"varchar(1000)")</f>
        <v>varchar(1000)</v>
      </c>
      <c r="H373" s="258" t="str">
        <f>IFERROR(__xludf.DUMMYFUNCTION("""COMPUTED_VALUE"""),"NORZAGARAY|BULACAN")</f>
        <v>NORZAGARAY|BULACAN</v>
      </c>
      <c r="I373" s="258" t="str">
        <f>IFERROR(__xludf.DUMMYFUNCTION("""COMPUTED_VALUE"""),"FVT CRM Mobile")</f>
        <v>FVT CRM Mobile</v>
      </c>
      <c r="J373" s="258" t="str">
        <f>IFERROR(__xludf.DUMMYFUNCTION("""COMPUTED_VALUE"""),"Daily (Day-7)")</f>
        <v>Daily (Day-7)</v>
      </c>
      <c r="K373" s="258" t="str">
        <f>IFERROR(__xludf.DUMMYFUNCTION("""COMPUTED_VALUE"""),"")</f>
        <v/>
      </c>
      <c r="L373" s="258" t="str">
        <f>IFERROR(__xludf.DUMMYFUNCTION("""COMPUTED_VALUE"""),"GHP, GHP-PREPAID, TM, PW, GOMO")</f>
        <v>GHP, GHP-PREPAID, TM, PW, GOMO</v>
      </c>
      <c r="M373" s="258" t="str">
        <f>IFERROR(__xludf.DUMMYFUNCTION("""COMPUTED_VALUE"""),"Consumer, EG, SG, In house, IBG Traveler")</f>
        <v>Consumer, EG, SG, In house, IBG Traveler</v>
      </c>
      <c r="N373" s="258" t="str">
        <f>IFERROR(__xludf.DUMMYFUNCTION("""COMPUTED_VALUE"""),"usage")</f>
        <v>usage</v>
      </c>
      <c r="O373" s="258" t="str">
        <f>IFERROR(__xludf.DUMMYFUNCTION("""COMPUTED_VALUE"""),"adjustment_profile")</f>
        <v>adjustment_profile</v>
      </c>
      <c r="P373" s="258"/>
    </row>
    <row r="374">
      <c r="A374" s="257" t="str">
        <f>IFERROR(__xludf.DUMMYFUNCTION("""COMPUTED_VALUE"""),"usage_top_loc_timeblock3_past_60days")</f>
        <v>usage_top_loc_timeblock3_past_60days</v>
      </c>
      <c r="B374" s="258" t="str">
        <f>IFERROR(__xludf.DUMMYFUNCTION("""COMPUTED_VALUE"""),"Behavioral")</f>
        <v>Behavioral</v>
      </c>
      <c r="C374" s="258" t="str">
        <f>IFERROR(__xludf.DUMMYFUNCTION("""COMPUTED_VALUE"""),"Non-PII")</f>
        <v>Non-PII</v>
      </c>
      <c r="D374" s="258" t="str">
        <f>IFERROR(__xludf.DUMMYFUNCTION("""COMPUTED_VALUE"""),"Non-PII")</f>
        <v>Non-PII</v>
      </c>
      <c r="E374" s="258" t="str">
        <f>IFERROR(__xludf.DUMMYFUNCTION("""COMPUTED_VALUE"""),"Top location (cell_site_town_name and cell_site_province_name) where 'DATA' transaction usage of the subscriber mostly happen during this specific time 09:00 AM - 12:59 PM for the past 60 days")</f>
        <v>Top location (cell_site_town_name and cell_site_province_name) where 'DATA' transaction usage of the subscriber mostly happen during this specific time 09:00 AM - 12:59 PM for the past 60 days</v>
      </c>
      <c r="F374" s="258" t="str">
        <f>IFERROR(__xludf.DUMMYFUNCTION("""COMPUTED_VALUE"""),"Derived")</f>
        <v>Derived</v>
      </c>
      <c r="G374" s="258" t="str">
        <f>IFERROR(__xludf.DUMMYFUNCTION("""COMPUTED_VALUE"""),"varchar(1000)")</f>
        <v>varchar(1000)</v>
      </c>
      <c r="H374" s="258" t="str">
        <f>IFERROR(__xludf.DUMMYFUNCTION("""COMPUTED_VALUE"""),"CAVITE CITY|CAVITE")</f>
        <v>CAVITE CITY|CAVITE</v>
      </c>
      <c r="I374" s="258" t="str">
        <f>IFERROR(__xludf.DUMMYFUNCTION("""COMPUTED_VALUE"""),"FVT CRM Mobile")</f>
        <v>FVT CRM Mobile</v>
      </c>
      <c r="J374" s="258" t="str">
        <f>IFERROR(__xludf.DUMMYFUNCTION("""COMPUTED_VALUE"""),"Daily (Day-7)")</f>
        <v>Daily (Day-7)</v>
      </c>
      <c r="K374" s="258" t="str">
        <f>IFERROR(__xludf.DUMMYFUNCTION("""COMPUTED_VALUE"""),"")</f>
        <v/>
      </c>
      <c r="L374" s="258" t="str">
        <f>IFERROR(__xludf.DUMMYFUNCTION("""COMPUTED_VALUE"""),"GHP, GHP-PREPAID, TM, PW, GOMO")</f>
        <v>GHP, GHP-PREPAID, TM, PW, GOMO</v>
      </c>
      <c r="M374" s="258" t="str">
        <f>IFERROR(__xludf.DUMMYFUNCTION("""COMPUTED_VALUE"""),"Consumer, EG, SG, In house, IBG Traveler")</f>
        <v>Consumer, EG, SG, In house, IBG Traveler</v>
      </c>
      <c r="N374" s="258" t="str">
        <f>IFERROR(__xludf.DUMMYFUNCTION("""COMPUTED_VALUE"""),"usage")</f>
        <v>usage</v>
      </c>
      <c r="O374" s="258" t="str">
        <f>IFERROR(__xludf.DUMMYFUNCTION("""COMPUTED_VALUE"""),"adjustment_profile")</f>
        <v>adjustment_profile</v>
      </c>
      <c r="P374" s="258"/>
    </row>
    <row r="375">
      <c r="A375" s="257" t="str">
        <f>IFERROR(__xludf.DUMMYFUNCTION("""COMPUTED_VALUE"""),"usage_top_loc_timeblock4_past_60days")</f>
        <v>usage_top_loc_timeblock4_past_60days</v>
      </c>
      <c r="B375" s="258" t="str">
        <f>IFERROR(__xludf.DUMMYFUNCTION("""COMPUTED_VALUE"""),"Behavioral")</f>
        <v>Behavioral</v>
      </c>
      <c r="C375" s="258" t="str">
        <f>IFERROR(__xludf.DUMMYFUNCTION("""COMPUTED_VALUE"""),"Non-PII")</f>
        <v>Non-PII</v>
      </c>
      <c r="D375" s="258" t="str">
        <f>IFERROR(__xludf.DUMMYFUNCTION("""COMPUTED_VALUE"""),"Non-PII")</f>
        <v>Non-PII</v>
      </c>
      <c r="E375" s="258" t="str">
        <f>IFERROR(__xludf.DUMMYFUNCTION("""COMPUTED_VALUE"""),"Top location (cell_site_town_name and cell_site_province_name) where 'DATA' transaction usage of the subscriber mostly happen during this specific time 01:00 PM - 04:59 PM for the past 60 days")</f>
        <v>Top location (cell_site_town_name and cell_site_province_name) where 'DATA' transaction usage of the subscriber mostly happen during this specific time 01:00 PM - 04:59 PM for the past 60 days</v>
      </c>
      <c r="F375" s="258" t="str">
        <f>IFERROR(__xludf.DUMMYFUNCTION("""COMPUTED_VALUE"""),"Derived")</f>
        <v>Derived</v>
      </c>
      <c r="G375" s="258" t="str">
        <f>IFERROR(__xludf.DUMMYFUNCTION("""COMPUTED_VALUE"""),"varchar(1000)")</f>
        <v>varchar(1000)</v>
      </c>
      <c r="H375" s="258" t="str">
        <f>IFERROR(__xludf.DUMMYFUNCTION("""COMPUTED_VALUE"""),"SAN NARCISO|QUEZON")</f>
        <v>SAN NARCISO|QUEZON</v>
      </c>
      <c r="I375" s="258" t="str">
        <f>IFERROR(__xludf.DUMMYFUNCTION("""COMPUTED_VALUE"""),"FVT CRM Mobile")</f>
        <v>FVT CRM Mobile</v>
      </c>
      <c r="J375" s="258" t="str">
        <f>IFERROR(__xludf.DUMMYFUNCTION("""COMPUTED_VALUE"""),"Daily (Day-7)")</f>
        <v>Daily (Day-7)</v>
      </c>
      <c r="K375" s="258" t="str">
        <f>IFERROR(__xludf.DUMMYFUNCTION("""COMPUTED_VALUE"""),"")</f>
        <v/>
      </c>
      <c r="L375" s="258" t="str">
        <f>IFERROR(__xludf.DUMMYFUNCTION("""COMPUTED_VALUE"""),"GHP, GHP-PREPAID, TM, PW, GOMO")</f>
        <v>GHP, GHP-PREPAID, TM, PW, GOMO</v>
      </c>
      <c r="M375" s="258" t="str">
        <f>IFERROR(__xludf.DUMMYFUNCTION("""COMPUTED_VALUE"""),"Consumer, EG, SG, In house, IBG Traveler")</f>
        <v>Consumer, EG, SG, In house, IBG Traveler</v>
      </c>
      <c r="N375" s="258" t="str">
        <f>IFERROR(__xludf.DUMMYFUNCTION("""COMPUTED_VALUE"""),"usage")</f>
        <v>usage</v>
      </c>
      <c r="O375" s="258" t="str">
        <f>IFERROR(__xludf.DUMMYFUNCTION("""COMPUTED_VALUE"""),"adjustment_profile")</f>
        <v>adjustment_profile</v>
      </c>
      <c r="P375" s="258"/>
    </row>
    <row r="376">
      <c r="A376" s="257" t="str">
        <f>IFERROR(__xludf.DUMMYFUNCTION("""COMPUTED_VALUE"""),"usage_top_loc_timeblock5_past_60days")</f>
        <v>usage_top_loc_timeblock5_past_60days</v>
      </c>
      <c r="B376" s="258" t="str">
        <f>IFERROR(__xludf.DUMMYFUNCTION("""COMPUTED_VALUE"""),"Behavioral")</f>
        <v>Behavioral</v>
      </c>
      <c r="C376" s="258" t="str">
        <f>IFERROR(__xludf.DUMMYFUNCTION("""COMPUTED_VALUE"""),"Non-PII")</f>
        <v>Non-PII</v>
      </c>
      <c r="D376" s="258" t="str">
        <f>IFERROR(__xludf.DUMMYFUNCTION("""COMPUTED_VALUE"""),"Non-PII")</f>
        <v>Non-PII</v>
      </c>
      <c r="E376" s="258" t="str">
        <f>IFERROR(__xludf.DUMMYFUNCTION("""COMPUTED_VALUE"""),"Top location (cell_site_town_name and cell_site_province_name) where 'DATA' transaction usage of the subscriber mostly happen during this specific time 05:00 PM - 08:59 PM for the past 60 days")</f>
        <v>Top location (cell_site_town_name and cell_site_province_name) where 'DATA' transaction usage of the subscriber mostly happen during this specific time 05:00 PM - 08:59 PM for the past 60 days</v>
      </c>
      <c r="F376" s="258" t="str">
        <f>IFERROR(__xludf.DUMMYFUNCTION("""COMPUTED_VALUE"""),"Derived")</f>
        <v>Derived</v>
      </c>
      <c r="G376" s="258" t="str">
        <f>IFERROR(__xludf.DUMMYFUNCTION("""COMPUTED_VALUE"""),"varchar(1000)")</f>
        <v>varchar(1000)</v>
      </c>
      <c r="H376" s="258" t="str">
        <f>IFERROR(__xludf.DUMMYFUNCTION("""COMPUTED_VALUE"""),"SAN MIGUEL|BULACAN")</f>
        <v>SAN MIGUEL|BULACAN</v>
      </c>
      <c r="I376" s="258" t="str">
        <f>IFERROR(__xludf.DUMMYFUNCTION("""COMPUTED_VALUE"""),"FVT CRM Mobile")</f>
        <v>FVT CRM Mobile</v>
      </c>
      <c r="J376" s="258" t="str">
        <f>IFERROR(__xludf.DUMMYFUNCTION("""COMPUTED_VALUE"""),"Daily (Day-7)")</f>
        <v>Daily (Day-7)</v>
      </c>
      <c r="K376" s="258" t="str">
        <f>IFERROR(__xludf.DUMMYFUNCTION("""COMPUTED_VALUE"""),"")</f>
        <v/>
      </c>
      <c r="L376" s="258" t="str">
        <f>IFERROR(__xludf.DUMMYFUNCTION("""COMPUTED_VALUE"""),"GHP, GHP-PREPAID, TM, PW, GOMO")</f>
        <v>GHP, GHP-PREPAID, TM, PW, GOMO</v>
      </c>
      <c r="M376" s="258" t="str">
        <f>IFERROR(__xludf.DUMMYFUNCTION("""COMPUTED_VALUE"""),"Consumer, EG, SG, In house, IBG Traveler")</f>
        <v>Consumer, EG, SG, In house, IBG Traveler</v>
      </c>
      <c r="N376" s="258" t="str">
        <f>IFERROR(__xludf.DUMMYFUNCTION("""COMPUTED_VALUE"""),"usage")</f>
        <v>usage</v>
      </c>
      <c r="O376" s="258" t="str">
        <f>IFERROR(__xludf.DUMMYFUNCTION("""COMPUTED_VALUE"""),"adjustment_profile")</f>
        <v>adjustment_profile</v>
      </c>
      <c r="P376" s="258"/>
    </row>
    <row r="377">
      <c r="A377" s="257" t="str">
        <f>IFERROR(__xludf.DUMMYFUNCTION("""COMPUTED_VALUE"""),"usage_top_loc_timeblock6_past_60days")</f>
        <v>usage_top_loc_timeblock6_past_60days</v>
      </c>
      <c r="B377" s="258" t="str">
        <f>IFERROR(__xludf.DUMMYFUNCTION("""COMPUTED_VALUE"""),"Behavioral")</f>
        <v>Behavioral</v>
      </c>
      <c r="C377" s="258" t="str">
        <f>IFERROR(__xludf.DUMMYFUNCTION("""COMPUTED_VALUE"""),"Non-PII")</f>
        <v>Non-PII</v>
      </c>
      <c r="D377" s="258" t="str">
        <f>IFERROR(__xludf.DUMMYFUNCTION("""COMPUTED_VALUE"""),"Non-PII")</f>
        <v>Non-PII</v>
      </c>
      <c r="E377" s="258" t="str">
        <f>IFERROR(__xludf.DUMMYFUNCTION("""COMPUTED_VALUE"""),"Top location (cell_site_town_name and cell_site_province_name) where 'DATA' transaction usage of the subscriber mostly happen during this specific time 09:00 PM - 12:59 AM for the past 60 days")</f>
        <v>Top location (cell_site_town_name and cell_site_province_name) where 'DATA' transaction usage of the subscriber mostly happen during this specific time 09:00 PM - 12:59 AM for the past 60 days</v>
      </c>
      <c r="F377" s="258" t="str">
        <f>IFERROR(__xludf.DUMMYFUNCTION("""COMPUTED_VALUE"""),"Derived")</f>
        <v>Derived</v>
      </c>
      <c r="G377" s="258" t="str">
        <f>IFERROR(__xludf.DUMMYFUNCTION("""COMPUTED_VALUE"""),"varchar(1000)")</f>
        <v>varchar(1000)</v>
      </c>
      <c r="H377" s="258" t="str">
        <f>IFERROR(__xludf.DUMMYFUNCTION("""COMPUTED_VALUE"""),"SAN NARCISO|QUEZON")</f>
        <v>SAN NARCISO|QUEZON</v>
      </c>
      <c r="I377" s="258" t="str">
        <f>IFERROR(__xludf.DUMMYFUNCTION("""COMPUTED_VALUE"""),"FVT CRM Mobile")</f>
        <v>FVT CRM Mobile</v>
      </c>
      <c r="J377" s="258" t="str">
        <f>IFERROR(__xludf.DUMMYFUNCTION("""COMPUTED_VALUE"""),"Daily (Day-7)")</f>
        <v>Daily (Day-7)</v>
      </c>
      <c r="K377" s="258" t="str">
        <f>IFERROR(__xludf.DUMMYFUNCTION("""COMPUTED_VALUE"""),"")</f>
        <v/>
      </c>
      <c r="L377" s="258" t="str">
        <f>IFERROR(__xludf.DUMMYFUNCTION("""COMPUTED_VALUE"""),"GHP, GHP-PREPAID, TM, PW, GOMO")</f>
        <v>GHP, GHP-PREPAID, TM, PW, GOMO</v>
      </c>
      <c r="M377" s="258" t="str">
        <f>IFERROR(__xludf.DUMMYFUNCTION("""COMPUTED_VALUE"""),"Consumer, EG, SG, In house, IBG Traveler")</f>
        <v>Consumer, EG, SG, In house, IBG Traveler</v>
      </c>
      <c r="N377" s="258" t="str">
        <f>IFERROR(__xludf.DUMMYFUNCTION("""COMPUTED_VALUE"""),"usage")</f>
        <v>usage</v>
      </c>
      <c r="O377" s="258" t="str">
        <f>IFERROR(__xludf.DUMMYFUNCTION("""COMPUTED_VALUE"""),"adjustment_profile")</f>
        <v>adjustment_profile</v>
      </c>
      <c r="P377" s="258"/>
    </row>
    <row r="378">
      <c r="A378" s="257" t="str">
        <f>IFERROR(__xludf.DUMMYFUNCTION("""COMPUTED_VALUE"""),"usage_top_loc_timeblock1_past_90days")</f>
        <v>usage_top_loc_timeblock1_past_90days</v>
      </c>
      <c r="B378" s="258" t="str">
        <f>IFERROR(__xludf.DUMMYFUNCTION("""COMPUTED_VALUE"""),"Behavioral")</f>
        <v>Behavioral</v>
      </c>
      <c r="C378" s="258" t="str">
        <f>IFERROR(__xludf.DUMMYFUNCTION("""COMPUTED_VALUE"""),"Non-PII")</f>
        <v>Non-PII</v>
      </c>
      <c r="D378" s="258" t="str">
        <f>IFERROR(__xludf.DUMMYFUNCTION("""COMPUTED_VALUE"""),"Non-PII")</f>
        <v>Non-PII</v>
      </c>
      <c r="E378" s="258" t="str">
        <f>IFERROR(__xludf.DUMMYFUNCTION("""COMPUTED_VALUE"""),"Top location (cell_site_town_name and cell_site_province_name) where 'DATA' transaction usage of the subscriber mostly happen during this specific time 01:00 AM - 04:59 AM for the past 90 days")</f>
        <v>Top location (cell_site_town_name and cell_site_province_name) where 'DATA' transaction usage of the subscriber mostly happen during this specific time 01:00 AM - 04:59 AM for the past 90 days</v>
      </c>
      <c r="F378" s="258" t="str">
        <f>IFERROR(__xludf.DUMMYFUNCTION("""COMPUTED_VALUE"""),"Derived")</f>
        <v>Derived</v>
      </c>
      <c r="G378" s="258" t="str">
        <f>IFERROR(__xludf.DUMMYFUNCTION("""COMPUTED_VALUE"""),"varchar(1000)")</f>
        <v>varchar(1000)</v>
      </c>
      <c r="H378" s="258" t="str">
        <f>IFERROR(__xludf.DUMMYFUNCTION("""COMPUTED_VALUE"""),"NORZAGARAY|BULACAN")</f>
        <v>NORZAGARAY|BULACAN</v>
      </c>
      <c r="I378" s="258" t="str">
        <f>IFERROR(__xludf.DUMMYFUNCTION("""COMPUTED_VALUE"""),"FVT CRM Mobile")</f>
        <v>FVT CRM Mobile</v>
      </c>
      <c r="J378" s="258" t="str">
        <f>IFERROR(__xludf.DUMMYFUNCTION("""COMPUTED_VALUE"""),"Daily (Day-7)")</f>
        <v>Daily (Day-7)</v>
      </c>
      <c r="K378" s="258" t="str">
        <f>IFERROR(__xludf.DUMMYFUNCTION("""COMPUTED_VALUE"""),"")</f>
        <v/>
      </c>
      <c r="L378" s="258" t="str">
        <f>IFERROR(__xludf.DUMMYFUNCTION("""COMPUTED_VALUE"""),"GHP, GHP-PREPAID, TM, PW, GOMO")</f>
        <v>GHP, GHP-PREPAID, TM, PW, GOMO</v>
      </c>
      <c r="M378" s="258" t="str">
        <f>IFERROR(__xludf.DUMMYFUNCTION("""COMPUTED_VALUE"""),"Consumer, EG, SG, In house, IBG Traveler")</f>
        <v>Consumer, EG, SG, In house, IBG Traveler</v>
      </c>
      <c r="N378" s="258" t="str">
        <f>IFERROR(__xludf.DUMMYFUNCTION("""COMPUTED_VALUE"""),"usage")</f>
        <v>usage</v>
      </c>
      <c r="O378" s="258" t="str">
        <f>IFERROR(__xludf.DUMMYFUNCTION("""COMPUTED_VALUE"""),"adjustment_profile")</f>
        <v>adjustment_profile</v>
      </c>
      <c r="P378" s="258"/>
    </row>
    <row r="379">
      <c r="A379" s="257" t="str">
        <f>IFERROR(__xludf.DUMMYFUNCTION("""COMPUTED_VALUE"""),"usage_top_loc_timeblock2_past_90days")</f>
        <v>usage_top_loc_timeblock2_past_90days</v>
      </c>
      <c r="B379" s="258" t="str">
        <f>IFERROR(__xludf.DUMMYFUNCTION("""COMPUTED_VALUE"""),"Behavioral")</f>
        <v>Behavioral</v>
      </c>
      <c r="C379" s="258" t="str">
        <f>IFERROR(__xludf.DUMMYFUNCTION("""COMPUTED_VALUE"""),"Non-PII")</f>
        <v>Non-PII</v>
      </c>
      <c r="D379" s="258" t="str">
        <f>IFERROR(__xludf.DUMMYFUNCTION("""COMPUTED_VALUE"""),"Non-PII")</f>
        <v>Non-PII</v>
      </c>
      <c r="E379" s="258" t="str">
        <f>IFERROR(__xludf.DUMMYFUNCTION("""COMPUTED_VALUE"""),"Top location (cell_site_town_name and cell_site_province_name) where 'DATA' transaction usage of the subscriber mostly happen during this specific time 05:00 AM - 08:59 AM for the past 90 days")</f>
        <v>Top location (cell_site_town_name and cell_site_province_name) where 'DATA' transaction usage of the subscriber mostly happen during this specific time 05:00 AM - 08:59 AM for the past 90 days</v>
      </c>
      <c r="F379" s="258" t="str">
        <f>IFERROR(__xludf.DUMMYFUNCTION("""COMPUTED_VALUE"""),"Derived")</f>
        <v>Derived</v>
      </c>
      <c r="G379" s="258" t="str">
        <f>IFERROR(__xludf.DUMMYFUNCTION("""COMPUTED_VALUE"""),"varchar(1000)")</f>
        <v>varchar(1000)</v>
      </c>
      <c r="H379" s="258" t="str">
        <f>IFERROR(__xludf.DUMMYFUNCTION("""COMPUTED_VALUE"""),"SAN MIGUEL|BULACAN")</f>
        <v>SAN MIGUEL|BULACAN</v>
      </c>
      <c r="I379" s="258" t="str">
        <f>IFERROR(__xludf.DUMMYFUNCTION("""COMPUTED_VALUE"""),"FVT CRM Mobile")</f>
        <v>FVT CRM Mobile</v>
      </c>
      <c r="J379" s="258" t="str">
        <f>IFERROR(__xludf.DUMMYFUNCTION("""COMPUTED_VALUE"""),"Daily (Day-7)")</f>
        <v>Daily (Day-7)</v>
      </c>
      <c r="K379" s="258" t="str">
        <f>IFERROR(__xludf.DUMMYFUNCTION("""COMPUTED_VALUE"""),"")</f>
        <v/>
      </c>
      <c r="L379" s="258" t="str">
        <f>IFERROR(__xludf.DUMMYFUNCTION("""COMPUTED_VALUE"""),"GHP, GHP-PREPAID, TM, PW, GOMO")</f>
        <v>GHP, GHP-PREPAID, TM, PW, GOMO</v>
      </c>
      <c r="M379" s="258" t="str">
        <f>IFERROR(__xludf.DUMMYFUNCTION("""COMPUTED_VALUE"""),"Consumer, EG, SG, In house, IBG Traveler")</f>
        <v>Consumer, EG, SG, In house, IBG Traveler</v>
      </c>
      <c r="N379" s="258" t="str">
        <f>IFERROR(__xludf.DUMMYFUNCTION("""COMPUTED_VALUE"""),"usage")</f>
        <v>usage</v>
      </c>
      <c r="O379" s="258" t="str">
        <f>IFERROR(__xludf.DUMMYFUNCTION("""COMPUTED_VALUE"""),"adjustment_profile")</f>
        <v>adjustment_profile</v>
      </c>
      <c r="P379" s="258"/>
    </row>
    <row r="380">
      <c r="A380" s="257" t="str">
        <f>IFERROR(__xludf.DUMMYFUNCTION("""COMPUTED_VALUE"""),"usage_top_loc_timeblock3_past_90days")</f>
        <v>usage_top_loc_timeblock3_past_90days</v>
      </c>
      <c r="B380" s="258" t="str">
        <f>IFERROR(__xludf.DUMMYFUNCTION("""COMPUTED_VALUE"""),"Behavioral")</f>
        <v>Behavioral</v>
      </c>
      <c r="C380" s="258" t="str">
        <f>IFERROR(__xludf.DUMMYFUNCTION("""COMPUTED_VALUE"""),"Non-PII")</f>
        <v>Non-PII</v>
      </c>
      <c r="D380" s="258" t="str">
        <f>IFERROR(__xludf.DUMMYFUNCTION("""COMPUTED_VALUE"""),"Non-PII")</f>
        <v>Non-PII</v>
      </c>
      <c r="E380" s="258" t="str">
        <f>IFERROR(__xludf.DUMMYFUNCTION("""COMPUTED_VALUE"""),"Top location (cell_site_town_name and cell_site_province_name) where 'DATA' transaction usage of the subscriber mostly happen during this specific time 09:00 AM - 12:59 PM for the past 90 days")</f>
        <v>Top location (cell_site_town_name and cell_site_province_name) where 'DATA' transaction usage of the subscriber mostly happen during this specific time 09:00 AM - 12:59 PM for the past 90 days</v>
      </c>
      <c r="F380" s="258" t="str">
        <f>IFERROR(__xludf.DUMMYFUNCTION("""COMPUTED_VALUE"""),"Derived")</f>
        <v>Derived</v>
      </c>
      <c r="G380" s="258" t="str">
        <f>IFERROR(__xludf.DUMMYFUNCTION("""COMPUTED_VALUE"""),"varchar(1000)")</f>
        <v>varchar(1000)</v>
      </c>
      <c r="H380" s="258" t="str">
        <f>IFERROR(__xludf.DUMMYFUNCTION("""COMPUTED_VALUE"""),"SAN MIGUEL|BULACAN")</f>
        <v>SAN MIGUEL|BULACAN</v>
      </c>
      <c r="I380" s="258" t="str">
        <f>IFERROR(__xludf.DUMMYFUNCTION("""COMPUTED_VALUE"""),"FVT CRM Mobile")</f>
        <v>FVT CRM Mobile</v>
      </c>
      <c r="J380" s="258" t="str">
        <f>IFERROR(__xludf.DUMMYFUNCTION("""COMPUTED_VALUE"""),"Daily (Day-7)")</f>
        <v>Daily (Day-7)</v>
      </c>
      <c r="K380" s="258" t="str">
        <f>IFERROR(__xludf.DUMMYFUNCTION("""COMPUTED_VALUE"""),"")</f>
        <v/>
      </c>
      <c r="L380" s="258" t="str">
        <f>IFERROR(__xludf.DUMMYFUNCTION("""COMPUTED_VALUE"""),"GHP, GHP-PREPAID, TM, PW, GOMO")</f>
        <v>GHP, GHP-PREPAID, TM, PW, GOMO</v>
      </c>
      <c r="M380" s="258" t="str">
        <f>IFERROR(__xludf.DUMMYFUNCTION("""COMPUTED_VALUE"""),"Consumer, EG, SG, In house, IBG Traveler")</f>
        <v>Consumer, EG, SG, In house, IBG Traveler</v>
      </c>
      <c r="N380" s="258" t="str">
        <f>IFERROR(__xludf.DUMMYFUNCTION("""COMPUTED_VALUE"""),"usage")</f>
        <v>usage</v>
      </c>
      <c r="O380" s="258" t="str">
        <f>IFERROR(__xludf.DUMMYFUNCTION("""COMPUTED_VALUE"""),"adjustment_profile")</f>
        <v>adjustment_profile</v>
      </c>
      <c r="P380" s="258"/>
    </row>
    <row r="381">
      <c r="A381" s="257" t="str">
        <f>IFERROR(__xludf.DUMMYFUNCTION("""COMPUTED_VALUE"""),"usage_top_loc_timeblock4_past_90days")</f>
        <v>usage_top_loc_timeblock4_past_90days</v>
      </c>
      <c r="B381" s="258" t="str">
        <f>IFERROR(__xludf.DUMMYFUNCTION("""COMPUTED_VALUE"""),"Behavioral")</f>
        <v>Behavioral</v>
      </c>
      <c r="C381" s="258" t="str">
        <f>IFERROR(__xludf.DUMMYFUNCTION("""COMPUTED_VALUE"""),"Non-PII")</f>
        <v>Non-PII</v>
      </c>
      <c r="D381" s="258" t="str">
        <f>IFERROR(__xludf.DUMMYFUNCTION("""COMPUTED_VALUE"""),"Non-PII")</f>
        <v>Non-PII</v>
      </c>
      <c r="E381" s="258" t="str">
        <f>IFERROR(__xludf.DUMMYFUNCTION("""COMPUTED_VALUE"""),"Top location (cell_site_town_name and cell_site_province_name) where 'DATA' transaction usage of the subscriber mostly happen during this specific time 01:00 PM - 04:59 PM for the past 90 days")</f>
        <v>Top location (cell_site_town_name and cell_site_province_name) where 'DATA' transaction usage of the subscriber mostly happen during this specific time 01:00 PM - 04:59 PM for the past 90 days</v>
      </c>
      <c r="F381" s="258" t="str">
        <f>IFERROR(__xludf.DUMMYFUNCTION("""COMPUTED_VALUE"""),"Derived")</f>
        <v>Derived</v>
      </c>
      <c r="G381" s="258" t="str">
        <f>IFERROR(__xludf.DUMMYFUNCTION("""COMPUTED_VALUE"""),"varchar(1000)")</f>
        <v>varchar(1000)</v>
      </c>
      <c r="H381" s="258" t="str">
        <f>IFERROR(__xludf.DUMMYFUNCTION("""COMPUTED_VALUE"""),"CAVITE CITY|CAVITE")</f>
        <v>CAVITE CITY|CAVITE</v>
      </c>
      <c r="I381" s="258" t="str">
        <f>IFERROR(__xludf.DUMMYFUNCTION("""COMPUTED_VALUE"""),"FVT CRM Mobile")</f>
        <v>FVT CRM Mobile</v>
      </c>
      <c r="J381" s="258" t="str">
        <f>IFERROR(__xludf.DUMMYFUNCTION("""COMPUTED_VALUE"""),"Daily (Day-7)")</f>
        <v>Daily (Day-7)</v>
      </c>
      <c r="K381" s="258" t="str">
        <f>IFERROR(__xludf.DUMMYFUNCTION("""COMPUTED_VALUE"""),"")</f>
        <v/>
      </c>
      <c r="L381" s="258" t="str">
        <f>IFERROR(__xludf.DUMMYFUNCTION("""COMPUTED_VALUE"""),"GHP, GHP-PREPAID, TM, PW, GOMO")</f>
        <v>GHP, GHP-PREPAID, TM, PW, GOMO</v>
      </c>
      <c r="M381" s="258" t="str">
        <f>IFERROR(__xludf.DUMMYFUNCTION("""COMPUTED_VALUE"""),"Consumer, EG, SG, In house, IBG Traveler")</f>
        <v>Consumer, EG, SG, In house, IBG Traveler</v>
      </c>
      <c r="N381" s="258" t="str">
        <f>IFERROR(__xludf.DUMMYFUNCTION("""COMPUTED_VALUE"""),"usage")</f>
        <v>usage</v>
      </c>
      <c r="O381" s="258" t="str">
        <f>IFERROR(__xludf.DUMMYFUNCTION("""COMPUTED_VALUE"""),"adjustment_profile")</f>
        <v>adjustment_profile</v>
      </c>
      <c r="P381" s="258"/>
    </row>
    <row r="382">
      <c r="A382" s="257" t="str">
        <f>IFERROR(__xludf.DUMMYFUNCTION("""COMPUTED_VALUE"""),"usage_top_loc_timeblock5_past_90days")</f>
        <v>usage_top_loc_timeblock5_past_90days</v>
      </c>
      <c r="B382" s="258" t="str">
        <f>IFERROR(__xludf.DUMMYFUNCTION("""COMPUTED_VALUE"""),"Behavioral")</f>
        <v>Behavioral</v>
      </c>
      <c r="C382" s="258" t="str">
        <f>IFERROR(__xludf.DUMMYFUNCTION("""COMPUTED_VALUE"""),"Non-PII")</f>
        <v>Non-PII</v>
      </c>
      <c r="D382" s="258" t="str">
        <f>IFERROR(__xludf.DUMMYFUNCTION("""COMPUTED_VALUE"""),"Non-PII")</f>
        <v>Non-PII</v>
      </c>
      <c r="E382" s="258" t="str">
        <f>IFERROR(__xludf.DUMMYFUNCTION("""COMPUTED_VALUE"""),"Top location (cell_site_town_name and cell_site_province_name) where 'DATA' transaction usage of the subscriber mostly happen during this specific time 05:00 PM - 08:59 PM for the past 90 days")</f>
        <v>Top location (cell_site_town_name and cell_site_province_name) where 'DATA' transaction usage of the subscriber mostly happen during this specific time 05:00 PM - 08:59 PM for the past 90 days</v>
      </c>
      <c r="F382" s="258" t="str">
        <f>IFERROR(__xludf.DUMMYFUNCTION("""COMPUTED_VALUE"""),"Derived")</f>
        <v>Derived</v>
      </c>
      <c r="G382" s="258" t="str">
        <f>IFERROR(__xludf.DUMMYFUNCTION("""COMPUTED_VALUE"""),"varchar(1000)")</f>
        <v>varchar(1000)</v>
      </c>
      <c r="H382" s="258" t="str">
        <f>IFERROR(__xludf.DUMMYFUNCTION("""COMPUTED_VALUE"""),"SAN MIGUEL|BULACAN")</f>
        <v>SAN MIGUEL|BULACAN</v>
      </c>
      <c r="I382" s="258" t="str">
        <f>IFERROR(__xludf.DUMMYFUNCTION("""COMPUTED_VALUE"""),"FVT CRM Mobile")</f>
        <v>FVT CRM Mobile</v>
      </c>
      <c r="J382" s="258" t="str">
        <f>IFERROR(__xludf.DUMMYFUNCTION("""COMPUTED_VALUE"""),"Daily (Day-7)")</f>
        <v>Daily (Day-7)</v>
      </c>
      <c r="K382" s="258" t="str">
        <f>IFERROR(__xludf.DUMMYFUNCTION("""COMPUTED_VALUE"""),"")</f>
        <v/>
      </c>
      <c r="L382" s="258" t="str">
        <f>IFERROR(__xludf.DUMMYFUNCTION("""COMPUTED_VALUE"""),"GHP, GHP-PREPAID, TM, PW, GOMO")</f>
        <v>GHP, GHP-PREPAID, TM, PW, GOMO</v>
      </c>
      <c r="M382" s="258" t="str">
        <f>IFERROR(__xludf.DUMMYFUNCTION("""COMPUTED_VALUE"""),"Consumer, EG, SG, In house, IBG Traveler")</f>
        <v>Consumer, EG, SG, In house, IBG Traveler</v>
      </c>
      <c r="N382" s="258" t="str">
        <f>IFERROR(__xludf.DUMMYFUNCTION("""COMPUTED_VALUE"""),"usage")</f>
        <v>usage</v>
      </c>
      <c r="O382" s="258" t="str">
        <f>IFERROR(__xludf.DUMMYFUNCTION("""COMPUTED_VALUE"""),"adjustment_profile")</f>
        <v>adjustment_profile</v>
      </c>
      <c r="P382" s="258"/>
    </row>
    <row r="383">
      <c r="A383" s="257" t="str">
        <f>IFERROR(__xludf.DUMMYFUNCTION("""COMPUTED_VALUE"""),"usage_top_loc_timeblock6_past_90days")</f>
        <v>usage_top_loc_timeblock6_past_90days</v>
      </c>
      <c r="B383" s="258" t="str">
        <f>IFERROR(__xludf.DUMMYFUNCTION("""COMPUTED_VALUE"""),"Behavioral")</f>
        <v>Behavioral</v>
      </c>
      <c r="C383" s="258" t="str">
        <f>IFERROR(__xludf.DUMMYFUNCTION("""COMPUTED_VALUE"""),"Non-PII")</f>
        <v>Non-PII</v>
      </c>
      <c r="D383" s="258" t="str">
        <f>IFERROR(__xludf.DUMMYFUNCTION("""COMPUTED_VALUE"""),"Non-PII")</f>
        <v>Non-PII</v>
      </c>
      <c r="E383" s="258" t="str">
        <f>IFERROR(__xludf.DUMMYFUNCTION("""COMPUTED_VALUE"""),"Top location (cell_site_town_name and cell_site_province_name) where 'DATA' transaction usage of the subscriber mostly happen during this specific time 09:00 PM - 12:59 AM for the past 90 days")</f>
        <v>Top location (cell_site_town_name and cell_site_province_name) where 'DATA' transaction usage of the subscriber mostly happen during this specific time 09:00 PM - 12:59 AM for the past 90 days</v>
      </c>
      <c r="F383" s="258" t="str">
        <f>IFERROR(__xludf.DUMMYFUNCTION("""COMPUTED_VALUE"""),"Derived")</f>
        <v>Derived</v>
      </c>
      <c r="G383" s="258" t="str">
        <f>IFERROR(__xludf.DUMMYFUNCTION("""COMPUTED_VALUE"""),"varchar(1000)")</f>
        <v>varchar(1000)</v>
      </c>
      <c r="H383" s="258" t="str">
        <f>IFERROR(__xludf.DUMMYFUNCTION("""COMPUTED_VALUE"""),"NORZAGARAY|BULACAN")</f>
        <v>NORZAGARAY|BULACAN</v>
      </c>
      <c r="I383" s="258" t="str">
        <f>IFERROR(__xludf.DUMMYFUNCTION("""COMPUTED_VALUE"""),"FVT CRM Mobile")</f>
        <v>FVT CRM Mobile</v>
      </c>
      <c r="J383" s="258" t="str">
        <f>IFERROR(__xludf.DUMMYFUNCTION("""COMPUTED_VALUE"""),"Daily (Day-7)")</f>
        <v>Daily (Day-7)</v>
      </c>
      <c r="K383" s="258" t="str">
        <f>IFERROR(__xludf.DUMMYFUNCTION("""COMPUTED_VALUE"""),"")</f>
        <v/>
      </c>
      <c r="L383" s="258" t="str">
        <f>IFERROR(__xludf.DUMMYFUNCTION("""COMPUTED_VALUE"""),"GHP, GHP-PREPAID, TM, PW, GOMO")</f>
        <v>GHP, GHP-PREPAID, TM, PW, GOMO</v>
      </c>
      <c r="M383" s="258" t="str">
        <f>IFERROR(__xludf.DUMMYFUNCTION("""COMPUTED_VALUE"""),"Consumer, EG, SG, In house, IBG Traveler")</f>
        <v>Consumer, EG, SG, In house, IBG Traveler</v>
      </c>
      <c r="N383" s="258" t="str">
        <f>IFERROR(__xludf.DUMMYFUNCTION("""COMPUTED_VALUE"""),"usage")</f>
        <v>usage</v>
      </c>
      <c r="O383" s="258" t="str">
        <f>IFERROR(__xludf.DUMMYFUNCTION("""COMPUTED_VALUE"""),"adjustment_profile")</f>
        <v>adjustment_profile</v>
      </c>
      <c r="P383" s="258"/>
    </row>
    <row r="384">
      <c r="A384" s="257" t="str">
        <f>IFERROR(__xludf.DUMMYFUNCTION("""COMPUTED_VALUE"""),"usage_data_amount_timeblock1_past_30days")</f>
        <v>usage_data_amount_timeblock1_past_30days</v>
      </c>
      <c r="B384" s="258" t="str">
        <f>IFERROR(__xludf.DUMMYFUNCTION("""COMPUTED_VALUE"""),"Behavioral")</f>
        <v>Behavioral</v>
      </c>
      <c r="C384" s="258" t="str">
        <f>IFERROR(__xludf.DUMMYFUNCTION("""COMPUTED_VALUE"""),"Non-PII")</f>
        <v>Non-PII</v>
      </c>
      <c r="D384" s="258" t="str">
        <f>IFERROR(__xludf.DUMMYFUNCTION("""COMPUTED_VALUE"""),"Non-PII")</f>
        <v>Non-PII</v>
      </c>
      <c r="E384" s="258" t="str">
        <f>IFERROR(__xludf.DUMMYFUNCTION("""COMPUTED_VALUE"""),"Total data volume used in megabytes from 01:00 AM - 04:59 AM for the past 30 days")</f>
        <v>Total data volume used in megabytes from 01:00 AM - 04:59 AM for the past 30 days</v>
      </c>
      <c r="F384" s="258" t="str">
        <f>IFERROR(__xludf.DUMMYFUNCTION("""COMPUTED_VALUE"""),"Derived")</f>
        <v>Derived</v>
      </c>
      <c r="G384" s="258" t="str">
        <f>IFERROR(__xludf.DUMMYFUNCTION("""COMPUTED_VALUE"""),"bigint")</f>
        <v>bigint</v>
      </c>
      <c r="H384" s="258">
        <f>IFERROR(__xludf.DUMMYFUNCTION("""COMPUTED_VALUE"""),15.0)</f>
        <v>15</v>
      </c>
      <c r="I384" s="258" t="str">
        <f>IFERROR(__xludf.DUMMYFUNCTION("""COMPUTED_VALUE"""),"FVT CRM Mobile")</f>
        <v>FVT CRM Mobile</v>
      </c>
      <c r="J384" s="258" t="str">
        <f>IFERROR(__xludf.DUMMYFUNCTION("""COMPUTED_VALUE"""),"Daily (Day-7)")</f>
        <v>Daily (Day-7)</v>
      </c>
      <c r="K384" s="258" t="str">
        <f>IFERROR(__xludf.DUMMYFUNCTION("""COMPUTED_VALUE"""),"")</f>
        <v/>
      </c>
      <c r="L384" s="258" t="str">
        <f>IFERROR(__xludf.DUMMYFUNCTION("""COMPUTED_VALUE"""),"GHP, GHP-PREPAID, TM, PW, GOMO")</f>
        <v>GHP, GHP-PREPAID, TM, PW, GOMO</v>
      </c>
      <c r="M384" s="258" t="str">
        <f>IFERROR(__xludf.DUMMYFUNCTION("""COMPUTED_VALUE"""),"Consumer, EG, SG, In house, IBG Traveler")</f>
        <v>Consumer, EG, SG, In house, IBG Traveler</v>
      </c>
      <c r="N384" s="258" t="str">
        <f>IFERROR(__xludf.DUMMYFUNCTION("""COMPUTED_VALUE"""),"usage")</f>
        <v>usage</v>
      </c>
      <c r="O384" s="258" t="str">
        <f>IFERROR(__xludf.DUMMYFUNCTION("""COMPUTED_VALUE"""),"adjustment_profile")</f>
        <v>adjustment_profile</v>
      </c>
      <c r="P384" s="258"/>
    </row>
    <row r="385">
      <c r="A385" s="257" t="str">
        <f>IFERROR(__xludf.DUMMYFUNCTION("""COMPUTED_VALUE"""),"usage_data_amount_timeblock2_past_30days")</f>
        <v>usage_data_amount_timeblock2_past_30days</v>
      </c>
      <c r="B385" s="258" t="str">
        <f>IFERROR(__xludf.DUMMYFUNCTION("""COMPUTED_VALUE"""),"Behavioral")</f>
        <v>Behavioral</v>
      </c>
      <c r="C385" s="258" t="str">
        <f>IFERROR(__xludf.DUMMYFUNCTION("""COMPUTED_VALUE"""),"Non-PII")</f>
        <v>Non-PII</v>
      </c>
      <c r="D385" s="258" t="str">
        <f>IFERROR(__xludf.DUMMYFUNCTION("""COMPUTED_VALUE"""),"Non-PII")</f>
        <v>Non-PII</v>
      </c>
      <c r="E385" s="258" t="str">
        <f>IFERROR(__xludf.DUMMYFUNCTION("""COMPUTED_VALUE"""),"Total data volume used in megabytes from 05:00 AM - 08:59 AM for the past 30 days")</f>
        <v>Total data volume used in megabytes from 05:00 AM - 08:59 AM for the past 30 days</v>
      </c>
      <c r="F385" s="258" t="str">
        <f>IFERROR(__xludf.DUMMYFUNCTION("""COMPUTED_VALUE"""),"Derived")</f>
        <v>Derived</v>
      </c>
      <c r="G385" s="258" t="str">
        <f>IFERROR(__xludf.DUMMYFUNCTION("""COMPUTED_VALUE"""),"bigint")</f>
        <v>bigint</v>
      </c>
      <c r="H385" s="258">
        <f>IFERROR(__xludf.DUMMYFUNCTION("""COMPUTED_VALUE"""),15.0)</f>
        <v>15</v>
      </c>
      <c r="I385" s="258" t="str">
        <f>IFERROR(__xludf.DUMMYFUNCTION("""COMPUTED_VALUE"""),"FVT CRM Mobile")</f>
        <v>FVT CRM Mobile</v>
      </c>
      <c r="J385" s="258" t="str">
        <f>IFERROR(__xludf.DUMMYFUNCTION("""COMPUTED_VALUE"""),"Daily (Day-7)")</f>
        <v>Daily (Day-7)</v>
      </c>
      <c r="K385" s="258" t="str">
        <f>IFERROR(__xludf.DUMMYFUNCTION("""COMPUTED_VALUE"""),"")</f>
        <v/>
      </c>
      <c r="L385" s="258" t="str">
        <f>IFERROR(__xludf.DUMMYFUNCTION("""COMPUTED_VALUE"""),"GHP, GHP-PREPAID, TM, PW, GOMO")</f>
        <v>GHP, GHP-PREPAID, TM, PW, GOMO</v>
      </c>
      <c r="M385" s="258" t="str">
        <f>IFERROR(__xludf.DUMMYFUNCTION("""COMPUTED_VALUE"""),"Consumer, EG, SG, In house, IBG Traveler")</f>
        <v>Consumer, EG, SG, In house, IBG Traveler</v>
      </c>
      <c r="N385" s="258" t="str">
        <f>IFERROR(__xludf.DUMMYFUNCTION("""COMPUTED_VALUE"""),"usage")</f>
        <v>usage</v>
      </c>
      <c r="O385" s="258" t="str">
        <f>IFERROR(__xludf.DUMMYFUNCTION("""COMPUTED_VALUE"""),"adjustment_profile")</f>
        <v>adjustment_profile</v>
      </c>
      <c r="P385" s="258"/>
    </row>
    <row r="386">
      <c r="A386" s="257" t="str">
        <f>IFERROR(__xludf.DUMMYFUNCTION("""COMPUTED_VALUE"""),"usage_data_amount_timeblock3_past_30days")</f>
        <v>usage_data_amount_timeblock3_past_30days</v>
      </c>
      <c r="B386" s="258" t="str">
        <f>IFERROR(__xludf.DUMMYFUNCTION("""COMPUTED_VALUE"""),"Behavioral")</f>
        <v>Behavioral</v>
      </c>
      <c r="C386" s="258" t="str">
        <f>IFERROR(__xludf.DUMMYFUNCTION("""COMPUTED_VALUE"""),"Non-PII")</f>
        <v>Non-PII</v>
      </c>
      <c r="D386" s="258" t="str">
        <f>IFERROR(__xludf.DUMMYFUNCTION("""COMPUTED_VALUE"""),"Non-PII")</f>
        <v>Non-PII</v>
      </c>
      <c r="E386" s="258" t="str">
        <f>IFERROR(__xludf.DUMMYFUNCTION("""COMPUTED_VALUE"""),"Total data volume used in megabytes from 09:00 AM - 12:59 PM for the past 30 days")</f>
        <v>Total data volume used in megabytes from 09:00 AM - 12:59 PM for the past 30 days</v>
      </c>
      <c r="F386" s="258" t="str">
        <f>IFERROR(__xludf.DUMMYFUNCTION("""COMPUTED_VALUE"""),"Derived")</f>
        <v>Derived</v>
      </c>
      <c r="G386" s="258" t="str">
        <f>IFERROR(__xludf.DUMMYFUNCTION("""COMPUTED_VALUE"""),"bigint")</f>
        <v>bigint</v>
      </c>
      <c r="H386" s="258">
        <f>IFERROR(__xludf.DUMMYFUNCTION("""COMPUTED_VALUE"""),15.0)</f>
        <v>15</v>
      </c>
      <c r="I386" s="258" t="str">
        <f>IFERROR(__xludf.DUMMYFUNCTION("""COMPUTED_VALUE"""),"FVT CRM Mobile")</f>
        <v>FVT CRM Mobile</v>
      </c>
      <c r="J386" s="258" t="str">
        <f>IFERROR(__xludf.DUMMYFUNCTION("""COMPUTED_VALUE"""),"Daily (Day-7)")</f>
        <v>Daily (Day-7)</v>
      </c>
      <c r="K386" s="258" t="str">
        <f>IFERROR(__xludf.DUMMYFUNCTION("""COMPUTED_VALUE"""),"")</f>
        <v/>
      </c>
      <c r="L386" s="258" t="str">
        <f>IFERROR(__xludf.DUMMYFUNCTION("""COMPUTED_VALUE"""),"GHP, GHP-PREPAID, TM, PW, GOMO")</f>
        <v>GHP, GHP-PREPAID, TM, PW, GOMO</v>
      </c>
      <c r="M386" s="258" t="str">
        <f>IFERROR(__xludf.DUMMYFUNCTION("""COMPUTED_VALUE"""),"Consumer, EG, SG, In house, IBG Traveler")</f>
        <v>Consumer, EG, SG, In house, IBG Traveler</v>
      </c>
      <c r="N386" s="258" t="str">
        <f>IFERROR(__xludf.DUMMYFUNCTION("""COMPUTED_VALUE"""),"usage")</f>
        <v>usage</v>
      </c>
      <c r="O386" s="258" t="str">
        <f>IFERROR(__xludf.DUMMYFUNCTION("""COMPUTED_VALUE"""),"adjustment_profile")</f>
        <v>adjustment_profile</v>
      </c>
      <c r="P386" s="258"/>
    </row>
    <row r="387">
      <c r="A387" s="257" t="str">
        <f>IFERROR(__xludf.DUMMYFUNCTION("""COMPUTED_VALUE"""),"usage_data_amount_timeblock4_past_30days")</f>
        <v>usage_data_amount_timeblock4_past_30days</v>
      </c>
      <c r="B387" s="258" t="str">
        <f>IFERROR(__xludf.DUMMYFUNCTION("""COMPUTED_VALUE"""),"Behavioral")</f>
        <v>Behavioral</v>
      </c>
      <c r="C387" s="258" t="str">
        <f>IFERROR(__xludf.DUMMYFUNCTION("""COMPUTED_VALUE"""),"Non-PII")</f>
        <v>Non-PII</v>
      </c>
      <c r="D387" s="258" t="str">
        <f>IFERROR(__xludf.DUMMYFUNCTION("""COMPUTED_VALUE"""),"Non-PII")</f>
        <v>Non-PII</v>
      </c>
      <c r="E387" s="258" t="str">
        <f>IFERROR(__xludf.DUMMYFUNCTION("""COMPUTED_VALUE"""),"Total data volume used in megabytes from 01:00 PM - 04:59 PM for the past 30 days")</f>
        <v>Total data volume used in megabytes from 01:00 PM - 04:59 PM for the past 30 days</v>
      </c>
      <c r="F387" s="258" t="str">
        <f>IFERROR(__xludf.DUMMYFUNCTION("""COMPUTED_VALUE"""),"Derived")</f>
        <v>Derived</v>
      </c>
      <c r="G387" s="258" t="str">
        <f>IFERROR(__xludf.DUMMYFUNCTION("""COMPUTED_VALUE"""),"bigint")</f>
        <v>bigint</v>
      </c>
      <c r="H387" s="258">
        <f>IFERROR(__xludf.DUMMYFUNCTION("""COMPUTED_VALUE"""),15.0)</f>
        <v>15</v>
      </c>
      <c r="I387" s="258" t="str">
        <f>IFERROR(__xludf.DUMMYFUNCTION("""COMPUTED_VALUE"""),"FVT CRM Mobile")</f>
        <v>FVT CRM Mobile</v>
      </c>
      <c r="J387" s="258" t="str">
        <f>IFERROR(__xludf.DUMMYFUNCTION("""COMPUTED_VALUE"""),"Daily (Day-7)")</f>
        <v>Daily (Day-7)</v>
      </c>
      <c r="K387" s="258" t="str">
        <f>IFERROR(__xludf.DUMMYFUNCTION("""COMPUTED_VALUE"""),"")</f>
        <v/>
      </c>
      <c r="L387" s="258" t="str">
        <f>IFERROR(__xludf.DUMMYFUNCTION("""COMPUTED_VALUE"""),"GHP, GHP-PREPAID, TM, PW, GOMO")</f>
        <v>GHP, GHP-PREPAID, TM, PW, GOMO</v>
      </c>
      <c r="M387" s="258" t="str">
        <f>IFERROR(__xludf.DUMMYFUNCTION("""COMPUTED_VALUE"""),"Consumer, EG, SG, In house, IBG Traveler")</f>
        <v>Consumer, EG, SG, In house, IBG Traveler</v>
      </c>
      <c r="N387" s="258" t="str">
        <f>IFERROR(__xludf.DUMMYFUNCTION("""COMPUTED_VALUE"""),"usage")</f>
        <v>usage</v>
      </c>
      <c r="O387" s="258" t="str">
        <f>IFERROR(__xludf.DUMMYFUNCTION("""COMPUTED_VALUE"""),"adjustment_profile")</f>
        <v>adjustment_profile</v>
      </c>
      <c r="P387" s="258"/>
    </row>
    <row r="388">
      <c r="A388" s="257" t="str">
        <f>IFERROR(__xludf.DUMMYFUNCTION("""COMPUTED_VALUE"""),"usage_data_amount_timeblock5_past_30days")</f>
        <v>usage_data_amount_timeblock5_past_30days</v>
      </c>
      <c r="B388" s="258" t="str">
        <f>IFERROR(__xludf.DUMMYFUNCTION("""COMPUTED_VALUE"""),"Behavioral")</f>
        <v>Behavioral</v>
      </c>
      <c r="C388" s="258" t="str">
        <f>IFERROR(__xludf.DUMMYFUNCTION("""COMPUTED_VALUE"""),"Non-PII")</f>
        <v>Non-PII</v>
      </c>
      <c r="D388" s="258" t="str">
        <f>IFERROR(__xludf.DUMMYFUNCTION("""COMPUTED_VALUE"""),"Non-PII")</f>
        <v>Non-PII</v>
      </c>
      <c r="E388" s="258" t="str">
        <f>IFERROR(__xludf.DUMMYFUNCTION("""COMPUTED_VALUE"""),"Total data volume used in megabytes from 05:00 PM - 08:59 PM for the past 30 days")</f>
        <v>Total data volume used in megabytes from 05:00 PM - 08:59 PM for the past 30 days</v>
      </c>
      <c r="F388" s="258" t="str">
        <f>IFERROR(__xludf.DUMMYFUNCTION("""COMPUTED_VALUE"""),"Derived")</f>
        <v>Derived</v>
      </c>
      <c r="G388" s="258" t="str">
        <f>IFERROR(__xludf.DUMMYFUNCTION("""COMPUTED_VALUE"""),"bigint")</f>
        <v>bigint</v>
      </c>
      <c r="H388" s="258">
        <f>IFERROR(__xludf.DUMMYFUNCTION("""COMPUTED_VALUE"""),15.0)</f>
        <v>15</v>
      </c>
      <c r="I388" s="258" t="str">
        <f>IFERROR(__xludf.DUMMYFUNCTION("""COMPUTED_VALUE"""),"FVT CRM Mobile")</f>
        <v>FVT CRM Mobile</v>
      </c>
      <c r="J388" s="258" t="str">
        <f>IFERROR(__xludf.DUMMYFUNCTION("""COMPUTED_VALUE"""),"Daily (Day-7)")</f>
        <v>Daily (Day-7)</v>
      </c>
      <c r="K388" s="258" t="str">
        <f>IFERROR(__xludf.DUMMYFUNCTION("""COMPUTED_VALUE"""),"")</f>
        <v/>
      </c>
      <c r="L388" s="258" t="str">
        <f>IFERROR(__xludf.DUMMYFUNCTION("""COMPUTED_VALUE"""),"GHP, GHP-PREPAID, TM, PW, GOMO")</f>
        <v>GHP, GHP-PREPAID, TM, PW, GOMO</v>
      </c>
      <c r="M388" s="258" t="str">
        <f>IFERROR(__xludf.DUMMYFUNCTION("""COMPUTED_VALUE"""),"Consumer, EG, SG, In house, IBG Traveler")</f>
        <v>Consumer, EG, SG, In house, IBG Traveler</v>
      </c>
      <c r="N388" s="258" t="str">
        <f>IFERROR(__xludf.DUMMYFUNCTION("""COMPUTED_VALUE"""),"usage")</f>
        <v>usage</v>
      </c>
      <c r="O388" s="258" t="str">
        <f>IFERROR(__xludf.DUMMYFUNCTION("""COMPUTED_VALUE"""),"adjustment_profile")</f>
        <v>adjustment_profile</v>
      </c>
      <c r="P388" s="258"/>
    </row>
    <row r="389">
      <c r="A389" s="257" t="str">
        <f>IFERROR(__xludf.DUMMYFUNCTION("""COMPUTED_VALUE"""),"usage_data_amount_timeblock6_past_30days")</f>
        <v>usage_data_amount_timeblock6_past_30days</v>
      </c>
      <c r="B389" s="258" t="str">
        <f>IFERROR(__xludf.DUMMYFUNCTION("""COMPUTED_VALUE"""),"Behavioral")</f>
        <v>Behavioral</v>
      </c>
      <c r="C389" s="258" t="str">
        <f>IFERROR(__xludf.DUMMYFUNCTION("""COMPUTED_VALUE"""),"Non-PII")</f>
        <v>Non-PII</v>
      </c>
      <c r="D389" s="258" t="str">
        <f>IFERROR(__xludf.DUMMYFUNCTION("""COMPUTED_VALUE"""),"Non-PII")</f>
        <v>Non-PII</v>
      </c>
      <c r="E389" s="258" t="str">
        <f>IFERROR(__xludf.DUMMYFUNCTION("""COMPUTED_VALUE"""),"Total data volume used in megabytes from 09:00 PM - 12:59 AM for the past 30 days")</f>
        <v>Total data volume used in megabytes from 09:00 PM - 12:59 AM for the past 30 days</v>
      </c>
      <c r="F389" s="258" t="str">
        <f>IFERROR(__xludf.DUMMYFUNCTION("""COMPUTED_VALUE"""),"Derived")</f>
        <v>Derived</v>
      </c>
      <c r="G389" s="258" t="str">
        <f>IFERROR(__xludf.DUMMYFUNCTION("""COMPUTED_VALUE"""),"bigint")</f>
        <v>bigint</v>
      </c>
      <c r="H389" s="258">
        <f>IFERROR(__xludf.DUMMYFUNCTION("""COMPUTED_VALUE"""),15.0)</f>
        <v>15</v>
      </c>
      <c r="I389" s="258" t="str">
        <f>IFERROR(__xludf.DUMMYFUNCTION("""COMPUTED_VALUE"""),"FVT CRM Mobile")</f>
        <v>FVT CRM Mobile</v>
      </c>
      <c r="J389" s="258" t="str">
        <f>IFERROR(__xludf.DUMMYFUNCTION("""COMPUTED_VALUE"""),"Daily (Day-7)")</f>
        <v>Daily (Day-7)</v>
      </c>
      <c r="K389" s="258" t="str">
        <f>IFERROR(__xludf.DUMMYFUNCTION("""COMPUTED_VALUE"""),"")</f>
        <v/>
      </c>
      <c r="L389" s="258" t="str">
        <f>IFERROR(__xludf.DUMMYFUNCTION("""COMPUTED_VALUE"""),"GHP, GHP-PREPAID, TM, PW, GOMO")</f>
        <v>GHP, GHP-PREPAID, TM, PW, GOMO</v>
      </c>
      <c r="M389" s="258" t="str">
        <f>IFERROR(__xludf.DUMMYFUNCTION("""COMPUTED_VALUE"""),"Consumer, EG, SG, In house, IBG Traveler")</f>
        <v>Consumer, EG, SG, In house, IBG Traveler</v>
      </c>
      <c r="N389" s="258" t="str">
        <f>IFERROR(__xludf.DUMMYFUNCTION("""COMPUTED_VALUE"""),"usage")</f>
        <v>usage</v>
      </c>
      <c r="O389" s="258" t="str">
        <f>IFERROR(__xludf.DUMMYFUNCTION("""COMPUTED_VALUE"""),"adjustment_profile")</f>
        <v>adjustment_profile</v>
      </c>
      <c r="P389" s="258"/>
    </row>
    <row r="390">
      <c r="A390" s="257" t="str">
        <f>IFERROR(__xludf.DUMMYFUNCTION("""COMPUTED_VALUE"""),"usage_data_amount_timeblock1_past_60days")</f>
        <v>usage_data_amount_timeblock1_past_60days</v>
      </c>
      <c r="B390" s="258" t="str">
        <f>IFERROR(__xludf.DUMMYFUNCTION("""COMPUTED_VALUE"""),"Behavioral")</f>
        <v>Behavioral</v>
      </c>
      <c r="C390" s="258" t="str">
        <f>IFERROR(__xludf.DUMMYFUNCTION("""COMPUTED_VALUE"""),"Non-PII")</f>
        <v>Non-PII</v>
      </c>
      <c r="D390" s="258" t="str">
        <f>IFERROR(__xludf.DUMMYFUNCTION("""COMPUTED_VALUE"""),"Non-PII")</f>
        <v>Non-PII</v>
      </c>
      <c r="E390" s="258" t="str">
        <f>IFERROR(__xludf.DUMMYFUNCTION("""COMPUTED_VALUE"""),"Total data volume used in megabytes from 01:00 AM - 04:59 AM for the past 60 days")</f>
        <v>Total data volume used in megabytes from 01:00 AM - 04:59 AM for the past 60 days</v>
      </c>
      <c r="F390" s="258" t="str">
        <f>IFERROR(__xludf.DUMMYFUNCTION("""COMPUTED_VALUE"""),"Derived")</f>
        <v>Derived</v>
      </c>
      <c r="G390" s="258" t="str">
        <f>IFERROR(__xludf.DUMMYFUNCTION("""COMPUTED_VALUE"""),"bigint")</f>
        <v>bigint</v>
      </c>
      <c r="H390" s="258">
        <f>IFERROR(__xludf.DUMMYFUNCTION("""COMPUTED_VALUE"""),15.0)</f>
        <v>15</v>
      </c>
      <c r="I390" s="258" t="str">
        <f>IFERROR(__xludf.DUMMYFUNCTION("""COMPUTED_VALUE"""),"FVT CRM Mobile")</f>
        <v>FVT CRM Mobile</v>
      </c>
      <c r="J390" s="258" t="str">
        <f>IFERROR(__xludf.DUMMYFUNCTION("""COMPUTED_VALUE"""),"Daily (Day-7)")</f>
        <v>Daily (Day-7)</v>
      </c>
      <c r="K390" s="258" t="str">
        <f>IFERROR(__xludf.DUMMYFUNCTION("""COMPUTED_VALUE"""),"")</f>
        <v/>
      </c>
      <c r="L390" s="258" t="str">
        <f>IFERROR(__xludf.DUMMYFUNCTION("""COMPUTED_VALUE"""),"GHP, GHP-PREPAID, TM, PW, GOMO")</f>
        <v>GHP, GHP-PREPAID, TM, PW, GOMO</v>
      </c>
      <c r="M390" s="258" t="str">
        <f>IFERROR(__xludf.DUMMYFUNCTION("""COMPUTED_VALUE"""),"Consumer, EG, SG, In house, IBG Traveler")</f>
        <v>Consumer, EG, SG, In house, IBG Traveler</v>
      </c>
      <c r="N390" s="258" t="str">
        <f>IFERROR(__xludf.DUMMYFUNCTION("""COMPUTED_VALUE"""),"usage")</f>
        <v>usage</v>
      </c>
      <c r="O390" s="258" t="str">
        <f>IFERROR(__xludf.DUMMYFUNCTION("""COMPUTED_VALUE"""),"adjustment_profile")</f>
        <v>adjustment_profile</v>
      </c>
      <c r="P390" s="258"/>
    </row>
    <row r="391">
      <c r="A391" s="257" t="str">
        <f>IFERROR(__xludf.DUMMYFUNCTION("""COMPUTED_VALUE"""),"usage_data_amount_timeblock2_past_60days")</f>
        <v>usage_data_amount_timeblock2_past_60days</v>
      </c>
      <c r="B391" s="258" t="str">
        <f>IFERROR(__xludf.DUMMYFUNCTION("""COMPUTED_VALUE"""),"Behavioral")</f>
        <v>Behavioral</v>
      </c>
      <c r="C391" s="258" t="str">
        <f>IFERROR(__xludf.DUMMYFUNCTION("""COMPUTED_VALUE"""),"Non-PII")</f>
        <v>Non-PII</v>
      </c>
      <c r="D391" s="258" t="str">
        <f>IFERROR(__xludf.DUMMYFUNCTION("""COMPUTED_VALUE"""),"Non-PII")</f>
        <v>Non-PII</v>
      </c>
      <c r="E391" s="258" t="str">
        <f>IFERROR(__xludf.DUMMYFUNCTION("""COMPUTED_VALUE"""),"Total data volume used in megabytes from 05:00 AM - 08:59 AM for the past 60 days")</f>
        <v>Total data volume used in megabytes from 05:00 AM - 08:59 AM for the past 60 days</v>
      </c>
      <c r="F391" s="258" t="str">
        <f>IFERROR(__xludf.DUMMYFUNCTION("""COMPUTED_VALUE"""),"Derived")</f>
        <v>Derived</v>
      </c>
      <c r="G391" s="258" t="str">
        <f>IFERROR(__xludf.DUMMYFUNCTION("""COMPUTED_VALUE"""),"bigint")</f>
        <v>bigint</v>
      </c>
      <c r="H391" s="258">
        <f>IFERROR(__xludf.DUMMYFUNCTION("""COMPUTED_VALUE"""),15.0)</f>
        <v>15</v>
      </c>
      <c r="I391" s="258" t="str">
        <f>IFERROR(__xludf.DUMMYFUNCTION("""COMPUTED_VALUE"""),"FVT CRM Mobile")</f>
        <v>FVT CRM Mobile</v>
      </c>
      <c r="J391" s="258" t="str">
        <f>IFERROR(__xludf.DUMMYFUNCTION("""COMPUTED_VALUE"""),"Daily (Day-7)")</f>
        <v>Daily (Day-7)</v>
      </c>
      <c r="K391" s="258" t="str">
        <f>IFERROR(__xludf.DUMMYFUNCTION("""COMPUTED_VALUE"""),"")</f>
        <v/>
      </c>
      <c r="L391" s="258" t="str">
        <f>IFERROR(__xludf.DUMMYFUNCTION("""COMPUTED_VALUE"""),"GHP, GHP-PREPAID, TM, PW, GOMO")</f>
        <v>GHP, GHP-PREPAID, TM, PW, GOMO</v>
      </c>
      <c r="M391" s="258" t="str">
        <f>IFERROR(__xludf.DUMMYFUNCTION("""COMPUTED_VALUE"""),"Consumer, EG, SG, In house, IBG Traveler")</f>
        <v>Consumer, EG, SG, In house, IBG Traveler</v>
      </c>
      <c r="N391" s="258" t="str">
        <f>IFERROR(__xludf.DUMMYFUNCTION("""COMPUTED_VALUE"""),"usage")</f>
        <v>usage</v>
      </c>
      <c r="O391" s="258" t="str">
        <f>IFERROR(__xludf.DUMMYFUNCTION("""COMPUTED_VALUE"""),"adjustment_profile")</f>
        <v>adjustment_profile</v>
      </c>
      <c r="P391" s="258"/>
    </row>
    <row r="392">
      <c r="A392" s="257" t="str">
        <f>IFERROR(__xludf.DUMMYFUNCTION("""COMPUTED_VALUE"""),"usage_data_amount_timeblock3_past_60days")</f>
        <v>usage_data_amount_timeblock3_past_60days</v>
      </c>
      <c r="B392" s="258" t="str">
        <f>IFERROR(__xludf.DUMMYFUNCTION("""COMPUTED_VALUE"""),"Behavioral")</f>
        <v>Behavioral</v>
      </c>
      <c r="C392" s="258" t="str">
        <f>IFERROR(__xludf.DUMMYFUNCTION("""COMPUTED_VALUE"""),"Non-PII")</f>
        <v>Non-PII</v>
      </c>
      <c r="D392" s="258" t="str">
        <f>IFERROR(__xludf.DUMMYFUNCTION("""COMPUTED_VALUE"""),"Non-PII")</f>
        <v>Non-PII</v>
      </c>
      <c r="E392" s="258" t="str">
        <f>IFERROR(__xludf.DUMMYFUNCTION("""COMPUTED_VALUE"""),"Total data volume used in megabytes from 09:00 AM - 12:59 PM for the past 60 days")</f>
        <v>Total data volume used in megabytes from 09:00 AM - 12:59 PM for the past 60 days</v>
      </c>
      <c r="F392" s="258" t="str">
        <f>IFERROR(__xludf.DUMMYFUNCTION("""COMPUTED_VALUE"""),"Derived")</f>
        <v>Derived</v>
      </c>
      <c r="G392" s="258" t="str">
        <f>IFERROR(__xludf.DUMMYFUNCTION("""COMPUTED_VALUE"""),"bigint")</f>
        <v>bigint</v>
      </c>
      <c r="H392" s="258">
        <f>IFERROR(__xludf.DUMMYFUNCTION("""COMPUTED_VALUE"""),15.0)</f>
        <v>15</v>
      </c>
      <c r="I392" s="258" t="str">
        <f>IFERROR(__xludf.DUMMYFUNCTION("""COMPUTED_VALUE"""),"FVT CRM Mobile")</f>
        <v>FVT CRM Mobile</v>
      </c>
      <c r="J392" s="258" t="str">
        <f>IFERROR(__xludf.DUMMYFUNCTION("""COMPUTED_VALUE"""),"Daily (Day-7)")</f>
        <v>Daily (Day-7)</v>
      </c>
      <c r="K392" s="258" t="str">
        <f>IFERROR(__xludf.DUMMYFUNCTION("""COMPUTED_VALUE"""),"")</f>
        <v/>
      </c>
      <c r="L392" s="258" t="str">
        <f>IFERROR(__xludf.DUMMYFUNCTION("""COMPUTED_VALUE"""),"GHP, GHP-PREPAID, TM, PW, GOMO")</f>
        <v>GHP, GHP-PREPAID, TM, PW, GOMO</v>
      </c>
      <c r="M392" s="258" t="str">
        <f>IFERROR(__xludf.DUMMYFUNCTION("""COMPUTED_VALUE"""),"Consumer, EG, SG, In house, IBG Traveler")</f>
        <v>Consumer, EG, SG, In house, IBG Traveler</v>
      </c>
      <c r="N392" s="258" t="str">
        <f>IFERROR(__xludf.DUMMYFUNCTION("""COMPUTED_VALUE"""),"usage")</f>
        <v>usage</v>
      </c>
      <c r="O392" s="258" t="str">
        <f>IFERROR(__xludf.DUMMYFUNCTION("""COMPUTED_VALUE"""),"adjustment_profile")</f>
        <v>adjustment_profile</v>
      </c>
      <c r="P392" s="258"/>
    </row>
    <row r="393">
      <c r="A393" s="257" t="str">
        <f>IFERROR(__xludf.DUMMYFUNCTION("""COMPUTED_VALUE"""),"usage_data_amount_timeblock4_past_60days")</f>
        <v>usage_data_amount_timeblock4_past_60days</v>
      </c>
      <c r="B393" s="258" t="str">
        <f>IFERROR(__xludf.DUMMYFUNCTION("""COMPUTED_VALUE"""),"Behavioral")</f>
        <v>Behavioral</v>
      </c>
      <c r="C393" s="258" t="str">
        <f>IFERROR(__xludf.DUMMYFUNCTION("""COMPUTED_VALUE"""),"Non-PII")</f>
        <v>Non-PII</v>
      </c>
      <c r="D393" s="258" t="str">
        <f>IFERROR(__xludf.DUMMYFUNCTION("""COMPUTED_VALUE"""),"Non-PII")</f>
        <v>Non-PII</v>
      </c>
      <c r="E393" s="258" t="str">
        <f>IFERROR(__xludf.DUMMYFUNCTION("""COMPUTED_VALUE"""),"Total data volume used in megabytes from 01:00 PM - 04:59 PM for the past 60 days")</f>
        <v>Total data volume used in megabytes from 01:00 PM - 04:59 PM for the past 60 days</v>
      </c>
      <c r="F393" s="258" t="str">
        <f>IFERROR(__xludf.DUMMYFUNCTION("""COMPUTED_VALUE"""),"Derived")</f>
        <v>Derived</v>
      </c>
      <c r="G393" s="258" t="str">
        <f>IFERROR(__xludf.DUMMYFUNCTION("""COMPUTED_VALUE"""),"bigint")</f>
        <v>bigint</v>
      </c>
      <c r="H393" s="258">
        <f>IFERROR(__xludf.DUMMYFUNCTION("""COMPUTED_VALUE"""),15.0)</f>
        <v>15</v>
      </c>
      <c r="I393" s="258" t="str">
        <f>IFERROR(__xludf.DUMMYFUNCTION("""COMPUTED_VALUE"""),"FVT CRM Mobile")</f>
        <v>FVT CRM Mobile</v>
      </c>
      <c r="J393" s="258" t="str">
        <f>IFERROR(__xludf.DUMMYFUNCTION("""COMPUTED_VALUE"""),"Daily (Day-7)")</f>
        <v>Daily (Day-7)</v>
      </c>
      <c r="K393" s="258" t="str">
        <f>IFERROR(__xludf.DUMMYFUNCTION("""COMPUTED_VALUE"""),"")</f>
        <v/>
      </c>
      <c r="L393" s="258" t="str">
        <f>IFERROR(__xludf.DUMMYFUNCTION("""COMPUTED_VALUE"""),"GHP, GHP-PREPAID, TM, PW, GOMO")</f>
        <v>GHP, GHP-PREPAID, TM, PW, GOMO</v>
      </c>
      <c r="M393" s="258" t="str">
        <f>IFERROR(__xludf.DUMMYFUNCTION("""COMPUTED_VALUE"""),"Consumer, EG, SG, In house, IBG Traveler")</f>
        <v>Consumer, EG, SG, In house, IBG Traveler</v>
      </c>
      <c r="N393" s="258" t="str">
        <f>IFERROR(__xludf.DUMMYFUNCTION("""COMPUTED_VALUE"""),"usage")</f>
        <v>usage</v>
      </c>
      <c r="O393" s="258" t="str">
        <f>IFERROR(__xludf.DUMMYFUNCTION("""COMPUTED_VALUE"""),"adjustment_profile")</f>
        <v>adjustment_profile</v>
      </c>
      <c r="P393" s="258"/>
    </row>
    <row r="394">
      <c r="A394" s="257" t="str">
        <f>IFERROR(__xludf.DUMMYFUNCTION("""COMPUTED_VALUE"""),"usage_data_amount_timeblock5_past_60days")</f>
        <v>usage_data_amount_timeblock5_past_60days</v>
      </c>
      <c r="B394" s="258" t="str">
        <f>IFERROR(__xludf.DUMMYFUNCTION("""COMPUTED_VALUE"""),"Behavioral")</f>
        <v>Behavioral</v>
      </c>
      <c r="C394" s="258" t="str">
        <f>IFERROR(__xludf.DUMMYFUNCTION("""COMPUTED_VALUE"""),"Non-PII")</f>
        <v>Non-PII</v>
      </c>
      <c r="D394" s="258" t="str">
        <f>IFERROR(__xludf.DUMMYFUNCTION("""COMPUTED_VALUE"""),"Non-PII")</f>
        <v>Non-PII</v>
      </c>
      <c r="E394" s="258" t="str">
        <f>IFERROR(__xludf.DUMMYFUNCTION("""COMPUTED_VALUE"""),"Total data volume used in megabytes from 05:00 PM - 08:59 PM for the past 60 days")</f>
        <v>Total data volume used in megabytes from 05:00 PM - 08:59 PM for the past 60 days</v>
      </c>
      <c r="F394" s="258" t="str">
        <f>IFERROR(__xludf.DUMMYFUNCTION("""COMPUTED_VALUE"""),"Derived")</f>
        <v>Derived</v>
      </c>
      <c r="G394" s="258" t="str">
        <f>IFERROR(__xludf.DUMMYFUNCTION("""COMPUTED_VALUE"""),"bigint")</f>
        <v>bigint</v>
      </c>
      <c r="H394" s="258">
        <f>IFERROR(__xludf.DUMMYFUNCTION("""COMPUTED_VALUE"""),15.0)</f>
        <v>15</v>
      </c>
      <c r="I394" s="258" t="str">
        <f>IFERROR(__xludf.DUMMYFUNCTION("""COMPUTED_VALUE"""),"FVT CRM Mobile")</f>
        <v>FVT CRM Mobile</v>
      </c>
      <c r="J394" s="258" t="str">
        <f>IFERROR(__xludf.DUMMYFUNCTION("""COMPUTED_VALUE"""),"Daily (Day-7)")</f>
        <v>Daily (Day-7)</v>
      </c>
      <c r="K394" s="258" t="str">
        <f>IFERROR(__xludf.DUMMYFUNCTION("""COMPUTED_VALUE"""),"")</f>
        <v/>
      </c>
      <c r="L394" s="258" t="str">
        <f>IFERROR(__xludf.DUMMYFUNCTION("""COMPUTED_VALUE"""),"GHP, GHP-PREPAID, TM, PW, GOMO")</f>
        <v>GHP, GHP-PREPAID, TM, PW, GOMO</v>
      </c>
      <c r="M394" s="258" t="str">
        <f>IFERROR(__xludf.DUMMYFUNCTION("""COMPUTED_VALUE"""),"Consumer, EG, SG, In house, IBG Traveler")</f>
        <v>Consumer, EG, SG, In house, IBG Traveler</v>
      </c>
      <c r="N394" s="258" t="str">
        <f>IFERROR(__xludf.DUMMYFUNCTION("""COMPUTED_VALUE"""),"usage")</f>
        <v>usage</v>
      </c>
      <c r="O394" s="258" t="str">
        <f>IFERROR(__xludf.DUMMYFUNCTION("""COMPUTED_VALUE"""),"adjustment_profile")</f>
        <v>adjustment_profile</v>
      </c>
      <c r="P394" s="258"/>
    </row>
    <row r="395">
      <c r="A395" s="257" t="str">
        <f>IFERROR(__xludf.DUMMYFUNCTION("""COMPUTED_VALUE"""),"usage_data_amount_timeblock6_past_60days")</f>
        <v>usage_data_amount_timeblock6_past_60days</v>
      </c>
      <c r="B395" s="258" t="str">
        <f>IFERROR(__xludf.DUMMYFUNCTION("""COMPUTED_VALUE"""),"Behavioral")</f>
        <v>Behavioral</v>
      </c>
      <c r="C395" s="258" t="str">
        <f>IFERROR(__xludf.DUMMYFUNCTION("""COMPUTED_VALUE"""),"Non-PII")</f>
        <v>Non-PII</v>
      </c>
      <c r="D395" s="258" t="str">
        <f>IFERROR(__xludf.DUMMYFUNCTION("""COMPUTED_VALUE"""),"Non-PII")</f>
        <v>Non-PII</v>
      </c>
      <c r="E395" s="258" t="str">
        <f>IFERROR(__xludf.DUMMYFUNCTION("""COMPUTED_VALUE"""),"Total data volume used in megabytes from 09:00 PM - 12:59 AM for the past 60 days")</f>
        <v>Total data volume used in megabytes from 09:00 PM - 12:59 AM for the past 60 days</v>
      </c>
      <c r="F395" s="258" t="str">
        <f>IFERROR(__xludf.DUMMYFUNCTION("""COMPUTED_VALUE"""),"Derived")</f>
        <v>Derived</v>
      </c>
      <c r="G395" s="258" t="str">
        <f>IFERROR(__xludf.DUMMYFUNCTION("""COMPUTED_VALUE"""),"bigint")</f>
        <v>bigint</v>
      </c>
      <c r="H395" s="258">
        <f>IFERROR(__xludf.DUMMYFUNCTION("""COMPUTED_VALUE"""),15.0)</f>
        <v>15</v>
      </c>
      <c r="I395" s="258" t="str">
        <f>IFERROR(__xludf.DUMMYFUNCTION("""COMPUTED_VALUE"""),"FVT CRM Mobile")</f>
        <v>FVT CRM Mobile</v>
      </c>
      <c r="J395" s="258" t="str">
        <f>IFERROR(__xludf.DUMMYFUNCTION("""COMPUTED_VALUE"""),"Daily (Day-7)")</f>
        <v>Daily (Day-7)</v>
      </c>
      <c r="K395" s="258" t="str">
        <f>IFERROR(__xludf.DUMMYFUNCTION("""COMPUTED_VALUE"""),"")</f>
        <v/>
      </c>
      <c r="L395" s="258" t="str">
        <f>IFERROR(__xludf.DUMMYFUNCTION("""COMPUTED_VALUE"""),"GHP, GHP-PREPAID, TM, PW, GOMO")</f>
        <v>GHP, GHP-PREPAID, TM, PW, GOMO</v>
      </c>
      <c r="M395" s="258" t="str">
        <f>IFERROR(__xludf.DUMMYFUNCTION("""COMPUTED_VALUE"""),"Consumer, EG, SG, In house, IBG Traveler")</f>
        <v>Consumer, EG, SG, In house, IBG Traveler</v>
      </c>
      <c r="N395" s="258" t="str">
        <f>IFERROR(__xludf.DUMMYFUNCTION("""COMPUTED_VALUE"""),"usage")</f>
        <v>usage</v>
      </c>
      <c r="O395" s="258" t="str">
        <f>IFERROR(__xludf.DUMMYFUNCTION("""COMPUTED_VALUE"""),"adjustment_profile")</f>
        <v>adjustment_profile</v>
      </c>
      <c r="P395" s="258"/>
    </row>
    <row r="396">
      <c r="A396" s="257" t="str">
        <f>IFERROR(__xludf.DUMMYFUNCTION("""COMPUTED_VALUE"""),"usage_data_amount_timeblock1_past_90days")</f>
        <v>usage_data_amount_timeblock1_past_90days</v>
      </c>
      <c r="B396" s="258" t="str">
        <f>IFERROR(__xludf.DUMMYFUNCTION("""COMPUTED_VALUE"""),"Behavioral")</f>
        <v>Behavioral</v>
      </c>
      <c r="C396" s="258" t="str">
        <f>IFERROR(__xludf.DUMMYFUNCTION("""COMPUTED_VALUE"""),"Non-PII")</f>
        <v>Non-PII</v>
      </c>
      <c r="D396" s="258" t="str">
        <f>IFERROR(__xludf.DUMMYFUNCTION("""COMPUTED_VALUE"""),"Non-PII")</f>
        <v>Non-PII</v>
      </c>
      <c r="E396" s="258" t="str">
        <f>IFERROR(__xludf.DUMMYFUNCTION("""COMPUTED_VALUE"""),"Total data volume used in megabytes from 01:00 AM - 04:59 AM for the past 90 days")</f>
        <v>Total data volume used in megabytes from 01:00 AM - 04:59 AM for the past 90 days</v>
      </c>
      <c r="F396" s="258" t="str">
        <f>IFERROR(__xludf.DUMMYFUNCTION("""COMPUTED_VALUE"""),"Derived")</f>
        <v>Derived</v>
      </c>
      <c r="G396" s="258" t="str">
        <f>IFERROR(__xludf.DUMMYFUNCTION("""COMPUTED_VALUE"""),"bigint")</f>
        <v>bigint</v>
      </c>
      <c r="H396" s="258">
        <f>IFERROR(__xludf.DUMMYFUNCTION("""COMPUTED_VALUE"""),15.0)</f>
        <v>15</v>
      </c>
      <c r="I396" s="258" t="str">
        <f>IFERROR(__xludf.DUMMYFUNCTION("""COMPUTED_VALUE"""),"FVT CRM Mobile")</f>
        <v>FVT CRM Mobile</v>
      </c>
      <c r="J396" s="258" t="str">
        <f>IFERROR(__xludf.DUMMYFUNCTION("""COMPUTED_VALUE"""),"Daily (Day-7)")</f>
        <v>Daily (Day-7)</v>
      </c>
      <c r="K396" s="258" t="str">
        <f>IFERROR(__xludf.DUMMYFUNCTION("""COMPUTED_VALUE"""),"")</f>
        <v/>
      </c>
      <c r="L396" s="258" t="str">
        <f>IFERROR(__xludf.DUMMYFUNCTION("""COMPUTED_VALUE"""),"GHP, GHP-PREPAID, TM, PW, GOMO")</f>
        <v>GHP, GHP-PREPAID, TM, PW, GOMO</v>
      </c>
      <c r="M396" s="258" t="str">
        <f>IFERROR(__xludf.DUMMYFUNCTION("""COMPUTED_VALUE"""),"Consumer, EG, SG, In house, IBG Traveler")</f>
        <v>Consumer, EG, SG, In house, IBG Traveler</v>
      </c>
      <c r="N396" s="258" t="str">
        <f>IFERROR(__xludf.DUMMYFUNCTION("""COMPUTED_VALUE"""),"usage")</f>
        <v>usage</v>
      </c>
      <c r="O396" s="258" t="str">
        <f>IFERROR(__xludf.DUMMYFUNCTION("""COMPUTED_VALUE"""),"adjustment_profile")</f>
        <v>adjustment_profile</v>
      </c>
      <c r="P396" s="258"/>
    </row>
    <row r="397">
      <c r="A397" s="257" t="str">
        <f>IFERROR(__xludf.DUMMYFUNCTION("""COMPUTED_VALUE"""),"usage_data_amount_timeblock2_past_90days")</f>
        <v>usage_data_amount_timeblock2_past_90days</v>
      </c>
      <c r="B397" s="258" t="str">
        <f>IFERROR(__xludf.DUMMYFUNCTION("""COMPUTED_VALUE"""),"Behavioral")</f>
        <v>Behavioral</v>
      </c>
      <c r="C397" s="258" t="str">
        <f>IFERROR(__xludf.DUMMYFUNCTION("""COMPUTED_VALUE"""),"Non-PII")</f>
        <v>Non-PII</v>
      </c>
      <c r="D397" s="258" t="str">
        <f>IFERROR(__xludf.DUMMYFUNCTION("""COMPUTED_VALUE"""),"Non-PII")</f>
        <v>Non-PII</v>
      </c>
      <c r="E397" s="258" t="str">
        <f>IFERROR(__xludf.DUMMYFUNCTION("""COMPUTED_VALUE"""),"Total data volume used in megabytes from 05:00 AM - 08:59 AM for the past 90 days")</f>
        <v>Total data volume used in megabytes from 05:00 AM - 08:59 AM for the past 90 days</v>
      </c>
      <c r="F397" s="258" t="str">
        <f>IFERROR(__xludf.DUMMYFUNCTION("""COMPUTED_VALUE"""),"Derived")</f>
        <v>Derived</v>
      </c>
      <c r="G397" s="258" t="str">
        <f>IFERROR(__xludf.DUMMYFUNCTION("""COMPUTED_VALUE"""),"bigint")</f>
        <v>bigint</v>
      </c>
      <c r="H397" s="258">
        <f>IFERROR(__xludf.DUMMYFUNCTION("""COMPUTED_VALUE"""),15.0)</f>
        <v>15</v>
      </c>
      <c r="I397" s="258" t="str">
        <f>IFERROR(__xludf.DUMMYFUNCTION("""COMPUTED_VALUE"""),"FVT CRM Mobile")</f>
        <v>FVT CRM Mobile</v>
      </c>
      <c r="J397" s="258" t="str">
        <f>IFERROR(__xludf.DUMMYFUNCTION("""COMPUTED_VALUE"""),"Daily (Day-7)")</f>
        <v>Daily (Day-7)</v>
      </c>
      <c r="K397" s="258" t="str">
        <f>IFERROR(__xludf.DUMMYFUNCTION("""COMPUTED_VALUE"""),"")</f>
        <v/>
      </c>
      <c r="L397" s="258" t="str">
        <f>IFERROR(__xludf.DUMMYFUNCTION("""COMPUTED_VALUE"""),"GHP, GHP-PREPAID, TM, PW, GOMO")</f>
        <v>GHP, GHP-PREPAID, TM, PW, GOMO</v>
      </c>
      <c r="M397" s="258" t="str">
        <f>IFERROR(__xludf.DUMMYFUNCTION("""COMPUTED_VALUE"""),"Consumer, EG, SG, In house, IBG Traveler")</f>
        <v>Consumer, EG, SG, In house, IBG Traveler</v>
      </c>
      <c r="N397" s="258" t="str">
        <f>IFERROR(__xludf.DUMMYFUNCTION("""COMPUTED_VALUE"""),"usage")</f>
        <v>usage</v>
      </c>
      <c r="O397" s="258" t="str">
        <f>IFERROR(__xludf.DUMMYFUNCTION("""COMPUTED_VALUE"""),"adjustment_profile")</f>
        <v>adjustment_profile</v>
      </c>
      <c r="P397" s="258"/>
    </row>
    <row r="398">
      <c r="A398" s="257" t="str">
        <f>IFERROR(__xludf.DUMMYFUNCTION("""COMPUTED_VALUE"""),"usage_data_amount_timeblock3_past_90days")</f>
        <v>usage_data_amount_timeblock3_past_90days</v>
      </c>
      <c r="B398" s="258" t="str">
        <f>IFERROR(__xludf.DUMMYFUNCTION("""COMPUTED_VALUE"""),"Behavioral")</f>
        <v>Behavioral</v>
      </c>
      <c r="C398" s="258" t="str">
        <f>IFERROR(__xludf.DUMMYFUNCTION("""COMPUTED_VALUE"""),"Non-PII")</f>
        <v>Non-PII</v>
      </c>
      <c r="D398" s="258" t="str">
        <f>IFERROR(__xludf.DUMMYFUNCTION("""COMPUTED_VALUE"""),"Non-PII")</f>
        <v>Non-PII</v>
      </c>
      <c r="E398" s="258" t="str">
        <f>IFERROR(__xludf.DUMMYFUNCTION("""COMPUTED_VALUE"""),"Total data volume used in megabytes from 09:00 AM - 12:59 PM for the past 90 days")</f>
        <v>Total data volume used in megabytes from 09:00 AM - 12:59 PM for the past 90 days</v>
      </c>
      <c r="F398" s="258" t="str">
        <f>IFERROR(__xludf.DUMMYFUNCTION("""COMPUTED_VALUE"""),"Derived")</f>
        <v>Derived</v>
      </c>
      <c r="G398" s="258" t="str">
        <f>IFERROR(__xludf.DUMMYFUNCTION("""COMPUTED_VALUE"""),"bigint")</f>
        <v>bigint</v>
      </c>
      <c r="H398" s="258">
        <f>IFERROR(__xludf.DUMMYFUNCTION("""COMPUTED_VALUE"""),15.0)</f>
        <v>15</v>
      </c>
      <c r="I398" s="258" t="str">
        <f>IFERROR(__xludf.DUMMYFUNCTION("""COMPUTED_VALUE"""),"FVT CRM Mobile")</f>
        <v>FVT CRM Mobile</v>
      </c>
      <c r="J398" s="258" t="str">
        <f>IFERROR(__xludf.DUMMYFUNCTION("""COMPUTED_VALUE"""),"Daily (Day-7)")</f>
        <v>Daily (Day-7)</v>
      </c>
      <c r="K398" s="258" t="str">
        <f>IFERROR(__xludf.DUMMYFUNCTION("""COMPUTED_VALUE"""),"")</f>
        <v/>
      </c>
      <c r="L398" s="258" t="str">
        <f>IFERROR(__xludf.DUMMYFUNCTION("""COMPUTED_VALUE"""),"GHP, GHP-PREPAID, TM, PW, GOMO")</f>
        <v>GHP, GHP-PREPAID, TM, PW, GOMO</v>
      </c>
      <c r="M398" s="258" t="str">
        <f>IFERROR(__xludf.DUMMYFUNCTION("""COMPUTED_VALUE"""),"Consumer, EG, SG, In house, IBG Traveler")</f>
        <v>Consumer, EG, SG, In house, IBG Traveler</v>
      </c>
      <c r="N398" s="258" t="str">
        <f>IFERROR(__xludf.DUMMYFUNCTION("""COMPUTED_VALUE"""),"usage")</f>
        <v>usage</v>
      </c>
      <c r="O398" s="258" t="str">
        <f>IFERROR(__xludf.DUMMYFUNCTION("""COMPUTED_VALUE"""),"adjustment_profile")</f>
        <v>adjustment_profile</v>
      </c>
      <c r="P398" s="258"/>
    </row>
    <row r="399">
      <c r="A399" s="257" t="str">
        <f>IFERROR(__xludf.DUMMYFUNCTION("""COMPUTED_VALUE"""),"usage_data_amount_timeblock4_past_90days")</f>
        <v>usage_data_amount_timeblock4_past_90days</v>
      </c>
      <c r="B399" s="258" t="str">
        <f>IFERROR(__xludf.DUMMYFUNCTION("""COMPUTED_VALUE"""),"Behavioral")</f>
        <v>Behavioral</v>
      </c>
      <c r="C399" s="258" t="str">
        <f>IFERROR(__xludf.DUMMYFUNCTION("""COMPUTED_VALUE"""),"Non-PII")</f>
        <v>Non-PII</v>
      </c>
      <c r="D399" s="258" t="str">
        <f>IFERROR(__xludf.DUMMYFUNCTION("""COMPUTED_VALUE"""),"Non-PII")</f>
        <v>Non-PII</v>
      </c>
      <c r="E399" s="258" t="str">
        <f>IFERROR(__xludf.DUMMYFUNCTION("""COMPUTED_VALUE"""),"Total data volume used in megabytes from 01:00 PM - 04:59 PM for the past 90 days")</f>
        <v>Total data volume used in megabytes from 01:00 PM - 04:59 PM for the past 90 days</v>
      </c>
      <c r="F399" s="258" t="str">
        <f>IFERROR(__xludf.DUMMYFUNCTION("""COMPUTED_VALUE"""),"Derived")</f>
        <v>Derived</v>
      </c>
      <c r="G399" s="258" t="str">
        <f>IFERROR(__xludf.DUMMYFUNCTION("""COMPUTED_VALUE"""),"bigint")</f>
        <v>bigint</v>
      </c>
      <c r="H399" s="258">
        <f>IFERROR(__xludf.DUMMYFUNCTION("""COMPUTED_VALUE"""),15.0)</f>
        <v>15</v>
      </c>
      <c r="I399" s="258" t="str">
        <f>IFERROR(__xludf.DUMMYFUNCTION("""COMPUTED_VALUE"""),"FVT CRM Mobile")</f>
        <v>FVT CRM Mobile</v>
      </c>
      <c r="J399" s="258" t="str">
        <f>IFERROR(__xludf.DUMMYFUNCTION("""COMPUTED_VALUE"""),"Daily (Day-7)")</f>
        <v>Daily (Day-7)</v>
      </c>
      <c r="K399" s="258" t="str">
        <f>IFERROR(__xludf.DUMMYFUNCTION("""COMPUTED_VALUE"""),"")</f>
        <v/>
      </c>
      <c r="L399" s="258" t="str">
        <f>IFERROR(__xludf.DUMMYFUNCTION("""COMPUTED_VALUE"""),"GHP, GHP-PREPAID, TM, PW, GOMO")</f>
        <v>GHP, GHP-PREPAID, TM, PW, GOMO</v>
      </c>
      <c r="M399" s="258" t="str">
        <f>IFERROR(__xludf.DUMMYFUNCTION("""COMPUTED_VALUE"""),"Consumer, EG, SG, In house, IBG Traveler")</f>
        <v>Consumer, EG, SG, In house, IBG Traveler</v>
      </c>
      <c r="N399" s="258" t="str">
        <f>IFERROR(__xludf.DUMMYFUNCTION("""COMPUTED_VALUE"""),"usage")</f>
        <v>usage</v>
      </c>
      <c r="O399" s="258" t="str">
        <f>IFERROR(__xludf.DUMMYFUNCTION("""COMPUTED_VALUE"""),"adjustment_profile")</f>
        <v>adjustment_profile</v>
      </c>
      <c r="P399" s="258"/>
    </row>
    <row r="400">
      <c r="A400" s="257" t="str">
        <f>IFERROR(__xludf.DUMMYFUNCTION("""COMPUTED_VALUE"""),"usage_data_amount_timeblock5_past_90days")</f>
        <v>usage_data_amount_timeblock5_past_90days</v>
      </c>
      <c r="B400" s="258" t="str">
        <f>IFERROR(__xludf.DUMMYFUNCTION("""COMPUTED_VALUE"""),"Behavioral")</f>
        <v>Behavioral</v>
      </c>
      <c r="C400" s="258" t="str">
        <f>IFERROR(__xludf.DUMMYFUNCTION("""COMPUTED_VALUE"""),"Non-PII")</f>
        <v>Non-PII</v>
      </c>
      <c r="D400" s="258" t="str">
        <f>IFERROR(__xludf.DUMMYFUNCTION("""COMPUTED_VALUE"""),"Non-PII")</f>
        <v>Non-PII</v>
      </c>
      <c r="E400" s="258" t="str">
        <f>IFERROR(__xludf.DUMMYFUNCTION("""COMPUTED_VALUE"""),"Total data volume used in megabytes from 05:00 PM - 08:59 PM for the past 90 days")</f>
        <v>Total data volume used in megabytes from 05:00 PM - 08:59 PM for the past 90 days</v>
      </c>
      <c r="F400" s="258" t="str">
        <f>IFERROR(__xludf.DUMMYFUNCTION("""COMPUTED_VALUE"""),"Derived")</f>
        <v>Derived</v>
      </c>
      <c r="G400" s="258" t="str">
        <f>IFERROR(__xludf.DUMMYFUNCTION("""COMPUTED_VALUE"""),"bigint")</f>
        <v>bigint</v>
      </c>
      <c r="H400" s="258">
        <f>IFERROR(__xludf.DUMMYFUNCTION("""COMPUTED_VALUE"""),15.0)</f>
        <v>15</v>
      </c>
      <c r="I400" s="258" t="str">
        <f>IFERROR(__xludf.DUMMYFUNCTION("""COMPUTED_VALUE"""),"FVT CRM Mobile")</f>
        <v>FVT CRM Mobile</v>
      </c>
      <c r="J400" s="258" t="str">
        <f>IFERROR(__xludf.DUMMYFUNCTION("""COMPUTED_VALUE"""),"Daily (Day-7)")</f>
        <v>Daily (Day-7)</v>
      </c>
      <c r="K400" s="258" t="str">
        <f>IFERROR(__xludf.DUMMYFUNCTION("""COMPUTED_VALUE"""),"")</f>
        <v/>
      </c>
      <c r="L400" s="258" t="str">
        <f>IFERROR(__xludf.DUMMYFUNCTION("""COMPUTED_VALUE"""),"GHP, GHP-PREPAID, TM, PW, GOMO")</f>
        <v>GHP, GHP-PREPAID, TM, PW, GOMO</v>
      </c>
      <c r="M400" s="258" t="str">
        <f>IFERROR(__xludf.DUMMYFUNCTION("""COMPUTED_VALUE"""),"Consumer, EG, SG, In house, IBG Traveler")</f>
        <v>Consumer, EG, SG, In house, IBG Traveler</v>
      </c>
      <c r="N400" s="258" t="str">
        <f>IFERROR(__xludf.DUMMYFUNCTION("""COMPUTED_VALUE"""),"usage")</f>
        <v>usage</v>
      </c>
      <c r="O400" s="258" t="str">
        <f>IFERROR(__xludf.DUMMYFUNCTION("""COMPUTED_VALUE"""),"adjustment_profile")</f>
        <v>adjustment_profile</v>
      </c>
      <c r="P400" s="258"/>
    </row>
    <row r="401">
      <c r="A401" s="257" t="str">
        <f>IFERROR(__xludf.DUMMYFUNCTION("""COMPUTED_VALUE"""),"usage_data_amount_timeblock6_past_90days")</f>
        <v>usage_data_amount_timeblock6_past_90days</v>
      </c>
      <c r="B401" s="258" t="str">
        <f>IFERROR(__xludf.DUMMYFUNCTION("""COMPUTED_VALUE"""),"Behavioral")</f>
        <v>Behavioral</v>
      </c>
      <c r="C401" s="258" t="str">
        <f>IFERROR(__xludf.DUMMYFUNCTION("""COMPUTED_VALUE"""),"Non-PII")</f>
        <v>Non-PII</v>
      </c>
      <c r="D401" s="258" t="str">
        <f>IFERROR(__xludf.DUMMYFUNCTION("""COMPUTED_VALUE"""),"Non-PII")</f>
        <v>Non-PII</v>
      </c>
      <c r="E401" s="258" t="str">
        <f>IFERROR(__xludf.DUMMYFUNCTION("""COMPUTED_VALUE"""),"Total data volume used in megabytes from 09:00 PM - 12:59 AM for the past 90 days")</f>
        <v>Total data volume used in megabytes from 09:00 PM - 12:59 AM for the past 90 days</v>
      </c>
      <c r="F401" s="258" t="str">
        <f>IFERROR(__xludf.DUMMYFUNCTION("""COMPUTED_VALUE"""),"Derived")</f>
        <v>Derived</v>
      </c>
      <c r="G401" s="258" t="str">
        <f>IFERROR(__xludf.DUMMYFUNCTION("""COMPUTED_VALUE"""),"bigint")</f>
        <v>bigint</v>
      </c>
      <c r="H401" s="258">
        <f>IFERROR(__xludf.DUMMYFUNCTION("""COMPUTED_VALUE"""),15.0)</f>
        <v>15</v>
      </c>
      <c r="I401" s="258" t="str">
        <f>IFERROR(__xludf.DUMMYFUNCTION("""COMPUTED_VALUE"""),"FVT CRM Mobile")</f>
        <v>FVT CRM Mobile</v>
      </c>
      <c r="J401" s="258" t="str">
        <f>IFERROR(__xludf.DUMMYFUNCTION("""COMPUTED_VALUE"""),"Daily (Day-7)")</f>
        <v>Daily (Day-7)</v>
      </c>
      <c r="K401" s="258" t="str">
        <f>IFERROR(__xludf.DUMMYFUNCTION("""COMPUTED_VALUE"""),"")</f>
        <v/>
      </c>
      <c r="L401" s="258" t="str">
        <f>IFERROR(__xludf.DUMMYFUNCTION("""COMPUTED_VALUE"""),"GHP, GHP-PREPAID, TM, PW, GOMO")</f>
        <v>GHP, GHP-PREPAID, TM, PW, GOMO</v>
      </c>
      <c r="M401" s="258" t="str">
        <f>IFERROR(__xludf.DUMMYFUNCTION("""COMPUTED_VALUE"""),"Consumer, EG, SG, In house, IBG Traveler")</f>
        <v>Consumer, EG, SG, In house, IBG Traveler</v>
      </c>
      <c r="N401" s="258" t="str">
        <f>IFERROR(__xludf.DUMMYFUNCTION("""COMPUTED_VALUE"""),"usage")</f>
        <v>usage</v>
      </c>
      <c r="O401" s="258" t="str">
        <f>IFERROR(__xludf.DUMMYFUNCTION("""COMPUTED_VALUE"""),"adjustment_profile")</f>
        <v>adjustment_profile</v>
      </c>
      <c r="P401" s="258"/>
    </row>
    <row r="402">
      <c r="A402" s="257" t="str">
        <f>IFERROR(__xludf.DUMMYFUNCTION("""COMPUTED_VALUE"""),"usage_data_instagram_mb_past_30days")</f>
        <v>usage_data_instagram_mb_past_30days</v>
      </c>
      <c r="B402" s="258" t="str">
        <f>IFERROR(__xludf.DUMMYFUNCTION("""COMPUTED_VALUE"""),"Behavioral")</f>
        <v>Behavioral</v>
      </c>
      <c r="C402" s="258" t="str">
        <f>IFERROR(__xludf.DUMMYFUNCTION("""COMPUTED_VALUE"""),"Non-PII")</f>
        <v>Non-PII</v>
      </c>
      <c r="D402" s="258" t="str">
        <f>IFERROR(__xludf.DUMMYFUNCTION("""COMPUTED_VALUE"""),"Non-PII")</f>
        <v>Non-PII</v>
      </c>
      <c r="E402" s="258" t="str">
        <f>IFERROR(__xludf.DUMMYFUNCTION("""COMPUTED_VALUE"""),"Total data volume used in megabytes in Instagram for the past 30 days")</f>
        <v>Total data volume used in megabytes in Instagram for the past 30 days</v>
      </c>
      <c r="F402" s="258" t="str">
        <f>IFERROR(__xludf.DUMMYFUNCTION("""COMPUTED_VALUE"""),"Derived")</f>
        <v>Derived</v>
      </c>
      <c r="G402" s="258" t="str">
        <f>IFERROR(__xludf.DUMMYFUNCTION("""COMPUTED_VALUE"""),"numeric(21,2)")</f>
        <v>numeric(21,2)</v>
      </c>
      <c r="H402" s="258">
        <f>IFERROR(__xludf.DUMMYFUNCTION("""COMPUTED_VALUE"""),543.0)</f>
        <v>543</v>
      </c>
      <c r="I402" s="258" t="str">
        <f>IFERROR(__xludf.DUMMYFUNCTION("""COMPUTED_VALUE"""),"FVT CRM Mobile")</f>
        <v>FVT CRM Mobile</v>
      </c>
      <c r="J402" s="258" t="str">
        <f>IFERROR(__xludf.DUMMYFUNCTION("""COMPUTED_VALUE"""),"Daily (Day-7)")</f>
        <v>Daily (Day-7)</v>
      </c>
      <c r="K402" s="258" t="str">
        <f>IFERROR(__xludf.DUMMYFUNCTION("""COMPUTED_VALUE"""),"")</f>
        <v/>
      </c>
      <c r="L402" s="258" t="str">
        <f>IFERROR(__xludf.DUMMYFUNCTION("""COMPUTED_VALUE"""),"GHP, GHP-PREPAID, TM, PW, GOMO, WIRELINE, BAYAN, GLOBE")</f>
        <v>GHP, GHP-PREPAID, TM, PW, GOMO, WIRELINE, BAYAN, GLOBE</v>
      </c>
      <c r="M402" s="258" t="str">
        <f>IFERROR(__xludf.DUMMYFUNCTION("""COMPUTED_VALUE"""),"Consumer, EG, SG, In house, IBG Traveler")</f>
        <v>Consumer, EG, SG, In house, IBG Traveler</v>
      </c>
      <c r="N402" s="258" t="str">
        <f>IFERROR(__xludf.DUMMYFUNCTION("""COMPUTED_VALUE"""),"interest")</f>
        <v>interest</v>
      </c>
      <c r="O402" s="258" t="str">
        <f>IFERROR(__xludf.DUMMYFUNCTION("""COMPUTED_VALUE"""),"adjustment_profile")</f>
        <v>adjustment_profile</v>
      </c>
      <c r="P402" s="258"/>
    </row>
    <row r="403">
      <c r="A403" s="257" t="str">
        <f>IFERROR(__xludf.DUMMYFUNCTION("""COMPUTED_VALUE"""),"usage_data_tiktok_mb_past_30days")</f>
        <v>usage_data_tiktok_mb_past_30days</v>
      </c>
      <c r="B403" s="258" t="str">
        <f>IFERROR(__xludf.DUMMYFUNCTION("""COMPUTED_VALUE"""),"Behavioral")</f>
        <v>Behavioral</v>
      </c>
      <c r="C403" s="258" t="str">
        <f>IFERROR(__xludf.DUMMYFUNCTION("""COMPUTED_VALUE"""),"Non-PII")</f>
        <v>Non-PII</v>
      </c>
      <c r="D403" s="258" t="str">
        <f>IFERROR(__xludf.DUMMYFUNCTION("""COMPUTED_VALUE"""),"Non-PII")</f>
        <v>Non-PII</v>
      </c>
      <c r="E403" s="258" t="str">
        <f>IFERROR(__xludf.DUMMYFUNCTION("""COMPUTED_VALUE"""),"Total data volume used in megabytes in Tiktok for the past 30 days")</f>
        <v>Total data volume used in megabytes in Tiktok for the past 30 days</v>
      </c>
      <c r="F403" s="258" t="str">
        <f>IFERROR(__xludf.DUMMYFUNCTION("""COMPUTED_VALUE"""),"Derived")</f>
        <v>Derived</v>
      </c>
      <c r="G403" s="258" t="str">
        <f>IFERROR(__xludf.DUMMYFUNCTION("""COMPUTED_VALUE"""),"numeric(21,2)")</f>
        <v>numeric(21,2)</v>
      </c>
      <c r="H403" s="258">
        <f>IFERROR(__xludf.DUMMYFUNCTION("""COMPUTED_VALUE"""),145.0)</f>
        <v>145</v>
      </c>
      <c r="I403" s="258" t="str">
        <f>IFERROR(__xludf.DUMMYFUNCTION("""COMPUTED_VALUE"""),"FVT CRM Mobile")</f>
        <v>FVT CRM Mobile</v>
      </c>
      <c r="J403" s="258" t="str">
        <f>IFERROR(__xludf.DUMMYFUNCTION("""COMPUTED_VALUE"""),"Daily (Day-7)")</f>
        <v>Daily (Day-7)</v>
      </c>
      <c r="K403" s="258" t="str">
        <f>IFERROR(__xludf.DUMMYFUNCTION("""COMPUTED_VALUE"""),"")</f>
        <v/>
      </c>
      <c r="L403" s="258" t="str">
        <f>IFERROR(__xludf.DUMMYFUNCTION("""COMPUTED_VALUE"""),"GHP, GHP-PREPAID, TM, PW, GOMO, WIRELINE, BAYAN, GLOBE")</f>
        <v>GHP, GHP-PREPAID, TM, PW, GOMO, WIRELINE, BAYAN, GLOBE</v>
      </c>
      <c r="M403" s="258" t="str">
        <f>IFERROR(__xludf.DUMMYFUNCTION("""COMPUTED_VALUE"""),"Consumer, EG, SG, In house, IBG Traveler")</f>
        <v>Consumer, EG, SG, In house, IBG Traveler</v>
      </c>
      <c r="N403" s="258" t="str">
        <f>IFERROR(__xludf.DUMMYFUNCTION("""COMPUTED_VALUE"""),"interest")</f>
        <v>interest</v>
      </c>
      <c r="O403" s="258" t="str">
        <f>IFERROR(__xludf.DUMMYFUNCTION("""COMPUTED_VALUE"""),"adjustment_profile")</f>
        <v>adjustment_profile</v>
      </c>
      <c r="P403" s="258"/>
    </row>
    <row r="404">
      <c r="A404" s="257" t="str">
        <f>IFERROR(__xludf.DUMMYFUNCTION("""COMPUTED_VALUE"""),"globe_website_last_visit_date_rolling_90days")</f>
        <v>globe_website_last_visit_date_rolling_90days</v>
      </c>
      <c r="B404" s="258" t="str">
        <f>IFERROR(__xludf.DUMMYFUNCTION("""COMPUTED_VALUE"""),"Behavioral")</f>
        <v>Behavioral</v>
      </c>
      <c r="C404" s="258" t="str">
        <f>IFERROR(__xludf.DUMMYFUNCTION("""COMPUTED_VALUE"""),"Non-PII")</f>
        <v>Non-PII</v>
      </c>
      <c r="D404" s="258" t="str">
        <f>IFERROR(__xludf.DUMMYFUNCTION("""COMPUTED_VALUE"""),"Non-PII")</f>
        <v>Non-PII</v>
      </c>
      <c r="E404" s="258" t="str">
        <f>IFERROR(__xludf.DUMMYFUNCTION("""COMPUTED_VALUE"""),"Last visit date of the customer to Globe website for the past 90 days
 For wireline subscribers, only subscriptions within Metro Manila (including some areas in Rizal) and with DSL, VDSL and GPON technology value are covered.")</f>
        <v>Last visit date of the customer to Globe website for the past 90 days
 For wireline subscribers, only subscriptions within Metro Manila (including some areas in Rizal) and with DSL, VDSL and GPON technology value are covered.</v>
      </c>
      <c r="F404" s="258" t="str">
        <f>IFERROR(__xludf.DUMMYFUNCTION("""COMPUTED_VALUE"""),"Derived")</f>
        <v>Derived</v>
      </c>
      <c r="G404" s="258" t="str">
        <f>IFERROR(__xludf.DUMMYFUNCTION("""COMPUTED_VALUE"""),"timestamp")</f>
        <v>timestamp</v>
      </c>
      <c r="H404" s="258">
        <f>IFERROR(__xludf.DUMMYFUNCTION("""COMPUTED_VALUE"""),40610.33333)</f>
        <v>40610.33333</v>
      </c>
      <c r="I404" s="258" t="str">
        <f>IFERROR(__xludf.DUMMYFUNCTION("""COMPUTED_VALUE"""),"FVT CRM")</f>
        <v>FVT CRM</v>
      </c>
      <c r="J404" s="258" t="str">
        <f>IFERROR(__xludf.DUMMYFUNCTION("""COMPUTED_VALUE"""),"Daily (Day-7)")</f>
        <v>Daily (Day-7)</v>
      </c>
      <c r="K404" s="258" t="str">
        <f>IFERROR(__xludf.DUMMYFUNCTION("""COMPUTED_VALUE"""),"")</f>
        <v/>
      </c>
      <c r="L404" s="258" t="str">
        <f>IFERROR(__xludf.DUMMYFUNCTION("""COMPUTED_VALUE"""),"GHP, GHP-PREPAID, TM, PW, GOMO, WIRELINE, BAYAN, GLOBE")</f>
        <v>GHP, GHP-PREPAID, TM, PW, GOMO, WIRELINE, BAYAN, GLOBE</v>
      </c>
      <c r="M404" s="258" t="str">
        <f>IFERROR(__xludf.DUMMYFUNCTION("""COMPUTED_VALUE"""),"Consumer, EG, SG, In house, IBG Traveler")</f>
        <v>Consumer, EG, SG, In house, IBG Traveler</v>
      </c>
      <c r="N404" s="258" t="str">
        <f>IFERROR(__xludf.DUMMYFUNCTION("""COMPUTED_VALUE"""),"network")</f>
        <v>network</v>
      </c>
      <c r="O404" s="258" t="str">
        <f>IFERROR(__xludf.DUMMYFUNCTION("""COMPUTED_VALUE"""),"network_profile")</f>
        <v>network_profile</v>
      </c>
      <c r="P404" s="258"/>
    </row>
    <row r="405">
      <c r="A405" s="257" t="str">
        <f>IFERROR(__xludf.DUMMYFUNCTION("""COMPUTED_VALUE"""),"globe_website_visit_count_rolling_30days")</f>
        <v>globe_website_visit_count_rolling_30days</v>
      </c>
      <c r="B405" s="258" t="str">
        <f>IFERROR(__xludf.DUMMYFUNCTION("""COMPUTED_VALUE"""),"Behavioral")</f>
        <v>Behavioral</v>
      </c>
      <c r="C405" s="258" t="str">
        <f>IFERROR(__xludf.DUMMYFUNCTION("""COMPUTED_VALUE"""),"Non-PII")</f>
        <v>Non-PII</v>
      </c>
      <c r="D405" s="258" t="str">
        <f>IFERROR(__xludf.DUMMYFUNCTION("""COMPUTED_VALUE"""),"Non-PII")</f>
        <v>Non-PII</v>
      </c>
      <c r="E405" s="258" t="str">
        <f>IFERROR(__xludf.DUMMYFUNCTION("""COMPUTED_VALUE"""),"Number of visits to Globe website for the past 30 days
 For wireline subscribers, only subscriptions within Metro Manila (including some areas in Rizal) and with DSL, VDSL and GPON technology value are covered.")</f>
        <v>Number of visits to Globe website for the past 30 days
 For wireline subscribers, only subscriptions within Metro Manila (including some areas in Rizal) and with DSL, VDSL and GPON technology value are covered.</v>
      </c>
      <c r="F405" s="258" t="str">
        <f>IFERROR(__xludf.DUMMYFUNCTION("""COMPUTED_VALUE"""),"Derived")</f>
        <v>Derived</v>
      </c>
      <c r="G405" s="258" t="str">
        <f>IFERROR(__xludf.DUMMYFUNCTION("""COMPUTED_VALUE"""),"integer")</f>
        <v>integer</v>
      </c>
      <c r="H405" s="258">
        <f>IFERROR(__xludf.DUMMYFUNCTION("""COMPUTED_VALUE"""),15.0)</f>
        <v>15</v>
      </c>
      <c r="I405" s="258" t="str">
        <f>IFERROR(__xludf.DUMMYFUNCTION("""COMPUTED_VALUE"""),"FVT CRM")</f>
        <v>FVT CRM</v>
      </c>
      <c r="J405" s="258" t="str">
        <f>IFERROR(__xludf.DUMMYFUNCTION("""COMPUTED_VALUE"""),"Daily (Day-7)")</f>
        <v>Daily (Day-7)</v>
      </c>
      <c r="K405" s="258" t="str">
        <f>IFERROR(__xludf.DUMMYFUNCTION("""COMPUTED_VALUE"""),"")</f>
        <v/>
      </c>
      <c r="L405" s="258" t="str">
        <f>IFERROR(__xludf.DUMMYFUNCTION("""COMPUTED_VALUE"""),"GHP, GHP-PREPAID, TM, PW, GOMO, WIRELINE, BAYAN, GLOBE")</f>
        <v>GHP, GHP-PREPAID, TM, PW, GOMO, WIRELINE, BAYAN, GLOBE</v>
      </c>
      <c r="M405" s="258" t="str">
        <f>IFERROR(__xludf.DUMMYFUNCTION("""COMPUTED_VALUE"""),"Consumer, EG, SG, In house, IBG Traveler")</f>
        <v>Consumer, EG, SG, In house, IBG Traveler</v>
      </c>
      <c r="N405" s="258" t="str">
        <f>IFERROR(__xludf.DUMMYFUNCTION("""COMPUTED_VALUE"""),"network")</f>
        <v>network</v>
      </c>
      <c r="O405" s="258" t="str">
        <f>IFERROR(__xludf.DUMMYFUNCTION("""COMPUTED_VALUE"""),"network_profile")</f>
        <v>network_profile</v>
      </c>
      <c r="P405" s="258"/>
    </row>
    <row r="406">
      <c r="A406" s="257" t="str">
        <f>IFERROR(__xludf.DUMMYFUNCTION("""COMPUTED_VALUE"""),"globe_website_visit_average_count_rolling_90days")</f>
        <v>globe_website_visit_average_count_rolling_90days</v>
      </c>
      <c r="B406" s="258" t="str">
        <f>IFERROR(__xludf.DUMMYFUNCTION("""COMPUTED_VALUE"""),"Behavioral")</f>
        <v>Behavioral</v>
      </c>
      <c r="C406" s="258" t="str">
        <f>IFERROR(__xludf.DUMMYFUNCTION("""COMPUTED_VALUE"""),"Non-PII")</f>
        <v>Non-PII</v>
      </c>
      <c r="D406" s="258" t="str">
        <f>IFERROR(__xludf.DUMMYFUNCTION("""COMPUTED_VALUE"""),"Non-PII")</f>
        <v>Non-PII</v>
      </c>
      <c r="E406" s="258" t="str">
        <f>IFERROR(__xludf.DUMMYFUNCTION("""COMPUTED_VALUE"""),"Average number of visits to Globe website for the past 90 days
 For wireline subscribers, only subscriptions within Metro Manila (including some areas in Rizal) and with DSL, VDSL and GPON technology value are covered.")</f>
        <v>Average number of visits to Globe website for the past 90 days
 For wireline subscribers, only subscriptions within Metro Manila (including some areas in Rizal) and with DSL, VDSL and GPON technology value are covered.</v>
      </c>
      <c r="F406" s="258" t="str">
        <f>IFERROR(__xludf.DUMMYFUNCTION("""COMPUTED_VALUE"""),"Derived")</f>
        <v>Derived</v>
      </c>
      <c r="G406" s="258" t="str">
        <f>IFERROR(__xludf.DUMMYFUNCTION("""COMPUTED_VALUE"""),"integer")</f>
        <v>integer</v>
      </c>
      <c r="H406" s="258">
        <f>IFERROR(__xludf.DUMMYFUNCTION("""COMPUTED_VALUE"""),15.0)</f>
        <v>15</v>
      </c>
      <c r="I406" s="258" t="str">
        <f>IFERROR(__xludf.DUMMYFUNCTION("""COMPUTED_VALUE"""),"FVT CRM")</f>
        <v>FVT CRM</v>
      </c>
      <c r="J406" s="258" t="str">
        <f>IFERROR(__xludf.DUMMYFUNCTION("""COMPUTED_VALUE"""),"Daily (Day-7)")</f>
        <v>Daily (Day-7)</v>
      </c>
      <c r="K406" s="258" t="str">
        <f>IFERROR(__xludf.DUMMYFUNCTION("""COMPUTED_VALUE"""),"")</f>
        <v/>
      </c>
      <c r="L406" s="258" t="str">
        <f>IFERROR(__xludf.DUMMYFUNCTION("""COMPUTED_VALUE"""),"GHP, GHP-PREPAID, TM, PW, GOMO, WIRELINE, BAYAN, GLOBE")</f>
        <v>GHP, GHP-PREPAID, TM, PW, GOMO, WIRELINE, BAYAN, GLOBE</v>
      </c>
      <c r="M406" s="258" t="str">
        <f>IFERROR(__xludf.DUMMYFUNCTION("""COMPUTED_VALUE"""),"Consumer, EG, SG, In house, IBG Traveler")</f>
        <v>Consumer, EG, SG, In house, IBG Traveler</v>
      </c>
      <c r="N406" s="258" t="str">
        <f>IFERROR(__xludf.DUMMYFUNCTION("""COMPUTED_VALUE"""),"network")</f>
        <v>network</v>
      </c>
      <c r="O406" s="258" t="str">
        <f>IFERROR(__xludf.DUMMYFUNCTION("""COMPUTED_VALUE"""),"network_profile")</f>
        <v>network_profile</v>
      </c>
      <c r="P406" s="258"/>
    </row>
    <row r="407">
      <c r="A407" s="257" t="str">
        <f>IFERROR(__xludf.DUMMYFUNCTION("""COMPUTED_VALUE"""),"usage_gcash_last_used_date_last_120days")</f>
        <v>usage_gcash_last_used_date_last_120days</v>
      </c>
      <c r="B407" s="258" t="str">
        <f>IFERROR(__xludf.DUMMYFUNCTION("""COMPUTED_VALUE"""),"Behavioral")</f>
        <v>Behavioral</v>
      </c>
      <c r="C407" s="258" t="str">
        <f>IFERROR(__xludf.DUMMYFUNCTION("""COMPUTED_VALUE"""),"Non-PII")</f>
        <v>Non-PII</v>
      </c>
      <c r="D407" s="258" t="str">
        <f>IFERROR(__xludf.DUMMYFUNCTION("""COMPUTED_VALUE"""),"Non-PII")</f>
        <v>Non-PII</v>
      </c>
      <c r="E407" s="258" t="str">
        <f>IFERROR(__xludf.DUMMYFUNCTION("""COMPUTED_VALUE"""),"Last usage date of GCash")</f>
        <v>Last usage date of GCash</v>
      </c>
      <c r="F407" s="258" t="str">
        <f>IFERROR(__xludf.DUMMYFUNCTION("""COMPUTED_VALUE"""),"Derived")</f>
        <v>Derived</v>
      </c>
      <c r="G407" s="258" t="str">
        <f>IFERROR(__xludf.DUMMYFUNCTION("""COMPUTED_VALUE"""),"timestamp")</f>
        <v>timestamp</v>
      </c>
      <c r="H407" s="258">
        <f>IFERROR(__xludf.DUMMYFUNCTION("""COMPUTED_VALUE"""),40610.33333)</f>
        <v>40610.33333</v>
      </c>
      <c r="I407" s="258" t="str">
        <f>IFERROR(__xludf.DUMMYFUNCTION("""COMPUTED_VALUE"""),"FVT CRM Mobile")</f>
        <v>FVT CRM Mobile</v>
      </c>
      <c r="J407" s="258" t="str">
        <f>IFERROR(__xludf.DUMMYFUNCTION("""COMPUTED_VALUE"""),"Daily")</f>
        <v>Daily</v>
      </c>
      <c r="K407" s="258" t="str">
        <f>IFERROR(__xludf.DUMMYFUNCTION("""COMPUTED_VALUE"""),"")</f>
        <v/>
      </c>
      <c r="L407" s="258" t="str">
        <f>IFERROR(__xludf.DUMMYFUNCTION("""COMPUTED_VALUE"""),"GHP, GHP-PREPAID, TM, PW, GOMO")</f>
        <v>GHP, GHP-PREPAID, TM, PW, GOMO</v>
      </c>
      <c r="M407" s="258" t="str">
        <f>IFERROR(__xludf.DUMMYFUNCTION("""COMPUTED_VALUE"""),"Consumer, EG, SG, In house, IBG Traveler")</f>
        <v>Consumer, EG, SG, In house, IBG Traveler</v>
      </c>
      <c r="N407" s="258" t="str">
        <f>IFERROR(__xludf.DUMMYFUNCTION("""COMPUTED_VALUE"""),"usage")</f>
        <v>usage</v>
      </c>
      <c r="O407" s="258" t="str">
        <f>IFERROR(__xludf.DUMMYFUNCTION("""COMPUTED_VALUE"""),"usage_profile")</f>
        <v>usage_profile</v>
      </c>
      <c r="P407" s="258"/>
    </row>
    <row r="408">
      <c r="A408" s="257" t="str">
        <f>IFERROR(__xludf.DUMMYFUNCTION("""COMPUTED_VALUE"""),"platinum_net_promoter_score")</f>
        <v>platinum_net_promoter_score</v>
      </c>
      <c r="B408" s="258" t="str">
        <f>IFERROR(__xludf.DUMMYFUNCTION("""COMPUTED_VALUE"""),"Loyalty &amp; Retention")</f>
        <v>Loyalty &amp; Retention</v>
      </c>
      <c r="C408" s="258" t="str">
        <f>IFERROR(__xludf.DUMMYFUNCTION("""COMPUTED_VALUE"""),"Non-PII")</f>
        <v>Non-PII</v>
      </c>
      <c r="D408" s="258" t="str">
        <f>IFERROR(__xludf.DUMMYFUNCTION("""COMPUTED_VALUE"""),"Non-PII")</f>
        <v>Non-PII</v>
      </c>
      <c r="E408" s="258" t="str">
        <f>IFERROR(__xludf.DUMMYFUNCTION("""COMPUTED_VALUE"""),"Model score to determine the net promoter detractor and non detractor")</f>
        <v>Model score to determine the net promoter detractor and non detractor</v>
      </c>
      <c r="F408" s="258" t="str">
        <f>IFERROR(__xludf.DUMMYFUNCTION("""COMPUTED_VALUE"""),"Derived")</f>
        <v>Derived</v>
      </c>
      <c r="G408" s="258" t="str">
        <f>IFERROR(__xludf.DUMMYFUNCTION("""COMPUTED_VALUE"""),"numeric(21, 2)")</f>
        <v>numeric(21, 2)</v>
      </c>
      <c r="H408" s="258">
        <f>IFERROR(__xludf.DUMMYFUNCTION("""COMPUTED_VALUE"""),0.32)</f>
        <v>0.32</v>
      </c>
      <c r="I408" s="258" t="str">
        <f>IFERROR(__xludf.DUMMYFUNCTION("""COMPUTED_VALUE"""),"EDO-AA")</f>
        <v>EDO-AA</v>
      </c>
      <c r="J408" s="258" t="str">
        <f>IFERROR(__xludf.DUMMYFUNCTION("""COMPUTED_VALUE"""),"Monthly")</f>
        <v>Monthly</v>
      </c>
      <c r="K408" s="258" t="str">
        <f>IFERROR(__xludf.DUMMYFUNCTION("""COMPUTED_VALUE"""),"")</f>
        <v/>
      </c>
      <c r="L408" s="258" t="str">
        <f>IFERROR(__xludf.DUMMYFUNCTION("""COMPUTED_VALUE"""),"GHP")</f>
        <v>GHP</v>
      </c>
      <c r="M408" s="258" t="str">
        <f>IFERROR(__xludf.DUMMYFUNCTION("""COMPUTED_VALUE"""),"Consumer")</f>
        <v>Consumer</v>
      </c>
      <c r="N408" s="258" t="str">
        <f>IFERROR(__xludf.DUMMYFUNCTION("""COMPUTED_VALUE"""),"reward_campaign")</f>
        <v>reward_campaign</v>
      </c>
      <c r="O408" s="258" t="str">
        <f>IFERROR(__xludf.DUMMYFUNCTION("""COMPUTED_VALUE"""),"reward_campaign_profile")</f>
        <v>reward_campaign_profile</v>
      </c>
      <c r="P408" s="258"/>
    </row>
    <row r="409">
      <c r="A409" s="257" t="str">
        <f>IFERROR(__xludf.DUMMYFUNCTION("""COMPUTED_VALUE"""),"platinum_net_promoter_score_indicator")</f>
        <v>platinum_net_promoter_score_indicator</v>
      </c>
      <c r="B409" s="258" t="str">
        <f>IFERROR(__xludf.DUMMYFUNCTION("""COMPUTED_VALUE"""),"Loyalty &amp; Retention")</f>
        <v>Loyalty &amp; Retention</v>
      </c>
      <c r="C409" s="258" t="str">
        <f>IFERROR(__xludf.DUMMYFUNCTION("""COMPUTED_VALUE"""),"Non-PII")</f>
        <v>Non-PII</v>
      </c>
      <c r="D409" s="258" t="str">
        <f>IFERROR(__xludf.DUMMYFUNCTION("""COMPUTED_VALUE"""),"Non-PII")</f>
        <v>Non-PII</v>
      </c>
      <c r="E409" s="258" t="str">
        <f>IFERROR(__xludf.DUMMYFUNCTION("""COMPUTED_VALUE"""),"Indicator for net promoter score detractor and non detractor. 
TRUE - detractor
False - non-detractor")</f>
        <v>Indicator for net promoter score detractor and non detractor. 
TRUE - detractor
False - non-detractor</v>
      </c>
      <c r="F409" s="258" t="str">
        <f>IFERROR(__xludf.DUMMYFUNCTION("""COMPUTED_VALUE"""),"Derived")</f>
        <v>Derived</v>
      </c>
      <c r="G409" s="258" t="str">
        <f>IFERROR(__xludf.DUMMYFUNCTION("""COMPUTED_VALUE"""),"boolean")</f>
        <v>boolean</v>
      </c>
      <c r="H409" s="258" t="b">
        <f>IFERROR(__xludf.DUMMYFUNCTION("""COMPUTED_VALUE"""),TRUE)</f>
        <v>1</v>
      </c>
      <c r="I409" s="258" t="str">
        <f>IFERROR(__xludf.DUMMYFUNCTION("""COMPUTED_VALUE"""),"EDO-AA")</f>
        <v>EDO-AA</v>
      </c>
      <c r="J409" s="258" t="str">
        <f>IFERROR(__xludf.DUMMYFUNCTION("""COMPUTED_VALUE"""),"Monthly")</f>
        <v>Monthly</v>
      </c>
      <c r="K409" s="258" t="str">
        <f>IFERROR(__xludf.DUMMYFUNCTION("""COMPUTED_VALUE"""),"")</f>
        <v/>
      </c>
      <c r="L409" s="258" t="str">
        <f>IFERROR(__xludf.DUMMYFUNCTION("""COMPUTED_VALUE"""),"GHP")</f>
        <v>GHP</v>
      </c>
      <c r="M409" s="258" t="str">
        <f>IFERROR(__xludf.DUMMYFUNCTION("""COMPUTED_VALUE"""),"Consumer")</f>
        <v>Consumer</v>
      </c>
      <c r="N409" s="258" t="str">
        <f>IFERROR(__xludf.DUMMYFUNCTION("""COMPUTED_VALUE"""),"reward_campaign")</f>
        <v>reward_campaign</v>
      </c>
      <c r="O409" s="258" t="str">
        <f>IFERROR(__xludf.DUMMYFUNCTION("""COMPUTED_VALUE"""),"reward_campaign_profile")</f>
        <v>reward_campaign_profile</v>
      </c>
      <c r="P409" s="258"/>
    </row>
    <row r="410">
      <c r="A410" s="257" t="str">
        <f>IFERROR(__xludf.DUMMYFUNCTION("""COMPUTED_VALUE"""),"reload_prepaid_arpu_30days")</f>
        <v>reload_prepaid_arpu_30days</v>
      </c>
      <c r="B410" s="258" t="str">
        <f>IFERROR(__xludf.DUMMYFUNCTION("""COMPUTED_VALUE"""),"Behavioral")</f>
        <v>Behavioral</v>
      </c>
      <c r="C410" s="258" t="str">
        <f>IFERROR(__xludf.DUMMYFUNCTION("""COMPUTED_VALUE"""),"Non-PII")</f>
        <v>Non-PII</v>
      </c>
      <c r="D410" s="258" t="str">
        <f>IFERROR(__xludf.DUMMYFUNCTION("""COMPUTED_VALUE"""),"Non-PII")</f>
        <v>Non-PII</v>
      </c>
      <c r="E410" s="258" t="str">
        <f>IFERROR(__xludf.DUMMYFUNCTION("""COMPUTED_VALUE"""),"Average daily top-up for the past 30 days")</f>
        <v>Average daily top-up for the past 30 days</v>
      </c>
      <c r="F410" s="258" t="str">
        <f>IFERROR(__xludf.DUMMYFUNCTION("""COMPUTED_VALUE"""),"Derived")</f>
        <v>Derived</v>
      </c>
      <c r="G410" s="258" t="str">
        <f>IFERROR(__xludf.DUMMYFUNCTION("""COMPUTED_VALUE"""),"numeric(21,2)")</f>
        <v>numeric(21,2)</v>
      </c>
      <c r="H410" s="258">
        <f>IFERROR(__xludf.DUMMYFUNCTION("""COMPUTED_VALUE"""),30.0)</f>
        <v>30</v>
      </c>
      <c r="I410" s="258" t="str">
        <f>IFERROR(__xludf.DUMMYFUNCTION("""COMPUTED_VALUE"""),"AMP")</f>
        <v>AMP</v>
      </c>
      <c r="J410" s="258" t="str">
        <f>IFERROR(__xludf.DUMMYFUNCTION("""COMPUTED_VALUE"""),"Daily")</f>
        <v>Daily</v>
      </c>
      <c r="K410" s="258" t="str">
        <f>IFERROR(__xludf.DUMMYFUNCTION("""COMPUTED_VALUE"""),"")</f>
        <v/>
      </c>
      <c r="L410" s="258" t="str">
        <f>IFERROR(__xludf.DUMMYFUNCTION("""COMPUTED_VALUE"""),"GHP-PREPAID, TM, PW")</f>
        <v>GHP-PREPAID, TM, PW</v>
      </c>
      <c r="M410" s="258" t="str">
        <f>IFERROR(__xludf.DUMMYFUNCTION("""COMPUTED_VALUE"""),"Consumer, EG, SG")</f>
        <v>Consumer, EG, SG</v>
      </c>
      <c r="N410" s="258" t="str">
        <f>IFERROR(__xludf.DUMMYFUNCTION("""COMPUTED_VALUE"""),"reload")</f>
        <v>reload</v>
      </c>
      <c r="O410" s="258" t="str">
        <f>IFERROR(__xludf.DUMMYFUNCTION("""COMPUTED_VALUE"""),"reload_profile")</f>
        <v>reload_profile</v>
      </c>
      <c r="P410" s="258"/>
    </row>
    <row r="411">
      <c r="A411" s="257" t="str">
        <f>IFERROR(__xludf.DUMMYFUNCTION("""COMPUTED_VALUE"""),"reload_prepaid_arpu_60days")</f>
        <v>reload_prepaid_arpu_60days</v>
      </c>
      <c r="B411" s="258" t="str">
        <f>IFERROR(__xludf.DUMMYFUNCTION("""COMPUTED_VALUE"""),"Behavioral")</f>
        <v>Behavioral</v>
      </c>
      <c r="C411" s="258" t="str">
        <f>IFERROR(__xludf.DUMMYFUNCTION("""COMPUTED_VALUE"""),"Non-PII")</f>
        <v>Non-PII</v>
      </c>
      <c r="D411" s="258" t="str">
        <f>IFERROR(__xludf.DUMMYFUNCTION("""COMPUTED_VALUE"""),"Non-PII")</f>
        <v>Non-PII</v>
      </c>
      <c r="E411" s="258" t="str">
        <f>IFERROR(__xludf.DUMMYFUNCTION("""COMPUTED_VALUE"""),"Average monthly top-up for the 60 days")</f>
        <v>Average monthly top-up for the 60 days</v>
      </c>
      <c r="F411" s="258" t="str">
        <f>IFERROR(__xludf.DUMMYFUNCTION("""COMPUTED_VALUE"""),"Derived")</f>
        <v>Derived</v>
      </c>
      <c r="G411" s="258" t="str">
        <f>IFERROR(__xludf.DUMMYFUNCTION("""COMPUTED_VALUE"""),"numeric(21,2)")</f>
        <v>numeric(21,2)</v>
      </c>
      <c r="H411" s="258">
        <f>IFERROR(__xludf.DUMMYFUNCTION("""COMPUTED_VALUE"""),619.0)</f>
        <v>619</v>
      </c>
      <c r="I411" s="258" t="str">
        <f>IFERROR(__xludf.DUMMYFUNCTION("""COMPUTED_VALUE"""),"AMP")</f>
        <v>AMP</v>
      </c>
      <c r="J411" s="258" t="str">
        <f>IFERROR(__xludf.DUMMYFUNCTION("""COMPUTED_VALUE"""),"Daily")</f>
        <v>Daily</v>
      </c>
      <c r="K411" s="258" t="str">
        <f>IFERROR(__xludf.DUMMYFUNCTION("""COMPUTED_VALUE"""),"")</f>
        <v/>
      </c>
      <c r="L411" s="258" t="str">
        <f>IFERROR(__xludf.DUMMYFUNCTION("""COMPUTED_VALUE"""),"GHP-PREPAID, TM, PW")</f>
        <v>GHP-PREPAID, TM, PW</v>
      </c>
      <c r="M411" s="258" t="str">
        <f>IFERROR(__xludf.DUMMYFUNCTION("""COMPUTED_VALUE"""),"Consumer, EG, SG")</f>
        <v>Consumer, EG, SG</v>
      </c>
      <c r="N411" s="258" t="str">
        <f>IFERROR(__xludf.DUMMYFUNCTION("""COMPUTED_VALUE"""),"reload")</f>
        <v>reload</v>
      </c>
      <c r="O411" s="258" t="str">
        <f>IFERROR(__xludf.DUMMYFUNCTION("""COMPUTED_VALUE"""),"reload_profile")</f>
        <v>reload_profile</v>
      </c>
      <c r="P411" s="258"/>
    </row>
    <row r="412">
      <c r="A412" s="257" t="str">
        <f>IFERROR(__xludf.DUMMYFUNCTION("""COMPUTED_VALUE"""),"reload_prepaid_arpu_90days")</f>
        <v>reload_prepaid_arpu_90days</v>
      </c>
      <c r="B412" s="258" t="str">
        <f>IFERROR(__xludf.DUMMYFUNCTION("""COMPUTED_VALUE"""),"Behavioral")</f>
        <v>Behavioral</v>
      </c>
      <c r="C412" s="258" t="str">
        <f>IFERROR(__xludf.DUMMYFUNCTION("""COMPUTED_VALUE"""),"Non-PII")</f>
        <v>Non-PII</v>
      </c>
      <c r="D412" s="258" t="str">
        <f>IFERROR(__xludf.DUMMYFUNCTION("""COMPUTED_VALUE"""),"Non-PII")</f>
        <v>Non-PII</v>
      </c>
      <c r="E412" s="258" t="str">
        <f>IFERROR(__xludf.DUMMYFUNCTION("""COMPUTED_VALUE"""),"Average monthly top-up for the 90 days")</f>
        <v>Average monthly top-up for the 90 days</v>
      </c>
      <c r="F412" s="258" t="str">
        <f>IFERROR(__xludf.DUMMYFUNCTION("""COMPUTED_VALUE"""),"Derived")</f>
        <v>Derived</v>
      </c>
      <c r="G412" s="258" t="str">
        <f>IFERROR(__xludf.DUMMYFUNCTION("""COMPUTED_VALUE"""),"numeric(21,2)")</f>
        <v>numeric(21,2)</v>
      </c>
      <c r="H412" s="258">
        <f>IFERROR(__xludf.DUMMYFUNCTION("""COMPUTED_VALUE"""),417.0)</f>
        <v>417</v>
      </c>
      <c r="I412" s="258" t="str">
        <f>IFERROR(__xludf.DUMMYFUNCTION("""COMPUTED_VALUE"""),"AMP")</f>
        <v>AMP</v>
      </c>
      <c r="J412" s="258" t="str">
        <f>IFERROR(__xludf.DUMMYFUNCTION("""COMPUTED_VALUE"""),"Daily")</f>
        <v>Daily</v>
      </c>
      <c r="K412" s="258" t="str">
        <f>IFERROR(__xludf.DUMMYFUNCTION("""COMPUTED_VALUE"""),"")</f>
        <v/>
      </c>
      <c r="L412" s="258" t="str">
        <f>IFERROR(__xludf.DUMMYFUNCTION("""COMPUTED_VALUE"""),"GHP-PREPAID, TM, PW")</f>
        <v>GHP-PREPAID, TM, PW</v>
      </c>
      <c r="M412" s="258" t="str">
        <f>IFERROR(__xludf.DUMMYFUNCTION("""COMPUTED_VALUE"""),"Consumer, EG, SG")</f>
        <v>Consumer, EG, SG</v>
      </c>
      <c r="N412" s="258" t="str">
        <f>IFERROR(__xludf.DUMMYFUNCTION("""COMPUTED_VALUE"""),"reload")</f>
        <v>reload</v>
      </c>
      <c r="O412" s="258" t="str">
        <f>IFERROR(__xludf.DUMMYFUNCTION("""COMPUTED_VALUE"""),"reload_profile")</f>
        <v>reload_profile</v>
      </c>
      <c r="P412" s="258"/>
    </row>
    <row r="413">
      <c r="A413" s="257" t="str">
        <f>IFERROR(__xludf.DUMMYFUNCTION("""COMPUTED_VALUE"""),"usage_data_consumable_mb_past_90days")</f>
        <v>usage_data_consumable_mb_past_90days</v>
      </c>
      <c r="B413" s="258" t="str">
        <f>IFERROR(__xludf.DUMMYFUNCTION("""COMPUTED_VALUE"""),"Behavioral")</f>
        <v>Behavioral</v>
      </c>
      <c r="C413" s="258" t="str">
        <f>IFERROR(__xludf.DUMMYFUNCTION("""COMPUTED_VALUE"""),"Non-PII")</f>
        <v>Non-PII</v>
      </c>
      <c r="D413" s="258" t="str">
        <f>IFERROR(__xludf.DUMMYFUNCTION("""COMPUTED_VALUE"""),"Non-PII")</f>
        <v>Non-PII</v>
      </c>
      <c r="E413" s="258" t="str">
        <f>IFERROR(__xludf.DUMMYFUNCTION("""COMPUTED_VALUE"""),"Total volume of consumable data in megabytes for the past 90 days")</f>
        <v>Total volume of consumable data in megabytes for the past 90 days</v>
      </c>
      <c r="F413" s="258" t="str">
        <f>IFERROR(__xludf.DUMMYFUNCTION("""COMPUTED_VALUE"""),"Derived")</f>
        <v>Derived</v>
      </c>
      <c r="G413" s="258" t="str">
        <f>IFERROR(__xludf.DUMMYFUNCTION("""COMPUTED_VALUE"""),"integer")</f>
        <v>integer</v>
      </c>
      <c r="H413" s="258">
        <f>IFERROR(__xludf.DUMMYFUNCTION("""COMPUTED_VALUE"""),24.0)</f>
        <v>24</v>
      </c>
      <c r="I413" s="258" t="str">
        <f>IFERROR(__xludf.DUMMYFUNCTION("""COMPUTED_VALUE"""),"SG")</f>
        <v>SG</v>
      </c>
      <c r="J413" s="258" t="str">
        <f>IFERROR(__xludf.DUMMYFUNCTION("""COMPUTED_VALUE"""),"Daily")</f>
        <v>Daily</v>
      </c>
      <c r="K413" s="258" t="str">
        <f>IFERROR(__xludf.DUMMYFUNCTION("""COMPUTED_VALUE"""),"")</f>
        <v/>
      </c>
      <c r="L413" s="258" t="str">
        <f>IFERROR(__xludf.DUMMYFUNCTION("""COMPUTED_VALUE"""),"GHP")</f>
        <v>GHP</v>
      </c>
      <c r="M413" s="258" t="str">
        <f>IFERROR(__xludf.DUMMYFUNCTION("""COMPUTED_VALUE"""),"Consumer, EG, SG, In house")</f>
        <v>Consumer, EG, SG, In house</v>
      </c>
      <c r="N413" s="258" t="str">
        <f>IFERROR(__xludf.DUMMYFUNCTION("""COMPUTED_VALUE"""),"usage")</f>
        <v>usage</v>
      </c>
      <c r="O413" s="258" t="str">
        <f>IFERROR(__xludf.DUMMYFUNCTION("""COMPUTED_VALUE"""),"adjustment_profile")</f>
        <v>adjustment_profile</v>
      </c>
      <c r="P413" s="258"/>
    </row>
    <row r="414">
      <c r="A414" s="257" t="str">
        <f>IFERROR(__xludf.DUMMYFUNCTION("""COMPUTED_VALUE"""),"usage_data_roaming_consumable_mb_past_90days")</f>
        <v>usage_data_roaming_consumable_mb_past_90days</v>
      </c>
      <c r="B414" s="258" t="str">
        <f>IFERROR(__xludf.DUMMYFUNCTION("""COMPUTED_VALUE"""),"Behavioral")</f>
        <v>Behavioral</v>
      </c>
      <c r="C414" s="258" t="str">
        <f>IFERROR(__xludf.DUMMYFUNCTION("""COMPUTED_VALUE"""),"Non-PII")</f>
        <v>Non-PII</v>
      </c>
      <c r="D414" s="258" t="str">
        <f>IFERROR(__xludf.DUMMYFUNCTION("""COMPUTED_VALUE"""),"Non-PII")</f>
        <v>Non-PII</v>
      </c>
      <c r="E414" s="258" t="str">
        <f>IFERROR(__xludf.DUMMYFUNCTION("""COMPUTED_VALUE"""),"Total volume of consumable data roaming in megabytes for the past 90 days")</f>
        <v>Total volume of consumable data roaming in megabytes for the past 90 days</v>
      </c>
      <c r="F414" s="258" t="str">
        <f>IFERROR(__xludf.DUMMYFUNCTION("""COMPUTED_VALUE"""),"Derived")</f>
        <v>Derived</v>
      </c>
      <c r="G414" s="258" t="str">
        <f>IFERROR(__xludf.DUMMYFUNCTION("""COMPUTED_VALUE"""),"integer")</f>
        <v>integer</v>
      </c>
      <c r="H414" s="258">
        <f>IFERROR(__xludf.DUMMYFUNCTION("""COMPUTED_VALUE"""),8.0)</f>
        <v>8</v>
      </c>
      <c r="I414" s="258" t="str">
        <f>IFERROR(__xludf.DUMMYFUNCTION("""COMPUTED_VALUE"""),"SG")</f>
        <v>SG</v>
      </c>
      <c r="J414" s="258" t="str">
        <f>IFERROR(__xludf.DUMMYFUNCTION("""COMPUTED_VALUE"""),"Daily")</f>
        <v>Daily</v>
      </c>
      <c r="K414" s="258" t="str">
        <f>IFERROR(__xludf.DUMMYFUNCTION("""COMPUTED_VALUE"""),"")</f>
        <v/>
      </c>
      <c r="L414" s="258" t="str">
        <f>IFERROR(__xludf.DUMMYFUNCTION("""COMPUTED_VALUE"""),"GHP")</f>
        <v>GHP</v>
      </c>
      <c r="M414" s="258" t="str">
        <f>IFERROR(__xludf.DUMMYFUNCTION("""COMPUTED_VALUE"""),"Consumer, EG, SG, In house")</f>
        <v>Consumer, EG, SG, In house</v>
      </c>
      <c r="N414" s="258" t="str">
        <f>IFERROR(__xludf.DUMMYFUNCTION("""COMPUTED_VALUE"""),"usage")</f>
        <v>usage</v>
      </c>
      <c r="O414" s="258" t="str">
        <f>IFERROR(__xludf.DUMMYFUNCTION("""COMPUTED_VALUE"""),"adjustment_profile")</f>
        <v>adjustment_profile</v>
      </c>
      <c r="P414" s="258"/>
    </row>
    <row r="415">
      <c r="A415" s="257" t="str">
        <f>IFERROR(__xludf.DUMMYFUNCTION("""COMPUTED_VALUE"""),"usage_voice_roaming_consumable_mins_past_90days")</f>
        <v>usage_voice_roaming_consumable_mins_past_90days</v>
      </c>
      <c r="B415" s="258" t="str">
        <f>IFERROR(__xludf.DUMMYFUNCTION("""COMPUTED_VALUE"""),"Behavioral")</f>
        <v>Behavioral</v>
      </c>
      <c r="C415" s="258" t="str">
        <f>IFERROR(__xludf.DUMMYFUNCTION("""COMPUTED_VALUE"""),"Non-PII")</f>
        <v>Non-PII</v>
      </c>
      <c r="D415" s="258" t="str">
        <f>IFERROR(__xludf.DUMMYFUNCTION("""COMPUTED_VALUE"""),"Non-PII")</f>
        <v>Non-PII</v>
      </c>
      <c r="E415" s="258" t="str">
        <f>IFERROR(__xludf.DUMMYFUNCTION("""COMPUTED_VALUE"""),"Total length of consumable voice roaming transactions in minutes for the past 90 days")</f>
        <v>Total length of consumable voice roaming transactions in minutes for the past 90 days</v>
      </c>
      <c r="F415" s="258" t="str">
        <f>IFERROR(__xludf.DUMMYFUNCTION("""COMPUTED_VALUE"""),"Derived")</f>
        <v>Derived</v>
      </c>
      <c r="G415" s="258" t="str">
        <f>IFERROR(__xludf.DUMMYFUNCTION("""COMPUTED_VALUE"""),"integer")</f>
        <v>integer</v>
      </c>
      <c r="H415" s="258">
        <f>IFERROR(__xludf.DUMMYFUNCTION("""COMPUTED_VALUE"""),28.0)</f>
        <v>28</v>
      </c>
      <c r="I415" s="258" t="str">
        <f>IFERROR(__xludf.DUMMYFUNCTION("""COMPUTED_VALUE"""),"SG")</f>
        <v>SG</v>
      </c>
      <c r="J415" s="258" t="str">
        <f>IFERROR(__xludf.DUMMYFUNCTION("""COMPUTED_VALUE"""),"Daily")</f>
        <v>Daily</v>
      </c>
      <c r="K415" s="258" t="str">
        <f>IFERROR(__xludf.DUMMYFUNCTION("""COMPUTED_VALUE"""),"")</f>
        <v/>
      </c>
      <c r="L415" s="258" t="str">
        <f>IFERROR(__xludf.DUMMYFUNCTION("""COMPUTED_VALUE"""),"GHP")</f>
        <v>GHP</v>
      </c>
      <c r="M415" s="258" t="str">
        <f>IFERROR(__xludf.DUMMYFUNCTION("""COMPUTED_VALUE"""),"Consumer, EG, SG, In house")</f>
        <v>Consumer, EG, SG, In house</v>
      </c>
      <c r="N415" s="258" t="str">
        <f>IFERROR(__xludf.DUMMYFUNCTION("""COMPUTED_VALUE"""),"usage")</f>
        <v>usage</v>
      </c>
      <c r="O415" s="258" t="str">
        <f>IFERROR(__xludf.DUMMYFUNCTION("""COMPUTED_VALUE"""),"adjustment_profile")</f>
        <v>adjustment_profile</v>
      </c>
      <c r="P415" s="258"/>
    </row>
    <row r="416">
      <c r="A416" s="257" t="str">
        <f>IFERROR(__xludf.DUMMYFUNCTION("""COMPUTED_VALUE"""),"usage_sms_roaming_consumable_count_past_90days")</f>
        <v>usage_sms_roaming_consumable_count_past_90days</v>
      </c>
      <c r="B416" s="258" t="str">
        <f>IFERROR(__xludf.DUMMYFUNCTION("""COMPUTED_VALUE"""),"Behavioral")</f>
        <v>Behavioral</v>
      </c>
      <c r="C416" s="258" t="str">
        <f>IFERROR(__xludf.DUMMYFUNCTION("""COMPUTED_VALUE"""),"Non-PII")</f>
        <v>Non-PII</v>
      </c>
      <c r="D416" s="258" t="str">
        <f>IFERROR(__xludf.DUMMYFUNCTION("""COMPUTED_VALUE"""),"Non-PII")</f>
        <v>Non-PII</v>
      </c>
      <c r="E416" s="258" t="str">
        <f>IFERROR(__xludf.DUMMYFUNCTION("""COMPUTED_VALUE"""),"Number of consumable SMS roaming for the past 90 days")</f>
        <v>Number of consumable SMS roaming for the past 90 days</v>
      </c>
      <c r="F416" s="258" t="str">
        <f>IFERROR(__xludf.DUMMYFUNCTION("""COMPUTED_VALUE"""),"Derived")</f>
        <v>Derived</v>
      </c>
      <c r="G416" s="258" t="str">
        <f>IFERROR(__xludf.DUMMYFUNCTION("""COMPUTED_VALUE"""),"integer")</f>
        <v>integer</v>
      </c>
      <c r="H416" s="258">
        <f>IFERROR(__xludf.DUMMYFUNCTION("""COMPUTED_VALUE"""),12.0)</f>
        <v>12</v>
      </c>
      <c r="I416" s="258" t="str">
        <f>IFERROR(__xludf.DUMMYFUNCTION("""COMPUTED_VALUE"""),"SG")</f>
        <v>SG</v>
      </c>
      <c r="J416" s="258" t="str">
        <f>IFERROR(__xludf.DUMMYFUNCTION("""COMPUTED_VALUE"""),"Daily")</f>
        <v>Daily</v>
      </c>
      <c r="K416" s="258" t="str">
        <f>IFERROR(__xludf.DUMMYFUNCTION("""COMPUTED_VALUE"""),"")</f>
        <v/>
      </c>
      <c r="L416" s="258" t="str">
        <f>IFERROR(__xludf.DUMMYFUNCTION("""COMPUTED_VALUE"""),"GHP")</f>
        <v>GHP</v>
      </c>
      <c r="M416" s="258" t="str">
        <f>IFERROR(__xludf.DUMMYFUNCTION("""COMPUTED_VALUE"""),"Consumer, EG, SG, In house")</f>
        <v>Consumer, EG, SG, In house</v>
      </c>
      <c r="N416" s="258" t="str">
        <f>IFERROR(__xludf.DUMMYFUNCTION("""COMPUTED_VALUE"""),"usage")</f>
        <v>usage</v>
      </c>
      <c r="O416" s="258" t="str">
        <f>IFERROR(__xludf.DUMMYFUNCTION("""COMPUTED_VALUE"""),"adjustment_profile")</f>
        <v>adjustment_profile</v>
      </c>
      <c r="P416" s="258"/>
    </row>
    <row r="417">
      <c r="A417" s="257" t="str">
        <f>IFERROR(__xludf.DUMMYFUNCTION("""COMPUTED_VALUE"""),"usage_vas_consumable_count_past_90days")</f>
        <v>usage_vas_consumable_count_past_90days</v>
      </c>
      <c r="B417" s="258" t="str">
        <f>IFERROR(__xludf.DUMMYFUNCTION("""COMPUTED_VALUE"""),"Behavioral")</f>
        <v>Behavioral</v>
      </c>
      <c r="C417" s="258" t="str">
        <f>IFERROR(__xludf.DUMMYFUNCTION("""COMPUTED_VALUE"""),"Non-PII")</f>
        <v>Non-PII</v>
      </c>
      <c r="D417" s="258" t="str">
        <f>IFERROR(__xludf.DUMMYFUNCTION("""COMPUTED_VALUE"""),"Non-PII")</f>
        <v>Non-PII</v>
      </c>
      <c r="E417" s="258" t="str">
        <f>IFERROR(__xludf.DUMMYFUNCTION("""COMPUTED_VALUE"""),"Number of value added service transactions for the past 90 days")</f>
        <v>Number of value added service transactions for the past 90 days</v>
      </c>
      <c r="F417" s="258" t="str">
        <f>IFERROR(__xludf.DUMMYFUNCTION("""COMPUTED_VALUE"""),"Derived")</f>
        <v>Derived</v>
      </c>
      <c r="G417" s="258" t="str">
        <f>IFERROR(__xludf.DUMMYFUNCTION("""COMPUTED_VALUE"""),"integer")</f>
        <v>integer</v>
      </c>
      <c r="H417" s="258">
        <f>IFERROR(__xludf.DUMMYFUNCTION("""COMPUTED_VALUE"""),9.0)</f>
        <v>9</v>
      </c>
      <c r="I417" s="258" t="str">
        <f>IFERROR(__xludf.DUMMYFUNCTION("""COMPUTED_VALUE"""),"SG")</f>
        <v>SG</v>
      </c>
      <c r="J417" s="258" t="str">
        <f>IFERROR(__xludf.DUMMYFUNCTION("""COMPUTED_VALUE"""),"Daily")</f>
        <v>Daily</v>
      </c>
      <c r="K417" s="258" t="str">
        <f>IFERROR(__xludf.DUMMYFUNCTION("""COMPUTED_VALUE"""),"")</f>
        <v/>
      </c>
      <c r="L417" s="258" t="str">
        <f>IFERROR(__xludf.DUMMYFUNCTION("""COMPUTED_VALUE"""),"GHP")</f>
        <v>GHP</v>
      </c>
      <c r="M417" s="258" t="str">
        <f>IFERROR(__xludf.DUMMYFUNCTION("""COMPUTED_VALUE"""),"Consumer, EG, SG, In house")</f>
        <v>Consumer, EG, SG, In house</v>
      </c>
      <c r="N417" s="258" t="str">
        <f>IFERROR(__xludf.DUMMYFUNCTION("""COMPUTED_VALUE"""),"usage")</f>
        <v>usage</v>
      </c>
      <c r="O417" s="258" t="str">
        <f>IFERROR(__xludf.DUMMYFUNCTION("""COMPUTED_VALUE"""),"adjustment_profile")</f>
        <v>adjustment_profile</v>
      </c>
      <c r="P417" s="258"/>
    </row>
    <row r="418">
      <c r="A418" s="257" t="str">
        <f>IFERROR(__xludf.DUMMYFUNCTION("""COMPUTED_VALUE"""),"sg_churn_propensity_decile")</f>
        <v>sg_churn_propensity_decile</v>
      </c>
      <c r="B418" s="258" t="str">
        <f>IFERROR(__xludf.DUMMYFUNCTION("""COMPUTED_VALUE"""),"Loyalty &amp; Retention")</f>
        <v>Loyalty &amp; Retention</v>
      </c>
      <c r="C418" s="258" t="str">
        <f>IFERROR(__xludf.DUMMYFUNCTION("""COMPUTED_VALUE"""),"Non-PII")</f>
        <v>Non-PII</v>
      </c>
      <c r="D418" s="258" t="str">
        <f>IFERROR(__xludf.DUMMYFUNCTION("""COMPUTED_VALUE"""),"Non-PII")</f>
        <v>Non-PII</v>
      </c>
      <c r="E418" s="258" t="str">
        <f>IFERROR(__xludf.DUMMYFUNCTION("""COMPUTED_VALUE"""),"Propensity of an SG subscriber to churn based on propensity decile wherein 1 is most likely to churn while 10 is least likely to churn")</f>
        <v>Propensity of an SG subscriber to churn based on propensity decile wherein 1 is most likely to churn while 10 is least likely to churn</v>
      </c>
      <c r="F418" s="258" t="str">
        <f>IFERROR(__xludf.DUMMYFUNCTION("""COMPUTED_VALUE"""),"Derived")</f>
        <v>Derived</v>
      </c>
      <c r="G418" s="258" t="str">
        <f>IFERROR(__xludf.DUMMYFUNCTION("""COMPUTED_VALUE"""),"integer")</f>
        <v>integer</v>
      </c>
      <c r="H418" s="258">
        <f>IFERROR(__xludf.DUMMYFUNCTION("""COMPUTED_VALUE"""),10.0)</f>
        <v>10</v>
      </c>
      <c r="I418" s="258" t="str">
        <f>IFERROR(__xludf.DUMMYFUNCTION("""COMPUTED_VALUE"""),"EDO-AA")</f>
        <v>EDO-AA</v>
      </c>
      <c r="J418" s="258" t="str">
        <f>IFERROR(__xludf.DUMMYFUNCTION("""COMPUTED_VALUE"""),"Monthly")</f>
        <v>Monthly</v>
      </c>
      <c r="K418" s="258" t="str">
        <f>IFERROR(__xludf.DUMMYFUNCTION("""COMPUTED_VALUE"""),"")</f>
        <v/>
      </c>
      <c r="L418" s="258" t="str">
        <f>IFERROR(__xludf.DUMMYFUNCTION("""COMPUTED_VALUE"""),"GHP")</f>
        <v>GHP</v>
      </c>
      <c r="M418" s="258" t="str">
        <f>IFERROR(__xludf.DUMMYFUNCTION("""COMPUTED_VALUE"""),"EG, SG")</f>
        <v>EG, SG</v>
      </c>
      <c r="N418" s="258" t="str">
        <f>IFERROR(__xludf.DUMMYFUNCTION("""COMPUTED_VALUE"""),"revenue")</f>
        <v>revenue</v>
      </c>
      <c r="O418" s="258" t="str">
        <f>IFERROR(__xludf.DUMMYFUNCTION("""COMPUTED_VALUE"""),"revenue_profile")</f>
        <v>revenue_profile</v>
      </c>
      <c r="P418" s="258"/>
    </row>
    <row r="419">
      <c r="A419" s="257" t="str">
        <f>IFERROR(__xludf.DUMMYFUNCTION("""COMPUTED_VALUE"""),"sg_churn_propensity_score")</f>
        <v>sg_churn_propensity_score</v>
      </c>
      <c r="B419" s="258" t="str">
        <f>IFERROR(__xludf.DUMMYFUNCTION("""COMPUTED_VALUE"""),"Loyalty &amp; Retention")</f>
        <v>Loyalty &amp; Retention</v>
      </c>
      <c r="C419" s="258" t="str">
        <f>IFERROR(__xludf.DUMMYFUNCTION("""COMPUTED_VALUE"""),"Non-PII")</f>
        <v>Non-PII</v>
      </c>
      <c r="D419" s="258" t="str">
        <f>IFERROR(__xludf.DUMMYFUNCTION("""COMPUTED_VALUE"""),"Non-PII")</f>
        <v>Non-PII</v>
      </c>
      <c r="E419" s="258" t="str">
        <f>IFERROR(__xludf.DUMMYFUNCTION("""COMPUTED_VALUE"""),"Propensity of an SG subscriber to churn based on propensity score")</f>
        <v>Propensity of an SG subscriber to churn based on propensity score</v>
      </c>
      <c r="F419" s="258" t="str">
        <f>IFERROR(__xludf.DUMMYFUNCTION("""COMPUTED_VALUE"""),"Derived")</f>
        <v>Derived</v>
      </c>
      <c r="G419" s="258" t="str">
        <f>IFERROR(__xludf.DUMMYFUNCTION("""COMPUTED_VALUE"""),"numeric(21,2)")</f>
        <v>numeric(21,2)</v>
      </c>
      <c r="H419" s="258">
        <f>IFERROR(__xludf.DUMMYFUNCTION("""COMPUTED_VALUE"""),0.69)</f>
        <v>0.69</v>
      </c>
      <c r="I419" s="258" t="str">
        <f>IFERROR(__xludf.DUMMYFUNCTION("""COMPUTED_VALUE"""),"EDO-AA")</f>
        <v>EDO-AA</v>
      </c>
      <c r="J419" s="258" t="str">
        <f>IFERROR(__xludf.DUMMYFUNCTION("""COMPUTED_VALUE"""),"Monthly")</f>
        <v>Monthly</v>
      </c>
      <c r="K419" s="258" t="str">
        <f>IFERROR(__xludf.DUMMYFUNCTION("""COMPUTED_VALUE"""),"")</f>
        <v/>
      </c>
      <c r="L419" s="258" t="str">
        <f>IFERROR(__xludf.DUMMYFUNCTION("""COMPUTED_VALUE"""),"GHP")</f>
        <v>GHP</v>
      </c>
      <c r="M419" s="258" t="str">
        <f>IFERROR(__xludf.DUMMYFUNCTION("""COMPUTED_VALUE"""),"EG, SG")</f>
        <v>EG, SG</v>
      </c>
      <c r="N419" s="258" t="str">
        <f>IFERROR(__xludf.DUMMYFUNCTION("""COMPUTED_VALUE"""),"revenue")</f>
        <v>revenue</v>
      </c>
      <c r="O419" s="258" t="str">
        <f>IFERROR(__xludf.DUMMYFUNCTION("""COMPUTED_VALUE"""),"revenue_profile")</f>
        <v>revenue_profile</v>
      </c>
      <c r="P419" s="258"/>
    </row>
    <row r="420">
      <c r="A420" s="257" t="str">
        <f>IFERROR(__xludf.DUMMYFUNCTION("""COMPUTED_VALUE"""),"sg_customer_segmentation")</f>
        <v>sg_customer_segmentation</v>
      </c>
      <c r="B420" s="258" t="str">
        <f>IFERROR(__xludf.DUMMYFUNCTION("""COMPUTED_VALUE"""),"Behavioral")</f>
        <v>Behavioral</v>
      </c>
      <c r="C420" s="258" t="str">
        <f>IFERROR(__xludf.DUMMYFUNCTION("""COMPUTED_VALUE"""),"Non-PII")</f>
        <v>Non-PII</v>
      </c>
      <c r="D420" s="258" t="str">
        <f>IFERROR(__xludf.DUMMYFUNCTION("""COMPUTED_VALUE"""),"Non-PII")</f>
        <v>Non-PII</v>
      </c>
      <c r="E420" s="258" t="str">
        <f>IFERROR(__xludf.DUMMYFUNCTION("""COMPUTED_VALUE"""),"SG customer segmentation model
  Valid values: 0, 1, 2, 3
  0 - Balanced Users
  1 - High Data Users
  2 - Heavy Base Users
  3 - Light Users")</f>
        <v>SG customer segmentation model
  Valid values: 0, 1, 2, 3
  0 - Balanced Users
  1 - High Data Users
  2 - Heavy Base Users
  3 - Light Users</v>
      </c>
      <c r="F420" s="258" t="str">
        <f>IFERROR(__xludf.DUMMYFUNCTION("""COMPUTED_VALUE"""),"Derived")</f>
        <v>Derived</v>
      </c>
      <c r="G420" s="258" t="str">
        <f>IFERROR(__xludf.DUMMYFUNCTION("""COMPUTED_VALUE"""),"varchar(1000)")</f>
        <v>varchar(1000)</v>
      </c>
      <c r="H420" s="258">
        <f>IFERROR(__xludf.DUMMYFUNCTION("""COMPUTED_VALUE"""),1.0)</f>
        <v>1</v>
      </c>
      <c r="I420" s="258" t="str">
        <f>IFERROR(__xludf.DUMMYFUNCTION("""COMPUTED_VALUE"""),"EDO-AA")</f>
        <v>EDO-AA</v>
      </c>
      <c r="J420" s="258" t="str">
        <f>IFERROR(__xludf.DUMMYFUNCTION("""COMPUTED_VALUE"""),"Monthly")</f>
        <v>Monthly</v>
      </c>
      <c r="K420" s="258" t="str">
        <f>IFERROR(__xludf.DUMMYFUNCTION("""COMPUTED_VALUE"""),"")</f>
        <v/>
      </c>
      <c r="L420" s="258" t="str">
        <f>IFERROR(__xludf.DUMMYFUNCTION("""COMPUTED_VALUE"""),"GHP, GHP-PREPAID")</f>
        <v>GHP, GHP-PREPAID</v>
      </c>
      <c r="M420" s="258" t="str">
        <f>IFERROR(__xludf.DUMMYFUNCTION("""COMPUTED_VALUE"""),"EG, SG")</f>
        <v>EG, SG</v>
      </c>
      <c r="N420" s="258" t="str">
        <f>IFERROR(__xludf.DUMMYFUNCTION("""COMPUTED_VALUE"""),"usage")</f>
        <v>usage</v>
      </c>
      <c r="O420" s="258" t="str">
        <f>IFERROR(__xludf.DUMMYFUNCTION("""COMPUTED_VALUE"""),"usage_profile")</f>
        <v>usage_profile</v>
      </c>
      <c r="P420" s="258"/>
    </row>
    <row r="421">
      <c r="A421" s="257" t="str">
        <f>IFERROR(__xludf.DUMMYFUNCTION("""COMPUTED_VALUE"""),"assigned_handset_model_name")</f>
        <v>assigned_handset_model_name</v>
      </c>
      <c r="B421" s="258" t="str">
        <f>IFERROR(__xludf.DUMMYFUNCTION("""COMPUTED_VALUE"""),"Globe ID")</f>
        <v>Globe ID</v>
      </c>
      <c r="C421" s="258" t="str">
        <f>IFERROR(__xludf.DUMMYFUNCTION("""COMPUTED_VALUE"""),"Non-PII")</f>
        <v>Non-PII</v>
      </c>
      <c r="D421" s="258" t="str">
        <f>IFERROR(__xludf.DUMMYFUNCTION("""COMPUTED_VALUE"""),"Non-PII")</f>
        <v>Non-PII</v>
      </c>
      <c r="E421" s="258" t="str">
        <f>IFERROR(__xludf.DUMMYFUNCTION("""COMPUTED_VALUE"""),"Assigned devise/handset model name")</f>
        <v>Assigned devise/handset model name</v>
      </c>
      <c r="F421" s="258" t="str">
        <f>IFERROR(__xludf.DUMMYFUNCTION("""COMPUTED_VALUE"""),"Direct Pull")</f>
        <v>Direct Pull</v>
      </c>
      <c r="G421" s="258" t="str">
        <f>IFERROR(__xludf.DUMMYFUNCTION("""COMPUTED_VALUE"""),"varchar(1000)")</f>
        <v>varchar(1000)</v>
      </c>
      <c r="H421" s="258" t="str">
        <f>IFERROR(__xludf.DUMMYFUNCTION("""COMPUTED_VALUE"""),"iPhone 8 Plus 64GB Gold")</f>
        <v>iPhone 8 Plus 64GB Gold</v>
      </c>
      <c r="I421" s="258" t="str">
        <f>IFERROR(__xludf.DUMMYFUNCTION("""COMPUTED_VALUE"""),"SG")</f>
        <v>SG</v>
      </c>
      <c r="J421" s="258" t="str">
        <f>IFERROR(__xludf.DUMMYFUNCTION("""COMPUTED_VALUE"""),"Daily")</f>
        <v>Daily</v>
      </c>
      <c r="K421" s="258" t="str">
        <f>IFERROR(__xludf.DUMMYFUNCTION("""COMPUTED_VALUE"""),"")</f>
        <v/>
      </c>
      <c r="L421" s="258" t="str">
        <f>IFERROR(__xludf.DUMMYFUNCTION("""COMPUTED_VALUE"""),"GHP")</f>
        <v>GHP</v>
      </c>
      <c r="M421" s="258" t="str">
        <f>IFERROR(__xludf.DUMMYFUNCTION("""COMPUTED_VALUE"""),"Consumer, EG, SG, In house")</f>
        <v>Consumer, EG, SG, In house</v>
      </c>
      <c r="N421" s="258" t="str">
        <f>IFERROR(__xludf.DUMMYFUNCTION("""COMPUTED_VALUE"""),"contract")</f>
        <v>contract</v>
      </c>
      <c r="O421" s="258" t="str">
        <f>IFERROR(__xludf.DUMMYFUNCTION("""COMPUTED_VALUE"""),"contract_profile")</f>
        <v>contract_profile</v>
      </c>
      <c r="P421" s="258"/>
    </row>
    <row r="422">
      <c r="A422" s="257" t="str">
        <f>IFERROR(__xludf.DUMMYFUNCTION("""COMPUTED_VALUE"""),"assigned_handset_manufacturer_name")</f>
        <v>assigned_handset_manufacturer_name</v>
      </c>
      <c r="B422" s="258" t="str">
        <f>IFERROR(__xludf.DUMMYFUNCTION("""COMPUTED_VALUE"""),"Globe ID")</f>
        <v>Globe ID</v>
      </c>
      <c r="C422" s="258" t="str">
        <f>IFERROR(__xludf.DUMMYFUNCTION("""COMPUTED_VALUE"""),"Non-PII")</f>
        <v>Non-PII</v>
      </c>
      <c r="D422" s="258" t="str">
        <f>IFERROR(__xludf.DUMMYFUNCTION("""COMPUTED_VALUE"""),"Non-PII")</f>
        <v>Non-PII</v>
      </c>
      <c r="E422" s="258" t="str">
        <f>IFERROR(__xludf.DUMMYFUNCTION("""COMPUTED_VALUE"""),"Assigned devise/handset manufacturer name")</f>
        <v>Assigned devise/handset manufacturer name</v>
      </c>
      <c r="F422" s="258" t="str">
        <f>IFERROR(__xludf.DUMMYFUNCTION("""COMPUTED_VALUE"""),"Direct Pull")</f>
        <v>Direct Pull</v>
      </c>
      <c r="G422" s="258" t="str">
        <f>IFERROR(__xludf.DUMMYFUNCTION("""COMPUTED_VALUE"""),"varchar(1000)")</f>
        <v>varchar(1000)</v>
      </c>
      <c r="H422" s="258" t="str">
        <f>IFERROR(__xludf.DUMMYFUNCTION("""COMPUTED_VALUE"""),"APPLE")</f>
        <v>APPLE</v>
      </c>
      <c r="I422" s="258" t="str">
        <f>IFERROR(__xludf.DUMMYFUNCTION("""COMPUTED_VALUE"""),"SG")</f>
        <v>SG</v>
      </c>
      <c r="J422" s="258" t="str">
        <f>IFERROR(__xludf.DUMMYFUNCTION("""COMPUTED_VALUE"""),"Daily")</f>
        <v>Daily</v>
      </c>
      <c r="K422" s="258" t="str">
        <f>IFERROR(__xludf.DUMMYFUNCTION("""COMPUTED_VALUE"""),"")</f>
        <v/>
      </c>
      <c r="L422" s="258" t="str">
        <f>IFERROR(__xludf.DUMMYFUNCTION("""COMPUTED_VALUE"""),"GHP")</f>
        <v>GHP</v>
      </c>
      <c r="M422" s="258" t="str">
        <f>IFERROR(__xludf.DUMMYFUNCTION("""COMPUTED_VALUE"""),"Consumer, EG, SG, In house")</f>
        <v>Consumer, EG, SG, In house</v>
      </c>
      <c r="N422" s="258" t="str">
        <f>IFERROR(__xludf.DUMMYFUNCTION("""COMPUTED_VALUE"""),"contract")</f>
        <v>contract</v>
      </c>
      <c r="O422" s="258" t="str">
        <f>IFERROR(__xludf.DUMMYFUNCTION("""COMPUTED_VALUE"""),"contract_profile")</f>
        <v>contract_profile</v>
      </c>
      <c r="P422" s="258"/>
    </row>
    <row r="423">
      <c r="A423" s="257" t="str">
        <f>IFERROR(__xludf.DUMMYFUNCTION("""COMPUTED_VALUE"""),"assigned_handset_imei_value")</f>
        <v>assigned_handset_imei_value</v>
      </c>
      <c r="B423" s="258" t="str">
        <f>IFERROR(__xludf.DUMMYFUNCTION("""COMPUTED_VALUE"""),"Customer PII - Masked")</f>
        <v>Customer PII - Masked</v>
      </c>
      <c r="C423" s="258" t="str">
        <f>IFERROR(__xludf.DUMMYFUNCTION("""COMPUTED_VALUE"""),"Customer PII - Masked")</f>
        <v>Customer PII - Masked</v>
      </c>
      <c r="D423" s="258" t="str">
        <f>IFERROR(__xludf.DUMMYFUNCTION("""COMPUTED_VALUE"""),"Device")</f>
        <v>Device</v>
      </c>
      <c r="E423" s="258" t="str">
        <f>IFERROR(__xludf.DUMMYFUNCTION("""COMPUTED_VALUE"""),"Assigned devise/handset IMEI value")</f>
        <v>Assigned devise/handset IMEI value</v>
      </c>
      <c r="F423" s="258" t="str">
        <f>IFERROR(__xludf.DUMMYFUNCTION("""COMPUTED_VALUE"""),"Direct Pull")</f>
        <v>Direct Pull</v>
      </c>
      <c r="G423" s="258" t="str">
        <f>IFERROR(__xludf.DUMMYFUNCTION("""COMPUTED_VALUE"""),"varchar(1000)")</f>
        <v>varchar(1000)</v>
      </c>
      <c r="H423" s="258">
        <f>IFERROR(__xludf.DUMMYFUNCTION("""COMPUTED_VALUE"""),3.53E14)</f>
        <v>353000000000000</v>
      </c>
      <c r="I423" s="258" t="str">
        <f>IFERROR(__xludf.DUMMYFUNCTION("""COMPUTED_VALUE"""),"SG")</f>
        <v>SG</v>
      </c>
      <c r="J423" s="258" t="str">
        <f>IFERROR(__xludf.DUMMYFUNCTION("""COMPUTED_VALUE"""),"Daily")</f>
        <v>Daily</v>
      </c>
      <c r="K423" s="258" t="str">
        <f>IFERROR(__xludf.DUMMYFUNCTION("""COMPUTED_VALUE"""),"")</f>
        <v/>
      </c>
      <c r="L423" s="258" t="str">
        <f>IFERROR(__xludf.DUMMYFUNCTION("""COMPUTED_VALUE"""),"GHP")</f>
        <v>GHP</v>
      </c>
      <c r="M423" s="258" t="str">
        <f>IFERROR(__xludf.DUMMYFUNCTION("""COMPUTED_VALUE"""),"Consumer, EG, SG, In house")</f>
        <v>Consumer, EG, SG, In house</v>
      </c>
      <c r="N423" s="258" t="str">
        <f>IFERROR(__xludf.DUMMYFUNCTION("""COMPUTED_VALUE"""),"contract")</f>
        <v>contract</v>
      </c>
      <c r="O423" s="258" t="str">
        <f>IFERROR(__xludf.DUMMYFUNCTION("""COMPUTED_VALUE"""),"contract_profile")</f>
        <v>contract_profile</v>
      </c>
      <c r="P423" s="258"/>
    </row>
    <row r="424">
      <c r="A424" s="257" t="str">
        <f>IFERROR(__xludf.DUMMYFUNCTION("""COMPUTED_VALUE"""),"assigned_handset_base_amount")</f>
        <v>assigned_handset_base_amount</v>
      </c>
      <c r="B424" s="258" t="str">
        <f>IFERROR(__xludf.DUMMYFUNCTION("""COMPUTED_VALUE"""),"Globe ID")</f>
        <v>Globe ID</v>
      </c>
      <c r="C424" s="258" t="str">
        <f>IFERROR(__xludf.DUMMYFUNCTION("""COMPUTED_VALUE"""),"Non-PII")</f>
        <v>Non-PII</v>
      </c>
      <c r="D424" s="258" t="str">
        <f>IFERROR(__xludf.DUMMYFUNCTION("""COMPUTED_VALUE"""),"Non-PII")</f>
        <v>Non-PII</v>
      </c>
      <c r="E424" s="258" t="str">
        <f>IFERROR(__xludf.DUMMYFUNCTION("""COMPUTED_VALUE"""),"Assigned device/handset base price")</f>
        <v>Assigned device/handset base price</v>
      </c>
      <c r="F424" s="258" t="str">
        <f>IFERROR(__xludf.DUMMYFUNCTION("""COMPUTED_VALUE"""),"Direct Pull")</f>
        <v>Direct Pull</v>
      </c>
      <c r="G424" s="258" t="str">
        <f>IFERROR(__xludf.DUMMYFUNCTION("""COMPUTED_VALUE"""),"numeric(21,2)")</f>
        <v>numeric(21,2)</v>
      </c>
      <c r="H424" s="258">
        <f>IFERROR(__xludf.DUMMYFUNCTION("""COMPUTED_VALUE"""),53800.0)</f>
        <v>53800</v>
      </c>
      <c r="I424" s="258" t="str">
        <f>IFERROR(__xludf.DUMMYFUNCTION("""COMPUTED_VALUE"""),"SG")</f>
        <v>SG</v>
      </c>
      <c r="J424" s="258" t="str">
        <f>IFERROR(__xludf.DUMMYFUNCTION("""COMPUTED_VALUE"""),"Daily")</f>
        <v>Daily</v>
      </c>
      <c r="K424" s="258" t="str">
        <f>IFERROR(__xludf.DUMMYFUNCTION("""COMPUTED_VALUE"""),"")</f>
        <v/>
      </c>
      <c r="L424" s="258" t="str">
        <f>IFERROR(__xludf.DUMMYFUNCTION("""COMPUTED_VALUE"""),"GHP")</f>
        <v>GHP</v>
      </c>
      <c r="M424" s="258" t="str">
        <f>IFERROR(__xludf.DUMMYFUNCTION("""COMPUTED_VALUE"""),"Consumer, EG, SG, In house")</f>
        <v>Consumer, EG, SG, In house</v>
      </c>
      <c r="N424" s="258" t="str">
        <f>IFERROR(__xludf.DUMMYFUNCTION("""COMPUTED_VALUE"""),"contract")</f>
        <v>contract</v>
      </c>
      <c r="O424" s="258" t="str">
        <f>IFERROR(__xludf.DUMMYFUNCTION("""COMPUTED_VALUE"""),"contract_profile")</f>
        <v>contract_profile</v>
      </c>
      <c r="P424" s="258"/>
    </row>
    <row r="425">
      <c r="A425" s="257" t="str">
        <f>IFERROR(__xludf.DUMMYFUNCTION("""COMPUTED_VALUE"""),"customer_preferred_contact_time")</f>
        <v>customer_preferred_contact_time</v>
      </c>
      <c r="B425" s="258" t="str">
        <f>IFERROR(__xludf.DUMMYFUNCTION("""COMPUTED_VALUE"""),"Demographic/Affluence")</f>
        <v>Demographic/Affluence</v>
      </c>
      <c r="C425" s="258" t="str">
        <f>IFERROR(__xludf.DUMMYFUNCTION("""COMPUTED_VALUE"""),"Non-PII")</f>
        <v>Non-PII</v>
      </c>
      <c r="D425" s="258" t="str">
        <f>IFERROR(__xludf.DUMMYFUNCTION("""COMPUTED_VALUE"""),"Non-PII")</f>
        <v>Non-PII</v>
      </c>
      <c r="E425" s="258" t="str">
        <f>IFERROR(__xludf.DUMMYFUNCTION("""COMPUTED_VALUE"""),"The preferred contact time for the contact to be contacted at.")</f>
        <v>The preferred contact time for the contact to be contacted at.</v>
      </c>
      <c r="F425" s="258" t="str">
        <f>IFERROR(__xludf.DUMMYFUNCTION("""COMPUTED_VALUE"""),"Direct Pull")</f>
        <v>Direct Pull</v>
      </c>
      <c r="G425" s="258" t="str">
        <f>IFERROR(__xludf.DUMMYFUNCTION("""COMPUTED_VALUE"""),"varchar(1000)")</f>
        <v>varchar(1000)</v>
      </c>
      <c r="H425" s="258" t="str">
        <f>IFERROR(__xludf.DUMMYFUNCTION("""COMPUTED_VALUE"""),"Morning")</f>
        <v>Morning</v>
      </c>
      <c r="I425" s="258" t="str">
        <f>IFERROR(__xludf.DUMMYFUNCTION("""COMPUTED_VALUE"""),"SG")</f>
        <v>SG</v>
      </c>
      <c r="J425" s="258" t="str">
        <f>IFERROR(__xludf.DUMMYFUNCTION("""COMPUTED_VALUE"""),"Daily")</f>
        <v>Daily</v>
      </c>
      <c r="K425" s="258" t="str">
        <f>IFERROR(__xludf.DUMMYFUNCTION("""COMPUTED_VALUE"""),"")</f>
        <v/>
      </c>
      <c r="L425" s="258" t="str">
        <f>IFERROR(__xludf.DUMMYFUNCTION("""COMPUTED_VALUE"""),"GHP, GHP-PREPAID, TM, PW, WIRELINE")</f>
        <v>GHP, GHP-PREPAID, TM, PW, WIRELINE</v>
      </c>
      <c r="M425" s="258" t="str">
        <f>IFERROR(__xludf.DUMMYFUNCTION("""COMPUTED_VALUE"""),"Consumer, EG, SG, In house, IBG Traveler")</f>
        <v>Consumer, EG, SG, In house, IBG Traveler</v>
      </c>
      <c r="N425" s="258" t="str">
        <f>IFERROR(__xludf.DUMMYFUNCTION("""COMPUTED_VALUE"""),"customer")</f>
        <v>customer</v>
      </c>
      <c r="O425" s="258" t="str">
        <f>IFERROR(__xludf.DUMMYFUNCTION("""COMPUTED_VALUE"""),"customer_profile")</f>
        <v>customer_profile</v>
      </c>
      <c r="P425" s="258"/>
    </row>
    <row r="426">
      <c r="A426" s="257" t="str">
        <f>IFERROR(__xludf.DUMMYFUNCTION("""COMPUTED_VALUE"""),"customer_contact_position")</f>
        <v>customer_contact_position</v>
      </c>
      <c r="B426" s="258" t="str">
        <f>IFERROR(__xludf.DUMMYFUNCTION("""COMPUTED_VALUE"""),"Demographic/Affluence")</f>
        <v>Demographic/Affluence</v>
      </c>
      <c r="C426" s="258" t="str">
        <f>IFERROR(__xludf.DUMMYFUNCTION("""COMPUTED_VALUE"""),"Non-PII")</f>
        <v>Non-PII</v>
      </c>
      <c r="D426" s="258" t="str">
        <f>IFERROR(__xludf.DUMMYFUNCTION("""COMPUTED_VALUE"""),"Non-PII")</f>
        <v>Non-PII</v>
      </c>
      <c r="E426" s="258" t="str">
        <f>IFERROR(__xludf.DUMMYFUNCTION("""COMPUTED_VALUE"""),"The position of contact on the given business card")</f>
        <v>The position of contact on the given business card</v>
      </c>
      <c r="F426" s="258" t="str">
        <f>IFERROR(__xludf.DUMMYFUNCTION("""COMPUTED_VALUE"""),"Direct Pull")</f>
        <v>Direct Pull</v>
      </c>
      <c r="G426" s="258" t="str">
        <f>IFERROR(__xludf.DUMMYFUNCTION("""COMPUTED_VALUE"""),"varchar(1000)")</f>
        <v>varchar(1000)</v>
      </c>
      <c r="H426" s="258" t="str">
        <f>IFERROR(__xludf.DUMMYFUNCTION("""COMPUTED_VALUE"""),"BT Head")</f>
        <v>BT Head</v>
      </c>
      <c r="I426" s="258" t="str">
        <f>IFERROR(__xludf.DUMMYFUNCTION("""COMPUTED_VALUE"""),"SG")</f>
        <v>SG</v>
      </c>
      <c r="J426" s="258" t="str">
        <f>IFERROR(__xludf.DUMMYFUNCTION("""COMPUTED_VALUE"""),"Daily")</f>
        <v>Daily</v>
      </c>
      <c r="K426" s="258" t="str">
        <f>IFERROR(__xludf.DUMMYFUNCTION("""COMPUTED_VALUE"""),"")</f>
        <v/>
      </c>
      <c r="L426" s="258" t="str">
        <f>IFERROR(__xludf.DUMMYFUNCTION("""COMPUTED_VALUE"""),"GHP, GHP-PREPAID, TM, PW, WIRELINE")</f>
        <v>GHP, GHP-PREPAID, TM, PW, WIRELINE</v>
      </c>
      <c r="M426" s="258" t="str">
        <f>IFERROR(__xludf.DUMMYFUNCTION("""COMPUTED_VALUE"""),"Consumer, EG, SG, In house")</f>
        <v>Consumer, EG, SG, In house</v>
      </c>
      <c r="N426" s="258" t="str">
        <f>IFERROR(__xludf.DUMMYFUNCTION("""COMPUTED_VALUE"""),"customer")</f>
        <v>customer</v>
      </c>
      <c r="O426" s="258" t="str">
        <f>IFERROR(__xludf.DUMMYFUNCTION("""COMPUTED_VALUE"""),"customer_profile")</f>
        <v>customer_profile</v>
      </c>
      <c r="P426" s="258"/>
    </row>
    <row r="427">
      <c r="A427" s="257" t="str">
        <f>IFERROR(__xludf.DUMMYFUNCTION("""COMPUTED_VALUE"""),"usage_data_roaming_count_past_90days")</f>
        <v>usage_data_roaming_count_past_90days</v>
      </c>
      <c r="B427" s="258" t="str">
        <f>IFERROR(__xludf.DUMMYFUNCTION("""COMPUTED_VALUE"""),"Behavioral")</f>
        <v>Behavioral</v>
      </c>
      <c r="C427" s="258" t="str">
        <f>IFERROR(__xludf.DUMMYFUNCTION("""COMPUTED_VALUE"""),"Non-PII")</f>
        <v>Non-PII</v>
      </c>
      <c r="D427" s="258" t="str">
        <f>IFERROR(__xludf.DUMMYFUNCTION("""COMPUTED_VALUE"""),"Non-PII")</f>
        <v>Non-PII</v>
      </c>
      <c r="E427" s="258" t="str">
        <f>IFERROR(__xludf.DUMMYFUNCTION("""COMPUTED_VALUE"""),"Number of data roaming usage transactions for the past 90 days")</f>
        <v>Number of data roaming usage transactions for the past 90 days</v>
      </c>
      <c r="F427" s="258" t="str">
        <f>IFERROR(__xludf.DUMMYFUNCTION("""COMPUTED_VALUE"""),"Derived")</f>
        <v>Derived</v>
      </c>
      <c r="G427" s="258" t="str">
        <f>IFERROR(__xludf.DUMMYFUNCTION("""COMPUTED_VALUE"""),"integer")</f>
        <v>integer</v>
      </c>
      <c r="H427" s="258">
        <f>IFERROR(__xludf.DUMMYFUNCTION("""COMPUTED_VALUE"""),10.0)</f>
        <v>10</v>
      </c>
      <c r="I427" s="258" t="str">
        <f>IFERROR(__xludf.DUMMYFUNCTION("""COMPUTED_VALUE"""),"SG")</f>
        <v>SG</v>
      </c>
      <c r="J427" s="258" t="str">
        <f>IFERROR(__xludf.DUMMYFUNCTION("""COMPUTED_VALUE"""),"Daily")</f>
        <v>Daily</v>
      </c>
      <c r="K427" s="258" t="str">
        <f>IFERROR(__xludf.DUMMYFUNCTION("""COMPUTED_VALUE"""),"")</f>
        <v/>
      </c>
      <c r="L427" s="258" t="str">
        <f>IFERROR(__xludf.DUMMYFUNCTION("""COMPUTED_VALUE"""),"GHP, GHP-PREPAID, TM")</f>
        <v>GHP, GHP-PREPAID, TM</v>
      </c>
      <c r="M427" s="258" t="str">
        <f>IFERROR(__xludf.DUMMYFUNCTION("""COMPUTED_VALUE"""),"Consumer, EG, SG, In house, IBG Traveler")</f>
        <v>Consumer, EG, SG, In house, IBG Traveler</v>
      </c>
      <c r="N427" s="258" t="str">
        <f>IFERROR(__xludf.DUMMYFUNCTION("""COMPUTED_VALUE"""),"usage")</f>
        <v>usage</v>
      </c>
      <c r="O427" s="258" t="str">
        <f>IFERROR(__xludf.DUMMYFUNCTION("""COMPUTED_VALUE"""),"usage_profile")</f>
        <v>usage_profile</v>
      </c>
      <c r="P427" s="258"/>
    </row>
    <row r="428">
      <c r="A428" s="257" t="str">
        <f>IFERROR(__xludf.DUMMYFUNCTION("""COMPUTED_VALUE"""),"usage_voice_roaming_count_past_90days")</f>
        <v>usage_voice_roaming_count_past_90days</v>
      </c>
      <c r="B428" s="258" t="str">
        <f>IFERROR(__xludf.DUMMYFUNCTION("""COMPUTED_VALUE"""),"Behavioral")</f>
        <v>Behavioral</v>
      </c>
      <c r="C428" s="258" t="str">
        <f>IFERROR(__xludf.DUMMYFUNCTION("""COMPUTED_VALUE"""),"Non-PII")</f>
        <v>Non-PII</v>
      </c>
      <c r="D428" s="258" t="str">
        <f>IFERROR(__xludf.DUMMYFUNCTION("""COMPUTED_VALUE"""),"Non-PII")</f>
        <v>Non-PII</v>
      </c>
      <c r="E428" s="258" t="str">
        <f>IFERROR(__xludf.DUMMYFUNCTION("""COMPUTED_VALUE"""),"Number of voice roaming transactions in past 90 days")</f>
        <v>Number of voice roaming transactions in past 90 days</v>
      </c>
      <c r="F428" s="258" t="str">
        <f>IFERROR(__xludf.DUMMYFUNCTION("""COMPUTED_VALUE"""),"Derived")</f>
        <v>Derived</v>
      </c>
      <c r="G428" s="258" t="str">
        <f>IFERROR(__xludf.DUMMYFUNCTION("""COMPUTED_VALUE"""),"integer")</f>
        <v>integer</v>
      </c>
      <c r="H428" s="258">
        <f>IFERROR(__xludf.DUMMYFUNCTION("""COMPUTED_VALUE"""),30.0)</f>
        <v>30</v>
      </c>
      <c r="I428" s="258" t="str">
        <f>IFERROR(__xludf.DUMMYFUNCTION("""COMPUTED_VALUE"""),"SG")</f>
        <v>SG</v>
      </c>
      <c r="J428" s="258" t="str">
        <f>IFERROR(__xludf.DUMMYFUNCTION("""COMPUTED_VALUE"""),"Daily")</f>
        <v>Daily</v>
      </c>
      <c r="K428" s="258" t="str">
        <f>IFERROR(__xludf.DUMMYFUNCTION("""COMPUTED_VALUE"""),"")</f>
        <v/>
      </c>
      <c r="L428" s="258" t="str">
        <f>IFERROR(__xludf.DUMMYFUNCTION("""COMPUTED_VALUE"""),"GHP, GHP-PREPAID, TM")</f>
        <v>GHP, GHP-PREPAID, TM</v>
      </c>
      <c r="M428" s="258" t="str">
        <f>IFERROR(__xludf.DUMMYFUNCTION("""COMPUTED_VALUE"""),"Consumer, EG, SG, In house, IBG Traveler")</f>
        <v>Consumer, EG, SG, In house, IBG Traveler</v>
      </c>
      <c r="N428" s="258" t="str">
        <f>IFERROR(__xludf.DUMMYFUNCTION("""COMPUTED_VALUE"""),"usage")</f>
        <v>usage</v>
      </c>
      <c r="O428" s="258" t="str">
        <f>IFERROR(__xludf.DUMMYFUNCTION("""COMPUTED_VALUE"""),"usage_profile")</f>
        <v>usage_profile</v>
      </c>
      <c r="P428" s="258"/>
    </row>
    <row r="429">
      <c r="A429" s="257" t="str">
        <f>IFERROR(__xludf.DUMMYFUNCTION("""COMPUTED_VALUE"""),"usage_sms_roaming_count_past_90days")</f>
        <v>usage_sms_roaming_count_past_90days</v>
      </c>
      <c r="B429" s="258" t="str">
        <f>IFERROR(__xludf.DUMMYFUNCTION("""COMPUTED_VALUE"""),"Behavioral")</f>
        <v>Behavioral</v>
      </c>
      <c r="C429" s="258" t="str">
        <f>IFERROR(__xludf.DUMMYFUNCTION("""COMPUTED_VALUE"""),"Non-PII")</f>
        <v>Non-PII</v>
      </c>
      <c r="D429" s="258" t="str">
        <f>IFERROR(__xludf.DUMMYFUNCTION("""COMPUTED_VALUE"""),"Non-PII")</f>
        <v>Non-PII</v>
      </c>
      <c r="E429" s="258" t="str">
        <f>IFERROR(__xludf.DUMMYFUNCTION("""COMPUTED_VALUE"""),"Number of SMS roaming transactions for the past 90 days")</f>
        <v>Number of SMS roaming transactions for the past 90 days</v>
      </c>
      <c r="F429" s="258" t="str">
        <f>IFERROR(__xludf.DUMMYFUNCTION("""COMPUTED_VALUE"""),"Derived")</f>
        <v>Derived</v>
      </c>
      <c r="G429" s="258" t="str">
        <f>IFERROR(__xludf.DUMMYFUNCTION("""COMPUTED_VALUE"""),"integer")</f>
        <v>integer</v>
      </c>
      <c r="H429" s="258">
        <f>IFERROR(__xludf.DUMMYFUNCTION("""COMPUTED_VALUE"""),20.0)</f>
        <v>20</v>
      </c>
      <c r="I429" s="258" t="str">
        <f>IFERROR(__xludf.DUMMYFUNCTION("""COMPUTED_VALUE"""),"SG")</f>
        <v>SG</v>
      </c>
      <c r="J429" s="258" t="str">
        <f>IFERROR(__xludf.DUMMYFUNCTION("""COMPUTED_VALUE"""),"Daily")</f>
        <v>Daily</v>
      </c>
      <c r="K429" s="258" t="str">
        <f>IFERROR(__xludf.DUMMYFUNCTION("""COMPUTED_VALUE"""),"")</f>
        <v/>
      </c>
      <c r="L429" s="258" t="str">
        <f>IFERROR(__xludf.DUMMYFUNCTION("""COMPUTED_VALUE"""),"GHP, GHP-PREPAID, TM")</f>
        <v>GHP, GHP-PREPAID, TM</v>
      </c>
      <c r="M429" s="258" t="str">
        <f>IFERROR(__xludf.DUMMYFUNCTION("""COMPUTED_VALUE"""),"Consumer, EG, SG, In house, IBG Traveler")</f>
        <v>Consumer, EG, SG, In house, IBG Traveler</v>
      </c>
      <c r="N429" s="258" t="str">
        <f>IFERROR(__xludf.DUMMYFUNCTION("""COMPUTED_VALUE"""),"usage")</f>
        <v>usage</v>
      </c>
      <c r="O429" s="258" t="str">
        <f>IFERROR(__xludf.DUMMYFUNCTION("""COMPUTED_VALUE"""),"usage_profile")</f>
        <v>usage_profile</v>
      </c>
      <c r="P429" s="258"/>
    </row>
    <row r="430">
      <c r="A430" s="257" t="str">
        <f>IFERROR(__xludf.DUMMYFUNCTION("""COMPUTED_VALUE"""),"usage_voice_inter_ppu_mins_90days")</f>
        <v>usage_voice_inter_ppu_mins_90days</v>
      </c>
      <c r="B430" s="258" t="str">
        <f>IFERROR(__xludf.DUMMYFUNCTION("""COMPUTED_VALUE"""),"Behavioral")</f>
        <v>Behavioral</v>
      </c>
      <c r="C430" s="258" t="str">
        <f>IFERROR(__xludf.DUMMYFUNCTION("""COMPUTED_VALUE"""),"Non-PII")</f>
        <v>Non-PII</v>
      </c>
      <c r="D430" s="258" t="str">
        <f>IFERROR(__xludf.DUMMYFUNCTION("""COMPUTED_VALUE"""),"Non-PII")</f>
        <v>Non-PII</v>
      </c>
      <c r="E430" s="258" t="str">
        <f>IFERROR(__xludf.DUMMYFUNCTION("""COMPUTED_VALUE"""),"Total length of PPU (Pay-Per-Use) inter calls in minutes for the past 90 days")</f>
        <v>Total length of PPU (Pay-Per-Use) inter calls in minutes for the past 90 days</v>
      </c>
      <c r="F430" s="258" t="str">
        <f>IFERROR(__xludf.DUMMYFUNCTION("""COMPUTED_VALUE"""),"Derived")</f>
        <v>Derived</v>
      </c>
      <c r="G430" s="258" t="str">
        <f>IFERROR(__xludf.DUMMYFUNCTION("""COMPUTED_VALUE"""),"integer")</f>
        <v>integer</v>
      </c>
      <c r="H430" s="258">
        <f>IFERROR(__xludf.DUMMYFUNCTION("""COMPUTED_VALUE"""),25.0)</f>
        <v>25</v>
      </c>
      <c r="I430" s="258" t="str">
        <f>IFERROR(__xludf.DUMMYFUNCTION("""COMPUTED_VALUE"""),"SG")</f>
        <v>SG</v>
      </c>
      <c r="J430" s="258" t="str">
        <f>IFERROR(__xludf.DUMMYFUNCTION("""COMPUTED_VALUE"""),"Daily")</f>
        <v>Daily</v>
      </c>
      <c r="K430" s="258" t="str">
        <f>IFERROR(__xludf.DUMMYFUNCTION("""COMPUTED_VALUE"""),"")</f>
        <v/>
      </c>
      <c r="L430" s="258" t="str">
        <f>IFERROR(__xludf.DUMMYFUNCTION("""COMPUTED_VALUE"""),"GHP, GHP-PREPAID, TM, PW, WIRELINE")</f>
        <v>GHP, GHP-PREPAID, TM, PW, WIRELINE</v>
      </c>
      <c r="M430" s="258" t="str">
        <f>IFERROR(__xludf.DUMMYFUNCTION("""COMPUTED_VALUE"""),"Consumer, EG, SG, In house, IBG Traveler")</f>
        <v>Consumer, EG, SG, In house, IBG Traveler</v>
      </c>
      <c r="N430" s="258" t="str">
        <f>IFERROR(__xludf.DUMMYFUNCTION("""COMPUTED_VALUE"""),"usage")</f>
        <v>usage</v>
      </c>
      <c r="O430" s="258" t="str">
        <f>IFERROR(__xludf.DUMMYFUNCTION("""COMPUTED_VALUE"""),"adjustment_profile")</f>
        <v>adjustment_profile</v>
      </c>
      <c r="P430" s="258"/>
    </row>
    <row r="431">
      <c r="A431" s="257" t="str">
        <f>IFERROR(__xludf.DUMMYFUNCTION("""COMPUTED_VALUE"""),"usage_voice_intra_ppu_mins_90days")</f>
        <v>usage_voice_intra_ppu_mins_90days</v>
      </c>
      <c r="B431" s="258" t="str">
        <f>IFERROR(__xludf.DUMMYFUNCTION("""COMPUTED_VALUE"""),"Behavioral")</f>
        <v>Behavioral</v>
      </c>
      <c r="C431" s="258" t="str">
        <f>IFERROR(__xludf.DUMMYFUNCTION("""COMPUTED_VALUE"""),"Non-PII")</f>
        <v>Non-PII</v>
      </c>
      <c r="D431" s="258" t="str">
        <f>IFERROR(__xludf.DUMMYFUNCTION("""COMPUTED_VALUE"""),"Non-PII")</f>
        <v>Non-PII</v>
      </c>
      <c r="E431" s="258" t="str">
        <f>IFERROR(__xludf.DUMMYFUNCTION("""COMPUTED_VALUE"""),"Total length of PPU (Pay-Per-Use) intra calls in minutes for the past 90 days")</f>
        <v>Total length of PPU (Pay-Per-Use) intra calls in minutes for the past 90 days</v>
      </c>
      <c r="F431" s="258" t="str">
        <f>IFERROR(__xludf.DUMMYFUNCTION("""COMPUTED_VALUE"""),"Derived")</f>
        <v>Derived</v>
      </c>
      <c r="G431" s="258" t="str">
        <f>IFERROR(__xludf.DUMMYFUNCTION("""COMPUTED_VALUE"""),"integer")</f>
        <v>integer</v>
      </c>
      <c r="H431" s="258">
        <f>IFERROR(__xludf.DUMMYFUNCTION("""COMPUTED_VALUE"""),99.0)</f>
        <v>99</v>
      </c>
      <c r="I431" s="258" t="str">
        <f>IFERROR(__xludf.DUMMYFUNCTION("""COMPUTED_VALUE"""),"SG")</f>
        <v>SG</v>
      </c>
      <c r="J431" s="258" t="str">
        <f>IFERROR(__xludf.DUMMYFUNCTION("""COMPUTED_VALUE"""),"Daily")</f>
        <v>Daily</v>
      </c>
      <c r="K431" s="258" t="str">
        <f>IFERROR(__xludf.DUMMYFUNCTION("""COMPUTED_VALUE"""),"")</f>
        <v/>
      </c>
      <c r="L431" s="258" t="str">
        <f>IFERROR(__xludf.DUMMYFUNCTION("""COMPUTED_VALUE"""),"GHP, GHP-PREPAID, TM, PW, WIRELINE")</f>
        <v>GHP, GHP-PREPAID, TM, PW, WIRELINE</v>
      </c>
      <c r="M431" s="258" t="str">
        <f>IFERROR(__xludf.DUMMYFUNCTION("""COMPUTED_VALUE"""),"Consumer, EG, SG, In house, IBG Traveler")</f>
        <v>Consumer, EG, SG, In house, IBG Traveler</v>
      </c>
      <c r="N431" s="258" t="str">
        <f>IFERROR(__xludf.DUMMYFUNCTION("""COMPUTED_VALUE"""),"usage")</f>
        <v>usage</v>
      </c>
      <c r="O431" s="258" t="str">
        <f>IFERROR(__xludf.DUMMYFUNCTION("""COMPUTED_VALUE"""),"adjustment_profile")</f>
        <v>adjustment_profile</v>
      </c>
      <c r="P431" s="258"/>
    </row>
    <row r="432">
      <c r="A432" s="257" t="str">
        <f>IFERROR(__xludf.DUMMYFUNCTION("""COMPUTED_VALUE"""),"usage_sms_inter_ppu_count_90days")</f>
        <v>usage_sms_inter_ppu_count_90days</v>
      </c>
      <c r="B432" s="258" t="str">
        <f>IFERROR(__xludf.DUMMYFUNCTION("""COMPUTED_VALUE"""),"Behavioral")</f>
        <v>Behavioral</v>
      </c>
      <c r="C432" s="258" t="str">
        <f>IFERROR(__xludf.DUMMYFUNCTION("""COMPUTED_VALUE"""),"Non-PII")</f>
        <v>Non-PII</v>
      </c>
      <c r="D432" s="258" t="str">
        <f>IFERROR(__xludf.DUMMYFUNCTION("""COMPUTED_VALUE"""),"Non-PII")</f>
        <v>Non-PII</v>
      </c>
      <c r="E432" s="258" t="str">
        <f>IFERROR(__xludf.DUMMYFUNCTION("""COMPUTED_VALUE"""),"Number of PPU (Pay-Per-Use) inter SMS transactions for the past 90 days")</f>
        <v>Number of PPU (Pay-Per-Use) inter SMS transactions for the past 90 days</v>
      </c>
      <c r="F432" s="258" t="str">
        <f>IFERROR(__xludf.DUMMYFUNCTION("""COMPUTED_VALUE"""),"Derived")</f>
        <v>Derived</v>
      </c>
      <c r="G432" s="258" t="str">
        <f>IFERROR(__xludf.DUMMYFUNCTION("""COMPUTED_VALUE"""),"integer")</f>
        <v>integer</v>
      </c>
      <c r="H432" s="258">
        <f>IFERROR(__xludf.DUMMYFUNCTION("""COMPUTED_VALUE"""),24.0)</f>
        <v>24</v>
      </c>
      <c r="I432" s="258" t="str">
        <f>IFERROR(__xludf.DUMMYFUNCTION("""COMPUTED_VALUE"""),"SG")</f>
        <v>SG</v>
      </c>
      <c r="J432" s="258" t="str">
        <f>IFERROR(__xludf.DUMMYFUNCTION("""COMPUTED_VALUE"""),"Daily")</f>
        <v>Daily</v>
      </c>
      <c r="K432" s="258" t="str">
        <f>IFERROR(__xludf.DUMMYFUNCTION("""COMPUTED_VALUE"""),"")</f>
        <v/>
      </c>
      <c r="L432" s="258" t="str">
        <f>IFERROR(__xludf.DUMMYFUNCTION("""COMPUTED_VALUE"""),"GHP, GHP-PREPAID, TM, PW")</f>
        <v>GHP, GHP-PREPAID, TM, PW</v>
      </c>
      <c r="M432" s="258" t="str">
        <f>IFERROR(__xludf.DUMMYFUNCTION("""COMPUTED_VALUE"""),"Consumer, EG, SG, In house, IBG Traveler")</f>
        <v>Consumer, EG, SG, In house, IBG Traveler</v>
      </c>
      <c r="N432" s="258" t="str">
        <f>IFERROR(__xludf.DUMMYFUNCTION("""COMPUTED_VALUE"""),"usage")</f>
        <v>usage</v>
      </c>
      <c r="O432" s="258" t="str">
        <f>IFERROR(__xludf.DUMMYFUNCTION("""COMPUTED_VALUE"""),"adjustment_profile")</f>
        <v>adjustment_profile</v>
      </c>
      <c r="P432" s="258"/>
    </row>
    <row r="433">
      <c r="A433" s="257" t="str">
        <f>IFERROR(__xludf.DUMMYFUNCTION("""COMPUTED_VALUE"""),"usage_sms_intra_ppu_count_90days")</f>
        <v>usage_sms_intra_ppu_count_90days</v>
      </c>
      <c r="B433" s="258" t="str">
        <f>IFERROR(__xludf.DUMMYFUNCTION("""COMPUTED_VALUE"""),"Behavioral")</f>
        <v>Behavioral</v>
      </c>
      <c r="C433" s="258" t="str">
        <f>IFERROR(__xludf.DUMMYFUNCTION("""COMPUTED_VALUE"""),"Non-PII")</f>
        <v>Non-PII</v>
      </c>
      <c r="D433" s="258" t="str">
        <f>IFERROR(__xludf.DUMMYFUNCTION("""COMPUTED_VALUE"""),"Non-PII")</f>
        <v>Non-PII</v>
      </c>
      <c r="E433" s="258" t="str">
        <f>IFERROR(__xludf.DUMMYFUNCTION("""COMPUTED_VALUE"""),"Number of PPU (Pay-Per-Use) intra SMS transactions for the past 90 days")</f>
        <v>Number of PPU (Pay-Per-Use) intra SMS transactions for the past 90 days</v>
      </c>
      <c r="F433" s="258" t="str">
        <f>IFERROR(__xludf.DUMMYFUNCTION("""COMPUTED_VALUE"""),"Derived")</f>
        <v>Derived</v>
      </c>
      <c r="G433" s="258" t="str">
        <f>IFERROR(__xludf.DUMMYFUNCTION("""COMPUTED_VALUE"""),"integer")</f>
        <v>integer</v>
      </c>
      <c r="H433" s="258">
        <f>IFERROR(__xludf.DUMMYFUNCTION("""COMPUTED_VALUE"""),23.0)</f>
        <v>23</v>
      </c>
      <c r="I433" s="258" t="str">
        <f>IFERROR(__xludf.DUMMYFUNCTION("""COMPUTED_VALUE"""),"SG")</f>
        <v>SG</v>
      </c>
      <c r="J433" s="258" t="str">
        <f>IFERROR(__xludf.DUMMYFUNCTION("""COMPUTED_VALUE"""),"Daily")</f>
        <v>Daily</v>
      </c>
      <c r="K433" s="258" t="str">
        <f>IFERROR(__xludf.DUMMYFUNCTION("""COMPUTED_VALUE"""),"")</f>
        <v/>
      </c>
      <c r="L433" s="258" t="str">
        <f>IFERROR(__xludf.DUMMYFUNCTION("""COMPUTED_VALUE"""),"GHP, GHP-PREPAID, TM, PW")</f>
        <v>GHP, GHP-PREPAID, TM, PW</v>
      </c>
      <c r="M433" s="258" t="str">
        <f>IFERROR(__xludf.DUMMYFUNCTION("""COMPUTED_VALUE"""),"Consumer, EG, SG, In house, IBG Traveler")</f>
        <v>Consumer, EG, SG, In house, IBG Traveler</v>
      </c>
      <c r="N433" s="258" t="str">
        <f>IFERROR(__xludf.DUMMYFUNCTION("""COMPUTED_VALUE"""),"usage")</f>
        <v>usage</v>
      </c>
      <c r="O433" s="258" t="str">
        <f>IFERROR(__xludf.DUMMYFUNCTION("""COMPUTED_VALUE"""),"adjustment_profile")</f>
        <v>adjustment_profile</v>
      </c>
      <c r="P433" s="258"/>
    </row>
    <row r="434">
      <c r="A434" s="257" t="str">
        <f>IFERROR(__xludf.DUMMYFUNCTION("""COMPUTED_VALUE"""),"usage_data_ppu_mb_past_90days")</f>
        <v>usage_data_ppu_mb_past_90days</v>
      </c>
      <c r="B434" s="258" t="str">
        <f>IFERROR(__xludf.DUMMYFUNCTION("""COMPUTED_VALUE"""),"Behavioral")</f>
        <v>Behavioral</v>
      </c>
      <c r="C434" s="258" t="str">
        <f>IFERROR(__xludf.DUMMYFUNCTION("""COMPUTED_VALUE"""),"Non-PII")</f>
        <v>Non-PII</v>
      </c>
      <c r="D434" s="258" t="str">
        <f>IFERROR(__xludf.DUMMYFUNCTION("""COMPUTED_VALUE"""),"Non-PII")</f>
        <v>Non-PII</v>
      </c>
      <c r="E434" s="258" t="str">
        <f>IFERROR(__xludf.DUMMYFUNCTION("""COMPUTED_VALUE"""),"Total volume of PPU (Pay-Per-Use) data usage in megabytes for the past 90 days")</f>
        <v>Total volume of PPU (Pay-Per-Use) data usage in megabytes for the past 90 days</v>
      </c>
      <c r="F434" s="258" t="str">
        <f>IFERROR(__xludf.DUMMYFUNCTION("""COMPUTED_VALUE"""),"Derived")</f>
        <v>Derived</v>
      </c>
      <c r="G434" s="258" t="str">
        <f>IFERROR(__xludf.DUMMYFUNCTION("""COMPUTED_VALUE"""),"integer")</f>
        <v>integer</v>
      </c>
      <c r="H434" s="258">
        <f>IFERROR(__xludf.DUMMYFUNCTION("""COMPUTED_VALUE"""),1787.0)</f>
        <v>1787</v>
      </c>
      <c r="I434" s="258" t="str">
        <f>IFERROR(__xludf.DUMMYFUNCTION("""COMPUTED_VALUE"""),"SG")</f>
        <v>SG</v>
      </c>
      <c r="J434" s="258" t="str">
        <f>IFERROR(__xludf.DUMMYFUNCTION("""COMPUTED_VALUE"""),"Daily")</f>
        <v>Daily</v>
      </c>
      <c r="K434" s="258" t="str">
        <f>IFERROR(__xludf.DUMMYFUNCTION("""COMPUTED_VALUE"""),"")</f>
        <v/>
      </c>
      <c r="L434" s="258" t="str">
        <f>IFERROR(__xludf.DUMMYFUNCTION("""COMPUTED_VALUE"""),"GHP, GHP-PREPAID, TM, PW")</f>
        <v>GHP, GHP-PREPAID, TM, PW</v>
      </c>
      <c r="M434" s="258" t="str">
        <f>IFERROR(__xludf.DUMMYFUNCTION("""COMPUTED_VALUE"""),"Consumer, EG, SG, In house, IBG Traveler")</f>
        <v>Consumer, EG, SG, In house, IBG Traveler</v>
      </c>
      <c r="N434" s="258" t="str">
        <f>IFERROR(__xludf.DUMMYFUNCTION("""COMPUTED_VALUE"""),"usage")</f>
        <v>usage</v>
      </c>
      <c r="O434" s="258" t="str">
        <f>IFERROR(__xludf.DUMMYFUNCTION("""COMPUTED_VALUE"""),"adjustment_profile")</f>
        <v>adjustment_profile</v>
      </c>
      <c r="P434" s="258"/>
    </row>
    <row r="435">
      <c r="A435" s="257" t="str">
        <f>IFERROR(__xludf.DUMMYFUNCTION("""COMPUTED_VALUE"""),"customer_contact_first_name")</f>
        <v>customer_contact_first_name</v>
      </c>
      <c r="B435" s="258" t="str">
        <f>IFERROR(__xludf.DUMMYFUNCTION("""COMPUTED_VALUE"""),"Customer PII - Masked")</f>
        <v>Customer PII - Masked</v>
      </c>
      <c r="C435" s="258" t="str">
        <f>IFERROR(__xludf.DUMMYFUNCTION("""COMPUTED_VALUE"""),"Customer PII - Masked")</f>
        <v>Customer PII - Masked</v>
      </c>
      <c r="D435" s="258" t="str">
        <f>IFERROR(__xludf.DUMMYFUNCTION("""COMPUTED_VALUE"""),"Contact")</f>
        <v>Contact</v>
      </c>
      <c r="E435" s="258" t="str">
        <f>IFERROR(__xludf.DUMMYFUNCTION("""COMPUTED_VALUE"""),"First name of the contact")</f>
        <v>First name of the contact</v>
      </c>
      <c r="F435" s="258" t="str">
        <f>IFERROR(__xludf.DUMMYFUNCTION("""COMPUTED_VALUE"""),"Direct Pull")</f>
        <v>Direct Pull</v>
      </c>
      <c r="G435" s="258" t="str">
        <f>IFERROR(__xludf.DUMMYFUNCTION("""COMPUTED_VALUE"""),"varchar(1000)")</f>
        <v>varchar(1000)</v>
      </c>
      <c r="H435" s="258" t="str">
        <f>IFERROR(__xludf.DUMMYFUNCTION("""COMPUTED_VALUE"""),"Juan")</f>
        <v>Juan</v>
      </c>
      <c r="I435" s="258" t="str">
        <f>IFERROR(__xludf.DUMMYFUNCTION("""COMPUTED_VALUE"""),"SG")</f>
        <v>SG</v>
      </c>
      <c r="J435" s="258" t="str">
        <f>IFERROR(__xludf.DUMMYFUNCTION("""COMPUTED_VALUE"""),"Daily")</f>
        <v>Daily</v>
      </c>
      <c r="K435" s="258" t="str">
        <f>IFERROR(__xludf.DUMMYFUNCTION("""COMPUTED_VALUE"""),"")</f>
        <v/>
      </c>
      <c r="L435" s="258" t="str">
        <f>IFERROR(__xludf.DUMMYFUNCTION("""COMPUTED_VALUE"""),"GHP, GHP-PREPAID, TM, PW, WIRELINE")</f>
        <v>GHP, GHP-PREPAID, TM, PW, WIRELINE</v>
      </c>
      <c r="M435" s="258" t="str">
        <f>IFERROR(__xludf.DUMMYFUNCTION("""COMPUTED_VALUE"""),"Consumer, EG, SG, In house, IBG Traveler")</f>
        <v>Consumer, EG, SG, In house, IBG Traveler</v>
      </c>
      <c r="N435" s="258" t="str">
        <f>IFERROR(__xludf.DUMMYFUNCTION("""COMPUTED_VALUE"""),"customer")</f>
        <v>customer</v>
      </c>
      <c r="O435" s="258" t="str">
        <f>IFERROR(__xludf.DUMMYFUNCTION("""COMPUTED_VALUE"""),"customer_profile")</f>
        <v>customer_profile</v>
      </c>
      <c r="P435" s="258"/>
    </row>
    <row r="436">
      <c r="A436" s="257" t="str">
        <f>IFERROR(__xludf.DUMMYFUNCTION("""COMPUTED_VALUE"""),"customer_contact_middle_name")</f>
        <v>customer_contact_middle_name</v>
      </c>
      <c r="B436" s="258" t="str">
        <f>IFERROR(__xludf.DUMMYFUNCTION("""COMPUTED_VALUE"""),"Customer PII - Masked")</f>
        <v>Customer PII - Masked</v>
      </c>
      <c r="C436" s="258" t="str">
        <f>IFERROR(__xludf.DUMMYFUNCTION("""COMPUTED_VALUE"""),"Customer PII - Masked")</f>
        <v>Customer PII - Masked</v>
      </c>
      <c r="D436" s="258" t="str">
        <f>IFERROR(__xludf.DUMMYFUNCTION("""COMPUTED_VALUE"""),"Contact")</f>
        <v>Contact</v>
      </c>
      <c r="E436" s="258" t="str">
        <f>IFERROR(__xludf.DUMMYFUNCTION("""COMPUTED_VALUE"""),"Middle name of the contact")</f>
        <v>Middle name of the contact</v>
      </c>
      <c r="F436" s="258" t="str">
        <f>IFERROR(__xludf.DUMMYFUNCTION("""COMPUTED_VALUE"""),"Direct Pull")</f>
        <v>Direct Pull</v>
      </c>
      <c r="G436" s="258" t="str">
        <f>IFERROR(__xludf.DUMMYFUNCTION("""COMPUTED_VALUE"""),"varchar(1000)")</f>
        <v>varchar(1000)</v>
      </c>
      <c r="H436" s="258" t="str">
        <f>IFERROR(__xludf.DUMMYFUNCTION("""COMPUTED_VALUE"""),"Bernardo")</f>
        <v>Bernardo</v>
      </c>
      <c r="I436" s="258" t="str">
        <f>IFERROR(__xludf.DUMMYFUNCTION("""COMPUTED_VALUE"""),"SG")</f>
        <v>SG</v>
      </c>
      <c r="J436" s="258" t="str">
        <f>IFERROR(__xludf.DUMMYFUNCTION("""COMPUTED_VALUE"""),"Daily")</f>
        <v>Daily</v>
      </c>
      <c r="K436" s="258" t="str">
        <f>IFERROR(__xludf.DUMMYFUNCTION("""COMPUTED_VALUE"""),"")</f>
        <v/>
      </c>
      <c r="L436" s="258" t="str">
        <f>IFERROR(__xludf.DUMMYFUNCTION("""COMPUTED_VALUE"""),"GHP, GHP-PREPAID, TM, PW, WIRELINE")</f>
        <v>GHP, GHP-PREPAID, TM, PW, WIRELINE</v>
      </c>
      <c r="M436" s="258" t="str">
        <f>IFERROR(__xludf.DUMMYFUNCTION("""COMPUTED_VALUE"""),"Consumer, EG, SG, In house, IBG Traveler")</f>
        <v>Consumer, EG, SG, In house, IBG Traveler</v>
      </c>
      <c r="N436" s="258" t="str">
        <f>IFERROR(__xludf.DUMMYFUNCTION("""COMPUTED_VALUE"""),"customer")</f>
        <v>customer</v>
      </c>
      <c r="O436" s="258" t="str">
        <f>IFERROR(__xludf.DUMMYFUNCTION("""COMPUTED_VALUE"""),"customer_profile")</f>
        <v>customer_profile</v>
      </c>
      <c r="P436" s="258"/>
    </row>
    <row r="437">
      <c r="A437" s="257" t="str">
        <f>IFERROR(__xludf.DUMMYFUNCTION("""COMPUTED_VALUE"""),"customer_contact_last_name")</f>
        <v>customer_contact_last_name</v>
      </c>
      <c r="B437" s="258" t="str">
        <f>IFERROR(__xludf.DUMMYFUNCTION("""COMPUTED_VALUE"""),"Customer PII - Masked")</f>
        <v>Customer PII - Masked</v>
      </c>
      <c r="C437" s="258" t="str">
        <f>IFERROR(__xludf.DUMMYFUNCTION("""COMPUTED_VALUE"""),"Customer PII - Masked")</f>
        <v>Customer PII - Masked</v>
      </c>
      <c r="D437" s="258" t="str">
        <f>IFERROR(__xludf.DUMMYFUNCTION("""COMPUTED_VALUE"""),"Contact")</f>
        <v>Contact</v>
      </c>
      <c r="E437" s="258" t="str">
        <f>IFERROR(__xludf.DUMMYFUNCTION("""COMPUTED_VALUE"""),"Last name of the contact")</f>
        <v>Last name of the contact</v>
      </c>
      <c r="F437" s="258" t="str">
        <f>IFERROR(__xludf.DUMMYFUNCTION("""COMPUTED_VALUE"""),"Direct Pull")</f>
        <v>Direct Pull</v>
      </c>
      <c r="G437" s="258" t="str">
        <f>IFERROR(__xludf.DUMMYFUNCTION("""COMPUTED_VALUE"""),"varchar(1000)")</f>
        <v>varchar(1000)</v>
      </c>
      <c r="H437" s="258" t="str">
        <f>IFERROR(__xludf.DUMMYFUNCTION("""COMPUTED_VALUE"""),"Dela Cruz")</f>
        <v>Dela Cruz</v>
      </c>
      <c r="I437" s="258" t="str">
        <f>IFERROR(__xludf.DUMMYFUNCTION("""COMPUTED_VALUE"""),"SG")</f>
        <v>SG</v>
      </c>
      <c r="J437" s="258" t="str">
        <f>IFERROR(__xludf.DUMMYFUNCTION("""COMPUTED_VALUE"""),"Daily")</f>
        <v>Daily</v>
      </c>
      <c r="K437" s="258" t="str">
        <f>IFERROR(__xludf.DUMMYFUNCTION("""COMPUTED_VALUE"""),"")</f>
        <v/>
      </c>
      <c r="L437" s="258" t="str">
        <f>IFERROR(__xludf.DUMMYFUNCTION("""COMPUTED_VALUE"""),"GHP, GHP-PREPAID, TM, PW, WIRELINE")</f>
        <v>GHP, GHP-PREPAID, TM, PW, WIRELINE</v>
      </c>
      <c r="M437" s="258" t="str">
        <f>IFERROR(__xludf.DUMMYFUNCTION("""COMPUTED_VALUE"""),"Consumer, EG, SG, In house, IBG Traveler")</f>
        <v>Consumer, EG, SG, In house, IBG Traveler</v>
      </c>
      <c r="N437" s="258" t="str">
        <f>IFERROR(__xludf.DUMMYFUNCTION("""COMPUTED_VALUE"""),"customer")</f>
        <v>customer</v>
      </c>
      <c r="O437" s="258" t="str">
        <f>IFERROR(__xludf.DUMMYFUNCTION("""COMPUTED_VALUE"""),"customer_profile")</f>
        <v>customer_profile</v>
      </c>
      <c r="P437" s="258"/>
    </row>
    <row r="438">
      <c r="A438" s="257" t="str">
        <f>IFERROR(__xludf.DUMMYFUNCTION("""COMPUTED_VALUE"""),"customer_contact_birth_date")</f>
        <v>customer_contact_birth_date</v>
      </c>
      <c r="B438" s="258" t="str">
        <f>IFERROR(__xludf.DUMMYFUNCTION("""COMPUTED_VALUE"""),"Customer PII - Masked")</f>
        <v>Customer PII - Masked</v>
      </c>
      <c r="C438" s="258" t="str">
        <f>IFERROR(__xludf.DUMMYFUNCTION("""COMPUTED_VALUE"""),"Customer PII - Masked")</f>
        <v>Customer PII - Masked</v>
      </c>
      <c r="D438" s="258" t="str">
        <f>IFERROR(__xludf.DUMMYFUNCTION("""COMPUTED_VALUE"""),"Birthdate")</f>
        <v>Birthdate</v>
      </c>
      <c r="E438" s="258" t="str">
        <f>IFERROR(__xludf.DUMMYFUNCTION("""COMPUTED_VALUE"""),"The contact's date of birth")</f>
        <v>The contact's date of birth</v>
      </c>
      <c r="F438" s="258" t="str">
        <f>IFERROR(__xludf.DUMMYFUNCTION("""COMPUTED_VALUE"""),"Direct Pull")</f>
        <v>Direct Pull</v>
      </c>
      <c r="G438" s="258" t="str">
        <f>IFERROR(__xludf.DUMMYFUNCTION("""COMPUTED_VALUE"""),"varchar(1000)")</f>
        <v>varchar(1000)</v>
      </c>
      <c r="H438" s="258">
        <f>IFERROR(__xludf.DUMMYFUNCTION("""COMPUTED_VALUE"""),44177.0)</f>
        <v>44177</v>
      </c>
      <c r="I438" s="258" t="str">
        <f>IFERROR(__xludf.DUMMYFUNCTION("""COMPUTED_VALUE"""),"SG")</f>
        <v>SG</v>
      </c>
      <c r="J438" s="258" t="str">
        <f>IFERROR(__xludf.DUMMYFUNCTION("""COMPUTED_VALUE"""),"Daily")</f>
        <v>Daily</v>
      </c>
      <c r="K438" s="258" t="str">
        <f>IFERROR(__xludf.DUMMYFUNCTION("""COMPUTED_VALUE"""),"")</f>
        <v/>
      </c>
      <c r="L438" s="258" t="str">
        <f>IFERROR(__xludf.DUMMYFUNCTION("""COMPUTED_VALUE"""),"GHP, GHP-PREPAID, TM, PW, WIRELINE")</f>
        <v>GHP, GHP-PREPAID, TM, PW, WIRELINE</v>
      </c>
      <c r="M438" s="258" t="str">
        <f>IFERROR(__xludf.DUMMYFUNCTION("""COMPUTED_VALUE"""),"Consumer, EG, SG, In house, IBG Traveler")</f>
        <v>Consumer, EG, SG, In house, IBG Traveler</v>
      </c>
      <c r="N438" s="258" t="str">
        <f>IFERROR(__xludf.DUMMYFUNCTION("""COMPUTED_VALUE"""),"customer")</f>
        <v>customer</v>
      </c>
      <c r="O438" s="258" t="str">
        <f>IFERROR(__xludf.DUMMYFUNCTION("""COMPUTED_VALUE"""),"customer_profile")</f>
        <v>customer_profile</v>
      </c>
      <c r="P438" s="258"/>
    </row>
    <row r="439">
      <c r="A439" s="257" t="str">
        <f>IFERROR(__xludf.DUMMYFUNCTION("""COMPUTED_VALUE"""),"customer_contact_department_name")</f>
        <v>customer_contact_department_name</v>
      </c>
      <c r="B439" s="258" t="str">
        <f>IFERROR(__xludf.DUMMYFUNCTION("""COMPUTED_VALUE"""),"Demographic/Affluence")</f>
        <v>Demographic/Affluence</v>
      </c>
      <c r="C439" s="258" t="str">
        <f>IFERROR(__xludf.DUMMYFUNCTION("""COMPUTED_VALUE"""),"Non-PII")</f>
        <v>Non-PII</v>
      </c>
      <c r="D439" s="258" t="str">
        <f>IFERROR(__xludf.DUMMYFUNCTION("""COMPUTED_VALUE"""),"Non-PII")</f>
        <v>Non-PII</v>
      </c>
      <c r="E439" s="258" t="str">
        <f>IFERROR(__xludf.DUMMYFUNCTION("""COMPUTED_VALUE"""),"The department this contact is associated with")</f>
        <v>The department this contact is associated with</v>
      </c>
      <c r="F439" s="258" t="str">
        <f>IFERROR(__xludf.DUMMYFUNCTION("""COMPUTED_VALUE"""),"Direct Pull")</f>
        <v>Direct Pull</v>
      </c>
      <c r="G439" s="258" t="str">
        <f>IFERROR(__xludf.DUMMYFUNCTION("""COMPUTED_VALUE"""),"varchar(1000)")</f>
        <v>varchar(1000)</v>
      </c>
      <c r="H439" s="258" t="str">
        <f>IFERROR(__xludf.DUMMYFUNCTION("""COMPUTED_VALUE"""),"ACCOUNTING")</f>
        <v>ACCOUNTING</v>
      </c>
      <c r="I439" s="258" t="str">
        <f>IFERROR(__xludf.DUMMYFUNCTION("""COMPUTED_VALUE"""),"SG")</f>
        <v>SG</v>
      </c>
      <c r="J439" s="258" t="str">
        <f>IFERROR(__xludf.DUMMYFUNCTION("""COMPUTED_VALUE"""),"Daily")</f>
        <v>Daily</v>
      </c>
      <c r="K439" s="258" t="str">
        <f>IFERROR(__xludf.DUMMYFUNCTION("""COMPUTED_VALUE"""),"")</f>
        <v/>
      </c>
      <c r="L439" s="258" t="str">
        <f>IFERROR(__xludf.DUMMYFUNCTION("""COMPUTED_VALUE"""),"GHP, GHP-PREPAID, TM, PW, WIRELINE")</f>
        <v>GHP, GHP-PREPAID, TM, PW, WIRELINE</v>
      </c>
      <c r="M439" s="258" t="str">
        <f>IFERROR(__xludf.DUMMYFUNCTION("""COMPUTED_VALUE"""),"Consumer, EG, SG, In house, IBG Traveler")</f>
        <v>Consumer, EG, SG, In house, IBG Traveler</v>
      </c>
      <c r="N439" s="258" t="str">
        <f>IFERROR(__xludf.DUMMYFUNCTION("""COMPUTED_VALUE"""),"customer")</f>
        <v>customer</v>
      </c>
      <c r="O439" s="258" t="str">
        <f>IFERROR(__xludf.DUMMYFUNCTION("""COMPUTED_VALUE"""),"customer_profile")</f>
        <v>customer_profile</v>
      </c>
      <c r="P439" s="258"/>
    </row>
    <row r="440">
      <c r="A440" s="257" t="str">
        <f>IFERROR(__xludf.DUMMYFUNCTION("""COMPUTED_VALUE"""),"caif_by_50pct_active_days_indicator")</f>
        <v>caif_by_50pct_active_days_indicator</v>
      </c>
      <c r="B440" s="258" t="str">
        <f>IFERROR(__xludf.DUMMYFUNCTION("""COMPUTED_VALUE"""),"Behavioral")</f>
        <v>Behavioral</v>
      </c>
      <c r="C440" s="258" t="str">
        <f>IFERROR(__xludf.DUMMYFUNCTION("""COMPUTED_VALUE"""),"Non-PII")</f>
        <v>Non-PII</v>
      </c>
      <c r="D440" s="258" t="str">
        <f>IFERROR(__xludf.DUMMYFUNCTION("""COMPUTED_VALUE"""),"Non-PII")</f>
        <v>Non-PII</v>
      </c>
      <c r="E440" s="258" t="str">
        <f>IFERROR(__xludf.DUMMYFUNCTION("""COMPUTED_VALUE"""),"Indicator whether a subscriber experienced congestion for the past month for at least 50% of the total days at a minimum of 4 days.")</f>
        <v>Indicator whether a subscriber experienced congestion for the past month for at least 50% of the total days at a minimum of 4 days.</v>
      </c>
      <c r="F440" s="258" t="str">
        <f>IFERROR(__xludf.DUMMYFUNCTION("""COMPUTED_VALUE"""),"Derived")</f>
        <v>Derived</v>
      </c>
      <c r="G440" s="258" t="str">
        <f>IFERROR(__xludf.DUMMYFUNCTION("""COMPUTED_VALUE"""),"boolean")</f>
        <v>boolean</v>
      </c>
      <c r="H440" s="258" t="b">
        <f>IFERROR(__xludf.DUMMYFUNCTION("""COMPUTED_VALUE"""),TRUE)</f>
        <v>1</v>
      </c>
      <c r="I440" s="258" t="str">
        <f>IFERROR(__xludf.DUMMYFUNCTION("""COMPUTED_VALUE"""),"EDO")</f>
        <v>EDO</v>
      </c>
      <c r="J440" s="258" t="str">
        <f>IFERROR(__xludf.DUMMYFUNCTION("""COMPUTED_VALUE"""),"Monthly")</f>
        <v>Monthly</v>
      </c>
      <c r="K440" s="258" t="str">
        <f>IFERROR(__xludf.DUMMYFUNCTION("""COMPUTED_VALUE"""),"")</f>
        <v/>
      </c>
      <c r="L440" s="258" t="str">
        <f>IFERROR(__xludf.DUMMYFUNCTION("""COMPUTED_VALUE"""),"GHP, GHP-PREPAID, TM")</f>
        <v>GHP, GHP-PREPAID, TM</v>
      </c>
      <c r="M440" s="258" t="str">
        <f>IFERROR(__xludf.DUMMYFUNCTION("""COMPUTED_VALUE"""),"Consumer")</f>
        <v>Consumer</v>
      </c>
      <c r="N440" s="258" t="str">
        <f>IFERROR(__xludf.DUMMYFUNCTION("""COMPUTED_VALUE"""),"customer_service")</f>
        <v>customer_service</v>
      </c>
      <c r="O440" s="258" t="str">
        <f>IFERROR(__xludf.DUMMYFUNCTION("""COMPUTED_VALUE"""),"customer_service_profile")</f>
        <v>customer_service_profile</v>
      </c>
      <c r="P440" s="258"/>
    </row>
    <row r="441">
      <c r="A441" s="257" t="str">
        <f>IFERROR(__xludf.DUMMYFUNCTION("""COMPUTED_VALUE"""),"​caif_by_50pct_active_days_count_past_3mos")</f>
        <v>​caif_by_50pct_active_days_count_past_3mos</v>
      </c>
      <c r="B441" s="258" t="str">
        <f>IFERROR(__xludf.DUMMYFUNCTION("""COMPUTED_VALUE"""),"Behavioral")</f>
        <v>Behavioral</v>
      </c>
      <c r="C441" s="258" t="str">
        <f>IFERROR(__xludf.DUMMYFUNCTION("""COMPUTED_VALUE"""),"Non-PII")</f>
        <v>Non-PII</v>
      </c>
      <c r="D441" s="258" t="str">
        <f>IFERROR(__xludf.DUMMYFUNCTION("""COMPUTED_VALUE"""),"Non-PII")</f>
        <v>Non-PII</v>
      </c>
      <c r="E441" s="258" t="str">
        <f>IFERROR(__xludf.DUMMYFUNCTION("""COMPUTED_VALUE"""),"Number of months when the subscriber experienced congestion for at least 50% of the total days at a minimum of 4 days per month for the past 3 months.")</f>
        <v>Number of months when the subscriber experienced congestion for at least 50% of the total days at a minimum of 4 days per month for the past 3 months.</v>
      </c>
      <c r="F441" s="258" t="str">
        <f>IFERROR(__xludf.DUMMYFUNCTION("""COMPUTED_VALUE"""),"Derived")</f>
        <v>Derived</v>
      </c>
      <c r="G441" s="258" t="str">
        <f>IFERROR(__xludf.DUMMYFUNCTION("""COMPUTED_VALUE"""),"integer")</f>
        <v>integer</v>
      </c>
      <c r="H441" s="258">
        <f>IFERROR(__xludf.DUMMYFUNCTION("""COMPUTED_VALUE"""),2.0)</f>
        <v>2</v>
      </c>
      <c r="I441" s="258" t="str">
        <f>IFERROR(__xludf.DUMMYFUNCTION("""COMPUTED_VALUE"""),"EDO-AA")</f>
        <v>EDO-AA</v>
      </c>
      <c r="J441" s="258" t="str">
        <f>IFERROR(__xludf.DUMMYFUNCTION("""COMPUTED_VALUE"""),"Monthly")</f>
        <v>Monthly</v>
      </c>
      <c r="K441" s="258" t="str">
        <f>IFERROR(__xludf.DUMMYFUNCTION("""COMPUTED_VALUE"""),"")</f>
        <v/>
      </c>
      <c r="L441" s="258" t="str">
        <f>IFERROR(__xludf.DUMMYFUNCTION("""COMPUTED_VALUE"""),"GHP-PREPAID, TM")</f>
        <v>GHP-PREPAID, TM</v>
      </c>
      <c r="M441" s="258" t="str">
        <f>IFERROR(__xludf.DUMMYFUNCTION("""COMPUTED_VALUE"""),"Consumer, EG, SG, In house, IBG Traveler")</f>
        <v>Consumer, EG, SG, In house, IBG Traveler</v>
      </c>
      <c r="N441" s="258" t="str">
        <f>IFERROR(__xludf.DUMMYFUNCTION("""COMPUTED_VALUE"""),"customer_service")</f>
        <v>customer_service</v>
      </c>
      <c r="O441" s="258" t="str">
        <f>IFERROR(__xludf.DUMMYFUNCTION("""COMPUTED_VALUE"""),"customer_service_profile")</f>
        <v>customer_service_profile</v>
      </c>
      <c r="P441" s="258"/>
    </row>
    <row r="442">
      <c r="A442" s="257" t="str">
        <f>IFERROR(__xludf.DUMMYFUNCTION("""COMPUTED_VALUE"""),"caif_by_50pct_active_days_count_past_12mos")</f>
        <v>caif_by_50pct_active_days_count_past_12mos</v>
      </c>
      <c r="B442" s="258" t="str">
        <f>IFERROR(__xludf.DUMMYFUNCTION("""COMPUTED_VALUE"""),"Behavioral")</f>
        <v>Behavioral</v>
      </c>
      <c r="C442" s="258" t="str">
        <f>IFERROR(__xludf.DUMMYFUNCTION("""COMPUTED_VALUE"""),"Non-PII")</f>
        <v>Non-PII</v>
      </c>
      <c r="D442" s="258" t="str">
        <f>IFERROR(__xludf.DUMMYFUNCTION("""COMPUTED_VALUE"""),"Non-PII")</f>
        <v>Non-PII</v>
      </c>
      <c r="E442" s="258" t="str">
        <f>IFERROR(__xludf.DUMMYFUNCTION("""COMPUTED_VALUE"""),"Number of months when the subscriber experienced congestion for at least 50% of the total days at a minimum of 4 days per month for the past 12 months.")</f>
        <v>Number of months when the subscriber experienced congestion for at least 50% of the total days at a minimum of 4 days per month for the past 12 months.</v>
      </c>
      <c r="F442" s="258" t="str">
        <f>IFERROR(__xludf.DUMMYFUNCTION("""COMPUTED_VALUE"""),"Derived")</f>
        <v>Derived</v>
      </c>
      <c r="G442" s="258" t="str">
        <f>IFERROR(__xludf.DUMMYFUNCTION("""COMPUTED_VALUE"""),"integer")</f>
        <v>integer</v>
      </c>
      <c r="H442" s="258">
        <f>IFERROR(__xludf.DUMMYFUNCTION("""COMPUTED_VALUE"""),6.0)</f>
        <v>6</v>
      </c>
      <c r="I442" s="258" t="str">
        <f>IFERROR(__xludf.DUMMYFUNCTION("""COMPUTED_VALUE"""),"EDO-AA")</f>
        <v>EDO-AA</v>
      </c>
      <c r="J442" s="258" t="str">
        <f>IFERROR(__xludf.DUMMYFUNCTION("""COMPUTED_VALUE"""),"Monthly")</f>
        <v>Monthly</v>
      </c>
      <c r="K442" s="258" t="str">
        <f>IFERROR(__xludf.DUMMYFUNCTION("""COMPUTED_VALUE"""),"")</f>
        <v/>
      </c>
      <c r="L442" s="258" t="str">
        <f>IFERROR(__xludf.DUMMYFUNCTION("""COMPUTED_VALUE"""),"GHP-PREPAID, TM")</f>
        <v>GHP-PREPAID, TM</v>
      </c>
      <c r="M442" s="258" t="str">
        <f>IFERROR(__xludf.DUMMYFUNCTION("""COMPUTED_VALUE"""),"Consumer, EG, SG, In house, IBG Traveler")</f>
        <v>Consumer, EG, SG, In house, IBG Traveler</v>
      </c>
      <c r="N442" s="258" t="str">
        <f>IFERROR(__xludf.DUMMYFUNCTION("""COMPUTED_VALUE"""),"customer_service")</f>
        <v>customer_service</v>
      </c>
      <c r="O442" s="258" t="str">
        <f>IFERROR(__xludf.DUMMYFUNCTION("""COMPUTED_VALUE"""),"customer_service_profile")</f>
        <v>customer_service_profile</v>
      </c>
      <c r="P442" s="258"/>
    </row>
    <row r="443">
      <c r="A443" s="257" t="str">
        <f>IFERROR(__xludf.DUMMYFUNCTION("""COMPUTED_VALUE"""),"payment_channel_mode_90days")</f>
        <v>payment_channel_mode_90days</v>
      </c>
      <c r="B443" s="258" t="str">
        <f>IFERROR(__xludf.DUMMYFUNCTION("""COMPUTED_VALUE"""),"Behavioral")</f>
        <v>Behavioral</v>
      </c>
      <c r="C443" s="258" t="str">
        <f>IFERROR(__xludf.DUMMYFUNCTION("""COMPUTED_VALUE"""),"Non-PII")</f>
        <v>Non-PII</v>
      </c>
      <c r="D443" s="258" t="str">
        <f>IFERROR(__xludf.DUMMYFUNCTION("""COMPUTED_VALUE"""),"Non-PII")</f>
        <v>Non-PII</v>
      </c>
      <c r="E443" s="258" t="str">
        <f>IFERROR(__xludf.DUMMYFUNCTION("""COMPUTED_VALUE"""),"Most frequent payment channel of the subscriber for the past 3 closed months")</f>
        <v>Most frequent payment channel of the subscriber for the past 3 closed months</v>
      </c>
      <c r="F443" s="258" t="str">
        <f>IFERROR(__xludf.DUMMYFUNCTION("""COMPUTED_VALUE"""),"Derived")</f>
        <v>Derived</v>
      </c>
      <c r="G443" s="258" t="str">
        <f>IFERROR(__xludf.DUMMYFUNCTION("""COMPUTED_VALUE"""),"varchar(1000)")</f>
        <v>varchar(1000)</v>
      </c>
      <c r="H443" s="258" t="str">
        <f>IFERROR(__xludf.DUMMYFUNCTION("""COMPUTED_VALUE"""),"Auto-Debit Arrangement")</f>
        <v>Auto-Debit Arrangement</v>
      </c>
      <c r="I443" s="258" t="str">
        <f>IFERROR(__xludf.DUMMYFUNCTION("""COMPUTED_VALUE"""),"MSH FVT")</f>
        <v>MSH FVT</v>
      </c>
      <c r="J443" s="258" t="str">
        <f>IFERROR(__xludf.DUMMYFUNCTION("""COMPUTED_VALUE"""),"Daily")</f>
        <v>Daily</v>
      </c>
      <c r="K443" s="258" t="str">
        <f>IFERROR(__xludf.DUMMYFUNCTION("""COMPUTED_VALUE"""),"")</f>
        <v/>
      </c>
      <c r="L443" s="258" t="str">
        <f>IFERROR(__xludf.DUMMYFUNCTION("""COMPUTED_VALUE"""),"GHP, WIRELINE, BAYAN, GLOBE")</f>
        <v>GHP, WIRELINE, BAYAN, GLOBE</v>
      </c>
      <c r="M443" s="258" t="str">
        <f>IFERROR(__xludf.DUMMYFUNCTION("""COMPUTED_VALUE"""),"Consumer, EG, SG, In house")</f>
        <v>Consumer, EG, SG, In house</v>
      </c>
      <c r="N443" s="258" t="str">
        <f>IFERROR(__xludf.DUMMYFUNCTION("""COMPUTED_VALUE"""),"payment")</f>
        <v>payment</v>
      </c>
      <c r="O443" s="258" t="str">
        <f>IFERROR(__xludf.DUMMYFUNCTION("""COMPUTED_VALUE"""),"payment_profile")</f>
        <v>payment_profile</v>
      </c>
      <c r="P443" s="258"/>
    </row>
    <row r="444">
      <c r="A444" s="257" t="str">
        <f>IFERROR(__xludf.DUMMYFUNCTION("""COMPUTED_VALUE"""),"latest_barring_date")</f>
        <v>latest_barring_date</v>
      </c>
      <c r="B444" s="258" t="str">
        <f>IFERROR(__xludf.DUMMYFUNCTION("""COMPUTED_VALUE"""),"Behavioral")</f>
        <v>Behavioral</v>
      </c>
      <c r="C444" s="258" t="str">
        <f>IFERROR(__xludf.DUMMYFUNCTION("""COMPUTED_VALUE"""),"Non-PII")</f>
        <v>Non-PII</v>
      </c>
      <c r="D444" s="258" t="str">
        <f>IFERROR(__xludf.DUMMYFUNCTION("""COMPUTED_VALUE"""),"Non-PII")</f>
        <v>Non-PII</v>
      </c>
      <c r="E444" s="258" t="str">
        <f>IFERROR(__xludf.DUMMYFUNCTION("""COMPUTED_VALUE"""),"Latest date of barring")</f>
        <v>Latest date of barring</v>
      </c>
      <c r="F444" s="258" t="str">
        <f>IFERROR(__xludf.DUMMYFUNCTION("""COMPUTED_VALUE"""),"Derived")</f>
        <v>Derived</v>
      </c>
      <c r="G444" s="258" t="str">
        <f>IFERROR(__xludf.DUMMYFUNCTION("""COMPUTED_VALUE"""),"timestamp")</f>
        <v>timestamp</v>
      </c>
      <c r="H444" s="258">
        <f>IFERROR(__xludf.DUMMYFUNCTION("""COMPUTED_VALUE"""),42351.33333)</f>
        <v>42351.33333</v>
      </c>
      <c r="I444" s="258" t="str">
        <f>IFERROR(__xludf.DUMMYFUNCTION("""COMPUTED_VALUE"""),"MSH FVT")</f>
        <v>MSH FVT</v>
      </c>
      <c r="J444" s="258" t="str">
        <f>IFERROR(__xludf.DUMMYFUNCTION("""COMPUTED_VALUE"""),"Daily")</f>
        <v>Daily</v>
      </c>
      <c r="K444" s="258" t="str">
        <f>IFERROR(__xludf.DUMMYFUNCTION("""COMPUTED_VALUE"""),"")</f>
        <v/>
      </c>
      <c r="L444" s="258" t="str">
        <f>IFERROR(__xludf.DUMMYFUNCTION("""COMPUTED_VALUE"""),"GHP")</f>
        <v>GHP</v>
      </c>
      <c r="M444" s="258" t="str">
        <f>IFERROR(__xludf.DUMMYFUNCTION("""COMPUTED_VALUE"""),"Consumer, EG, SG")</f>
        <v>Consumer, EG, SG</v>
      </c>
      <c r="N444" s="258" t="str">
        <f>IFERROR(__xludf.DUMMYFUNCTION("""COMPUTED_VALUE"""),"invoice")</f>
        <v>invoice</v>
      </c>
      <c r="O444" s="258" t="str">
        <f>IFERROR(__xludf.DUMMYFUNCTION("""COMPUTED_VALUE"""),"invoice_profile")</f>
        <v>invoice_profile</v>
      </c>
      <c r="P444" s="258"/>
    </row>
    <row r="445">
      <c r="A445" s="257" t="str">
        <f>IFERROR(__xludf.DUMMYFUNCTION("""COMPUTED_VALUE"""),"latest_barring_reason")</f>
        <v>latest_barring_reason</v>
      </c>
      <c r="B445" s="258" t="str">
        <f>IFERROR(__xludf.DUMMYFUNCTION("""COMPUTED_VALUE"""),"Behavioral")</f>
        <v>Behavioral</v>
      </c>
      <c r="C445" s="258" t="str">
        <f>IFERROR(__xludf.DUMMYFUNCTION("""COMPUTED_VALUE"""),"Non-PII")</f>
        <v>Non-PII</v>
      </c>
      <c r="D445" s="258" t="str">
        <f>IFERROR(__xludf.DUMMYFUNCTION("""COMPUTED_VALUE"""),"Non-PII")</f>
        <v>Non-PII</v>
      </c>
      <c r="E445" s="258" t="str">
        <f>IFERROR(__xludf.DUMMYFUNCTION("""COMPUTED_VALUE"""),"OD – Operational defined barring (for barring and unbarring)
EOC – End of Cycle (Only for unbarring)
PYD – Payment from AR (Only for unbarring)
RCV – Barring/unbarring request failed and waiting for recovery/retry")</f>
        <v>OD – Operational defined barring (for barring and unbarring)
EOC – End of Cycle (Only for unbarring)
PYD – Payment from AR (Only for unbarring)
RCV – Barring/unbarring request failed and waiting for recovery/retry</v>
      </c>
      <c r="F445" s="258" t="str">
        <f>IFERROR(__xludf.DUMMYFUNCTION("""COMPUTED_VALUE"""),"Derived")</f>
        <v>Derived</v>
      </c>
      <c r="G445" s="258" t="str">
        <f>IFERROR(__xludf.DUMMYFUNCTION("""COMPUTED_VALUE"""),"varchar(1000)")</f>
        <v>varchar(1000)</v>
      </c>
      <c r="H445" s="258" t="str">
        <f>IFERROR(__xludf.DUMMYFUNCTION("""COMPUTED_VALUE"""),"OD")</f>
        <v>OD</v>
      </c>
      <c r="I445" s="258" t="str">
        <f>IFERROR(__xludf.DUMMYFUNCTION("""COMPUTED_VALUE"""),"MSH FVT")</f>
        <v>MSH FVT</v>
      </c>
      <c r="J445" s="258" t="str">
        <f>IFERROR(__xludf.DUMMYFUNCTION("""COMPUTED_VALUE"""),"Daily")</f>
        <v>Daily</v>
      </c>
      <c r="K445" s="258" t="str">
        <f>IFERROR(__xludf.DUMMYFUNCTION("""COMPUTED_VALUE"""),"")</f>
        <v/>
      </c>
      <c r="L445" s="258" t="str">
        <f>IFERROR(__xludf.DUMMYFUNCTION("""COMPUTED_VALUE"""),"GHP")</f>
        <v>GHP</v>
      </c>
      <c r="M445" s="258" t="str">
        <f>IFERROR(__xludf.DUMMYFUNCTION("""COMPUTED_VALUE"""),"Consumer, EG, SG")</f>
        <v>Consumer, EG, SG</v>
      </c>
      <c r="N445" s="258" t="str">
        <f>IFERROR(__xludf.DUMMYFUNCTION("""COMPUTED_VALUE"""),"invoice")</f>
        <v>invoice</v>
      </c>
      <c r="O445" s="258" t="str">
        <f>IFERROR(__xludf.DUMMYFUNCTION("""COMPUTED_VALUE"""),"invoice_profile")</f>
        <v>invoice_profile</v>
      </c>
      <c r="P445" s="258"/>
    </row>
    <row r="446">
      <c r="A446" s="257" t="str">
        <f>IFERROR(__xludf.DUMMYFUNCTION("""COMPUTED_VALUE"""),"usage_data_mb_past_60days")</f>
        <v>usage_data_mb_past_60days</v>
      </c>
      <c r="B446" s="258" t="str">
        <f>IFERROR(__xludf.DUMMYFUNCTION("""COMPUTED_VALUE"""),"Behavioral")</f>
        <v>Behavioral</v>
      </c>
      <c r="C446" s="258" t="str">
        <f>IFERROR(__xludf.DUMMYFUNCTION("""COMPUTED_VALUE"""),"Non-PII")</f>
        <v>Non-PII</v>
      </c>
      <c r="D446" s="258" t="str">
        <f>IFERROR(__xludf.DUMMYFUNCTION("""COMPUTED_VALUE"""),"Non-PII")</f>
        <v>Non-PII</v>
      </c>
      <c r="E446" s="258" t="str">
        <f>IFERROR(__xludf.DUMMYFUNCTION("""COMPUTED_VALUE"""),"Total volume of data usage in megabytes for the past 60 days")</f>
        <v>Total volume of data usage in megabytes for the past 60 days</v>
      </c>
      <c r="F446" s="258" t="str">
        <f>IFERROR(__xludf.DUMMYFUNCTION("""COMPUTED_VALUE"""),"Derived")</f>
        <v>Derived</v>
      </c>
      <c r="G446" s="258" t="str">
        <f>IFERROR(__xludf.DUMMYFUNCTION("""COMPUTED_VALUE"""),"numeric(21,2)")</f>
        <v>numeric(21,2)</v>
      </c>
      <c r="H446" s="258">
        <f>IFERROR(__xludf.DUMMYFUNCTION("""COMPUTED_VALUE"""),100.0)</f>
        <v>100</v>
      </c>
      <c r="I446" s="258" t="str">
        <f>IFERROR(__xludf.DUMMYFUNCTION("""COMPUTED_VALUE"""),"MSH FVT")</f>
        <v>MSH FVT</v>
      </c>
      <c r="J446" s="258" t="str">
        <f>IFERROR(__xludf.DUMMYFUNCTION("""COMPUTED_VALUE"""),"Daily")</f>
        <v>Daily</v>
      </c>
      <c r="K446" s="258" t="str">
        <f>IFERROR(__xludf.DUMMYFUNCTION("""COMPUTED_VALUE"""),"")</f>
        <v/>
      </c>
      <c r="L446" s="258" t="str">
        <f>IFERROR(__xludf.DUMMYFUNCTION("""COMPUTED_VALUE"""),"GHP, GHP-PREPAID, TM, PW, GOMO, WIRELINE, BAYAN, GLOBE")</f>
        <v>GHP, GHP-PREPAID, TM, PW, GOMO, WIRELINE, BAYAN, GLOBE</v>
      </c>
      <c r="M446" s="258" t="str">
        <f>IFERROR(__xludf.DUMMYFUNCTION("""COMPUTED_VALUE"""),"Consumer, EG, SG, In house, IBG Traveler")</f>
        <v>Consumer, EG, SG, In house, IBG Traveler</v>
      </c>
      <c r="N446" s="258" t="str">
        <f>IFERROR(__xludf.DUMMYFUNCTION("""COMPUTED_VALUE"""),"usage")</f>
        <v>usage</v>
      </c>
      <c r="O446" s="258" t="str">
        <f>IFERROR(__xludf.DUMMYFUNCTION("""COMPUTED_VALUE"""),"adjustment_profile")</f>
        <v>adjustment_profile</v>
      </c>
      <c r="P446" s="258"/>
    </row>
    <row r="447">
      <c r="A447" s="257" t="str">
        <f>IFERROR(__xludf.DUMMYFUNCTION("""COMPUTED_VALUE"""),"usage_data_mb_past_30days")</f>
        <v>usage_data_mb_past_30days</v>
      </c>
      <c r="B447" s="258" t="str">
        <f>IFERROR(__xludf.DUMMYFUNCTION("""COMPUTED_VALUE"""),"Behavioral")</f>
        <v>Behavioral</v>
      </c>
      <c r="C447" s="258" t="str">
        <f>IFERROR(__xludf.DUMMYFUNCTION("""COMPUTED_VALUE"""),"Non-PII")</f>
        <v>Non-PII</v>
      </c>
      <c r="D447" s="258" t="str">
        <f>IFERROR(__xludf.DUMMYFUNCTION("""COMPUTED_VALUE"""),"Non-PII")</f>
        <v>Non-PII</v>
      </c>
      <c r="E447" s="258" t="str">
        <f>IFERROR(__xludf.DUMMYFUNCTION("""COMPUTED_VALUE"""),"Total volume of data usage in megabytes for the past 30 days")</f>
        <v>Total volume of data usage in megabytes for the past 30 days</v>
      </c>
      <c r="F447" s="258" t="str">
        <f>IFERROR(__xludf.DUMMYFUNCTION("""COMPUTED_VALUE"""),"Derived")</f>
        <v>Derived</v>
      </c>
      <c r="G447" s="258" t="str">
        <f>IFERROR(__xludf.DUMMYFUNCTION("""COMPUTED_VALUE"""),"numeric(21,2)")</f>
        <v>numeric(21,2)</v>
      </c>
      <c r="H447" s="258">
        <f>IFERROR(__xludf.DUMMYFUNCTION("""COMPUTED_VALUE"""),50.0)</f>
        <v>50</v>
      </c>
      <c r="I447" s="258" t="str">
        <f>IFERROR(__xludf.DUMMYFUNCTION("""COMPUTED_VALUE"""),"MSH FVT")</f>
        <v>MSH FVT</v>
      </c>
      <c r="J447" s="258" t="str">
        <f>IFERROR(__xludf.DUMMYFUNCTION("""COMPUTED_VALUE"""),"Daily")</f>
        <v>Daily</v>
      </c>
      <c r="K447" s="258" t="str">
        <f>IFERROR(__xludf.DUMMYFUNCTION("""COMPUTED_VALUE"""),"")</f>
        <v/>
      </c>
      <c r="L447" s="258" t="str">
        <f>IFERROR(__xludf.DUMMYFUNCTION("""COMPUTED_VALUE"""),"GHP, GHP-PREPAID, TM, PW, GOMO, WIRELINE, BAYAN, GLOBE")</f>
        <v>GHP, GHP-PREPAID, TM, PW, GOMO, WIRELINE, BAYAN, GLOBE</v>
      </c>
      <c r="M447" s="258" t="str">
        <f>IFERROR(__xludf.DUMMYFUNCTION("""COMPUTED_VALUE"""),"Consumer, EG, SG, In house, IBG Traveler")</f>
        <v>Consumer, EG, SG, In house, IBG Traveler</v>
      </c>
      <c r="N447" s="258" t="str">
        <f>IFERROR(__xludf.DUMMYFUNCTION("""COMPUTED_VALUE"""),"adjustment")</f>
        <v>adjustment</v>
      </c>
      <c r="O447" s="258" t="str">
        <f>IFERROR(__xludf.DUMMYFUNCTION("""COMPUTED_VALUE"""),"adjustment_profile")</f>
        <v>adjustment_profile</v>
      </c>
      <c r="P447" s="258"/>
    </row>
    <row r="448">
      <c r="A448" s="257" t="str">
        <f>IFERROR(__xludf.DUMMYFUNCTION("""COMPUTED_VALUE"""),"usage_monthly_average_data_mb_past_90days")</f>
        <v>usage_monthly_average_data_mb_past_90days</v>
      </c>
      <c r="B448" s="258" t="str">
        <f>IFERROR(__xludf.DUMMYFUNCTION("""COMPUTED_VALUE"""),"Behavioral")</f>
        <v>Behavioral</v>
      </c>
      <c r="C448" s="258" t="str">
        <f>IFERROR(__xludf.DUMMYFUNCTION("""COMPUTED_VALUE"""),"Non-PII")</f>
        <v>Non-PII</v>
      </c>
      <c r="D448" s="258" t="str">
        <f>IFERROR(__xludf.DUMMYFUNCTION("""COMPUTED_VALUE"""),"Non-PII")</f>
        <v>Non-PII</v>
      </c>
      <c r="E448" s="258" t="str">
        <f>IFERROR(__xludf.DUMMYFUNCTION("""COMPUTED_VALUE"""),"Average monthly volume of data usage in megabytes for the past 90 days")</f>
        <v>Average monthly volume of data usage in megabytes for the past 90 days</v>
      </c>
      <c r="F448" s="258" t="str">
        <f>IFERROR(__xludf.DUMMYFUNCTION("""COMPUTED_VALUE"""),"Derived")</f>
        <v>Derived</v>
      </c>
      <c r="G448" s="258" t="str">
        <f>IFERROR(__xludf.DUMMYFUNCTION("""COMPUTED_VALUE"""),"numeric(21,2)")</f>
        <v>numeric(21,2)</v>
      </c>
      <c r="H448" s="258">
        <f>IFERROR(__xludf.DUMMYFUNCTION("""COMPUTED_VALUE"""),1002.0)</f>
        <v>1002</v>
      </c>
      <c r="I448" s="258" t="str">
        <f>IFERROR(__xludf.DUMMYFUNCTION("""COMPUTED_VALUE"""),"MSH FVT")</f>
        <v>MSH FVT</v>
      </c>
      <c r="J448" s="258" t="str">
        <f>IFERROR(__xludf.DUMMYFUNCTION("""COMPUTED_VALUE"""),"Daily")</f>
        <v>Daily</v>
      </c>
      <c r="K448" s="258" t="str">
        <f>IFERROR(__xludf.DUMMYFUNCTION("""COMPUTED_VALUE"""),"")</f>
        <v/>
      </c>
      <c r="L448" s="258" t="str">
        <f>IFERROR(__xludf.DUMMYFUNCTION("""COMPUTED_VALUE"""),"GHP, GHP-PREPAID, TM, PW, GOMO, WIRELINE, BAYAN, GLOBE")</f>
        <v>GHP, GHP-PREPAID, TM, PW, GOMO, WIRELINE, BAYAN, GLOBE</v>
      </c>
      <c r="M448" s="258" t="str">
        <f>IFERROR(__xludf.DUMMYFUNCTION("""COMPUTED_VALUE"""),"Consumer, EG, SG, In house, IBG Traveler")</f>
        <v>Consumer, EG, SG, In house, IBG Traveler</v>
      </c>
      <c r="N448" s="258" t="str">
        <f>IFERROR(__xludf.DUMMYFUNCTION("""COMPUTED_VALUE"""),"usage")</f>
        <v>usage</v>
      </c>
      <c r="O448" s="258" t="str">
        <f>IFERROR(__xludf.DUMMYFUNCTION("""COMPUTED_VALUE"""),"adjustment_profile")</f>
        <v>adjustment_profile</v>
      </c>
      <c r="P448" s="258"/>
    </row>
    <row r="449">
      <c r="A449" s="257" t="str">
        <f>IFERROR(__xludf.DUMMYFUNCTION("""COMPUTED_VALUE"""),"gcredit_user_indicator_last_120days")</f>
        <v>gcredit_user_indicator_last_120days</v>
      </c>
      <c r="B449" s="258" t="str">
        <f>IFERROR(__xludf.DUMMYFUNCTION("""COMPUTED_VALUE"""),"Behavioral")</f>
        <v>Behavioral</v>
      </c>
      <c r="C449" s="258" t="str">
        <f>IFERROR(__xludf.DUMMYFUNCTION("""COMPUTED_VALUE"""),"Non-PII")</f>
        <v>Non-PII</v>
      </c>
      <c r="D449" s="258" t="str">
        <f>IFERROR(__xludf.DUMMYFUNCTION("""COMPUTED_VALUE"""),"Non-PII")</f>
        <v>Non-PII</v>
      </c>
      <c r="E449" s="258" t="str">
        <f>IFERROR(__xludf.DUMMYFUNCTION("""COMPUTED_VALUE"""),"TRUE - For user that has a transaction with transtype = 'fuse' for the last 120 days
FALSE - For user that has no transaction with transtype = 'fuse' for the last 120 days")</f>
        <v>TRUE - For user that has a transaction with transtype = 'fuse' for the last 120 days
FALSE - For user that has no transaction with transtype = 'fuse' for the last 120 days</v>
      </c>
      <c r="F449" s="258" t="str">
        <f>IFERROR(__xludf.DUMMYFUNCTION("""COMPUTED_VALUE"""),"Derived")</f>
        <v>Derived</v>
      </c>
      <c r="G449" s="258" t="str">
        <f>IFERROR(__xludf.DUMMYFUNCTION("""COMPUTED_VALUE"""),"boolean")</f>
        <v>boolean</v>
      </c>
      <c r="H449" s="258" t="b">
        <f>IFERROR(__xludf.DUMMYFUNCTION("""COMPUTED_VALUE"""),FALSE)</f>
        <v>0</v>
      </c>
      <c r="I449" s="258" t="str">
        <f>IFERROR(__xludf.DUMMYFUNCTION("""COMPUTED_VALUE"""),"MSH FVT")</f>
        <v>MSH FVT</v>
      </c>
      <c r="J449" s="258" t="str">
        <f>IFERROR(__xludf.DUMMYFUNCTION("""COMPUTED_VALUE"""),"Daily")</f>
        <v>Daily</v>
      </c>
      <c r="K449" s="258" t="str">
        <f>IFERROR(__xludf.DUMMYFUNCTION("""COMPUTED_VALUE"""),"")</f>
        <v/>
      </c>
      <c r="L449" s="258" t="str">
        <f>IFERROR(__xludf.DUMMYFUNCTION("""COMPUTED_VALUE"""),"GHP, GHP-PREPAID, TM, PW, GOMO")</f>
        <v>GHP, GHP-PREPAID, TM, PW, GOMO</v>
      </c>
      <c r="M449" s="258" t="str">
        <f>IFERROR(__xludf.DUMMYFUNCTION("""COMPUTED_VALUE"""),"Consumer, EG, SG, In house, IBG Traveler")</f>
        <v>Consumer, EG, SG, In house, IBG Traveler</v>
      </c>
      <c r="N449" s="258" t="str">
        <f>IFERROR(__xludf.DUMMYFUNCTION("""COMPUTED_VALUE"""),"adjustment")</f>
        <v>adjustment</v>
      </c>
      <c r="O449" s="258" t="str">
        <f>IFERROR(__xludf.DUMMYFUNCTION("""COMPUTED_VALUE"""),"adjustment_profile")</f>
        <v>adjustment_profile</v>
      </c>
      <c r="P449" s="258"/>
    </row>
    <row r="450">
      <c r="A450" s="257" t="str">
        <f>IFERROR(__xludf.DUMMYFUNCTION("""COMPUTED_VALUE"""),"gcash_registration_date")</f>
        <v>gcash_registration_date</v>
      </c>
      <c r="B450" s="258" t="str">
        <f>IFERROR(__xludf.DUMMYFUNCTION("""COMPUTED_VALUE"""),"Behavioral")</f>
        <v>Behavioral</v>
      </c>
      <c r="C450" s="258" t="str">
        <f>IFERROR(__xludf.DUMMYFUNCTION("""COMPUTED_VALUE"""),"Non-PII")</f>
        <v>Non-PII</v>
      </c>
      <c r="D450" s="258" t="str">
        <f>IFERROR(__xludf.DUMMYFUNCTION("""COMPUTED_VALUE"""),"Non-PII")</f>
        <v>Non-PII</v>
      </c>
      <c r="E450" s="258" t="str">
        <f>IFERROR(__xludf.DUMMYFUNCTION("""COMPUTED_VALUE"""),"Registration date of GCash users")</f>
        <v>Registration date of GCash users</v>
      </c>
      <c r="F450" s="258" t="str">
        <f>IFERROR(__xludf.DUMMYFUNCTION("""COMPUTED_VALUE"""),"Derived")</f>
        <v>Derived</v>
      </c>
      <c r="G450" s="258" t="str">
        <f>IFERROR(__xludf.DUMMYFUNCTION("""COMPUTED_VALUE"""),"timestamp")</f>
        <v>timestamp</v>
      </c>
      <c r="H450" s="258">
        <f>IFERROR(__xludf.DUMMYFUNCTION("""COMPUTED_VALUE"""),43705.0)</f>
        <v>43705</v>
      </c>
      <c r="I450" s="258" t="str">
        <f>IFERROR(__xludf.DUMMYFUNCTION("""COMPUTED_VALUE"""),"MSH FVT")</f>
        <v>MSH FVT</v>
      </c>
      <c r="J450" s="258" t="str">
        <f>IFERROR(__xludf.DUMMYFUNCTION("""COMPUTED_VALUE"""),"Daily")</f>
        <v>Daily</v>
      </c>
      <c r="K450" s="258" t="str">
        <f>IFERROR(__xludf.DUMMYFUNCTION("""COMPUTED_VALUE"""),"")</f>
        <v/>
      </c>
      <c r="L450" s="258" t="str">
        <f>IFERROR(__xludf.DUMMYFUNCTION("""COMPUTED_VALUE"""),"GHP, GHP-PREPAID, TM, PW, GOMO")</f>
        <v>GHP, GHP-PREPAID, TM, PW, GOMO</v>
      </c>
      <c r="M450" s="258" t="str">
        <f>IFERROR(__xludf.DUMMYFUNCTION("""COMPUTED_VALUE"""),"Consumer, EG, SG, In house, IBG Traveler")</f>
        <v>Consumer, EG, SG, In house, IBG Traveler</v>
      </c>
      <c r="N450" s="258" t="str">
        <f>IFERROR(__xludf.DUMMYFUNCTION("""COMPUTED_VALUE"""),"adjustment")</f>
        <v>adjustment</v>
      </c>
      <c r="O450" s="258" t="str">
        <f>IFERROR(__xludf.DUMMYFUNCTION("""COMPUTED_VALUE"""),"adjustment_profile")</f>
        <v>adjustment_profile</v>
      </c>
      <c r="P450" s="258"/>
    </row>
    <row r="451">
      <c r="A451" s="257" t="str">
        <f>IFERROR(__xludf.DUMMYFUNCTION("""COMPUTED_VALUE"""),"no_pending_order_indicator")</f>
        <v>no_pending_order_indicator</v>
      </c>
      <c r="B451" s="258" t="str">
        <f>IFERROR(__xludf.DUMMYFUNCTION("""COMPUTED_VALUE"""),"Behavioral")</f>
        <v>Behavioral</v>
      </c>
      <c r="C451" s="258" t="str">
        <f>IFERROR(__xludf.DUMMYFUNCTION("""COMPUTED_VALUE"""),"Non-PII")</f>
        <v>Non-PII</v>
      </c>
      <c r="D451" s="258" t="str">
        <f>IFERROR(__xludf.DUMMYFUNCTION("""COMPUTED_VALUE"""),"Non-PII")</f>
        <v>Non-PII</v>
      </c>
      <c r="E451" s="258" t="str">
        <f>IFERROR(__xludf.DUMMYFUNCTION("""COMPUTED_VALUE"""),"Indicator if subscriber has a pending order in place.
TRUE - No pending order
FALSE - There is a pending order")</f>
        <v>Indicator if subscriber has a pending order in place.
TRUE - No pending order
FALSE - There is a pending order</v>
      </c>
      <c r="F451" s="258" t="str">
        <f>IFERROR(__xludf.DUMMYFUNCTION("""COMPUTED_VALUE"""),"Derived")</f>
        <v>Derived</v>
      </c>
      <c r="G451" s="258" t="str">
        <f>IFERROR(__xludf.DUMMYFUNCTION("""COMPUTED_VALUE"""),"boolean")</f>
        <v>boolean</v>
      </c>
      <c r="H451" s="258" t="b">
        <f>IFERROR(__xludf.DUMMYFUNCTION("""COMPUTED_VALUE"""),TRUE)</f>
        <v>1</v>
      </c>
      <c r="I451" s="258" t="str">
        <f>IFERROR(__xludf.DUMMYFUNCTION("""COMPUTED_VALUE"""),"MSH FVT")</f>
        <v>MSH FVT</v>
      </c>
      <c r="J451" s="258" t="str">
        <f>IFERROR(__xludf.DUMMYFUNCTION("""COMPUTED_VALUE"""),"Daily")</f>
        <v>Daily</v>
      </c>
      <c r="K451" s="258" t="str">
        <f>IFERROR(__xludf.DUMMYFUNCTION("""COMPUTED_VALUE"""),"")</f>
        <v/>
      </c>
      <c r="L451" s="258" t="str">
        <f>IFERROR(__xludf.DUMMYFUNCTION("""COMPUTED_VALUE"""),"GHP, WIRELINE, BAYAN, GLOBE")</f>
        <v>GHP, WIRELINE, BAYAN, GLOBE</v>
      </c>
      <c r="M451" s="258" t="str">
        <f>IFERROR(__xludf.DUMMYFUNCTION("""COMPUTED_VALUE"""),"Consumer, EG, SG, In house, IBG Traveler")</f>
        <v>Consumer, EG, SG, In house, IBG Traveler</v>
      </c>
      <c r="N451" s="258" t="str">
        <f>IFERROR(__xludf.DUMMYFUNCTION("""COMPUTED_VALUE"""),"availment")</f>
        <v>availment</v>
      </c>
      <c r="O451" s="258" t="str">
        <f>IFERROR(__xludf.DUMMYFUNCTION("""COMPUTED_VALUE"""),"availment_profile")</f>
        <v>availment_profile</v>
      </c>
      <c r="P451" s="258"/>
    </row>
    <row r="452">
      <c r="A452" s="257" t="str">
        <f>IFERROR(__xludf.DUMMYFUNCTION("""COMPUTED_VALUE"""),"bb_app_data_amount_volume_booster_last_30days")</f>
        <v>bb_app_data_amount_volume_booster_last_30days</v>
      </c>
      <c r="B452" s="258" t="str">
        <f>IFERROR(__xludf.DUMMYFUNCTION("""COMPUTED_VALUE"""),"Behavioral")</f>
        <v>Behavioral</v>
      </c>
      <c r="C452" s="258" t="str">
        <f>IFERROR(__xludf.DUMMYFUNCTION("""COMPUTED_VALUE"""),"Non-PII")</f>
        <v>Non-PII</v>
      </c>
      <c r="D452" s="258" t="str">
        <f>IFERROR(__xludf.DUMMYFUNCTION("""COMPUTED_VALUE"""),"Non-PII")</f>
        <v>Non-PII</v>
      </c>
      <c r="E452" s="258" t="str">
        <f>IFERROR(__xludf.DUMMYFUNCTION("""COMPUTED_VALUE"""),"Volume booster for previous 1st month")</f>
        <v>Volume booster for previous 1st month</v>
      </c>
      <c r="F452" s="258" t="str">
        <f>IFERROR(__xludf.DUMMYFUNCTION("""COMPUTED_VALUE"""),"Derived")</f>
        <v>Derived</v>
      </c>
      <c r="G452" s="258" t="str">
        <f>IFERROR(__xludf.DUMMYFUNCTION("""COMPUTED_VALUE"""),"bigint")</f>
        <v>bigint</v>
      </c>
      <c r="H452" s="258">
        <f>IFERROR(__xludf.DUMMYFUNCTION("""COMPUTED_VALUE"""),2.62E8)</f>
        <v>262000000</v>
      </c>
      <c r="I452" s="258" t="str">
        <f>IFERROR(__xludf.DUMMYFUNCTION("""COMPUTED_VALUE"""),"MSH FVT")</f>
        <v>MSH FVT</v>
      </c>
      <c r="J452" s="258" t="str">
        <f>IFERROR(__xludf.DUMMYFUNCTION("""COMPUTED_VALUE"""),"Daily")</f>
        <v>Daily</v>
      </c>
      <c r="K452" s="258" t="str">
        <f>IFERROR(__xludf.DUMMYFUNCTION("""COMPUTED_VALUE"""),"")</f>
        <v/>
      </c>
      <c r="L452" s="258" t="str">
        <f>IFERROR(__xludf.DUMMYFUNCTION("""COMPUTED_VALUE"""),"WIRELINE, GLOBE")</f>
        <v>WIRELINE, GLOBE</v>
      </c>
      <c r="M452" s="258" t="str">
        <f>IFERROR(__xludf.DUMMYFUNCTION("""COMPUTED_VALUE"""),"Consumer")</f>
        <v>Consumer</v>
      </c>
      <c r="N452" s="258" t="str">
        <f>IFERROR(__xludf.DUMMYFUNCTION("""COMPUTED_VALUE"""),"availment")</f>
        <v>availment</v>
      </c>
      <c r="O452" s="258" t="str">
        <f>IFERROR(__xludf.DUMMYFUNCTION("""COMPUTED_VALUE"""),"availment_profile")</f>
        <v>availment_profile</v>
      </c>
      <c r="P452" s="258"/>
    </row>
    <row r="453">
      <c r="A453" s="257" t="str">
        <f>IFERROR(__xludf.DUMMYFUNCTION("""COMPUTED_VALUE"""),"bb_app_data_amount_volume_booster_last_60days")</f>
        <v>bb_app_data_amount_volume_booster_last_60days</v>
      </c>
      <c r="B453" s="258" t="str">
        <f>IFERROR(__xludf.DUMMYFUNCTION("""COMPUTED_VALUE"""),"Behavioral")</f>
        <v>Behavioral</v>
      </c>
      <c r="C453" s="258" t="str">
        <f>IFERROR(__xludf.DUMMYFUNCTION("""COMPUTED_VALUE"""),"Non-PII")</f>
        <v>Non-PII</v>
      </c>
      <c r="D453" s="258" t="str">
        <f>IFERROR(__xludf.DUMMYFUNCTION("""COMPUTED_VALUE"""),"Non-PII")</f>
        <v>Non-PII</v>
      </c>
      <c r="E453" s="258" t="str">
        <f>IFERROR(__xludf.DUMMYFUNCTION("""COMPUTED_VALUE"""),"Volume booster for previous 2nd month")</f>
        <v>Volume booster for previous 2nd month</v>
      </c>
      <c r="F453" s="258" t="str">
        <f>IFERROR(__xludf.DUMMYFUNCTION("""COMPUTED_VALUE"""),"Derived")</f>
        <v>Derived</v>
      </c>
      <c r="G453" s="258" t="str">
        <f>IFERROR(__xludf.DUMMYFUNCTION("""COMPUTED_VALUE"""),"bigint")</f>
        <v>bigint</v>
      </c>
      <c r="H453" s="258">
        <f>IFERROR(__xludf.DUMMYFUNCTION("""COMPUTED_VALUE"""),3.67E8)</f>
        <v>367000000</v>
      </c>
      <c r="I453" s="258" t="str">
        <f>IFERROR(__xludf.DUMMYFUNCTION("""COMPUTED_VALUE"""),"MSH FVT")</f>
        <v>MSH FVT</v>
      </c>
      <c r="J453" s="258" t="str">
        <f>IFERROR(__xludf.DUMMYFUNCTION("""COMPUTED_VALUE"""),"Daily")</f>
        <v>Daily</v>
      </c>
      <c r="K453" s="258" t="str">
        <f>IFERROR(__xludf.DUMMYFUNCTION("""COMPUTED_VALUE"""),"")</f>
        <v/>
      </c>
      <c r="L453" s="258" t="str">
        <f>IFERROR(__xludf.DUMMYFUNCTION("""COMPUTED_VALUE"""),"WIRELINE, GLOBE")</f>
        <v>WIRELINE, GLOBE</v>
      </c>
      <c r="M453" s="258" t="str">
        <f>IFERROR(__xludf.DUMMYFUNCTION("""COMPUTED_VALUE"""),"Consumer")</f>
        <v>Consumer</v>
      </c>
      <c r="N453" s="258" t="str">
        <f>IFERROR(__xludf.DUMMYFUNCTION("""COMPUTED_VALUE"""),"availment")</f>
        <v>availment</v>
      </c>
      <c r="O453" s="258" t="str">
        <f>IFERROR(__xludf.DUMMYFUNCTION("""COMPUTED_VALUE"""),"availment_profile")</f>
        <v>availment_profile</v>
      </c>
      <c r="P453" s="258"/>
    </row>
    <row r="454">
      <c r="A454" s="257" t="str">
        <f>IFERROR(__xludf.DUMMYFUNCTION("""COMPUTED_VALUE"""),"bb_app_data_amount_volume_booster_last_90days")</f>
        <v>bb_app_data_amount_volume_booster_last_90days</v>
      </c>
      <c r="B454" s="258" t="str">
        <f>IFERROR(__xludf.DUMMYFUNCTION("""COMPUTED_VALUE"""),"Behavioral")</f>
        <v>Behavioral</v>
      </c>
      <c r="C454" s="258" t="str">
        <f>IFERROR(__xludf.DUMMYFUNCTION("""COMPUTED_VALUE"""),"Non-PII")</f>
        <v>Non-PII</v>
      </c>
      <c r="D454" s="258" t="str">
        <f>IFERROR(__xludf.DUMMYFUNCTION("""COMPUTED_VALUE"""),"Non-PII")</f>
        <v>Non-PII</v>
      </c>
      <c r="E454" s="258" t="str">
        <f>IFERROR(__xludf.DUMMYFUNCTION("""COMPUTED_VALUE"""),"Volume booster for previous 3rd month")</f>
        <v>Volume booster for previous 3rd month</v>
      </c>
      <c r="F454" s="258" t="str">
        <f>IFERROR(__xludf.DUMMYFUNCTION("""COMPUTED_VALUE"""),"Derived")</f>
        <v>Derived</v>
      </c>
      <c r="G454" s="258" t="str">
        <f>IFERROR(__xludf.DUMMYFUNCTION("""COMPUTED_VALUE"""),"bigint")</f>
        <v>bigint</v>
      </c>
      <c r="H454" s="258">
        <f>IFERROR(__xludf.DUMMYFUNCTION("""COMPUTED_VALUE"""),2.1E8)</f>
        <v>210000000</v>
      </c>
      <c r="I454" s="258" t="str">
        <f>IFERROR(__xludf.DUMMYFUNCTION("""COMPUTED_VALUE"""),"MSH FVT")</f>
        <v>MSH FVT</v>
      </c>
      <c r="J454" s="258" t="str">
        <f>IFERROR(__xludf.DUMMYFUNCTION("""COMPUTED_VALUE"""),"Daily")</f>
        <v>Daily</v>
      </c>
      <c r="K454" s="258" t="str">
        <f>IFERROR(__xludf.DUMMYFUNCTION("""COMPUTED_VALUE"""),"")</f>
        <v/>
      </c>
      <c r="L454" s="258" t="str">
        <f>IFERROR(__xludf.DUMMYFUNCTION("""COMPUTED_VALUE"""),"WIRELINE, GLOBE")</f>
        <v>WIRELINE, GLOBE</v>
      </c>
      <c r="M454" s="258" t="str">
        <f>IFERROR(__xludf.DUMMYFUNCTION("""COMPUTED_VALUE"""),"Consumer")</f>
        <v>Consumer</v>
      </c>
      <c r="N454" s="258" t="str">
        <f>IFERROR(__xludf.DUMMYFUNCTION("""COMPUTED_VALUE"""),"availment")</f>
        <v>availment</v>
      </c>
      <c r="O454" s="258" t="str">
        <f>IFERROR(__xludf.DUMMYFUNCTION("""COMPUTED_VALUE"""),"availment_profile")</f>
        <v>availment_profile</v>
      </c>
      <c r="P454" s="258"/>
    </row>
    <row r="455">
      <c r="A455" s="257" t="str">
        <f>IFERROR(__xludf.DUMMYFUNCTION("""COMPUTED_VALUE"""),"bb_app_promo_amount_volume_booster_last_30days")</f>
        <v>bb_app_promo_amount_volume_booster_last_30days</v>
      </c>
      <c r="B455" s="258" t="str">
        <f>IFERROR(__xludf.DUMMYFUNCTION("""COMPUTED_VALUE"""),"Behavioral")</f>
        <v>Behavioral</v>
      </c>
      <c r="C455" s="258" t="str">
        <f>IFERROR(__xludf.DUMMYFUNCTION("""COMPUTED_VALUE"""),"Non-PII")</f>
        <v>Non-PII</v>
      </c>
      <c r="D455" s="258" t="str">
        <f>IFERROR(__xludf.DUMMYFUNCTION("""COMPUTED_VALUE"""),"Non-PII")</f>
        <v>Non-PII</v>
      </c>
      <c r="E455" s="258" t="str">
        <f>IFERROR(__xludf.DUMMYFUNCTION("""COMPUTED_VALUE"""),"Amount of the promo for the previous month")</f>
        <v>Amount of the promo for the previous month</v>
      </c>
      <c r="F455" s="258" t="str">
        <f>IFERROR(__xludf.DUMMYFUNCTION("""COMPUTED_VALUE"""),"Derived")</f>
        <v>Derived</v>
      </c>
      <c r="G455" s="258" t="str">
        <f>IFERROR(__xludf.DUMMYFUNCTION("""COMPUTED_VALUE"""),"numeric(19,4)")</f>
        <v>numeric(19,4)</v>
      </c>
      <c r="H455" s="258">
        <f>IFERROR(__xludf.DUMMYFUNCTION("""COMPUTED_VALUE"""),525.1317)</f>
        <v>525.1317</v>
      </c>
      <c r="I455" s="258" t="str">
        <f>IFERROR(__xludf.DUMMYFUNCTION("""COMPUTED_VALUE"""),"MSH FVT")</f>
        <v>MSH FVT</v>
      </c>
      <c r="J455" s="258" t="str">
        <f>IFERROR(__xludf.DUMMYFUNCTION("""COMPUTED_VALUE"""),"Daily")</f>
        <v>Daily</v>
      </c>
      <c r="K455" s="258" t="str">
        <f>IFERROR(__xludf.DUMMYFUNCTION("""COMPUTED_VALUE"""),"")</f>
        <v/>
      </c>
      <c r="L455" s="258" t="str">
        <f>IFERROR(__xludf.DUMMYFUNCTION("""COMPUTED_VALUE"""),"WIRELINE, GLOBE")</f>
        <v>WIRELINE, GLOBE</v>
      </c>
      <c r="M455" s="258" t="str">
        <f>IFERROR(__xludf.DUMMYFUNCTION("""COMPUTED_VALUE"""),"Consumer")</f>
        <v>Consumer</v>
      </c>
      <c r="N455" s="258" t="str">
        <f>IFERROR(__xludf.DUMMYFUNCTION("""COMPUTED_VALUE"""),"availment")</f>
        <v>availment</v>
      </c>
      <c r="O455" s="258" t="str">
        <f>IFERROR(__xludf.DUMMYFUNCTION("""COMPUTED_VALUE"""),"availment_profile")</f>
        <v>availment_profile</v>
      </c>
      <c r="P455" s="258"/>
    </row>
    <row r="456">
      <c r="A456" s="257" t="str">
        <f>IFERROR(__xludf.DUMMYFUNCTION("""COMPUTED_VALUE"""),"bb_app_promo_amount_volume_booster_last_60days")</f>
        <v>bb_app_promo_amount_volume_booster_last_60days</v>
      </c>
      <c r="B456" s="258" t="str">
        <f>IFERROR(__xludf.DUMMYFUNCTION("""COMPUTED_VALUE"""),"Behavioral")</f>
        <v>Behavioral</v>
      </c>
      <c r="C456" s="258" t="str">
        <f>IFERROR(__xludf.DUMMYFUNCTION("""COMPUTED_VALUE"""),"Non-PII")</f>
        <v>Non-PII</v>
      </c>
      <c r="D456" s="258" t="str">
        <f>IFERROR(__xludf.DUMMYFUNCTION("""COMPUTED_VALUE"""),"Non-PII")</f>
        <v>Non-PII</v>
      </c>
      <c r="E456" s="258" t="str">
        <f>IFERROR(__xludf.DUMMYFUNCTION("""COMPUTED_VALUE"""),"Amount of the promo for the 2nd month")</f>
        <v>Amount of the promo for the 2nd month</v>
      </c>
      <c r="F456" s="258" t="str">
        <f>IFERROR(__xludf.DUMMYFUNCTION("""COMPUTED_VALUE"""),"Derived")</f>
        <v>Derived</v>
      </c>
      <c r="G456" s="258" t="str">
        <f>IFERROR(__xludf.DUMMYFUNCTION("""COMPUTED_VALUE"""),"numeric(19,4)")</f>
        <v>numeric(19,4)</v>
      </c>
      <c r="H456" s="258">
        <f>IFERROR(__xludf.DUMMYFUNCTION("""COMPUTED_VALUE"""),525.1317)</f>
        <v>525.1317</v>
      </c>
      <c r="I456" s="258" t="str">
        <f>IFERROR(__xludf.DUMMYFUNCTION("""COMPUTED_VALUE"""),"MSH FVT")</f>
        <v>MSH FVT</v>
      </c>
      <c r="J456" s="258" t="str">
        <f>IFERROR(__xludf.DUMMYFUNCTION("""COMPUTED_VALUE"""),"Daily")</f>
        <v>Daily</v>
      </c>
      <c r="K456" s="258" t="str">
        <f>IFERROR(__xludf.DUMMYFUNCTION("""COMPUTED_VALUE"""),"")</f>
        <v/>
      </c>
      <c r="L456" s="258" t="str">
        <f>IFERROR(__xludf.DUMMYFUNCTION("""COMPUTED_VALUE"""),"WIRELINE, GLOBE")</f>
        <v>WIRELINE, GLOBE</v>
      </c>
      <c r="M456" s="258" t="str">
        <f>IFERROR(__xludf.DUMMYFUNCTION("""COMPUTED_VALUE"""),"Consumer")</f>
        <v>Consumer</v>
      </c>
      <c r="N456" s="258" t="str">
        <f>IFERROR(__xludf.DUMMYFUNCTION("""COMPUTED_VALUE"""),"availment")</f>
        <v>availment</v>
      </c>
      <c r="O456" s="258" t="str">
        <f>IFERROR(__xludf.DUMMYFUNCTION("""COMPUTED_VALUE"""),"availment_profile")</f>
        <v>availment_profile</v>
      </c>
      <c r="P456" s="258"/>
    </row>
    <row r="457">
      <c r="A457" s="257" t="str">
        <f>IFERROR(__xludf.DUMMYFUNCTION("""COMPUTED_VALUE"""),"bb_app_promo_amount_volume_booster_last_90days")</f>
        <v>bb_app_promo_amount_volume_booster_last_90days</v>
      </c>
      <c r="B457" s="258" t="str">
        <f>IFERROR(__xludf.DUMMYFUNCTION("""COMPUTED_VALUE"""),"Behavioral")</f>
        <v>Behavioral</v>
      </c>
      <c r="C457" s="258" t="str">
        <f>IFERROR(__xludf.DUMMYFUNCTION("""COMPUTED_VALUE"""),"Non-PII")</f>
        <v>Non-PII</v>
      </c>
      <c r="D457" s="258" t="str">
        <f>IFERROR(__xludf.DUMMYFUNCTION("""COMPUTED_VALUE"""),"Non-PII")</f>
        <v>Non-PII</v>
      </c>
      <c r="E457" s="258" t="str">
        <f>IFERROR(__xludf.DUMMYFUNCTION("""COMPUTED_VALUE"""),"Amount of the promo for the 3rd month")</f>
        <v>Amount of the promo for the 3rd month</v>
      </c>
      <c r="F457" s="258" t="str">
        <f>IFERROR(__xludf.DUMMYFUNCTION("""COMPUTED_VALUE"""),"Derived")</f>
        <v>Derived</v>
      </c>
      <c r="G457" s="258" t="str">
        <f>IFERROR(__xludf.DUMMYFUNCTION("""COMPUTED_VALUE"""),"numeric(19,4)")</f>
        <v>numeric(19,4)</v>
      </c>
      <c r="H457" s="258">
        <f>IFERROR(__xludf.DUMMYFUNCTION("""COMPUTED_VALUE"""),525.1317)</f>
        <v>525.1317</v>
      </c>
      <c r="I457" s="258" t="str">
        <f>IFERROR(__xludf.DUMMYFUNCTION("""COMPUTED_VALUE"""),"MSH FVT")</f>
        <v>MSH FVT</v>
      </c>
      <c r="J457" s="258" t="str">
        <f>IFERROR(__xludf.DUMMYFUNCTION("""COMPUTED_VALUE"""),"Daily")</f>
        <v>Daily</v>
      </c>
      <c r="K457" s="258" t="str">
        <f>IFERROR(__xludf.DUMMYFUNCTION("""COMPUTED_VALUE"""),"")</f>
        <v/>
      </c>
      <c r="L457" s="258" t="str">
        <f>IFERROR(__xludf.DUMMYFUNCTION("""COMPUTED_VALUE"""),"WIRELINE, GLOBE")</f>
        <v>WIRELINE, GLOBE</v>
      </c>
      <c r="M457" s="258" t="str">
        <f>IFERROR(__xludf.DUMMYFUNCTION("""COMPUTED_VALUE"""),"Consumer")</f>
        <v>Consumer</v>
      </c>
      <c r="N457" s="258" t="str">
        <f>IFERROR(__xludf.DUMMYFUNCTION("""COMPUTED_VALUE"""),"availment")</f>
        <v>availment</v>
      </c>
      <c r="O457" s="258" t="str">
        <f>IFERROR(__xludf.DUMMYFUNCTION("""COMPUTED_VALUE"""),"availment_profile")</f>
        <v>availment_profile</v>
      </c>
      <c r="P457" s="258"/>
    </row>
    <row r="458">
      <c r="A458" s="257" t="str">
        <f>IFERROR(__xludf.DUMMYFUNCTION("""COMPUTED_VALUE"""),"inactive_avg_consec_days_last_90days")</f>
        <v>inactive_avg_consec_days_last_90days</v>
      </c>
      <c r="B458" s="258" t="str">
        <f>IFERROR(__xludf.DUMMYFUNCTION("""COMPUTED_VALUE"""),"Behavioral")</f>
        <v>Behavioral</v>
      </c>
      <c r="C458" s="258" t="str">
        <f>IFERROR(__xludf.DUMMYFUNCTION("""COMPUTED_VALUE"""),"Non-PII")</f>
        <v>Non-PII</v>
      </c>
      <c r="D458" s="258" t="str">
        <f>IFERROR(__xludf.DUMMYFUNCTION("""COMPUTED_VALUE"""),"Non-PII")</f>
        <v>Non-PII</v>
      </c>
      <c r="E458" s="258" t="str">
        <f>IFERROR(__xludf.DUMMYFUNCTION("""COMPUTED_VALUE"""),"Average value of the number of consecutive inactive days in last 3 months")</f>
        <v>Average value of the number of consecutive inactive days in last 3 months</v>
      </c>
      <c r="F458" s="258" t="str">
        <f>IFERROR(__xludf.DUMMYFUNCTION("""COMPUTED_VALUE"""),"Derived")</f>
        <v>Derived</v>
      </c>
      <c r="G458" s="258" t="str">
        <f>IFERROR(__xludf.DUMMYFUNCTION("""COMPUTED_VALUE"""),"numeric(21,2)")</f>
        <v>numeric(21,2)</v>
      </c>
      <c r="H458" s="258">
        <f>IFERROR(__xludf.DUMMYFUNCTION("""COMPUTED_VALUE"""),45.0)</f>
        <v>45</v>
      </c>
      <c r="I458" s="258" t="str">
        <f>IFERROR(__xludf.DUMMYFUNCTION("""COMPUTED_VALUE"""),"MSH FVT")</f>
        <v>MSH FVT</v>
      </c>
      <c r="J458" s="258" t="str">
        <f>IFERROR(__xludf.DUMMYFUNCTION("""COMPUTED_VALUE"""),"Daily")</f>
        <v>Daily</v>
      </c>
      <c r="K458" s="258" t="str">
        <f>IFERROR(__xludf.DUMMYFUNCTION("""COMPUTED_VALUE"""),"")</f>
        <v/>
      </c>
      <c r="L458" s="258" t="str">
        <f>IFERROR(__xludf.DUMMYFUNCTION("""COMPUTED_VALUE"""),"GHP, GHP-PREPAID, TM, PW, GOMO")</f>
        <v>GHP, GHP-PREPAID, TM, PW, GOMO</v>
      </c>
      <c r="M458" s="258" t="str">
        <f>IFERROR(__xludf.DUMMYFUNCTION("""COMPUTED_VALUE"""),"Consumer, EG, SG, In house, IBG Traveler")</f>
        <v>Consumer, EG, SG, In house, IBG Traveler</v>
      </c>
      <c r="N458" s="258" t="str">
        <f>IFERROR(__xludf.DUMMYFUNCTION("""COMPUTED_VALUE"""),"adjustment")</f>
        <v>adjustment</v>
      </c>
      <c r="O458" s="258" t="str">
        <f>IFERROR(__xludf.DUMMYFUNCTION("""COMPUTED_VALUE"""),"adjustment_profile")</f>
        <v>adjustment_profile</v>
      </c>
      <c r="P458" s="258"/>
    </row>
    <row r="459">
      <c r="A459" s="257" t="str">
        <f>IFERROR(__xludf.DUMMYFUNCTION("""COMPUTED_VALUE"""),"postpaid_current_gah_user_indicator")</f>
        <v>postpaid_current_gah_user_indicator</v>
      </c>
      <c r="B459" s="258" t="str">
        <f>IFERROR(__xludf.DUMMYFUNCTION("""COMPUTED_VALUE"""),"Behavioral")</f>
        <v>Behavioral</v>
      </c>
      <c r="C459" s="258" t="str">
        <f>IFERROR(__xludf.DUMMYFUNCTION("""COMPUTED_VALUE"""),"Non-PII")</f>
        <v>Non-PII</v>
      </c>
      <c r="D459" s="258" t="str">
        <f>IFERROR(__xludf.DUMMYFUNCTION("""COMPUTED_VALUE"""),"Non-PII")</f>
        <v>Non-PII</v>
      </c>
      <c r="E459" s="258" t="str">
        <f>IFERROR(__xludf.DUMMYFUNCTION("""COMPUTED_VALUE"""),"Indicator if a mobile subscriber has a broadband Globe at Home subscription.
TRUE -  If has broadband globe at home
FALSE -  If doesn’t have broadband globe at home")</f>
        <v>Indicator if a mobile subscriber has a broadband Globe at Home subscription.
TRUE -  If has broadband globe at home
FALSE -  If doesn’t have broadband globe at home</v>
      </c>
      <c r="F459" s="258" t="str">
        <f>IFERROR(__xludf.DUMMYFUNCTION("""COMPUTED_VALUE"""),"Derived")</f>
        <v>Derived</v>
      </c>
      <c r="G459" s="258" t="str">
        <f>IFERROR(__xludf.DUMMYFUNCTION("""COMPUTED_VALUE"""),"boolean")</f>
        <v>boolean</v>
      </c>
      <c r="H459" s="258" t="b">
        <f>IFERROR(__xludf.DUMMYFUNCTION("""COMPUTED_VALUE"""),TRUE)</f>
        <v>1</v>
      </c>
      <c r="I459" s="258" t="str">
        <f>IFERROR(__xludf.DUMMYFUNCTION("""COMPUTED_VALUE"""),"MSH FVT")</f>
        <v>MSH FVT</v>
      </c>
      <c r="J459" s="258" t="str">
        <f>IFERROR(__xludf.DUMMYFUNCTION("""COMPUTED_VALUE"""),"Daily")</f>
        <v>Daily</v>
      </c>
      <c r="K459" s="258" t="str">
        <f>IFERROR(__xludf.DUMMYFUNCTION("""COMPUTED_VALUE"""),"")</f>
        <v/>
      </c>
      <c r="L459" s="258" t="str">
        <f>IFERROR(__xludf.DUMMYFUNCTION("""COMPUTED_VALUE"""),"GHP")</f>
        <v>GHP</v>
      </c>
      <c r="M459" s="258" t="str">
        <f>IFERROR(__xludf.DUMMYFUNCTION("""COMPUTED_VALUE"""),"Consumer")</f>
        <v>Consumer</v>
      </c>
      <c r="N459" s="258" t="str">
        <f>IFERROR(__xludf.DUMMYFUNCTION("""COMPUTED_VALUE"""),"customer")</f>
        <v>customer</v>
      </c>
      <c r="O459" s="258" t="str">
        <f>IFERROR(__xludf.DUMMYFUNCTION("""COMPUTED_VALUE"""),"customer_profile")</f>
        <v>customer_profile</v>
      </c>
      <c r="P459" s="258"/>
    </row>
    <row r="460">
      <c r="A460" s="257" t="str">
        <f>IFERROR(__xludf.DUMMYFUNCTION("""COMPUTED_VALUE"""),"usage_data_promo_latest_mb_past_90days")</f>
        <v>usage_data_promo_latest_mb_past_90days</v>
      </c>
      <c r="B460" s="258" t="str">
        <f>IFERROR(__xludf.DUMMYFUNCTION("""COMPUTED_VALUE"""),"Behavioral")</f>
        <v>Behavioral</v>
      </c>
      <c r="C460" s="258" t="str">
        <f>IFERROR(__xludf.DUMMYFUNCTION("""COMPUTED_VALUE"""),"Non-PII")</f>
        <v>Non-PII</v>
      </c>
      <c r="D460" s="258" t="str">
        <f>IFERROR(__xludf.DUMMYFUNCTION("""COMPUTED_VALUE"""),"Non-PII")</f>
        <v>Non-PII</v>
      </c>
      <c r="E460" s="258" t="str">
        <f>IFERROR(__xludf.DUMMYFUNCTION("""COMPUTED_VALUE"""),"Latest total volume of data promo usage in megabytes for the past 90 days")</f>
        <v>Latest total volume of data promo usage in megabytes for the past 90 days</v>
      </c>
      <c r="F460" s="258" t="str">
        <f>IFERROR(__xludf.DUMMYFUNCTION("""COMPUTED_VALUE"""),"Derived")</f>
        <v>Derived</v>
      </c>
      <c r="G460" s="258" t="str">
        <f>IFERROR(__xludf.DUMMYFUNCTION("""COMPUTED_VALUE"""),"numeric(19,4)")</f>
        <v>numeric(19,4)</v>
      </c>
      <c r="H460" s="258">
        <f>IFERROR(__xludf.DUMMYFUNCTION("""COMPUTED_VALUE"""),525.1317)</f>
        <v>525.1317</v>
      </c>
      <c r="I460" s="258" t="str">
        <f>IFERROR(__xludf.DUMMYFUNCTION("""COMPUTED_VALUE"""),"MSH FVT")</f>
        <v>MSH FVT</v>
      </c>
      <c r="J460" s="258" t="str">
        <f>IFERROR(__xludf.DUMMYFUNCTION("""COMPUTED_VALUE"""),"Daily")</f>
        <v>Daily</v>
      </c>
      <c r="K460" s="258" t="str">
        <f>IFERROR(__xludf.DUMMYFUNCTION("""COMPUTED_VALUE"""),"")</f>
        <v/>
      </c>
      <c r="L460" s="258" t="str">
        <f>IFERROR(__xludf.DUMMYFUNCTION("""COMPUTED_VALUE"""),"GHP, GHP-PREPAID, TM, PW, GOMO")</f>
        <v>GHP, GHP-PREPAID, TM, PW, GOMO</v>
      </c>
      <c r="M460" s="258" t="str">
        <f>IFERROR(__xludf.DUMMYFUNCTION("""COMPUTED_VALUE"""),"Consumer, EG, SG, In house, IBG Traveler")</f>
        <v>Consumer, EG, SG, In house, IBG Traveler</v>
      </c>
      <c r="N460" s="258" t="str">
        <f>IFERROR(__xludf.DUMMYFUNCTION("""COMPUTED_VALUE"""),"usage")</f>
        <v>usage</v>
      </c>
      <c r="O460" s="258" t="str">
        <f>IFERROR(__xludf.DUMMYFUNCTION("""COMPUTED_VALUE"""),"usage_profile")</f>
        <v>usage_profile</v>
      </c>
      <c r="P460" s="258"/>
    </row>
    <row r="461">
      <c r="A461" s="257" t="str">
        <f>IFERROR(__xludf.DUMMYFUNCTION("""COMPUTED_VALUE"""),"inactive_max_consec_days_past_90days")</f>
        <v>inactive_max_consec_days_past_90days</v>
      </c>
      <c r="B461" s="258" t="str">
        <f>IFERROR(__xludf.DUMMYFUNCTION("""COMPUTED_VALUE"""),"Behavioral")</f>
        <v>Behavioral</v>
      </c>
      <c r="C461" s="258" t="str">
        <f>IFERROR(__xludf.DUMMYFUNCTION("""COMPUTED_VALUE"""),"Non-PII")</f>
        <v>Non-PII</v>
      </c>
      <c r="D461" s="258" t="str">
        <f>IFERROR(__xludf.DUMMYFUNCTION("""COMPUTED_VALUE"""),"Non-PII")</f>
        <v>Non-PII</v>
      </c>
      <c r="E461" s="258" t="str">
        <f>IFERROR(__xludf.DUMMYFUNCTION("""COMPUTED_VALUE"""),"Maximum consecutive number of days the Subscriber was inactive for the past 90 days. This includes outbound usage and top-up activities.")</f>
        <v>Maximum consecutive number of days the Subscriber was inactive for the past 90 days. This includes outbound usage and top-up activities.</v>
      </c>
      <c r="F461" s="258" t="str">
        <f>IFERROR(__xludf.DUMMYFUNCTION("""COMPUTED_VALUE"""),"Derived")</f>
        <v>Derived</v>
      </c>
      <c r="G461" s="258" t="str">
        <f>IFERROR(__xludf.DUMMYFUNCTION("""COMPUTED_VALUE"""),"integer")</f>
        <v>integer</v>
      </c>
      <c r="H461" s="258">
        <f>IFERROR(__xludf.DUMMYFUNCTION("""COMPUTED_VALUE"""),26.0)</f>
        <v>26</v>
      </c>
      <c r="I461" s="258" t="str">
        <f>IFERROR(__xludf.DUMMYFUNCTION("""COMPUTED_VALUE"""),"MSH I FVT")</f>
        <v>MSH I FVT</v>
      </c>
      <c r="J461" s="258" t="str">
        <f>IFERROR(__xludf.DUMMYFUNCTION("""COMPUTED_VALUE"""),"Daily")</f>
        <v>Daily</v>
      </c>
      <c r="K461" s="258" t="str">
        <f>IFERROR(__xludf.DUMMYFUNCTION("""COMPUTED_VALUE"""),"")</f>
        <v/>
      </c>
      <c r="L461" s="258" t="str">
        <f>IFERROR(__xludf.DUMMYFUNCTION("""COMPUTED_VALUE"""),"GHP, GHP-PREPAID, TM, PW, GOMO")</f>
        <v>GHP, GHP-PREPAID, TM, PW, GOMO</v>
      </c>
      <c r="M461" s="258" t="str">
        <f>IFERROR(__xludf.DUMMYFUNCTION("""COMPUTED_VALUE"""),"Consumer, EG, SG, In house, IBG Traveler")</f>
        <v>Consumer, EG, SG, In house, IBG Traveler</v>
      </c>
      <c r="N461" s="258" t="str">
        <f>IFERROR(__xludf.DUMMYFUNCTION("""COMPUTED_VALUE"""),"adjustment")</f>
        <v>adjustment</v>
      </c>
      <c r="O461" s="258" t="str">
        <f>IFERROR(__xludf.DUMMYFUNCTION("""COMPUTED_VALUE"""),"adjustment_profile")</f>
        <v>adjustment_profile</v>
      </c>
      <c r="P461" s="258"/>
    </row>
    <row r="462">
      <c r="A462" s="257" t="str">
        <f>IFERROR(__xludf.DUMMYFUNCTION("""COMPUTED_VALUE"""),"inactive_min_consec_days_past_90days")</f>
        <v>inactive_min_consec_days_past_90days</v>
      </c>
      <c r="B462" s="258" t="str">
        <f>IFERROR(__xludf.DUMMYFUNCTION("""COMPUTED_VALUE"""),"Behavioral")</f>
        <v>Behavioral</v>
      </c>
      <c r="C462" s="258" t="str">
        <f>IFERROR(__xludf.DUMMYFUNCTION("""COMPUTED_VALUE"""),"Non-PII")</f>
        <v>Non-PII</v>
      </c>
      <c r="D462" s="258" t="str">
        <f>IFERROR(__xludf.DUMMYFUNCTION("""COMPUTED_VALUE"""),"Non-PII")</f>
        <v>Non-PII</v>
      </c>
      <c r="E462" s="258" t="str">
        <f>IFERROR(__xludf.DUMMYFUNCTION("""COMPUTED_VALUE"""),"Minimum consecutive number of days the Subscriber was inactive for the past 90 days. This includes outbound usage and top-up activities.")</f>
        <v>Minimum consecutive number of days the Subscriber was inactive for the past 90 days. This includes outbound usage and top-up activities.</v>
      </c>
      <c r="F462" s="258" t="str">
        <f>IFERROR(__xludf.DUMMYFUNCTION("""COMPUTED_VALUE"""),"Derived")</f>
        <v>Derived</v>
      </c>
      <c r="G462" s="258" t="str">
        <f>IFERROR(__xludf.DUMMYFUNCTION("""COMPUTED_VALUE"""),"integer")</f>
        <v>integer</v>
      </c>
      <c r="H462" s="258">
        <f>IFERROR(__xludf.DUMMYFUNCTION("""COMPUTED_VALUE"""),26.0)</f>
        <v>26</v>
      </c>
      <c r="I462" s="258" t="str">
        <f>IFERROR(__xludf.DUMMYFUNCTION("""COMPUTED_VALUE"""),"MSH I FVT")</f>
        <v>MSH I FVT</v>
      </c>
      <c r="J462" s="258" t="str">
        <f>IFERROR(__xludf.DUMMYFUNCTION("""COMPUTED_VALUE"""),"Daily")</f>
        <v>Daily</v>
      </c>
      <c r="K462" s="258" t="str">
        <f>IFERROR(__xludf.DUMMYFUNCTION("""COMPUTED_VALUE"""),"")</f>
        <v/>
      </c>
      <c r="L462" s="258" t="str">
        <f>IFERROR(__xludf.DUMMYFUNCTION("""COMPUTED_VALUE"""),"GHP, GHP-PREPAID, TM, PW, GOMO")</f>
        <v>GHP, GHP-PREPAID, TM, PW, GOMO</v>
      </c>
      <c r="M462" s="258" t="str">
        <f>IFERROR(__xludf.DUMMYFUNCTION("""COMPUTED_VALUE"""),"Consumer, EG, SG, In house, IBG Traveler")</f>
        <v>Consumer, EG, SG, In house, IBG Traveler</v>
      </c>
      <c r="N462" s="258" t="str">
        <f>IFERROR(__xludf.DUMMYFUNCTION("""COMPUTED_VALUE"""),"adjustment")</f>
        <v>adjustment</v>
      </c>
      <c r="O462" s="258" t="str">
        <f>IFERROR(__xludf.DUMMYFUNCTION("""COMPUTED_VALUE"""),"adjustment_profile")</f>
        <v>adjustment_profile</v>
      </c>
      <c r="P462" s="258"/>
    </row>
    <row r="463">
      <c r="A463" s="257" t="str">
        <f>IFERROR(__xludf.DUMMYFUNCTION("""COMPUTED_VALUE"""),"usage_data_active_days_past_30days")</f>
        <v>usage_data_active_days_past_30days</v>
      </c>
      <c r="B463" s="258" t="str">
        <f>IFERROR(__xludf.DUMMYFUNCTION("""COMPUTED_VALUE"""),"Behavioral")</f>
        <v>Behavioral</v>
      </c>
      <c r="C463" s="258" t="str">
        <f>IFERROR(__xludf.DUMMYFUNCTION("""COMPUTED_VALUE"""),"Non-PII")</f>
        <v>Non-PII</v>
      </c>
      <c r="D463" s="258" t="str">
        <f>IFERROR(__xludf.DUMMYFUNCTION("""COMPUTED_VALUE"""),"Non-PII")</f>
        <v>Non-PII</v>
      </c>
      <c r="E463" s="258" t="str">
        <f>IFERROR(__xludf.DUMMYFUNCTION("""COMPUTED_VALUE"""),"Number of days with data usage transaction for the past 30 days")</f>
        <v>Number of days with data usage transaction for the past 30 days</v>
      </c>
      <c r="F463" s="258" t="str">
        <f>IFERROR(__xludf.DUMMYFUNCTION("""COMPUTED_VALUE"""),"Derived")</f>
        <v>Derived</v>
      </c>
      <c r="G463" s="258" t="str">
        <f>IFERROR(__xludf.DUMMYFUNCTION("""COMPUTED_VALUE"""),"integer")</f>
        <v>integer</v>
      </c>
      <c r="H463" s="258">
        <f>IFERROR(__xludf.DUMMYFUNCTION("""COMPUTED_VALUE"""),10.0)</f>
        <v>10</v>
      </c>
      <c r="I463" s="258" t="str">
        <f>IFERROR(__xludf.DUMMYFUNCTION("""COMPUTED_VALUE"""),"MSH I FVT")</f>
        <v>MSH I FVT</v>
      </c>
      <c r="J463" s="258" t="str">
        <f>IFERROR(__xludf.DUMMYFUNCTION("""COMPUTED_VALUE"""),"Daily")</f>
        <v>Daily</v>
      </c>
      <c r="K463" s="258" t="str">
        <f>IFERROR(__xludf.DUMMYFUNCTION("""COMPUTED_VALUE"""),"")</f>
        <v/>
      </c>
      <c r="L463" s="258" t="str">
        <f>IFERROR(__xludf.DUMMYFUNCTION("""COMPUTED_VALUE"""),"GHP, GHP-PREPAID, TM, PW, GOMO")</f>
        <v>GHP, GHP-PREPAID, TM, PW, GOMO</v>
      </c>
      <c r="M463" s="258" t="str">
        <f>IFERROR(__xludf.DUMMYFUNCTION("""COMPUTED_VALUE"""),"Consumer, EG, SG, In house, IBG Traveler")</f>
        <v>Consumer, EG, SG, In house, IBG Traveler</v>
      </c>
      <c r="N463" s="258" t="str">
        <f>IFERROR(__xludf.DUMMYFUNCTION("""COMPUTED_VALUE"""),"usage")</f>
        <v>usage</v>
      </c>
      <c r="O463" s="258" t="str">
        <f>IFERROR(__xludf.DUMMYFUNCTION("""COMPUTED_VALUE"""),"usage_profile")</f>
        <v>usage_profile</v>
      </c>
      <c r="P463" s="258"/>
    </row>
    <row r="464">
      <c r="A464" s="257" t="str">
        <f>IFERROR(__xludf.DUMMYFUNCTION("""COMPUTED_VALUE"""),"usage_data_active_days_past_90days")</f>
        <v>usage_data_active_days_past_90days</v>
      </c>
      <c r="B464" s="258" t="str">
        <f>IFERROR(__xludf.DUMMYFUNCTION("""COMPUTED_VALUE"""),"Behavioral")</f>
        <v>Behavioral</v>
      </c>
      <c r="C464" s="258" t="str">
        <f>IFERROR(__xludf.DUMMYFUNCTION("""COMPUTED_VALUE"""),"Non-PII")</f>
        <v>Non-PII</v>
      </c>
      <c r="D464" s="258" t="str">
        <f>IFERROR(__xludf.DUMMYFUNCTION("""COMPUTED_VALUE"""),"Non-PII")</f>
        <v>Non-PII</v>
      </c>
      <c r="E464" s="258" t="str">
        <f>IFERROR(__xludf.DUMMYFUNCTION("""COMPUTED_VALUE"""),"Number of days with data usage transactions for the past 90 days")</f>
        <v>Number of days with data usage transactions for the past 90 days</v>
      </c>
      <c r="F464" s="258" t="str">
        <f>IFERROR(__xludf.DUMMYFUNCTION("""COMPUTED_VALUE"""),"Derived")</f>
        <v>Derived</v>
      </c>
      <c r="G464" s="258" t="str">
        <f>IFERROR(__xludf.DUMMYFUNCTION("""COMPUTED_VALUE"""),"integer")</f>
        <v>integer</v>
      </c>
      <c r="H464" s="258">
        <f>IFERROR(__xludf.DUMMYFUNCTION("""COMPUTED_VALUE"""),10.0)</f>
        <v>10</v>
      </c>
      <c r="I464" s="258" t="str">
        <f>IFERROR(__xludf.DUMMYFUNCTION("""COMPUTED_VALUE"""),"MSH I FVT")</f>
        <v>MSH I FVT</v>
      </c>
      <c r="J464" s="258" t="str">
        <f>IFERROR(__xludf.DUMMYFUNCTION("""COMPUTED_VALUE"""),"Daily")</f>
        <v>Daily</v>
      </c>
      <c r="K464" s="258" t="str">
        <f>IFERROR(__xludf.DUMMYFUNCTION("""COMPUTED_VALUE"""),"")</f>
        <v/>
      </c>
      <c r="L464" s="258" t="str">
        <f>IFERROR(__xludf.DUMMYFUNCTION("""COMPUTED_VALUE"""),"GHP, GHP-PREPAID, TM, PW, GOMO")</f>
        <v>GHP, GHP-PREPAID, TM, PW, GOMO</v>
      </c>
      <c r="M464" s="258" t="str">
        <f>IFERROR(__xludf.DUMMYFUNCTION("""COMPUTED_VALUE"""),"Consumer, EG, SG, In house, IBG Traveler")</f>
        <v>Consumer, EG, SG, In house, IBG Traveler</v>
      </c>
      <c r="N464" s="258" t="str">
        <f>IFERROR(__xludf.DUMMYFUNCTION("""COMPUTED_VALUE"""),"usage")</f>
        <v>usage</v>
      </c>
      <c r="O464" s="258" t="str">
        <f>IFERROR(__xludf.DUMMYFUNCTION("""COMPUTED_VALUE"""),"usage_profile")</f>
        <v>usage_profile</v>
      </c>
      <c r="P464" s="258"/>
    </row>
    <row r="465">
      <c r="A465" s="257" t="str">
        <f>IFERROR(__xludf.DUMMYFUNCTION("""COMPUTED_VALUE"""),"monthly_installment_oc")</f>
        <v>monthly_installment_oc</v>
      </c>
      <c r="B465" s="258" t="str">
        <f>IFERROR(__xludf.DUMMYFUNCTION("""COMPUTED_VALUE"""),"Profitability")</f>
        <v>Profitability</v>
      </c>
      <c r="C465" s="258" t="str">
        <f>IFERROR(__xludf.DUMMYFUNCTION("""COMPUTED_VALUE"""),"Non-PII")</f>
        <v>Non-PII</v>
      </c>
      <c r="D465" s="258" t="str">
        <f>IFERROR(__xludf.DUMMYFUNCTION("""COMPUTED_VALUE"""),"Non-PII")</f>
        <v>Non-PII</v>
      </c>
      <c r="E465" s="258" t="str">
        <f>IFERROR(__xludf.DUMMYFUNCTION("""COMPUTED_VALUE"""),"Amount if customer is paying anything other than MSF and usage. Like phone or device. Data latency is day-15.")</f>
        <v>Amount if customer is paying anything other than MSF and usage. Like phone or device. Data latency is day-15.</v>
      </c>
      <c r="F465" s="258" t="str">
        <f>IFERROR(__xludf.DUMMYFUNCTION("""COMPUTED_VALUE"""),"Derived")</f>
        <v>Derived</v>
      </c>
      <c r="G465" s="258" t="str">
        <f>IFERROR(__xludf.DUMMYFUNCTION("""COMPUTED_VALUE"""),"integer")</f>
        <v>integer</v>
      </c>
      <c r="H465" s="258">
        <f>IFERROR(__xludf.DUMMYFUNCTION("""COMPUTED_VALUE"""),112.0)</f>
        <v>112</v>
      </c>
      <c r="I465" s="258" t="str">
        <f>IFERROR(__xludf.DUMMYFUNCTION("""COMPUTED_VALUE"""),"MSH I FVT")</f>
        <v>MSH I FVT</v>
      </c>
      <c r="J465" s="258" t="str">
        <f>IFERROR(__xludf.DUMMYFUNCTION("""COMPUTED_VALUE"""),"Monthly")</f>
        <v>Monthly</v>
      </c>
      <c r="K465" s="258" t="str">
        <f>IFERROR(__xludf.DUMMYFUNCTION("""COMPUTED_VALUE"""),"")</f>
        <v/>
      </c>
      <c r="L465" s="258" t="str">
        <f>IFERROR(__xludf.DUMMYFUNCTION("""COMPUTED_VALUE"""),"GHP, WIRELINE")</f>
        <v>GHP, WIRELINE</v>
      </c>
      <c r="M465" s="258" t="str">
        <f>IFERROR(__xludf.DUMMYFUNCTION("""COMPUTED_VALUE"""),"Consumer, EG, SG")</f>
        <v>Consumer, EG, SG</v>
      </c>
      <c r="N465" s="258" t="str">
        <f>IFERROR(__xludf.DUMMYFUNCTION("""COMPUTED_VALUE"""),"invoice")</f>
        <v>invoice</v>
      </c>
      <c r="O465" s="258" t="str">
        <f>IFERROR(__xludf.DUMMYFUNCTION("""COMPUTED_VALUE"""),"invoice_profile")</f>
        <v>invoice_profile</v>
      </c>
      <c r="P465" s="258"/>
    </row>
    <row r="466">
      <c r="A466" s="257" t="str">
        <f>IFERROR(__xludf.DUMMYFUNCTION("""COMPUTED_VALUE"""),"billing_cycle_code")</f>
        <v>billing_cycle_code</v>
      </c>
      <c r="B466" s="258" t="str">
        <f>IFERROR(__xludf.DUMMYFUNCTION("""COMPUTED_VALUE"""),"Globe ID")</f>
        <v>Globe ID</v>
      </c>
      <c r="C466" s="258" t="str">
        <f>IFERROR(__xludf.DUMMYFUNCTION("""COMPUTED_VALUE"""),"Non-PII")</f>
        <v>Non-PII</v>
      </c>
      <c r="D466" s="258" t="str">
        <f>IFERROR(__xludf.DUMMYFUNCTION("""COMPUTED_VALUE"""),"Non-PII")</f>
        <v>Non-PII</v>
      </c>
      <c r="E466" s="258" t="str">
        <f>IFERROR(__xludf.DUMMYFUNCTION("""COMPUTED_VALUE"""),"Bill cycle day of the account")</f>
        <v>Bill cycle day of the account</v>
      </c>
      <c r="F466" s="258" t="str">
        <f>IFERROR(__xludf.DUMMYFUNCTION("""COMPUTED_VALUE"""),"Derived")</f>
        <v>Derived</v>
      </c>
      <c r="G466" s="258" t="str">
        <f>IFERROR(__xludf.DUMMYFUNCTION("""COMPUTED_VALUE"""),"integer")</f>
        <v>integer</v>
      </c>
      <c r="H466" s="258">
        <f>IFERROR(__xludf.DUMMYFUNCTION("""COMPUTED_VALUE"""),10.0)</f>
        <v>10</v>
      </c>
      <c r="I466" s="258" t="str">
        <f>IFERROR(__xludf.DUMMYFUNCTION("""COMPUTED_VALUE"""),"MSH I FVT")</f>
        <v>MSH I FVT</v>
      </c>
      <c r="J466" s="258" t="str">
        <f>IFERROR(__xludf.DUMMYFUNCTION("""COMPUTED_VALUE"""),"Daily")</f>
        <v>Daily</v>
      </c>
      <c r="K466" s="258" t="str">
        <f>IFERROR(__xludf.DUMMYFUNCTION("""COMPUTED_VALUE"""),"")</f>
        <v/>
      </c>
      <c r="L466" s="258" t="str">
        <f>IFERROR(__xludf.DUMMYFUNCTION("""COMPUTED_VALUE"""),"GHP, WIRELINE")</f>
        <v>GHP, WIRELINE</v>
      </c>
      <c r="M466" s="258" t="str">
        <f>IFERROR(__xludf.DUMMYFUNCTION("""COMPUTED_VALUE"""),"Consumer, EG, SG, In house")</f>
        <v>Consumer, EG, SG, In house</v>
      </c>
      <c r="N466" s="258" t="str">
        <f>IFERROR(__xludf.DUMMYFUNCTION("""COMPUTED_VALUE"""),"financial_account")</f>
        <v>financial_account</v>
      </c>
      <c r="O466" s="258" t="str">
        <f>IFERROR(__xludf.DUMMYFUNCTION("""COMPUTED_VALUE"""),"financial_account_profile")</f>
        <v>financial_account_profile</v>
      </c>
      <c r="P466" s="258"/>
    </row>
    <row r="467">
      <c r="A467" s="257" t="str">
        <f>IFERROR(__xludf.DUMMYFUNCTION("""COMPUTED_VALUE"""),"usage_data_delta_30days_60days_percent")</f>
        <v>usage_data_delta_30days_60days_percent</v>
      </c>
      <c r="B467" s="258" t="str">
        <f>IFERROR(__xludf.DUMMYFUNCTION("""COMPUTED_VALUE"""),"Behavioral")</f>
        <v>Behavioral</v>
      </c>
      <c r="C467" s="258" t="str">
        <f>IFERROR(__xludf.DUMMYFUNCTION("""COMPUTED_VALUE"""),"Non-PII")</f>
        <v>Non-PII</v>
      </c>
      <c r="D467" s="258" t="str">
        <f>IFERROR(__xludf.DUMMYFUNCTION("""COMPUTED_VALUE"""),"Non-PII")</f>
        <v>Non-PII</v>
      </c>
      <c r="E467" s="258" t="str">
        <f>IFERROR(__xludf.DUMMYFUNCTION("""COMPUTED_VALUE"""),"Relative change in the total data usage from the past 30 days over the past 60 days
  rolling30 = r30 = rolling 30 days data usage
  rolling60 = r60 = rolling 60 days data usage
  formula: 100-((r30/r60)*100)
  ex.
  r30=1000mb
  r60=3000mb
  delta_"&amp;"decline=100-((1000/3000)*100)
  delta_decline=66.67%
  delta_decline=((1000/(3000/2)-1)*100)
  delta_decline=33.33%
  notes:
  negative % value indicate subs recent 30 days usage declines compared to 60days usage.
  positive % values indicate subs r"&amp;"ecent 30days usage increased compared to 60days usage")</f>
        <v>Relative change in the total data usage from the past 30 days over the past 60 days
  rolling30 = r30 = rolling 30 days data usage
  rolling60 = r60 = rolling 60 days data usage
  formula: 100-((r30/r60)*100)
  ex.
  r30=1000mb
  r60=3000mb
  delta_decline=100-((1000/3000)*100)
  delta_decline=66.67%
  delta_decline=((1000/(3000/2)-1)*100)
  delta_decline=33.33%
  notes:
  negative % value indicate subs recent 30 days usage declines compared to 60days usage.
  positive % values indicate subs recent 30days usage increased compared to 60days usage</v>
      </c>
      <c r="F467" s="258" t="str">
        <f>IFERROR(__xludf.DUMMYFUNCTION("""COMPUTED_VALUE"""),"Derived")</f>
        <v>Derived</v>
      </c>
      <c r="G467" s="258" t="str">
        <f>IFERROR(__xludf.DUMMYFUNCTION("""COMPUTED_VALUE"""),"numeric(21,2)")</f>
        <v>numeric(21,2)</v>
      </c>
      <c r="H467" s="258">
        <f>IFERROR(__xludf.DUMMYFUNCTION("""COMPUTED_VALUE"""),14.64)</f>
        <v>14.64</v>
      </c>
      <c r="I467" s="258" t="str">
        <f>IFERROR(__xludf.DUMMYFUNCTION("""COMPUTED_VALUE"""),"MSH I FVT")</f>
        <v>MSH I FVT</v>
      </c>
      <c r="J467" s="258" t="str">
        <f>IFERROR(__xludf.DUMMYFUNCTION("""COMPUTED_VALUE"""),"Daily")</f>
        <v>Daily</v>
      </c>
      <c r="K467" s="258" t="str">
        <f>IFERROR(__xludf.DUMMYFUNCTION("""COMPUTED_VALUE"""),"")</f>
        <v/>
      </c>
      <c r="L467" s="258" t="str">
        <f>IFERROR(__xludf.DUMMYFUNCTION("""COMPUTED_VALUE"""),"GHP, GHP-PREPAID, TM, PW, GOMO")</f>
        <v>GHP, GHP-PREPAID, TM, PW, GOMO</v>
      </c>
      <c r="M467" s="258" t="str">
        <f>IFERROR(__xludf.DUMMYFUNCTION("""COMPUTED_VALUE"""),"Consumer, EG, SG, In house, IBG Traveler")</f>
        <v>Consumer, EG, SG, In house, IBG Traveler</v>
      </c>
      <c r="N467" s="258" t="str">
        <f>IFERROR(__xludf.DUMMYFUNCTION("""COMPUTED_VALUE"""),"usage")</f>
        <v>usage</v>
      </c>
      <c r="O467" s="258" t="str">
        <f>IFERROR(__xludf.DUMMYFUNCTION("""COMPUTED_VALUE"""),"usage_profile")</f>
        <v>usage_profile</v>
      </c>
      <c r="P467" s="258"/>
    </row>
    <row r="468">
      <c r="A468" s="257" t="str">
        <f>IFERROR(__xludf.DUMMYFUNCTION("""COMPUTED_VALUE"""),"usage_sms_roaming_ppu_amount_past_90days")</f>
        <v>usage_sms_roaming_ppu_amount_past_90days</v>
      </c>
      <c r="B468" s="258" t="str">
        <f>IFERROR(__xludf.DUMMYFUNCTION("""COMPUTED_VALUE"""),"Behavioral")</f>
        <v>Behavioral</v>
      </c>
      <c r="C468" s="258" t="str">
        <f>IFERROR(__xludf.DUMMYFUNCTION("""COMPUTED_VALUE"""),"Non-PII")</f>
        <v>Non-PII</v>
      </c>
      <c r="D468" s="258" t="str">
        <f>IFERROR(__xludf.DUMMYFUNCTION("""COMPUTED_VALUE"""),"Non-PII")</f>
        <v>Non-PII</v>
      </c>
      <c r="E468" s="258" t="str">
        <f>IFERROR(__xludf.DUMMYFUNCTION("""COMPUTED_VALUE"""),"Total charge amount for Pay-Per-Use (PPU) SMS roaming usage for the past 90 days")</f>
        <v>Total charge amount for Pay-Per-Use (PPU) SMS roaming usage for the past 90 days</v>
      </c>
      <c r="F468" s="258" t="str">
        <f>IFERROR(__xludf.DUMMYFUNCTION("""COMPUTED_VALUE"""),"Derived")</f>
        <v>Derived</v>
      </c>
      <c r="G468" s="258" t="str">
        <f>IFERROR(__xludf.DUMMYFUNCTION("""COMPUTED_VALUE"""),"numeric(21,2)")</f>
        <v>numeric(21,2)</v>
      </c>
      <c r="H468" s="258">
        <f>IFERROR(__xludf.DUMMYFUNCTION("""COMPUTED_VALUE"""),280.0)</f>
        <v>280</v>
      </c>
      <c r="I468" s="258" t="str">
        <f>IFERROR(__xludf.DUMMYFUNCTION("""COMPUTED_VALUE"""),"SG")</f>
        <v>SG</v>
      </c>
      <c r="J468" s="258" t="str">
        <f>IFERROR(__xludf.DUMMYFUNCTION("""COMPUTED_VALUE"""),"Daily")</f>
        <v>Daily</v>
      </c>
      <c r="K468" s="258" t="str">
        <f>IFERROR(__xludf.DUMMYFUNCTION("""COMPUTED_VALUE"""),"")</f>
        <v/>
      </c>
      <c r="L468" s="258" t="str">
        <f>IFERROR(__xludf.DUMMYFUNCTION("""COMPUTED_VALUE"""),"GHP, GHP-PREPAID, TM")</f>
        <v>GHP, GHP-PREPAID, TM</v>
      </c>
      <c r="M468" s="258" t="str">
        <f>IFERROR(__xludf.DUMMYFUNCTION("""COMPUTED_VALUE"""),"Consumer, EG, SG, In house, IBG Traveler")</f>
        <v>Consumer, EG, SG, In house, IBG Traveler</v>
      </c>
      <c r="N468" s="258" t="str">
        <f>IFERROR(__xludf.DUMMYFUNCTION("""COMPUTED_VALUE"""),"usage")</f>
        <v>usage</v>
      </c>
      <c r="O468" s="258" t="str">
        <f>IFERROR(__xludf.DUMMYFUNCTION("""COMPUTED_VALUE"""),"usage_profile")</f>
        <v>usage_profile</v>
      </c>
      <c r="P468" s="258"/>
    </row>
    <row r="469">
      <c r="A469" s="257" t="str">
        <f>IFERROR(__xludf.DUMMYFUNCTION("""COMPUTED_VALUE"""),"usage_voice_roaming_ppu_amount_past_90days")</f>
        <v>usage_voice_roaming_ppu_amount_past_90days</v>
      </c>
      <c r="B469" s="258" t="str">
        <f>IFERROR(__xludf.DUMMYFUNCTION("""COMPUTED_VALUE"""),"Behavioral")</f>
        <v>Behavioral</v>
      </c>
      <c r="C469" s="258" t="str">
        <f>IFERROR(__xludf.DUMMYFUNCTION("""COMPUTED_VALUE"""),"Non-PII")</f>
        <v>Non-PII</v>
      </c>
      <c r="D469" s="258" t="str">
        <f>IFERROR(__xludf.DUMMYFUNCTION("""COMPUTED_VALUE"""),"Non-PII")</f>
        <v>Non-PII</v>
      </c>
      <c r="E469" s="258" t="str">
        <f>IFERROR(__xludf.DUMMYFUNCTION("""COMPUTED_VALUE"""),"Total charge amount for Pay-Per-Use (PPU) voice roaming calls for the past 90 days")</f>
        <v>Total charge amount for Pay-Per-Use (PPU) voice roaming calls for the past 90 days</v>
      </c>
      <c r="F469" s="258" t="str">
        <f>IFERROR(__xludf.DUMMYFUNCTION("""COMPUTED_VALUE"""),"Derived")</f>
        <v>Derived</v>
      </c>
      <c r="G469" s="258" t="str">
        <f>IFERROR(__xludf.DUMMYFUNCTION("""COMPUTED_VALUE"""),"numeric(21,2)")</f>
        <v>numeric(21,2)</v>
      </c>
      <c r="H469" s="258">
        <f>IFERROR(__xludf.DUMMYFUNCTION("""COMPUTED_VALUE"""),180.0)</f>
        <v>180</v>
      </c>
      <c r="I469" s="258" t="str">
        <f>IFERROR(__xludf.DUMMYFUNCTION("""COMPUTED_VALUE"""),"SG")</f>
        <v>SG</v>
      </c>
      <c r="J469" s="258" t="str">
        <f>IFERROR(__xludf.DUMMYFUNCTION("""COMPUTED_VALUE"""),"Daily")</f>
        <v>Daily</v>
      </c>
      <c r="K469" s="258" t="str">
        <f>IFERROR(__xludf.DUMMYFUNCTION("""COMPUTED_VALUE"""),"")</f>
        <v/>
      </c>
      <c r="L469" s="258" t="str">
        <f>IFERROR(__xludf.DUMMYFUNCTION("""COMPUTED_VALUE"""),"GHP, GHP-PREPAID, TM")</f>
        <v>GHP, GHP-PREPAID, TM</v>
      </c>
      <c r="M469" s="258" t="str">
        <f>IFERROR(__xludf.DUMMYFUNCTION("""COMPUTED_VALUE"""),"Consumer, EG, SG, In house, IBG Traveler")</f>
        <v>Consumer, EG, SG, In house, IBG Traveler</v>
      </c>
      <c r="N469" s="258" t="str">
        <f>IFERROR(__xludf.DUMMYFUNCTION("""COMPUTED_VALUE"""),"usage")</f>
        <v>usage</v>
      </c>
      <c r="O469" s="258" t="str">
        <f>IFERROR(__xludf.DUMMYFUNCTION("""COMPUTED_VALUE"""),"usage_profile")</f>
        <v>usage_profile</v>
      </c>
      <c r="P469" s="258"/>
    </row>
    <row r="470">
      <c r="A470" s="257" t="str">
        <f>IFERROR(__xludf.DUMMYFUNCTION("""COMPUTED_VALUE"""),"usage_data_roaming_ppu_amount_past_90days")</f>
        <v>usage_data_roaming_ppu_amount_past_90days</v>
      </c>
      <c r="B470" s="258" t="str">
        <f>IFERROR(__xludf.DUMMYFUNCTION("""COMPUTED_VALUE"""),"Behavioral")</f>
        <v>Behavioral</v>
      </c>
      <c r="C470" s="258" t="str">
        <f>IFERROR(__xludf.DUMMYFUNCTION("""COMPUTED_VALUE"""),"Non-PII")</f>
        <v>Non-PII</v>
      </c>
      <c r="D470" s="258" t="str">
        <f>IFERROR(__xludf.DUMMYFUNCTION("""COMPUTED_VALUE"""),"Non-PII")</f>
        <v>Non-PII</v>
      </c>
      <c r="E470" s="258" t="str">
        <f>IFERROR(__xludf.DUMMYFUNCTION("""COMPUTED_VALUE"""),"Total charge amount for Pay-Per-Use (PPU) data roaming usage for the past 90 days")</f>
        <v>Total charge amount for Pay-Per-Use (PPU) data roaming usage for the past 90 days</v>
      </c>
      <c r="F470" s="258" t="str">
        <f>IFERROR(__xludf.DUMMYFUNCTION("""COMPUTED_VALUE"""),"Derived")</f>
        <v>Derived</v>
      </c>
      <c r="G470" s="258" t="str">
        <f>IFERROR(__xludf.DUMMYFUNCTION("""COMPUTED_VALUE"""),"numeric(21,2)")</f>
        <v>numeric(21,2)</v>
      </c>
      <c r="H470" s="258">
        <f>IFERROR(__xludf.DUMMYFUNCTION("""COMPUTED_VALUE"""),0.03)</f>
        <v>0.03</v>
      </c>
      <c r="I470" s="258" t="str">
        <f>IFERROR(__xludf.DUMMYFUNCTION("""COMPUTED_VALUE"""),"SG")</f>
        <v>SG</v>
      </c>
      <c r="J470" s="258" t="str">
        <f>IFERROR(__xludf.DUMMYFUNCTION("""COMPUTED_VALUE"""),"Daily")</f>
        <v>Daily</v>
      </c>
      <c r="K470" s="258" t="str">
        <f>IFERROR(__xludf.DUMMYFUNCTION("""COMPUTED_VALUE"""),"")</f>
        <v/>
      </c>
      <c r="L470" s="258" t="str">
        <f>IFERROR(__xludf.DUMMYFUNCTION("""COMPUTED_VALUE"""),"GHP")</f>
        <v>GHP</v>
      </c>
      <c r="M470" s="258" t="str">
        <f>IFERROR(__xludf.DUMMYFUNCTION("""COMPUTED_VALUE"""),"Consumer, EG, SG, In house")</f>
        <v>Consumer, EG, SG, In house</v>
      </c>
      <c r="N470" s="258" t="str">
        <f>IFERROR(__xludf.DUMMYFUNCTION("""COMPUTED_VALUE"""),"usage")</f>
        <v>usage</v>
      </c>
      <c r="O470" s="258" t="str">
        <f>IFERROR(__xludf.DUMMYFUNCTION("""COMPUTED_VALUE"""),"usage_profile")</f>
        <v>usage_profile</v>
      </c>
      <c r="P470" s="258"/>
    </row>
    <row r="471">
      <c r="A471" s="257" t="str">
        <f>IFERROR(__xludf.DUMMYFUNCTION("""COMPUTED_VALUE"""),"usage_voice_inter_count_90days")</f>
        <v>usage_voice_inter_count_90days</v>
      </c>
      <c r="B471" s="258" t="str">
        <f>IFERROR(__xludf.DUMMYFUNCTION("""COMPUTED_VALUE"""),"Behavioral")</f>
        <v>Behavioral</v>
      </c>
      <c r="C471" s="258" t="str">
        <f>IFERROR(__xludf.DUMMYFUNCTION("""COMPUTED_VALUE"""),"Non-PII")</f>
        <v>Non-PII</v>
      </c>
      <c r="D471" s="258" t="str">
        <f>IFERROR(__xludf.DUMMYFUNCTION("""COMPUTED_VALUE"""),"Non-PII")</f>
        <v>Non-PII</v>
      </c>
      <c r="E471" s="258" t="str">
        <f>IFERROR(__xludf.DUMMYFUNCTION("""COMPUTED_VALUE"""),"Number of inter voice transactions for the past 90 days")</f>
        <v>Number of inter voice transactions for the past 90 days</v>
      </c>
      <c r="F471" s="258" t="str">
        <f>IFERROR(__xludf.DUMMYFUNCTION("""COMPUTED_VALUE"""),"Derived")</f>
        <v>Derived</v>
      </c>
      <c r="G471" s="258" t="str">
        <f>IFERROR(__xludf.DUMMYFUNCTION("""COMPUTED_VALUE"""),"integer")</f>
        <v>integer</v>
      </c>
      <c r="H471" s="258">
        <f>IFERROR(__xludf.DUMMYFUNCTION("""COMPUTED_VALUE"""),8.0)</f>
        <v>8</v>
      </c>
      <c r="I471" s="258" t="str">
        <f>IFERROR(__xludf.DUMMYFUNCTION("""COMPUTED_VALUE"""),"SG")</f>
        <v>SG</v>
      </c>
      <c r="J471" s="258" t="str">
        <f>IFERROR(__xludf.DUMMYFUNCTION("""COMPUTED_VALUE"""),"Daily")</f>
        <v>Daily</v>
      </c>
      <c r="K471" s="258" t="str">
        <f>IFERROR(__xludf.DUMMYFUNCTION("""COMPUTED_VALUE"""),"")</f>
        <v/>
      </c>
      <c r="L471" s="258" t="str">
        <f>IFERROR(__xludf.DUMMYFUNCTION("""COMPUTED_VALUE"""),"GHP, GHP-PREPAID, TM, PW, WIRELINE")</f>
        <v>GHP, GHP-PREPAID, TM, PW, WIRELINE</v>
      </c>
      <c r="M471" s="258" t="str">
        <f>IFERROR(__xludf.DUMMYFUNCTION("""COMPUTED_VALUE"""),"Consumer, EG, SG, In house, IBG Traveler")</f>
        <v>Consumer, EG, SG, In house, IBG Traveler</v>
      </c>
      <c r="N471" s="258" t="str">
        <f>IFERROR(__xludf.DUMMYFUNCTION("""COMPUTED_VALUE"""),"usage")</f>
        <v>usage</v>
      </c>
      <c r="O471" s="258" t="str">
        <f>IFERROR(__xludf.DUMMYFUNCTION("""COMPUTED_VALUE"""),"usage_profile")</f>
        <v>usage_profile</v>
      </c>
      <c r="P471" s="258"/>
    </row>
    <row r="472">
      <c r="A472" s="257" t="str">
        <f>IFERROR(__xludf.DUMMYFUNCTION("""COMPUTED_VALUE"""),"usage_voice_intra_count_90days")</f>
        <v>usage_voice_intra_count_90days</v>
      </c>
      <c r="B472" s="258" t="str">
        <f>IFERROR(__xludf.DUMMYFUNCTION("""COMPUTED_VALUE"""),"Behavioral")</f>
        <v>Behavioral</v>
      </c>
      <c r="C472" s="258" t="str">
        <f>IFERROR(__xludf.DUMMYFUNCTION("""COMPUTED_VALUE"""),"Non-PII")</f>
        <v>Non-PII</v>
      </c>
      <c r="D472" s="258" t="str">
        <f>IFERROR(__xludf.DUMMYFUNCTION("""COMPUTED_VALUE"""),"Non-PII")</f>
        <v>Non-PII</v>
      </c>
      <c r="E472" s="258" t="str">
        <f>IFERROR(__xludf.DUMMYFUNCTION("""COMPUTED_VALUE"""),"Number of intra voice transactions for the past 90 days")</f>
        <v>Number of intra voice transactions for the past 90 days</v>
      </c>
      <c r="F472" s="258" t="str">
        <f>IFERROR(__xludf.DUMMYFUNCTION("""COMPUTED_VALUE"""),"Derived")</f>
        <v>Derived</v>
      </c>
      <c r="G472" s="258" t="str">
        <f>IFERROR(__xludf.DUMMYFUNCTION("""COMPUTED_VALUE"""),"integer")</f>
        <v>integer</v>
      </c>
      <c r="H472" s="258">
        <f>IFERROR(__xludf.DUMMYFUNCTION("""COMPUTED_VALUE"""),26.0)</f>
        <v>26</v>
      </c>
      <c r="I472" s="258" t="str">
        <f>IFERROR(__xludf.DUMMYFUNCTION("""COMPUTED_VALUE"""),"SG")</f>
        <v>SG</v>
      </c>
      <c r="J472" s="258" t="str">
        <f>IFERROR(__xludf.DUMMYFUNCTION("""COMPUTED_VALUE"""),"Daily")</f>
        <v>Daily</v>
      </c>
      <c r="K472" s="258" t="str">
        <f>IFERROR(__xludf.DUMMYFUNCTION("""COMPUTED_VALUE"""),"")</f>
        <v/>
      </c>
      <c r="L472" s="258" t="str">
        <f>IFERROR(__xludf.DUMMYFUNCTION("""COMPUTED_VALUE"""),"GHP, GHP-PREPAID, TM, PW, WIRELINE")</f>
        <v>GHP, GHP-PREPAID, TM, PW, WIRELINE</v>
      </c>
      <c r="M472" s="258" t="str">
        <f>IFERROR(__xludf.DUMMYFUNCTION("""COMPUTED_VALUE"""),"Consumer, EG, SG, In house, IBG Traveler")</f>
        <v>Consumer, EG, SG, In house, IBG Traveler</v>
      </c>
      <c r="N472" s="258" t="str">
        <f>IFERROR(__xludf.DUMMYFUNCTION("""COMPUTED_VALUE"""),"usage")</f>
        <v>usage</v>
      </c>
      <c r="O472" s="258" t="str">
        <f>IFERROR(__xludf.DUMMYFUNCTION("""COMPUTED_VALUE"""),"usage_profile")</f>
        <v>usage_profile</v>
      </c>
      <c r="P472" s="258"/>
    </row>
    <row r="473">
      <c r="A473" s="257" t="str">
        <f>IFERROR(__xludf.DUMMYFUNCTION("""COMPUTED_VALUE"""),"usage_sms_inter_count_90days")</f>
        <v>usage_sms_inter_count_90days</v>
      </c>
      <c r="B473" s="258" t="str">
        <f>IFERROR(__xludf.DUMMYFUNCTION("""COMPUTED_VALUE"""),"Behavioral")</f>
        <v>Behavioral</v>
      </c>
      <c r="C473" s="258" t="str">
        <f>IFERROR(__xludf.DUMMYFUNCTION("""COMPUTED_VALUE"""),"Non-PII")</f>
        <v>Non-PII</v>
      </c>
      <c r="D473" s="258" t="str">
        <f>IFERROR(__xludf.DUMMYFUNCTION("""COMPUTED_VALUE"""),"Non-PII")</f>
        <v>Non-PII</v>
      </c>
      <c r="E473" s="258" t="str">
        <f>IFERROR(__xludf.DUMMYFUNCTION("""COMPUTED_VALUE"""),"Number of inter SMS events for the past 90 days")</f>
        <v>Number of inter SMS events for the past 90 days</v>
      </c>
      <c r="F473" s="258" t="str">
        <f>IFERROR(__xludf.DUMMYFUNCTION("""COMPUTED_VALUE"""),"Derived")</f>
        <v>Derived</v>
      </c>
      <c r="G473" s="258" t="str">
        <f>IFERROR(__xludf.DUMMYFUNCTION("""COMPUTED_VALUE"""),"integer")</f>
        <v>integer</v>
      </c>
      <c r="H473" s="258">
        <f>IFERROR(__xludf.DUMMYFUNCTION("""COMPUTED_VALUE"""),12.0)</f>
        <v>12</v>
      </c>
      <c r="I473" s="258" t="str">
        <f>IFERROR(__xludf.DUMMYFUNCTION("""COMPUTED_VALUE"""),"SG")</f>
        <v>SG</v>
      </c>
      <c r="J473" s="258" t="str">
        <f>IFERROR(__xludf.DUMMYFUNCTION("""COMPUTED_VALUE"""),"Daily")</f>
        <v>Daily</v>
      </c>
      <c r="K473" s="258" t="str">
        <f>IFERROR(__xludf.DUMMYFUNCTION("""COMPUTED_VALUE"""),"")</f>
        <v/>
      </c>
      <c r="L473" s="258" t="str">
        <f>IFERROR(__xludf.DUMMYFUNCTION("""COMPUTED_VALUE"""),"GHP, GHP-PREPAID, TM, PW")</f>
        <v>GHP, GHP-PREPAID, TM, PW</v>
      </c>
      <c r="M473" s="258" t="str">
        <f>IFERROR(__xludf.DUMMYFUNCTION("""COMPUTED_VALUE"""),"Consumer, EG, SG, In house, IBG Traveler")</f>
        <v>Consumer, EG, SG, In house, IBG Traveler</v>
      </c>
      <c r="N473" s="258" t="str">
        <f>IFERROR(__xludf.DUMMYFUNCTION("""COMPUTED_VALUE"""),"usage")</f>
        <v>usage</v>
      </c>
      <c r="O473" s="258" t="str">
        <f>IFERROR(__xludf.DUMMYFUNCTION("""COMPUTED_VALUE"""),"usage_profile")</f>
        <v>usage_profile</v>
      </c>
      <c r="P473" s="258"/>
    </row>
    <row r="474">
      <c r="A474" s="257" t="str">
        <f>IFERROR(__xludf.DUMMYFUNCTION("""COMPUTED_VALUE"""),"usage_sms_intra_count_90days")</f>
        <v>usage_sms_intra_count_90days</v>
      </c>
      <c r="B474" s="258" t="str">
        <f>IFERROR(__xludf.DUMMYFUNCTION("""COMPUTED_VALUE"""),"Behavioral")</f>
        <v>Behavioral</v>
      </c>
      <c r="C474" s="258" t="str">
        <f>IFERROR(__xludf.DUMMYFUNCTION("""COMPUTED_VALUE"""),"Non-PII")</f>
        <v>Non-PII</v>
      </c>
      <c r="D474" s="258" t="str">
        <f>IFERROR(__xludf.DUMMYFUNCTION("""COMPUTED_VALUE"""),"Non-PII")</f>
        <v>Non-PII</v>
      </c>
      <c r="E474" s="258" t="str">
        <f>IFERROR(__xludf.DUMMYFUNCTION("""COMPUTED_VALUE"""),"Number of intra SMS events for the past 90 days")</f>
        <v>Number of intra SMS events for the past 90 days</v>
      </c>
      <c r="F474" s="258" t="str">
        <f>IFERROR(__xludf.DUMMYFUNCTION("""COMPUTED_VALUE"""),"Derived")</f>
        <v>Derived</v>
      </c>
      <c r="G474" s="258" t="str">
        <f>IFERROR(__xludf.DUMMYFUNCTION("""COMPUTED_VALUE"""),"integer")</f>
        <v>integer</v>
      </c>
      <c r="H474" s="258">
        <f>IFERROR(__xludf.DUMMYFUNCTION("""COMPUTED_VALUE"""),14.0)</f>
        <v>14</v>
      </c>
      <c r="I474" s="258" t="str">
        <f>IFERROR(__xludf.DUMMYFUNCTION("""COMPUTED_VALUE"""),"SG")</f>
        <v>SG</v>
      </c>
      <c r="J474" s="258" t="str">
        <f>IFERROR(__xludf.DUMMYFUNCTION("""COMPUTED_VALUE"""),"Daily")</f>
        <v>Daily</v>
      </c>
      <c r="K474" s="258" t="str">
        <f>IFERROR(__xludf.DUMMYFUNCTION("""COMPUTED_VALUE"""),"")</f>
        <v/>
      </c>
      <c r="L474" s="258" t="str">
        <f>IFERROR(__xludf.DUMMYFUNCTION("""COMPUTED_VALUE"""),"GHP, GHP-PREPAID, TM, PW")</f>
        <v>GHP, GHP-PREPAID, TM, PW</v>
      </c>
      <c r="M474" s="258" t="str">
        <f>IFERROR(__xludf.DUMMYFUNCTION("""COMPUTED_VALUE"""),"Consumer, EG, SG, In house, IBG Traveler")</f>
        <v>Consumer, EG, SG, In house, IBG Traveler</v>
      </c>
      <c r="N474" s="258" t="str">
        <f>IFERROR(__xludf.DUMMYFUNCTION("""COMPUTED_VALUE"""),"usage")</f>
        <v>usage</v>
      </c>
      <c r="O474" s="258" t="str">
        <f>IFERROR(__xludf.DUMMYFUNCTION("""COMPUTED_VALUE"""),"usage_profile")</f>
        <v>usage_profile</v>
      </c>
      <c r="P474" s="258"/>
    </row>
    <row r="475">
      <c r="A475" s="257" t="str">
        <f>IFERROR(__xludf.DUMMYFUNCTION("""COMPUTED_VALUE"""),"usage_data_count_past_90days")</f>
        <v>usage_data_count_past_90days</v>
      </c>
      <c r="B475" s="258" t="str">
        <f>IFERROR(__xludf.DUMMYFUNCTION("""COMPUTED_VALUE"""),"Behavioral")</f>
        <v>Behavioral</v>
      </c>
      <c r="C475" s="258" t="str">
        <f>IFERROR(__xludf.DUMMYFUNCTION("""COMPUTED_VALUE"""),"Non-PII")</f>
        <v>Non-PII</v>
      </c>
      <c r="D475" s="258" t="str">
        <f>IFERROR(__xludf.DUMMYFUNCTION("""COMPUTED_VALUE"""),"Non-PII")</f>
        <v>Non-PII</v>
      </c>
      <c r="E475" s="258" t="str">
        <f>IFERROR(__xludf.DUMMYFUNCTION("""COMPUTED_VALUE"""),"Number of data usage transactions for the past 90 days")</f>
        <v>Number of data usage transactions for the past 90 days</v>
      </c>
      <c r="F475" s="258" t="str">
        <f>IFERROR(__xludf.DUMMYFUNCTION("""COMPUTED_VALUE"""),"Derived")</f>
        <v>Derived</v>
      </c>
      <c r="G475" s="258" t="str">
        <f>IFERROR(__xludf.DUMMYFUNCTION("""COMPUTED_VALUE"""),"integer")</f>
        <v>integer</v>
      </c>
      <c r="H475" s="258">
        <f>IFERROR(__xludf.DUMMYFUNCTION("""COMPUTED_VALUE"""),11.0)</f>
        <v>11</v>
      </c>
      <c r="I475" s="258" t="str">
        <f>IFERROR(__xludf.DUMMYFUNCTION("""COMPUTED_VALUE"""),"SG")</f>
        <v>SG</v>
      </c>
      <c r="J475" s="258" t="str">
        <f>IFERROR(__xludf.DUMMYFUNCTION("""COMPUTED_VALUE"""),"Daily")</f>
        <v>Daily</v>
      </c>
      <c r="K475" s="258" t="str">
        <f>IFERROR(__xludf.DUMMYFUNCTION("""COMPUTED_VALUE"""),"")</f>
        <v/>
      </c>
      <c r="L475" s="258" t="str">
        <f>IFERROR(__xludf.DUMMYFUNCTION("""COMPUTED_VALUE"""),"GHP, GHP-PREPAID, TM, PW, GOMO")</f>
        <v>GHP, GHP-PREPAID, TM, PW, GOMO</v>
      </c>
      <c r="M475" s="258" t="str">
        <f>IFERROR(__xludf.DUMMYFUNCTION("""COMPUTED_VALUE"""),"Consumer, EG, SG, In house, IBG Traveler")</f>
        <v>Consumer, EG, SG, In house, IBG Traveler</v>
      </c>
      <c r="N475" s="258" t="str">
        <f>IFERROR(__xludf.DUMMYFUNCTION("""COMPUTED_VALUE"""),"usage")</f>
        <v>usage</v>
      </c>
      <c r="O475" s="258" t="str">
        <f>IFERROR(__xludf.DUMMYFUNCTION("""COMPUTED_VALUE"""),"usage_profile")</f>
        <v>usage_profile</v>
      </c>
      <c r="P475" s="258"/>
    </row>
    <row r="476">
      <c r="A476" s="257" t="str">
        <f>IFERROR(__xludf.DUMMYFUNCTION("""COMPUTED_VALUE"""),"usage_vas_count_past_90days")</f>
        <v>usage_vas_count_past_90days</v>
      </c>
      <c r="B476" s="258" t="str">
        <f>IFERROR(__xludf.DUMMYFUNCTION("""COMPUTED_VALUE"""),"Behavioral")</f>
        <v>Behavioral</v>
      </c>
      <c r="C476" s="258" t="str">
        <f>IFERROR(__xludf.DUMMYFUNCTION("""COMPUTED_VALUE"""),"Non-PII")</f>
        <v>Non-PII</v>
      </c>
      <c r="D476" s="258" t="str">
        <f>IFERROR(__xludf.DUMMYFUNCTION("""COMPUTED_VALUE"""),"Non-PII")</f>
        <v>Non-PII</v>
      </c>
      <c r="E476" s="258" t="str">
        <f>IFERROR(__xludf.DUMMYFUNCTION("""COMPUTED_VALUE"""),"Number value added service transactions in past 90 days")</f>
        <v>Number value added service transactions in past 90 days</v>
      </c>
      <c r="F476" s="258" t="str">
        <f>IFERROR(__xludf.DUMMYFUNCTION("""COMPUTED_VALUE"""),"Derived")</f>
        <v>Derived</v>
      </c>
      <c r="G476" s="258" t="str">
        <f>IFERROR(__xludf.DUMMYFUNCTION("""COMPUTED_VALUE"""),"integer")</f>
        <v>integer</v>
      </c>
      <c r="H476" s="258">
        <f>IFERROR(__xludf.DUMMYFUNCTION("""COMPUTED_VALUE"""),8.0)</f>
        <v>8</v>
      </c>
      <c r="I476" s="258" t="str">
        <f>IFERROR(__xludf.DUMMYFUNCTION("""COMPUTED_VALUE"""),"SG")</f>
        <v>SG</v>
      </c>
      <c r="J476" s="258" t="str">
        <f>IFERROR(__xludf.DUMMYFUNCTION("""COMPUTED_VALUE"""),"Daily")</f>
        <v>Daily</v>
      </c>
      <c r="K476" s="258" t="str">
        <f>IFERROR(__xludf.DUMMYFUNCTION("""COMPUTED_VALUE"""),"")</f>
        <v/>
      </c>
      <c r="L476" s="258" t="str">
        <f>IFERROR(__xludf.DUMMYFUNCTION("""COMPUTED_VALUE"""),"GHP, GHP-PREPAID, TM, PW, WIRELINE")</f>
        <v>GHP, GHP-PREPAID, TM, PW, WIRELINE</v>
      </c>
      <c r="M476" s="258" t="str">
        <f>IFERROR(__xludf.DUMMYFUNCTION("""COMPUTED_VALUE"""),"Consumer, EG, SG, In house, IBG Traveler")</f>
        <v>Consumer, EG, SG, In house, IBG Traveler</v>
      </c>
      <c r="N476" s="258" t="str">
        <f>IFERROR(__xludf.DUMMYFUNCTION("""COMPUTED_VALUE"""),"usage")</f>
        <v>usage</v>
      </c>
      <c r="O476" s="258" t="str">
        <f>IFERROR(__xludf.DUMMYFUNCTION("""COMPUTED_VALUE"""),"usage_profile")</f>
        <v>usage_profile</v>
      </c>
      <c r="P476" s="258"/>
    </row>
    <row r="477">
      <c r="A477" s="257" t="str">
        <f>IFERROR(__xludf.DUMMYFUNCTION("""COMPUTED_VALUE"""),"days_past_due_bucket")</f>
        <v>days_past_due_bucket</v>
      </c>
      <c r="B477" s="258" t="str">
        <f>IFERROR(__xludf.DUMMYFUNCTION("""COMPUTED_VALUE"""),"Behavioral")</f>
        <v>Behavioral</v>
      </c>
      <c r="C477" s="258" t="str">
        <f>IFERROR(__xludf.DUMMYFUNCTION("""COMPUTED_VALUE"""),"Non-PII")</f>
        <v>Non-PII</v>
      </c>
      <c r="D477" s="258" t="str">
        <f>IFERROR(__xludf.DUMMYFUNCTION("""COMPUTED_VALUE"""),"Non-PII")</f>
        <v>Non-PII</v>
      </c>
      <c r="E477" s="258" t="str">
        <f>IFERROR(__xludf.DUMMYFUNCTION("""COMPUTED_VALUE"""),"Days past due bucket")</f>
        <v>Days past due bucket</v>
      </c>
      <c r="F477" s="258" t="str">
        <f>IFERROR(__xludf.DUMMYFUNCTION("""COMPUTED_VALUE"""),"Direct Pull")</f>
        <v>Direct Pull</v>
      </c>
      <c r="G477" s="258" t="str">
        <f>IFERROR(__xludf.DUMMYFUNCTION("""COMPUTED_VALUE"""),"varchar(1000)")</f>
        <v>varchar(1000)</v>
      </c>
      <c r="H477" s="258">
        <f>IFERROR(__xludf.DUMMYFUNCTION("""COMPUTED_VALUE"""),6.0)</f>
        <v>6</v>
      </c>
      <c r="I477" s="258" t="str">
        <f>IFERROR(__xludf.DUMMYFUNCTION("""COMPUTED_VALUE"""),"SG")</f>
        <v>SG</v>
      </c>
      <c r="J477" s="258" t="str">
        <f>IFERROR(__xludf.DUMMYFUNCTION("""COMPUTED_VALUE"""),"Daily")</f>
        <v>Daily</v>
      </c>
      <c r="K477" s="258" t="str">
        <f>IFERROR(__xludf.DUMMYFUNCTION("""COMPUTED_VALUE"""),"")</f>
        <v/>
      </c>
      <c r="L477" s="258" t="str">
        <f>IFERROR(__xludf.DUMMYFUNCTION("""COMPUTED_VALUE"""),"GHP, WIRELINE, BAYAN, GLOBE")</f>
        <v>GHP, WIRELINE, BAYAN, GLOBE</v>
      </c>
      <c r="M477" s="258" t="str">
        <f>IFERROR(__xludf.DUMMYFUNCTION("""COMPUTED_VALUE"""),"Consumer, EG, SG, IBG Traveler")</f>
        <v>Consumer, EG, SG, IBG Traveler</v>
      </c>
      <c r="N477" s="258" t="str">
        <f>IFERROR(__xludf.DUMMYFUNCTION("""COMPUTED_VALUE"""),"financial_account")</f>
        <v>financial_account</v>
      </c>
      <c r="O477" s="258" t="str">
        <f>IFERROR(__xludf.DUMMYFUNCTION("""COMPUTED_VALUE"""),"financial_account_profile")</f>
        <v>financial_account_profile</v>
      </c>
      <c r="P477" s="258"/>
    </row>
    <row r="478">
      <c r="A478" s="257" t="str">
        <f>IFERROR(__xludf.DUMMYFUNCTION("""COMPUTED_VALUE"""),"online_shopper_top_apps")</f>
        <v>online_shopper_top_apps</v>
      </c>
      <c r="B478" s="258" t="str">
        <f>IFERROR(__xludf.DUMMYFUNCTION("""COMPUTED_VALUE"""),"Audience/Persona")</f>
        <v>Audience/Persona</v>
      </c>
      <c r="C478" s="258" t="str">
        <f>IFERROR(__xludf.DUMMYFUNCTION("""COMPUTED_VALUE"""),"Non-PII")</f>
        <v>Non-PII</v>
      </c>
      <c r="D478" s="258" t="str">
        <f>IFERROR(__xludf.DUMMYFUNCTION("""COMPUTED_VALUE"""),"Non-PII")</f>
        <v>Non-PII</v>
      </c>
      <c r="E478" s="258" t="str">
        <f>IFERROR(__xludf.DUMMYFUNCTION("""COMPUTED_VALUE"""),"Top 1 app/site by data burn, total hits and active days in a month categorized under the Online Shopper profile
 For wireline subscribers, only subscriptions within Metro Manila (including some areas in Rizal) and with DSL, VDSL and GPON technology valu"&amp;"e are covered.")</f>
        <v>Top 1 app/site by data burn, total hits and active days in a month categorized under the Online Shopper profile
 For wireline subscribers, only subscriptions within Metro Manila (including some areas in Rizal) and with DSL, VDSL and GPON technology value are covered.</v>
      </c>
      <c r="F478" s="258" t="str">
        <f>IFERROR(__xludf.DUMMYFUNCTION("""COMPUTED_VALUE"""),"Derived")</f>
        <v>Derived</v>
      </c>
      <c r="G478" s="258" t="str">
        <f>IFERROR(__xludf.DUMMYFUNCTION("""COMPUTED_VALUE"""),"varchar(1000)")</f>
        <v>varchar(1000)</v>
      </c>
      <c r="H478" s="258" t="str">
        <f>IFERROR(__xludf.DUMMYFUNCTION("""COMPUTED_VALUE"""),"shopee")</f>
        <v>shopee</v>
      </c>
      <c r="I478" s="258" t="str">
        <f>IFERROR(__xludf.DUMMYFUNCTION("""COMPUTED_VALUE"""),"EDO-UUP")</f>
        <v>EDO-UUP</v>
      </c>
      <c r="J478" s="258" t="str">
        <f>IFERROR(__xludf.DUMMYFUNCTION("""COMPUTED_VALUE"""),"Monthly")</f>
        <v>Monthly</v>
      </c>
      <c r="K478" s="258" t="str">
        <f>IFERROR(__xludf.DUMMYFUNCTION("""COMPUTED_VALUE"""),"")</f>
        <v/>
      </c>
      <c r="L478" s="258" t="str">
        <f>IFERROR(__xludf.DUMMYFUNCTION("""COMPUTED_VALUE"""),"GHP, GHP-PREPAID, TM, PW, GOMO, WIRELINE, BAYAN, GLOBE")</f>
        <v>GHP, GHP-PREPAID, TM, PW, GOMO, WIRELINE, BAYAN, GLOBE</v>
      </c>
      <c r="M478" s="258" t="str">
        <f>IFERROR(__xludf.DUMMYFUNCTION("""COMPUTED_VALUE"""),"Consumer, EG, SG, In house, IBG Traveler")</f>
        <v>Consumer, EG, SG, In house, IBG Traveler</v>
      </c>
      <c r="N478" s="258" t="str">
        <f>IFERROR(__xludf.DUMMYFUNCTION("""COMPUTED_VALUE"""),"interest")</f>
        <v>interest</v>
      </c>
      <c r="O478" s="258" t="str">
        <f>IFERROR(__xludf.DUMMYFUNCTION("""COMPUTED_VALUE"""),"network_profile")</f>
        <v>network_profile</v>
      </c>
      <c r="P478" s="258"/>
    </row>
    <row r="479">
      <c r="A479" s="257" t="str">
        <f>IFERROR(__xludf.DUMMYFUNCTION("""COMPUTED_VALUE"""),"online_gamer_top_apps")</f>
        <v>online_gamer_top_apps</v>
      </c>
      <c r="B479" s="258" t="str">
        <f>IFERROR(__xludf.DUMMYFUNCTION("""COMPUTED_VALUE"""),"Audience/Persona")</f>
        <v>Audience/Persona</v>
      </c>
      <c r="C479" s="258" t="str">
        <f>IFERROR(__xludf.DUMMYFUNCTION("""COMPUTED_VALUE"""),"Non-PII")</f>
        <v>Non-PII</v>
      </c>
      <c r="D479" s="258" t="str">
        <f>IFERROR(__xludf.DUMMYFUNCTION("""COMPUTED_VALUE"""),"Non-PII")</f>
        <v>Non-PII</v>
      </c>
      <c r="E479" s="258" t="str">
        <f>IFERROR(__xludf.DUMMYFUNCTION("""COMPUTED_VALUE"""),"Top 1 app/site by data burn, total hits and active days in a month categorized under the Online Gamer profile
 For wireline subscribers, only subscriptions within Metro Manila (including some areas in Rizal) and with DSL, VDSL and GPON technology value "&amp;"are covered.")</f>
        <v>Top 1 app/site by data burn, total hits and active days in a month categorized under the Online Gamer profile
 For wireline subscribers, only subscriptions within Metro Manila (including some areas in Rizal) and with DSL, VDSL and GPON technology value are covered.</v>
      </c>
      <c r="F479" s="258" t="str">
        <f>IFERROR(__xludf.DUMMYFUNCTION("""COMPUTED_VALUE"""),"Derived")</f>
        <v>Derived</v>
      </c>
      <c r="G479" s="258" t="str">
        <f>IFERROR(__xludf.DUMMYFUNCTION("""COMPUTED_VALUE"""),"varchar(1000)")</f>
        <v>varchar(1000)</v>
      </c>
      <c r="H479" s="258" t="str">
        <f>IFERROR(__xludf.DUMMYFUNCTION("""COMPUTED_VALUE"""),"clash_royale")</f>
        <v>clash_royale</v>
      </c>
      <c r="I479" s="258" t="str">
        <f>IFERROR(__xludf.DUMMYFUNCTION("""COMPUTED_VALUE"""),"EDO-UUP")</f>
        <v>EDO-UUP</v>
      </c>
      <c r="J479" s="258" t="str">
        <f>IFERROR(__xludf.DUMMYFUNCTION("""COMPUTED_VALUE"""),"Monthly")</f>
        <v>Monthly</v>
      </c>
      <c r="K479" s="258" t="str">
        <f>IFERROR(__xludf.DUMMYFUNCTION("""COMPUTED_VALUE"""),"")</f>
        <v/>
      </c>
      <c r="L479" s="258" t="str">
        <f>IFERROR(__xludf.DUMMYFUNCTION("""COMPUTED_VALUE"""),"GHP, GHP-PREPAID, TM, PW, GOMO, WIRELINE, BAYAN, GLOBE")</f>
        <v>GHP, GHP-PREPAID, TM, PW, GOMO, WIRELINE, BAYAN, GLOBE</v>
      </c>
      <c r="M479" s="258" t="str">
        <f>IFERROR(__xludf.DUMMYFUNCTION("""COMPUTED_VALUE"""),"Consumer, EG, SG, In house, IBG Traveler")</f>
        <v>Consumer, EG, SG, In house, IBG Traveler</v>
      </c>
      <c r="N479" s="258" t="str">
        <f>IFERROR(__xludf.DUMMYFUNCTION("""COMPUTED_VALUE"""),"interest")</f>
        <v>interest</v>
      </c>
      <c r="O479" s="258" t="str">
        <f>IFERROR(__xludf.DUMMYFUNCTION("""COMPUTED_VALUE"""),"network_profile")</f>
        <v>network_profile</v>
      </c>
      <c r="P479" s="258"/>
    </row>
    <row r="480">
      <c r="A480" s="257" t="str">
        <f>IFERROR(__xludf.DUMMYFUNCTION("""COMPUTED_VALUE"""),"video_streamer_top_apps")</f>
        <v>video_streamer_top_apps</v>
      </c>
      <c r="B480" s="258" t="str">
        <f>IFERROR(__xludf.DUMMYFUNCTION("""COMPUTED_VALUE"""),"Audience/Persona")</f>
        <v>Audience/Persona</v>
      </c>
      <c r="C480" s="258" t="str">
        <f>IFERROR(__xludf.DUMMYFUNCTION("""COMPUTED_VALUE"""),"Non-PII")</f>
        <v>Non-PII</v>
      </c>
      <c r="D480" s="258" t="str">
        <f>IFERROR(__xludf.DUMMYFUNCTION("""COMPUTED_VALUE"""),"Non-PII")</f>
        <v>Non-PII</v>
      </c>
      <c r="E480" s="258" t="str">
        <f>IFERROR(__xludf.DUMMYFUNCTION("""COMPUTED_VALUE"""),"Top 1 app/site by data burn, total hits and active days in a month categorized under the Video Streamer profile
 For wireline subscribers, only subscriptions within Metro Manila (including some areas in Rizal) and with DSL, VDSL and GPON technology valu"&amp;"e are covered.")</f>
        <v>Top 1 app/site by data burn, total hits and active days in a month categorized under the Video Streamer profile
 For wireline subscribers, only subscriptions within Metro Manila (including some areas in Rizal) and with DSL, VDSL and GPON technology value are covered.</v>
      </c>
      <c r="F480" s="258" t="str">
        <f>IFERROR(__xludf.DUMMYFUNCTION("""COMPUTED_VALUE"""),"Derived")</f>
        <v>Derived</v>
      </c>
      <c r="G480" s="258" t="str">
        <f>IFERROR(__xludf.DUMMYFUNCTION("""COMPUTED_VALUE"""),"varchar(1000)")</f>
        <v>varchar(1000)</v>
      </c>
      <c r="H480" s="258" t="str">
        <f>IFERROR(__xludf.DUMMYFUNCTION("""COMPUTED_VALUE"""),"youtube")</f>
        <v>youtube</v>
      </c>
      <c r="I480" s="258" t="str">
        <f>IFERROR(__xludf.DUMMYFUNCTION("""COMPUTED_VALUE"""),"EDO-UUP")</f>
        <v>EDO-UUP</v>
      </c>
      <c r="J480" s="258" t="str">
        <f>IFERROR(__xludf.DUMMYFUNCTION("""COMPUTED_VALUE"""),"Monthly")</f>
        <v>Monthly</v>
      </c>
      <c r="K480" s="258" t="str">
        <f>IFERROR(__xludf.DUMMYFUNCTION("""COMPUTED_VALUE"""),"")</f>
        <v/>
      </c>
      <c r="L480" s="258" t="str">
        <f>IFERROR(__xludf.DUMMYFUNCTION("""COMPUTED_VALUE"""),"GHP, GHP-PREPAID, TM, PW, GOMO, WIRELINE, BAYAN, GLOBE")</f>
        <v>GHP, GHP-PREPAID, TM, PW, GOMO, WIRELINE, BAYAN, GLOBE</v>
      </c>
      <c r="M480" s="258" t="str">
        <f>IFERROR(__xludf.DUMMYFUNCTION("""COMPUTED_VALUE"""),"Consumer, EG, SG, In house, IBG Traveler")</f>
        <v>Consumer, EG, SG, In house, IBG Traveler</v>
      </c>
      <c r="N480" s="258" t="str">
        <f>IFERROR(__xludf.DUMMYFUNCTION("""COMPUTED_VALUE"""),"interest")</f>
        <v>interest</v>
      </c>
      <c r="O480" s="258" t="str">
        <f>IFERROR(__xludf.DUMMYFUNCTION("""COMPUTED_VALUE"""),"network_profile")</f>
        <v>network_profile</v>
      </c>
      <c r="P480" s="258"/>
    </row>
    <row r="481">
      <c r="A481" s="257" t="str">
        <f>IFERROR(__xludf.DUMMYFUNCTION("""COMPUTED_VALUE"""),"music_streamer_top_apps")</f>
        <v>music_streamer_top_apps</v>
      </c>
      <c r="B481" s="258" t="str">
        <f>IFERROR(__xludf.DUMMYFUNCTION("""COMPUTED_VALUE"""),"Audience/Persona")</f>
        <v>Audience/Persona</v>
      </c>
      <c r="C481" s="258" t="str">
        <f>IFERROR(__xludf.DUMMYFUNCTION("""COMPUTED_VALUE"""),"Non-PII")</f>
        <v>Non-PII</v>
      </c>
      <c r="D481" s="258" t="str">
        <f>IFERROR(__xludf.DUMMYFUNCTION("""COMPUTED_VALUE"""),"Non-PII")</f>
        <v>Non-PII</v>
      </c>
      <c r="E481" s="258" t="str">
        <f>IFERROR(__xludf.DUMMYFUNCTION("""COMPUTED_VALUE"""),"Top 1 app/site by data burn, total hits and active days in a month categorized under the Music Streamer profile
 For wireline subscribers, only subscriptions within Metro Manila (including some areas in Rizal) and with DSL, VDSL and GPON technology valu"&amp;"e are covered.")</f>
        <v>Top 1 app/site by data burn, total hits and active days in a month categorized under the Music Streamer profile
 For wireline subscribers, only subscriptions within Metro Manila (including some areas in Rizal) and with DSL, VDSL and GPON technology value are covered.</v>
      </c>
      <c r="F481" s="258" t="str">
        <f>IFERROR(__xludf.DUMMYFUNCTION("""COMPUTED_VALUE"""),"Derived")</f>
        <v>Derived</v>
      </c>
      <c r="G481" s="258" t="str">
        <f>IFERROR(__xludf.DUMMYFUNCTION("""COMPUTED_VALUE"""),"varchar(1000)")</f>
        <v>varchar(1000)</v>
      </c>
      <c r="H481" s="258" t="str">
        <f>IFERROR(__xludf.DUMMYFUNCTION("""COMPUTED_VALUE"""),"spotify")</f>
        <v>spotify</v>
      </c>
      <c r="I481" s="258" t="str">
        <f>IFERROR(__xludf.DUMMYFUNCTION("""COMPUTED_VALUE"""),"EDO-UUP")</f>
        <v>EDO-UUP</v>
      </c>
      <c r="J481" s="258" t="str">
        <f>IFERROR(__xludf.DUMMYFUNCTION("""COMPUTED_VALUE"""),"Monthly")</f>
        <v>Monthly</v>
      </c>
      <c r="K481" s="258" t="str">
        <f>IFERROR(__xludf.DUMMYFUNCTION("""COMPUTED_VALUE"""),"")</f>
        <v/>
      </c>
      <c r="L481" s="258" t="str">
        <f>IFERROR(__xludf.DUMMYFUNCTION("""COMPUTED_VALUE"""),"GHP, GHP-PREPAID, TM, PW, GOMO, WIRELINE, BAYAN, GLOBE")</f>
        <v>GHP, GHP-PREPAID, TM, PW, GOMO, WIRELINE, BAYAN, GLOBE</v>
      </c>
      <c r="M481" s="258" t="str">
        <f>IFERROR(__xludf.DUMMYFUNCTION("""COMPUTED_VALUE"""),"Consumer, EG, SG, In house, IBG Traveler")</f>
        <v>Consumer, EG, SG, In house, IBG Traveler</v>
      </c>
      <c r="N481" s="258" t="str">
        <f>IFERROR(__xludf.DUMMYFUNCTION("""COMPUTED_VALUE"""),"interest")</f>
        <v>interest</v>
      </c>
      <c r="O481" s="258" t="str">
        <f>IFERROR(__xludf.DUMMYFUNCTION("""COMPUTED_VALUE"""),"network_profile")</f>
        <v>network_profile</v>
      </c>
      <c r="P481" s="258"/>
    </row>
    <row r="482">
      <c r="A482" s="257" t="str">
        <f>IFERROR(__xludf.DUMMYFUNCTION("""COMPUTED_VALUE"""),"online_banker_mode")</f>
        <v>online_banker_mode</v>
      </c>
      <c r="B482" s="258" t="str">
        <f>IFERROR(__xludf.DUMMYFUNCTION("""COMPUTED_VALUE"""),"Audience/Persona")</f>
        <v>Audience/Persona</v>
      </c>
      <c r="C482" s="258" t="str">
        <f>IFERROR(__xludf.DUMMYFUNCTION("""COMPUTED_VALUE"""),"Non-PII")</f>
        <v>Non-PII</v>
      </c>
      <c r="D482" s="258" t="str">
        <f>IFERROR(__xludf.DUMMYFUNCTION("""COMPUTED_VALUE"""),"Non-PII")</f>
        <v>Non-PII</v>
      </c>
      <c r="E482" s="258" t="str">
        <f>IFERROR(__xludf.DUMMYFUNCTION("""COMPUTED_VALUE"""),"Top 1 tag by total hits in a month categorized under the Online Banker profile
 For wireline subscribers, only subscriptions within Metro Manila (including some areas in Rizal) and with DSL, VDSL and GPON technology value are covered.")</f>
        <v>Top 1 tag by total hits in a month categorized under the Online Banker profile
 For wireline subscribers, only subscriptions within Metro Manila (including some areas in Rizal) and with DSL, VDSL and GPON technology value are covered.</v>
      </c>
      <c r="F482" s="258" t="str">
        <f>IFERROR(__xludf.DUMMYFUNCTION("""COMPUTED_VALUE"""),"Derived")</f>
        <v>Derived</v>
      </c>
      <c r="G482" s="258" t="str">
        <f>IFERROR(__xludf.DUMMYFUNCTION("""COMPUTED_VALUE"""),"varchar(1000)")</f>
        <v>varchar(1000)</v>
      </c>
      <c r="H482" s="258" t="str">
        <f>IFERROR(__xludf.DUMMYFUNCTION("""COMPUTED_VALUE"""),"metrobank")</f>
        <v>metrobank</v>
      </c>
      <c r="I482" s="258" t="str">
        <f>IFERROR(__xludf.DUMMYFUNCTION("""COMPUTED_VALUE"""),"EDO-UUP")</f>
        <v>EDO-UUP</v>
      </c>
      <c r="J482" s="258" t="str">
        <f>IFERROR(__xludf.DUMMYFUNCTION("""COMPUTED_VALUE"""),"Monthly")</f>
        <v>Monthly</v>
      </c>
      <c r="K482" s="258" t="str">
        <f>IFERROR(__xludf.DUMMYFUNCTION("""COMPUTED_VALUE"""),"")</f>
        <v/>
      </c>
      <c r="L482" s="258" t="str">
        <f>IFERROR(__xludf.DUMMYFUNCTION("""COMPUTED_VALUE"""),"GHP, GHP-PREPAID, TM, PW, GOMO, WIRELINE, BAYAN, GLOBE")</f>
        <v>GHP, GHP-PREPAID, TM, PW, GOMO, WIRELINE, BAYAN, GLOBE</v>
      </c>
      <c r="M482" s="258" t="str">
        <f>IFERROR(__xludf.DUMMYFUNCTION("""COMPUTED_VALUE"""),"Consumer, EG, SG, In house, IBG Traveler")</f>
        <v>Consumer, EG, SG, In house, IBG Traveler</v>
      </c>
      <c r="N482" s="258" t="str">
        <f>IFERROR(__xludf.DUMMYFUNCTION("""COMPUTED_VALUE"""),"interest")</f>
        <v>interest</v>
      </c>
      <c r="O482" s="258" t="str">
        <f>IFERROR(__xludf.DUMMYFUNCTION("""COMPUTED_VALUE"""),"network_profile")</f>
        <v>network_profile</v>
      </c>
      <c r="P482" s="258"/>
    </row>
    <row r="483">
      <c r="A483" s="257" t="str">
        <f>IFERROR(__xludf.DUMMYFUNCTION("""COMPUTED_VALUE"""),"mobile_wallet_user_mode")</f>
        <v>mobile_wallet_user_mode</v>
      </c>
      <c r="B483" s="258" t="str">
        <f>IFERROR(__xludf.DUMMYFUNCTION("""COMPUTED_VALUE"""),"Audience/Persona")</f>
        <v>Audience/Persona</v>
      </c>
      <c r="C483" s="258" t="str">
        <f>IFERROR(__xludf.DUMMYFUNCTION("""COMPUTED_VALUE"""),"Non-PII")</f>
        <v>Non-PII</v>
      </c>
      <c r="D483" s="258" t="str">
        <f>IFERROR(__xludf.DUMMYFUNCTION("""COMPUTED_VALUE"""),"Non-PII")</f>
        <v>Non-PII</v>
      </c>
      <c r="E483" s="258" t="str">
        <f>IFERROR(__xludf.DUMMYFUNCTION("""COMPUTED_VALUE"""),"Top 1 tag by total hits in a month categorized under the Mobile Wallet User profile
 For wireline subscribers, only subscriptions within Metro Manila (including some areas in Rizal) and with DSL, VDSL and GPON technology value are covered.")</f>
        <v>Top 1 tag by total hits in a month categorized under the Mobile Wallet User profile
 For wireline subscribers, only subscriptions within Metro Manila (including some areas in Rizal) and with DSL, VDSL and GPON technology value are covered.</v>
      </c>
      <c r="F483" s="258" t="str">
        <f>IFERROR(__xludf.DUMMYFUNCTION("""COMPUTED_VALUE"""),"Derived")</f>
        <v>Derived</v>
      </c>
      <c r="G483" s="258" t="str">
        <f>IFERROR(__xludf.DUMMYFUNCTION("""COMPUTED_VALUE"""),"varchar(1000)")</f>
        <v>varchar(1000)</v>
      </c>
      <c r="H483" s="258" t="str">
        <f>IFERROR(__xludf.DUMMYFUNCTION("""COMPUTED_VALUE"""),"gcash")</f>
        <v>gcash</v>
      </c>
      <c r="I483" s="258" t="str">
        <f>IFERROR(__xludf.DUMMYFUNCTION("""COMPUTED_VALUE"""),"EDO-UUP")</f>
        <v>EDO-UUP</v>
      </c>
      <c r="J483" s="258" t="str">
        <f>IFERROR(__xludf.DUMMYFUNCTION("""COMPUTED_VALUE"""),"Monthly")</f>
        <v>Monthly</v>
      </c>
      <c r="K483" s="258" t="str">
        <f>IFERROR(__xludf.DUMMYFUNCTION("""COMPUTED_VALUE"""),"")</f>
        <v/>
      </c>
      <c r="L483" s="258" t="str">
        <f>IFERROR(__xludf.DUMMYFUNCTION("""COMPUTED_VALUE"""),"GHP, GHP-PREPAID, TM, PW, GOMO, WIRELINE, BAYAN, GLOBE")</f>
        <v>GHP, GHP-PREPAID, TM, PW, GOMO, WIRELINE, BAYAN, GLOBE</v>
      </c>
      <c r="M483" s="258" t="str">
        <f>IFERROR(__xludf.DUMMYFUNCTION("""COMPUTED_VALUE"""),"Consumer, EG, SG, In house, IBG Traveler")</f>
        <v>Consumer, EG, SG, In house, IBG Traveler</v>
      </c>
      <c r="N483" s="258" t="str">
        <f>IFERROR(__xludf.DUMMYFUNCTION("""COMPUTED_VALUE"""),"interest")</f>
        <v>interest</v>
      </c>
      <c r="O483" s="258" t="str">
        <f>IFERROR(__xludf.DUMMYFUNCTION("""COMPUTED_VALUE"""),"network_profile")</f>
        <v>network_profile</v>
      </c>
      <c r="P483" s="258"/>
    </row>
    <row r="484">
      <c r="A484" s="257" t="str">
        <f>IFERROR(__xludf.DUMMYFUNCTION("""COMPUTED_VALUE"""),"credit_card_user_mode")</f>
        <v>credit_card_user_mode</v>
      </c>
      <c r="B484" s="258" t="str">
        <f>IFERROR(__xludf.DUMMYFUNCTION("""COMPUTED_VALUE"""),"Audience/Persona")</f>
        <v>Audience/Persona</v>
      </c>
      <c r="C484" s="258" t="str">
        <f>IFERROR(__xludf.DUMMYFUNCTION("""COMPUTED_VALUE"""),"Non-PII")</f>
        <v>Non-PII</v>
      </c>
      <c r="D484" s="258" t="str">
        <f>IFERROR(__xludf.DUMMYFUNCTION("""COMPUTED_VALUE"""),"Non-PII")</f>
        <v>Non-PII</v>
      </c>
      <c r="E484" s="258" t="str">
        <f>IFERROR(__xludf.DUMMYFUNCTION("""COMPUTED_VALUE"""),"Top 1 tag by total hits in a month categorized under the Credit Card User profile")</f>
        <v>Top 1 tag by total hits in a month categorized under the Credit Card User profile</v>
      </c>
      <c r="F484" s="258" t="str">
        <f>IFERROR(__xludf.DUMMYFUNCTION("""COMPUTED_VALUE"""),"Derived")</f>
        <v>Derived</v>
      </c>
      <c r="G484" s="258" t="str">
        <f>IFERROR(__xludf.DUMMYFUNCTION("""COMPUTED_VALUE"""),"varchar(1000)")</f>
        <v>varchar(1000)</v>
      </c>
      <c r="H484" s="258" t="str">
        <f>IFERROR(__xludf.DUMMYFUNCTION("""COMPUTED_VALUE"""),"hsbc")</f>
        <v>hsbc</v>
      </c>
      <c r="I484" s="258" t="str">
        <f>IFERROR(__xludf.DUMMYFUNCTION("""COMPUTED_VALUE"""),"EDO-UUP")</f>
        <v>EDO-UUP</v>
      </c>
      <c r="J484" s="258" t="str">
        <f>IFERROR(__xludf.DUMMYFUNCTION("""COMPUTED_VALUE"""),"Monthly")</f>
        <v>Monthly</v>
      </c>
      <c r="K484" s="258" t="str">
        <f>IFERROR(__xludf.DUMMYFUNCTION("""COMPUTED_VALUE"""),"")</f>
        <v/>
      </c>
      <c r="L484" s="258" t="str">
        <f>IFERROR(__xludf.DUMMYFUNCTION("""COMPUTED_VALUE"""),"GHP, GHP-PREPAID, TM, PW, GOMO, WIRELINE, BAYAN, GLOBE")</f>
        <v>GHP, GHP-PREPAID, TM, PW, GOMO, WIRELINE, BAYAN, GLOBE</v>
      </c>
      <c r="M484" s="258" t="str">
        <f>IFERROR(__xludf.DUMMYFUNCTION("""COMPUTED_VALUE"""),"Consumer, EG, SG, In house, IBG Traveler")</f>
        <v>Consumer, EG, SG, In house, IBG Traveler</v>
      </c>
      <c r="N484" s="258" t="str">
        <f>IFERROR(__xludf.DUMMYFUNCTION("""COMPUTED_VALUE"""),"interest")</f>
        <v>interest</v>
      </c>
      <c r="O484" s="258" t="str">
        <f>IFERROR(__xludf.DUMMYFUNCTION("""COMPUTED_VALUE"""),"network_profile")</f>
        <v>network_profile</v>
      </c>
      <c r="P484" s="258"/>
    </row>
    <row r="485">
      <c r="A485" s="257" t="str">
        <f>IFERROR(__xludf.DUMMYFUNCTION("""COMPUTED_VALUE"""),"foodie_online_delivery_top_apps")</f>
        <v>foodie_online_delivery_top_apps</v>
      </c>
      <c r="B485" s="258" t="str">
        <f>IFERROR(__xludf.DUMMYFUNCTION("""COMPUTED_VALUE"""),"Audience/Persona")</f>
        <v>Audience/Persona</v>
      </c>
      <c r="C485" s="258" t="str">
        <f>IFERROR(__xludf.DUMMYFUNCTION("""COMPUTED_VALUE"""),"Non-PII")</f>
        <v>Non-PII</v>
      </c>
      <c r="D485" s="258" t="str">
        <f>IFERROR(__xludf.DUMMYFUNCTION("""COMPUTED_VALUE"""),"Non-PII")</f>
        <v>Non-PII</v>
      </c>
      <c r="E485" s="258" t="str">
        <f>IFERROR(__xludf.DUMMYFUNCTION("""COMPUTED_VALUE"""),"Top 1 app/site by data burn, total hits and active days in a month categorized under the Foodie Online Delivery profile
 For wireline subscribers, only subscriptions within Metro Manila (including some areas in Rizal) and with DSL, VDSL and GPON technol"&amp;"ogy value are covered.")</f>
        <v>Top 1 app/site by data burn, total hits and active days in a month categorized under the Foodie Online Delivery profile
 For wireline subscribers, only subscriptions within Metro Manila (including some areas in Rizal) and with DSL, VDSL and GPON technology value are covered.</v>
      </c>
      <c r="F485" s="258" t="str">
        <f>IFERROR(__xludf.DUMMYFUNCTION("""COMPUTED_VALUE"""),"Derived")</f>
        <v>Derived</v>
      </c>
      <c r="G485" s="258" t="str">
        <f>IFERROR(__xludf.DUMMYFUNCTION("""COMPUTED_VALUE"""),"varchar(1000)")</f>
        <v>varchar(1000)</v>
      </c>
      <c r="H485" s="258" t="str">
        <f>IFERROR(__xludf.DUMMYFUNCTION("""COMPUTED_VALUE"""),"mcdelivery")</f>
        <v>mcdelivery</v>
      </c>
      <c r="I485" s="258" t="str">
        <f>IFERROR(__xludf.DUMMYFUNCTION("""COMPUTED_VALUE"""),"EDO-UUP")</f>
        <v>EDO-UUP</v>
      </c>
      <c r="J485" s="258" t="str">
        <f>IFERROR(__xludf.DUMMYFUNCTION("""COMPUTED_VALUE"""),"Monthly")</f>
        <v>Monthly</v>
      </c>
      <c r="K485" s="258" t="str">
        <f>IFERROR(__xludf.DUMMYFUNCTION("""COMPUTED_VALUE"""),"")</f>
        <v/>
      </c>
      <c r="L485" s="258" t="str">
        <f>IFERROR(__xludf.DUMMYFUNCTION("""COMPUTED_VALUE"""),"GHP, GHP-PREPAID, TM, PW, GOMO, WIRELINE, BAYAN, GLOBE")</f>
        <v>GHP, GHP-PREPAID, TM, PW, GOMO, WIRELINE, BAYAN, GLOBE</v>
      </c>
      <c r="M485" s="258" t="str">
        <f>IFERROR(__xludf.DUMMYFUNCTION("""COMPUTED_VALUE"""),"Consumer, EG, SG, In house, IBG Traveler")</f>
        <v>Consumer, EG, SG, In house, IBG Traveler</v>
      </c>
      <c r="N485" s="258" t="str">
        <f>IFERROR(__xludf.DUMMYFUNCTION("""COMPUTED_VALUE"""),"interest")</f>
        <v>interest</v>
      </c>
      <c r="O485" s="258" t="str">
        <f>IFERROR(__xludf.DUMMYFUNCTION("""COMPUTED_VALUE"""),"network_profile")</f>
        <v>network_profile</v>
      </c>
      <c r="P485" s="258"/>
    </row>
    <row r="486">
      <c r="A486" s="257" t="str">
        <f>IFERROR(__xludf.DUMMYFUNCTION("""COMPUTED_VALUE"""),"restaurant_finder_top_apps")</f>
        <v>restaurant_finder_top_apps</v>
      </c>
      <c r="B486" s="258" t="str">
        <f>IFERROR(__xludf.DUMMYFUNCTION("""COMPUTED_VALUE"""),"Audience/Persona")</f>
        <v>Audience/Persona</v>
      </c>
      <c r="C486" s="258" t="str">
        <f>IFERROR(__xludf.DUMMYFUNCTION("""COMPUTED_VALUE"""),"Non-PII")</f>
        <v>Non-PII</v>
      </c>
      <c r="D486" s="258" t="str">
        <f>IFERROR(__xludf.DUMMYFUNCTION("""COMPUTED_VALUE"""),"Non-PII")</f>
        <v>Non-PII</v>
      </c>
      <c r="E486" s="258" t="str">
        <f>IFERROR(__xludf.DUMMYFUNCTION("""COMPUTED_VALUE"""),"Top 1 app/site by data burn, total hits and active days in a month categorized under the Restaurant Finder profile
 For wireline subscribers, only subscriptions within Metro Manila (including some areas in Rizal) and with DSL, VDSL and GPON technology v"&amp;"alue are covered.")</f>
        <v>Top 1 app/site by data burn, total hits and active days in a month categorized under the Restaurant Finder profile
 For wireline subscribers, only subscriptions within Metro Manila (including some areas in Rizal) and with DSL, VDSL and GPON technology value are covered.</v>
      </c>
      <c r="F486" s="258" t="str">
        <f>IFERROR(__xludf.DUMMYFUNCTION("""COMPUTED_VALUE"""),"Derived")</f>
        <v>Derived</v>
      </c>
      <c r="G486" s="258" t="str">
        <f>IFERROR(__xludf.DUMMYFUNCTION("""COMPUTED_VALUE"""),"varchar(1000)")</f>
        <v>varchar(1000)</v>
      </c>
      <c r="H486" s="258" t="str">
        <f>IFERROR(__xludf.DUMMYFUNCTION("""COMPUTED_VALUE"""),"zomato")</f>
        <v>zomato</v>
      </c>
      <c r="I486" s="258" t="str">
        <f>IFERROR(__xludf.DUMMYFUNCTION("""COMPUTED_VALUE"""),"EDO-UUP")</f>
        <v>EDO-UUP</v>
      </c>
      <c r="J486" s="258" t="str">
        <f>IFERROR(__xludf.DUMMYFUNCTION("""COMPUTED_VALUE"""),"Monthly")</f>
        <v>Monthly</v>
      </c>
      <c r="K486" s="258" t="str">
        <f>IFERROR(__xludf.DUMMYFUNCTION("""COMPUTED_VALUE"""),"")</f>
        <v/>
      </c>
      <c r="L486" s="258" t="str">
        <f>IFERROR(__xludf.DUMMYFUNCTION("""COMPUTED_VALUE"""),"GHP, GHP-PREPAID, TM, PW, GOMO, WIRELINE, BAYAN, GLOBE")</f>
        <v>GHP, GHP-PREPAID, TM, PW, GOMO, WIRELINE, BAYAN, GLOBE</v>
      </c>
      <c r="M486" s="258" t="str">
        <f>IFERROR(__xludf.DUMMYFUNCTION("""COMPUTED_VALUE"""),"Consumer, EG, SG, In house, IBG Traveler")</f>
        <v>Consumer, EG, SG, In house, IBG Traveler</v>
      </c>
      <c r="N486" s="258" t="str">
        <f>IFERROR(__xludf.DUMMYFUNCTION("""COMPUTED_VALUE"""),"interest")</f>
        <v>interest</v>
      </c>
      <c r="O486" s="258" t="str">
        <f>IFERROR(__xludf.DUMMYFUNCTION("""COMPUTED_VALUE"""),"network_profile")</f>
        <v>network_profile</v>
      </c>
      <c r="P486" s="258"/>
    </row>
    <row r="487">
      <c r="A487" s="257" t="str">
        <f>IFERROR(__xludf.DUMMYFUNCTION("""COMPUTED_VALUE"""),"social_media_maverick_top_apps")</f>
        <v>social_media_maverick_top_apps</v>
      </c>
      <c r="B487" s="258" t="str">
        <f>IFERROR(__xludf.DUMMYFUNCTION("""COMPUTED_VALUE"""),"Audience/Persona")</f>
        <v>Audience/Persona</v>
      </c>
      <c r="C487" s="258" t="str">
        <f>IFERROR(__xludf.DUMMYFUNCTION("""COMPUTED_VALUE"""),"Non-PII")</f>
        <v>Non-PII</v>
      </c>
      <c r="D487" s="258" t="str">
        <f>IFERROR(__xludf.DUMMYFUNCTION("""COMPUTED_VALUE"""),"Non-PII")</f>
        <v>Non-PII</v>
      </c>
      <c r="E487" s="258" t="str">
        <f>IFERROR(__xludf.DUMMYFUNCTION("""COMPUTED_VALUE"""),"Top 1 app/site by data burn, total hits and active days in a month categorized under the Social Media Maverick profile
 For wireline subscribers, only subscriptions within Metro Manila (including some areas in Rizal) and with DSL, VDSL and GPON technolo"&amp;"gy value are covered.")</f>
        <v>Top 1 app/site by data burn, total hits and active days in a month categorized under the Social Media Maverick profile
 For wireline subscribers, only subscriptions within Metro Manila (including some areas in Rizal) and with DSL, VDSL and GPON technology value are covered.</v>
      </c>
      <c r="F487" s="258" t="str">
        <f>IFERROR(__xludf.DUMMYFUNCTION("""COMPUTED_VALUE"""),"Derived")</f>
        <v>Derived</v>
      </c>
      <c r="G487" s="258" t="str">
        <f>IFERROR(__xludf.DUMMYFUNCTION("""COMPUTED_VALUE"""),"varchar(1000)")</f>
        <v>varchar(1000)</v>
      </c>
      <c r="H487" s="258" t="str">
        <f>IFERROR(__xludf.DUMMYFUNCTION("""COMPUTED_VALUE"""),"facebook")</f>
        <v>facebook</v>
      </c>
      <c r="I487" s="258" t="str">
        <f>IFERROR(__xludf.DUMMYFUNCTION("""COMPUTED_VALUE"""),"EDO-UUP")</f>
        <v>EDO-UUP</v>
      </c>
      <c r="J487" s="258" t="str">
        <f>IFERROR(__xludf.DUMMYFUNCTION("""COMPUTED_VALUE"""),"Monthly")</f>
        <v>Monthly</v>
      </c>
      <c r="K487" s="258" t="str">
        <f>IFERROR(__xludf.DUMMYFUNCTION("""COMPUTED_VALUE"""),"")</f>
        <v/>
      </c>
      <c r="L487" s="258" t="str">
        <f>IFERROR(__xludf.DUMMYFUNCTION("""COMPUTED_VALUE"""),"GHP, GHP-PREPAID, TM, PW, GOMO, WIRELINE, BAYAN, GLOBE")</f>
        <v>GHP, GHP-PREPAID, TM, PW, GOMO, WIRELINE, BAYAN, GLOBE</v>
      </c>
      <c r="M487" s="258" t="str">
        <f>IFERROR(__xludf.DUMMYFUNCTION("""COMPUTED_VALUE"""),"Consumer, EG, SG, In house, IBG Traveler")</f>
        <v>Consumer, EG, SG, In house, IBG Traveler</v>
      </c>
      <c r="N487" s="258" t="str">
        <f>IFERROR(__xludf.DUMMYFUNCTION("""COMPUTED_VALUE"""),"interest")</f>
        <v>interest</v>
      </c>
      <c r="O487" s="258" t="str">
        <f>IFERROR(__xludf.DUMMYFUNCTION("""COMPUTED_VALUE"""),"network_profile")</f>
        <v>network_profile</v>
      </c>
      <c r="P487" s="258"/>
    </row>
    <row r="488">
      <c r="A488" s="257" t="str">
        <f>IFERROR(__xludf.DUMMYFUNCTION("""COMPUTED_VALUE"""),"telemedicine_top_apps")</f>
        <v>telemedicine_top_apps</v>
      </c>
      <c r="B488" s="258" t="str">
        <f>IFERROR(__xludf.DUMMYFUNCTION("""COMPUTED_VALUE"""),"Audience/Persona")</f>
        <v>Audience/Persona</v>
      </c>
      <c r="C488" s="258" t="str">
        <f>IFERROR(__xludf.DUMMYFUNCTION("""COMPUTED_VALUE"""),"Non-PII")</f>
        <v>Non-PII</v>
      </c>
      <c r="D488" s="258" t="str">
        <f>IFERROR(__xludf.DUMMYFUNCTION("""COMPUTED_VALUE"""),"Non-PII")</f>
        <v>Non-PII</v>
      </c>
      <c r="E488" s="258" t="str">
        <f>IFERROR(__xludf.DUMMYFUNCTION("""COMPUTED_VALUE"""),"Top 1 app/site by data burn, total hits and active days in a month categorized under the Telemedicine User profile
 For wireline subscribers, only subscriptions within Metro Manila (including some areas in Rizal) and with DSL, VDSL and GPON technology v"&amp;"alue are covered.")</f>
        <v>Top 1 app/site by data burn, total hits and active days in a month categorized under the Telemedicine User profile
 For wireline subscribers, only subscriptions within Metro Manila (including some areas in Rizal) and with DSL, VDSL and GPON technology value are covered.</v>
      </c>
      <c r="F488" s="258" t="str">
        <f>IFERROR(__xludf.DUMMYFUNCTION("""COMPUTED_VALUE"""),"Derived")</f>
        <v>Derived</v>
      </c>
      <c r="G488" s="258" t="str">
        <f>IFERROR(__xludf.DUMMYFUNCTION("""COMPUTED_VALUE"""),"varchar(1000)")</f>
        <v>varchar(1000)</v>
      </c>
      <c r="H488" s="258" t="str">
        <f>IFERROR(__xludf.DUMMYFUNCTION("""COMPUTED_VALUE"""),"healthnow")</f>
        <v>healthnow</v>
      </c>
      <c r="I488" s="258" t="str">
        <f>IFERROR(__xludf.DUMMYFUNCTION("""COMPUTED_VALUE"""),"EDO-UUP")</f>
        <v>EDO-UUP</v>
      </c>
      <c r="J488" s="258" t="str">
        <f>IFERROR(__xludf.DUMMYFUNCTION("""COMPUTED_VALUE"""),"Monthly")</f>
        <v>Monthly</v>
      </c>
      <c r="K488" s="258" t="str">
        <f>IFERROR(__xludf.DUMMYFUNCTION("""COMPUTED_VALUE"""),"")</f>
        <v/>
      </c>
      <c r="L488" s="258" t="str">
        <f>IFERROR(__xludf.DUMMYFUNCTION("""COMPUTED_VALUE"""),"GHP, GHP-PREPAID, TM, PW, GOMO, WIRELINE, BAYAN, GLOBE")</f>
        <v>GHP, GHP-PREPAID, TM, PW, GOMO, WIRELINE, BAYAN, GLOBE</v>
      </c>
      <c r="M488" s="258" t="str">
        <f>IFERROR(__xludf.DUMMYFUNCTION("""COMPUTED_VALUE"""),"Consumer, EG, SG, In house, IBG Traveler")</f>
        <v>Consumer, EG, SG, In house, IBG Traveler</v>
      </c>
      <c r="N488" s="258" t="str">
        <f>IFERROR(__xludf.DUMMYFUNCTION("""COMPUTED_VALUE"""),"interest")</f>
        <v>interest</v>
      </c>
      <c r="O488" s="258" t="str">
        <f>IFERROR(__xludf.DUMMYFUNCTION("""COMPUTED_VALUE"""),"network_profile")</f>
        <v>network_profile</v>
      </c>
      <c r="P488" s="258"/>
    </row>
    <row r="489">
      <c r="A489" s="257" t="str">
        <f>IFERROR(__xludf.DUMMYFUNCTION("""COMPUTED_VALUE"""),"health_buff_top_apps")</f>
        <v>health_buff_top_apps</v>
      </c>
      <c r="B489" s="258" t="str">
        <f>IFERROR(__xludf.DUMMYFUNCTION("""COMPUTED_VALUE"""),"Audience/Persona")</f>
        <v>Audience/Persona</v>
      </c>
      <c r="C489" s="258" t="str">
        <f>IFERROR(__xludf.DUMMYFUNCTION("""COMPUTED_VALUE"""),"Non-PII")</f>
        <v>Non-PII</v>
      </c>
      <c r="D489" s="258" t="str">
        <f>IFERROR(__xludf.DUMMYFUNCTION("""COMPUTED_VALUE"""),"Non-PII")</f>
        <v>Non-PII</v>
      </c>
      <c r="E489" s="258" t="str">
        <f>IFERROR(__xludf.DUMMYFUNCTION("""COMPUTED_VALUE"""),"Top 1 app/site by data burn, total hits and active days in a month categorized under the Health Buff profile
 For wireline subscribers, only subscriptions within Metro Manila (including some areas in Rizal) and with DSL, VDSL and GPON technology value a"&amp;"re covered.")</f>
        <v>Top 1 app/site by data burn, total hits and active days in a month categorized under the Health Buff profile
 For wireline subscribers, only subscriptions within Metro Manila (including some areas in Rizal) and with DSL, VDSL and GPON technology value are covered.</v>
      </c>
      <c r="F489" s="258" t="str">
        <f>IFERROR(__xludf.DUMMYFUNCTION("""COMPUTED_VALUE"""),"Derived")</f>
        <v>Derived</v>
      </c>
      <c r="G489" s="258" t="str">
        <f>IFERROR(__xludf.DUMMYFUNCTION("""COMPUTED_VALUE"""),"varchar(1000)")</f>
        <v>varchar(1000)</v>
      </c>
      <c r="H489" s="258" t="str">
        <f>IFERROR(__xludf.DUMMYFUNCTION("""COMPUTED_VALUE"""),"my_fitness_pal")</f>
        <v>my_fitness_pal</v>
      </c>
      <c r="I489" s="258" t="str">
        <f>IFERROR(__xludf.DUMMYFUNCTION("""COMPUTED_VALUE"""),"EDO-UUP")</f>
        <v>EDO-UUP</v>
      </c>
      <c r="J489" s="258" t="str">
        <f>IFERROR(__xludf.DUMMYFUNCTION("""COMPUTED_VALUE"""),"Monthly")</f>
        <v>Monthly</v>
      </c>
      <c r="K489" s="258" t="str">
        <f>IFERROR(__xludf.DUMMYFUNCTION("""COMPUTED_VALUE"""),"")</f>
        <v/>
      </c>
      <c r="L489" s="258" t="str">
        <f>IFERROR(__xludf.DUMMYFUNCTION("""COMPUTED_VALUE"""),"GHP, GHP-PREPAID, TM, PW, GOMO, WIRELINE, BAYAN, GLOBE")</f>
        <v>GHP, GHP-PREPAID, TM, PW, GOMO, WIRELINE, BAYAN, GLOBE</v>
      </c>
      <c r="M489" s="258" t="str">
        <f>IFERROR(__xludf.DUMMYFUNCTION("""COMPUTED_VALUE"""),"Consumer, EG, SG, In house, IBG Traveler")</f>
        <v>Consumer, EG, SG, In house, IBG Traveler</v>
      </c>
      <c r="N489" s="258" t="str">
        <f>IFERROR(__xludf.DUMMYFUNCTION("""COMPUTED_VALUE"""),"interest")</f>
        <v>interest</v>
      </c>
      <c r="O489" s="258" t="str">
        <f>IFERROR(__xludf.DUMMYFUNCTION("""COMPUTED_VALUE"""),"network_profile")</f>
        <v>network_profile</v>
      </c>
      <c r="P489" s="258"/>
    </row>
    <row r="490">
      <c r="A490" s="257" t="str">
        <f>IFERROR(__xludf.DUMMYFUNCTION("""COMPUTED_VALUE"""),"online_reader_top_apps")</f>
        <v>online_reader_top_apps</v>
      </c>
      <c r="B490" s="258" t="str">
        <f>IFERROR(__xludf.DUMMYFUNCTION("""COMPUTED_VALUE"""),"Audience/Persona")</f>
        <v>Audience/Persona</v>
      </c>
      <c r="C490" s="258" t="str">
        <f>IFERROR(__xludf.DUMMYFUNCTION("""COMPUTED_VALUE"""),"Non-PII")</f>
        <v>Non-PII</v>
      </c>
      <c r="D490" s="258" t="str">
        <f>IFERROR(__xludf.DUMMYFUNCTION("""COMPUTED_VALUE"""),"Non-PII")</f>
        <v>Non-PII</v>
      </c>
      <c r="E490" s="258" t="str">
        <f>IFERROR(__xludf.DUMMYFUNCTION("""COMPUTED_VALUE"""),"Top 1 app/site by data burn, total hits and active days in a month categorized under the Online Reader profile
 For wireline subscribers, only subscriptions within Metro Manila (including some areas in Rizal) and with DSL, VDSL and GPON technology value"&amp;" are covered.")</f>
        <v>Top 1 app/site by data burn, total hits and active days in a month categorized under the Online Reader profile
 For wireline subscribers, only subscriptions within Metro Manila (including some areas in Rizal) and with DSL, VDSL and GPON technology value are covered.</v>
      </c>
      <c r="F490" s="258" t="str">
        <f>IFERROR(__xludf.DUMMYFUNCTION("""COMPUTED_VALUE"""),"Derived")</f>
        <v>Derived</v>
      </c>
      <c r="G490" s="258" t="str">
        <f>IFERROR(__xludf.DUMMYFUNCTION("""COMPUTED_VALUE"""),"varchar(1000)")</f>
        <v>varchar(1000)</v>
      </c>
      <c r="H490" s="258" t="str">
        <f>IFERROR(__xludf.DUMMYFUNCTION("""COMPUTED_VALUE"""),"dreame")</f>
        <v>dreame</v>
      </c>
      <c r="I490" s="258" t="str">
        <f>IFERROR(__xludf.DUMMYFUNCTION("""COMPUTED_VALUE"""),"EDO-UUP")</f>
        <v>EDO-UUP</v>
      </c>
      <c r="J490" s="258" t="str">
        <f>IFERROR(__xludf.DUMMYFUNCTION("""COMPUTED_VALUE"""),"Monthly")</f>
        <v>Monthly</v>
      </c>
      <c r="K490" s="258" t="str">
        <f>IFERROR(__xludf.DUMMYFUNCTION("""COMPUTED_VALUE"""),"")</f>
        <v/>
      </c>
      <c r="L490" s="258" t="str">
        <f>IFERROR(__xludf.DUMMYFUNCTION("""COMPUTED_VALUE"""),"GHP, GHP-PREPAID, TM, PW, GOMO, WIRELINE, BAYAN, GLOBE")</f>
        <v>GHP, GHP-PREPAID, TM, PW, GOMO, WIRELINE, BAYAN, GLOBE</v>
      </c>
      <c r="M490" s="258" t="str">
        <f>IFERROR(__xludf.DUMMYFUNCTION("""COMPUTED_VALUE"""),"Consumer, EG, SG, In house, IBG Traveler")</f>
        <v>Consumer, EG, SG, In house, IBG Traveler</v>
      </c>
      <c r="N490" s="258" t="str">
        <f>IFERROR(__xludf.DUMMYFUNCTION("""COMPUTED_VALUE"""),"interest")</f>
        <v>interest</v>
      </c>
      <c r="O490" s="258" t="str">
        <f>IFERROR(__xludf.DUMMYFUNCTION("""COMPUTED_VALUE"""),"network_profile")</f>
        <v>network_profile</v>
      </c>
      <c r="P490" s="258"/>
    </row>
    <row r="491">
      <c r="A491" s="257" t="str">
        <f>IFERROR(__xludf.DUMMYFUNCTION("""COMPUTED_VALUE"""),"ott_user_top_apps")</f>
        <v>ott_user_top_apps</v>
      </c>
      <c r="B491" s="258" t="str">
        <f>IFERROR(__xludf.DUMMYFUNCTION("""COMPUTED_VALUE"""),"Audience/Persona")</f>
        <v>Audience/Persona</v>
      </c>
      <c r="C491" s="258" t="str">
        <f>IFERROR(__xludf.DUMMYFUNCTION("""COMPUTED_VALUE"""),"Non-PII")</f>
        <v>Non-PII</v>
      </c>
      <c r="D491" s="258" t="str">
        <f>IFERROR(__xludf.DUMMYFUNCTION("""COMPUTED_VALUE"""),"Non-PII")</f>
        <v>Non-PII</v>
      </c>
      <c r="E491" s="258" t="str">
        <f>IFERROR(__xludf.DUMMYFUNCTION("""COMPUTED_VALUE"""),"Top 1 app/site by data burn, total hits and active days in a month categorized under the OTT User profile
 For wireline subscribers, only subscriptions within Metro Manila (including some areas in Rizal) and with DSL, VDSL and GPON technology value are "&amp;"covered.")</f>
        <v>Top 1 app/site by data burn, total hits and active days in a month categorized under the OTT User profile
 For wireline subscribers, only subscriptions within Metro Manila (including some areas in Rizal) and with DSL, VDSL and GPON technology value are covered.</v>
      </c>
      <c r="F491" s="258" t="str">
        <f>IFERROR(__xludf.DUMMYFUNCTION("""COMPUTED_VALUE"""),"Derived")</f>
        <v>Derived</v>
      </c>
      <c r="G491" s="258" t="str">
        <f>IFERROR(__xludf.DUMMYFUNCTION("""COMPUTED_VALUE"""),"varchar(1000)")</f>
        <v>varchar(1000)</v>
      </c>
      <c r="H491" s="258" t="str">
        <f>IFERROR(__xludf.DUMMYFUNCTION("""COMPUTED_VALUE"""),"facebook_messenger")</f>
        <v>facebook_messenger</v>
      </c>
      <c r="I491" s="258" t="str">
        <f>IFERROR(__xludf.DUMMYFUNCTION("""COMPUTED_VALUE"""),"EDO-UUP")</f>
        <v>EDO-UUP</v>
      </c>
      <c r="J491" s="258" t="str">
        <f>IFERROR(__xludf.DUMMYFUNCTION("""COMPUTED_VALUE"""),"Monthly")</f>
        <v>Monthly</v>
      </c>
      <c r="K491" s="258" t="str">
        <f>IFERROR(__xludf.DUMMYFUNCTION("""COMPUTED_VALUE"""),"")</f>
        <v/>
      </c>
      <c r="L491" s="258" t="str">
        <f>IFERROR(__xludf.DUMMYFUNCTION("""COMPUTED_VALUE"""),"GHP, GHP-PREPAID, TM, PW, GOMO, WIRELINE, BAYAN, GLOBE")</f>
        <v>GHP, GHP-PREPAID, TM, PW, GOMO, WIRELINE, BAYAN, GLOBE</v>
      </c>
      <c r="M491" s="258" t="str">
        <f>IFERROR(__xludf.DUMMYFUNCTION("""COMPUTED_VALUE"""),"Consumer, EG, SG, In house, IBG Traveler")</f>
        <v>Consumer, EG, SG, In house, IBG Traveler</v>
      </c>
      <c r="N491" s="258" t="str">
        <f>IFERROR(__xludf.DUMMYFUNCTION("""COMPUTED_VALUE"""),"interest")</f>
        <v>interest</v>
      </c>
      <c r="O491" s="258" t="str">
        <f>IFERROR(__xludf.DUMMYFUNCTION("""COMPUTED_VALUE"""),"network_profile")</f>
        <v>network_profile</v>
      </c>
      <c r="P491" s="258"/>
    </row>
    <row r="492">
      <c r="A492" s="257" t="str">
        <f>IFERROR(__xludf.DUMMYFUNCTION("""COMPUTED_VALUE"""),"loyalty_card_owner_mode")</f>
        <v>loyalty_card_owner_mode</v>
      </c>
      <c r="B492" s="258" t="str">
        <f>IFERROR(__xludf.DUMMYFUNCTION("""COMPUTED_VALUE"""),"Audience/Persona")</f>
        <v>Audience/Persona</v>
      </c>
      <c r="C492" s="258" t="str">
        <f>IFERROR(__xludf.DUMMYFUNCTION("""COMPUTED_VALUE"""),"Non-PII")</f>
        <v>Non-PII</v>
      </c>
      <c r="D492" s="258" t="str">
        <f>IFERROR(__xludf.DUMMYFUNCTION("""COMPUTED_VALUE"""),"Non-PII")</f>
        <v>Non-PII</v>
      </c>
      <c r="E492" s="258" t="str">
        <f>IFERROR(__xludf.DUMMYFUNCTION("""COMPUTED_VALUE"""),"Top 1 tag by Total Active Cards in a Month categorized under the Loyalty Card Owner profile")</f>
        <v>Top 1 tag by Total Active Cards in a Month categorized under the Loyalty Card Owner profile</v>
      </c>
      <c r="F492" s="258" t="str">
        <f>IFERROR(__xludf.DUMMYFUNCTION("""COMPUTED_VALUE"""),"Derived")</f>
        <v>Derived</v>
      </c>
      <c r="G492" s="258" t="str">
        <f>IFERROR(__xludf.DUMMYFUNCTION("""COMPUTED_VALUE"""),"varchar(1000)")</f>
        <v>varchar(1000)</v>
      </c>
      <c r="H492" s="258" t="str">
        <f>IFERROR(__xludf.DUMMYFUNCTION("""COMPUTED_VALUE"""),"robrewards")</f>
        <v>robrewards</v>
      </c>
      <c r="I492" s="258" t="str">
        <f>IFERROR(__xludf.DUMMYFUNCTION("""COMPUTED_VALUE"""),"EDO-UUP")</f>
        <v>EDO-UUP</v>
      </c>
      <c r="J492" s="258" t="str">
        <f>IFERROR(__xludf.DUMMYFUNCTION("""COMPUTED_VALUE"""),"Monthly")</f>
        <v>Monthly</v>
      </c>
      <c r="K492" s="258" t="str">
        <f>IFERROR(__xludf.DUMMYFUNCTION("""COMPUTED_VALUE"""),"")</f>
        <v/>
      </c>
      <c r="L492" s="258" t="str">
        <f>IFERROR(__xludf.DUMMYFUNCTION("""COMPUTED_VALUE"""),"GHP, GHP-PREPAID, TM, PW")</f>
        <v>GHP, GHP-PREPAID, TM, PW</v>
      </c>
      <c r="M492" s="258" t="str">
        <f>IFERROR(__xludf.DUMMYFUNCTION("""COMPUTED_VALUE"""),"Consumer, EG, SG, In house, IBG Traveler")</f>
        <v>Consumer, EG, SG, In house, IBG Traveler</v>
      </c>
      <c r="N492" s="258" t="str">
        <f>IFERROR(__xludf.DUMMYFUNCTION("""COMPUTED_VALUE"""),"interest")</f>
        <v>interest</v>
      </c>
      <c r="O492" s="258" t="str">
        <f>IFERROR(__xludf.DUMMYFUNCTION("""COMPUTED_VALUE"""),"network_profile")</f>
        <v>network_profile</v>
      </c>
      <c r="P492" s="258"/>
    </row>
    <row r="493">
      <c r="A493" s="257" t="str">
        <f>IFERROR(__xludf.DUMMYFUNCTION("""COMPUTED_VALUE"""),"aspiring_chef_top_apps")</f>
        <v>aspiring_chef_top_apps</v>
      </c>
      <c r="B493" s="258" t="str">
        <f>IFERROR(__xludf.DUMMYFUNCTION("""COMPUTED_VALUE"""),"Audience/Persona")</f>
        <v>Audience/Persona</v>
      </c>
      <c r="C493" s="258" t="str">
        <f>IFERROR(__xludf.DUMMYFUNCTION("""COMPUTED_VALUE"""),"Non-PII")</f>
        <v>Non-PII</v>
      </c>
      <c r="D493" s="258" t="str">
        <f>IFERROR(__xludf.DUMMYFUNCTION("""COMPUTED_VALUE"""),"Non-PII")</f>
        <v>Non-PII</v>
      </c>
      <c r="E493" s="258" t="str">
        <f>IFERROR(__xludf.DUMMYFUNCTION("""COMPUTED_VALUE"""),"Top 1 app/site by data burn, total hits and active days in a month categorized under the Aspiring Chef profile
 For wireline subscribers, only subscriptions within Metro Manila (including some areas in Rizal) and with DSL, VDSL and GPON technology value"&amp;" are covered.")</f>
        <v>Top 1 app/site by data burn, total hits and active days in a month categorized under the Aspiring Chef profile
 For wireline subscribers, only subscriptions within Metro Manila (including some areas in Rizal) and with DSL, VDSL and GPON technology value are covered.</v>
      </c>
      <c r="F493" s="258" t="str">
        <f>IFERROR(__xludf.DUMMYFUNCTION("""COMPUTED_VALUE"""),"Derived")</f>
        <v>Derived</v>
      </c>
      <c r="G493" s="258" t="str">
        <f>IFERROR(__xludf.DUMMYFUNCTION("""COMPUTED_VALUE"""),"varchar(1000)")</f>
        <v>varchar(1000)</v>
      </c>
      <c r="H493" s="258" t="str">
        <f>IFERROR(__xludf.DUMMYFUNCTION("""COMPUTED_VALUE"""),"yummy")</f>
        <v>yummy</v>
      </c>
      <c r="I493" s="258" t="str">
        <f>IFERROR(__xludf.DUMMYFUNCTION("""COMPUTED_VALUE"""),"EDO-UUP")</f>
        <v>EDO-UUP</v>
      </c>
      <c r="J493" s="258" t="str">
        <f>IFERROR(__xludf.DUMMYFUNCTION("""COMPUTED_VALUE"""),"Monthly")</f>
        <v>Monthly</v>
      </c>
      <c r="K493" s="258" t="str">
        <f>IFERROR(__xludf.DUMMYFUNCTION("""COMPUTED_VALUE"""),"")</f>
        <v/>
      </c>
      <c r="L493" s="258" t="str">
        <f>IFERROR(__xludf.DUMMYFUNCTION("""COMPUTED_VALUE"""),"GHP, GHP-PREPAID, TM, PW, GOMO, WIRELINE, BAYAN, GLOBE")</f>
        <v>GHP, GHP-PREPAID, TM, PW, GOMO, WIRELINE, BAYAN, GLOBE</v>
      </c>
      <c r="M493" s="258" t="str">
        <f>IFERROR(__xludf.DUMMYFUNCTION("""COMPUTED_VALUE"""),"Consumer, EG, SG, In house, IBG Traveler")</f>
        <v>Consumer, EG, SG, In house, IBG Traveler</v>
      </c>
      <c r="N493" s="258" t="str">
        <f>IFERROR(__xludf.DUMMYFUNCTION("""COMPUTED_VALUE"""),"interest")</f>
        <v>interest</v>
      </c>
      <c r="O493" s="258" t="str">
        <f>IFERROR(__xludf.DUMMYFUNCTION("""COMPUTED_VALUE"""),"network_profile")</f>
        <v>network_profile</v>
      </c>
      <c r="P493" s="258"/>
    </row>
    <row r="494">
      <c r="A494" s="257" t="str">
        <f>IFERROR(__xludf.DUMMYFUNCTION("""COMPUTED_VALUE"""),"online_learner_top_apps")</f>
        <v>online_learner_top_apps</v>
      </c>
      <c r="B494" s="258" t="str">
        <f>IFERROR(__xludf.DUMMYFUNCTION("""COMPUTED_VALUE"""),"Audience/Persona")</f>
        <v>Audience/Persona</v>
      </c>
      <c r="C494" s="258" t="str">
        <f>IFERROR(__xludf.DUMMYFUNCTION("""COMPUTED_VALUE"""),"Non-PII")</f>
        <v>Non-PII</v>
      </c>
      <c r="D494" s="258" t="str">
        <f>IFERROR(__xludf.DUMMYFUNCTION("""COMPUTED_VALUE"""),"Non-PII")</f>
        <v>Non-PII</v>
      </c>
      <c r="E494" s="258" t="str">
        <f>IFERROR(__xludf.DUMMYFUNCTION("""COMPUTED_VALUE"""),"Top 1 app/site by data burn, total hits and active days in a month categorized under the Online Learner profile
 For wireline subscribers, only subscriptions within Metro Manila (including some areas in Rizal) and with DSL, VDSL and GPON technology valu"&amp;"e are covered.")</f>
        <v>Top 1 app/site by data burn, total hits and active days in a month categorized under the Online Learner profile
 For wireline subscribers, only subscriptions within Metro Manila (including some areas in Rizal) and with DSL, VDSL and GPON technology value are covered.</v>
      </c>
      <c r="F494" s="258" t="str">
        <f>IFERROR(__xludf.DUMMYFUNCTION("""COMPUTED_VALUE"""),"Derived")</f>
        <v>Derived</v>
      </c>
      <c r="G494" s="258" t="str">
        <f>IFERROR(__xludf.DUMMYFUNCTION("""COMPUTED_VALUE"""),"varchar(1000)")</f>
        <v>varchar(1000)</v>
      </c>
      <c r="H494" s="258" t="str">
        <f>IFERROR(__xludf.DUMMYFUNCTION("""COMPUTED_VALUE"""),"udemy")</f>
        <v>udemy</v>
      </c>
      <c r="I494" s="258" t="str">
        <f>IFERROR(__xludf.DUMMYFUNCTION("""COMPUTED_VALUE"""),"EDO-UUP")</f>
        <v>EDO-UUP</v>
      </c>
      <c r="J494" s="258" t="str">
        <f>IFERROR(__xludf.DUMMYFUNCTION("""COMPUTED_VALUE"""),"Monthly")</f>
        <v>Monthly</v>
      </c>
      <c r="K494" s="258" t="str">
        <f>IFERROR(__xludf.DUMMYFUNCTION("""COMPUTED_VALUE"""),"")</f>
        <v/>
      </c>
      <c r="L494" s="258" t="str">
        <f>IFERROR(__xludf.DUMMYFUNCTION("""COMPUTED_VALUE"""),"GHP, GHP-PREPAID, TM, PW, GOMO, WIRELINE, BAYAN, GLOBE")</f>
        <v>GHP, GHP-PREPAID, TM, PW, GOMO, WIRELINE, BAYAN, GLOBE</v>
      </c>
      <c r="M494" s="258" t="str">
        <f>IFERROR(__xludf.DUMMYFUNCTION("""COMPUTED_VALUE"""),"Consumer, EG, SG, In house, IBG Traveler")</f>
        <v>Consumer, EG, SG, In house, IBG Traveler</v>
      </c>
      <c r="N494" s="258" t="str">
        <f>IFERROR(__xludf.DUMMYFUNCTION("""COMPUTED_VALUE"""),"interest")</f>
        <v>interest</v>
      </c>
      <c r="O494" s="258" t="str">
        <f>IFERROR(__xludf.DUMMYFUNCTION("""COMPUTED_VALUE"""),"network_profile")</f>
        <v>network_profile</v>
      </c>
      <c r="P494" s="258"/>
    </row>
    <row r="495">
      <c r="A495" s="257" t="str">
        <f>IFERROR(__xludf.DUMMYFUNCTION("""COMPUTED_VALUE"""),"digital_creative_top_apps")</f>
        <v>digital_creative_top_apps</v>
      </c>
      <c r="B495" s="258" t="str">
        <f>IFERROR(__xludf.DUMMYFUNCTION("""COMPUTED_VALUE"""),"Audience/Persona")</f>
        <v>Audience/Persona</v>
      </c>
      <c r="C495" s="258" t="str">
        <f>IFERROR(__xludf.DUMMYFUNCTION("""COMPUTED_VALUE"""),"Non-PII")</f>
        <v>Non-PII</v>
      </c>
      <c r="D495" s="258" t="str">
        <f>IFERROR(__xludf.DUMMYFUNCTION("""COMPUTED_VALUE"""),"Non-PII")</f>
        <v>Non-PII</v>
      </c>
      <c r="E495" s="258" t="str">
        <f>IFERROR(__xludf.DUMMYFUNCTION("""COMPUTED_VALUE"""),"Top 1 app/site by data burn, total hits and active days in a month categorized under the Digital Creative profile
 For wireline subscribers, only subscriptions within Metro Manila (including some areas in Rizal) and with DSL, VDSL and GPON technology va"&amp;"lue are covered.")</f>
        <v>Top 1 app/site by data burn, total hits and active days in a month categorized under the Digital Creative profile
 For wireline subscribers, only subscriptions within Metro Manila (including some areas in Rizal) and with DSL, VDSL and GPON technology value are covered.</v>
      </c>
      <c r="F495" s="258" t="str">
        <f>IFERROR(__xludf.DUMMYFUNCTION("""COMPUTED_VALUE"""),"Derived")</f>
        <v>Derived</v>
      </c>
      <c r="G495" s="258" t="str">
        <f>IFERROR(__xludf.DUMMYFUNCTION("""COMPUTED_VALUE"""),"varchar(1000)")</f>
        <v>varchar(1000)</v>
      </c>
      <c r="H495" s="258" t="str">
        <f>IFERROR(__xludf.DUMMYFUNCTION("""COMPUTED_VALUE"""),"tiktok")</f>
        <v>tiktok</v>
      </c>
      <c r="I495" s="258" t="str">
        <f>IFERROR(__xludf.DUMMYFUNCTION("""COMPUTED_VALUE"""),"EDO-UUP")</f>
        <v>EDO-UUP</v>
      </c>
      <c r="J495" s="258" t="str">
        <f>IFERROR(__xludf.DUMMYFUNCTION("""COMPUTED_VALUE"""),"Monthly")</f>
        <v>Monthly</v>
      </c>
      <c r="K495" s="258" t="str">
        <f>IFERROR(__xludf.DUMMYFUNCTION("""COMPUTED_VALUE"""),"")</f>
        <v/>
      </c>
      <c r="L495" s="258" t="str">
        <f>IFERROR(__xludf.DUMMYFUNCTION("""COMPUTED_VALUE"""),"GHP, GHP-PREPAID, TM, PW, GOMO, WIRELINE, BAYAN, GLOBE")</f>
        <v>GHP, GHP-PREPAID, TM, PW, GOMO, WIRELINE, BAYAN, GLOBE</v>
      </c>
      <c r="M495" s="258" t="str">
        <f>IFERROR(__xludf.DUMMYFUNCTION("""COMPUTED_VALUE"""),"Consumer, EG, SG, In house, IBG Traveler")</f>
        <v>Consumer, EG, SG, In house, IBG Traveler</v>
      </c>
      <c r="N495" s="258" t="str">
        <f>IFERROR(__xludf.DUMMYFUNCTION("""COMPUTED_VALUE"""),"interest")</f>
        <v>interest</v>
      </c>
      <c r="O495" s="258" t="str">
        <f>IFERROR(__xludf.DUMMYFUNCTION("""COMPUTED_VALUE"""),"network_profile")</f>
        <v>network_profile</v>
      </c>
      <c r="P495" s="258"/>
    </row>
    <row r="496">
      <c r="A496" s="257" t="str">
        <f>IFERROR(__xludf.DUMMYFUNCTION("""COMPUTED_VALUE"""),"productivity_tools_user_top_apps")</f>
        <v>productivity_tools_user_top_apps</v>
      </c>
      <c r="B496" s="258" t="str">
        <f>IFERROR(__xludf.DUMMYFUNCTION("""COMPUTED_VALUE"""),"Audience/Persona")</f>
        <v>Audience/Persona</v>
      </c>
      <c r="C496" s="258" t="str">
        <f>IFERROR(__xludf.DUMMYFUNCTION("""COMPUTED_VALUE"""),"Non-PII")</f>
        <v>Non-PII</v>
      </c>
      <c r="D496" s="258" t="str">
        <f>IFERROR(__xludf.DUMMYFUNCTION("""COMPUTED_VALUE"""),"Non-PII")</f>
        <v>Non-PII</v>
      </c>
      <c r="E496" s="258" t="str">
        <f>IFERROR(__xludf.DUMMYFUNCTION("""COMPUTED_VALUE"""),"Top 1 app/site by data burn, total hits and active days in a month categorized under the Productivity Tools User profile
 For wireline subscribers, only subscriptions within Metro Manila (including some areas in Rizal) and with DSL, VDSL and GPON techno"&amp;"logy value are covered.")</f>
        <v>Top 1 app/site by data burn, total hits and active days in a month categorized under the Productivity Tools User profile
 For wireline subscribers, only subscriptions within Metro Manila (including some areas in Rizal) and with DSL, VDSL and GPON technology value are covered.</v>
      </c>
      <c r="F496" s="258" t="str">
        <f>IFERROR(__xludf.DUMMYFUNCTION("""COMPUTED_VALUE"""),"Derived")</f>
        <v>Derived</v>
      </c>
      <c r="G496" s="258" t="str">
        <f>IFERROR(__xludf.DUMMYFUNCTION("""COMPUTED_VALUE"""),"varchar(1000)")</f>
        <v>varchar(1000)</v>
      </c>
      <c r="H496" s="258" t="str">
        <f>IFERROR(__xludf.DUMMYFUNCTION("""COMPUTED_VALUE"""),"google_docs")</f>
        <v>google_docs</v>
      </c>
      <c r="I496" s="258" t="str">
        <f>IFERROR(__xludf.DUMMYFUNCTION("""COMPUTED_VALUE"""),"EDO-UUP")</f>
        <v>EDO-UUP</v>
      </c>
      <c r="J496" s="258" t="str">
        <f>IFERROR(__xludf.DUMMYFUNCTION("""COMPUTED_VALUE"""),"Monthly")</f>
        <v>Monthly</v>
      </c>
      <c r="K496" s="258" t="str">
        <f>IFERROR(__xludf.DUMMYFUNCTION("""COMPUTED_VALUE"""),"")</f>
        <v/>
      </c>
      <c r="L496" s="258" t="str">
        <f>IFERROR(__xludf.DUMMYFUNCTION("""COMPUTED_VALUE"""),"GHP, GHP-PREPAID, TM, PW, GOMO, WIRELINE, BAYAN, GLOBE")</f>
        <v>GHP, GHP-PREPAID, TM, PW, GOMO, WIRELINE, BAYAN, GLOBE</v>
      </c>
      <c r="M496" s="258" t="str">
        <f>IFERROR(__xludf.DUMMYFUNCTION("""COMPUTED_VALUE"""),"Consumer, EG, SG, In house, IBG Traveler")</f>
        <v>Consumer, EG, SG, In house, IBG Traveler</v>
      </c>
      <c r="N496" s="258" t="str">
        <f>IFERROR(__xludf.DUMMYFUNCTION("""COMPUTED_VALUE"""),"interest")</f>
        <v>interest</v>
      </c>
      <c r="O496" s="258" t="str">
        <f>IFERROR(__xludf.DUMMYFUNCTION("""COMPUTED_VALUE"""),"network_profile")</f>
        <v>network_profile</v>
      </c>
      <c r="P496" s="258"/>
    </row>
    <row r="497">
      <c r="A497" s="257" t="str">
        <f>IFERROR(__xludf.DUMMYFUNCTION("""COMPUTED_VALUE"""),"top_apps_hits")</f>
        <v>top_apps_hits</v>
      </c>
      <c r="B497" s="258" t="str">
        <f>IFERROR(__xludf.DUMMYFUNCTION("""COMPUTED_VALUE"""),"Audience/Persona")</f>
        <v>Audience/Persona</v>
      </c>
      <c r="C497" s="258" t="str">
        <f>IFERROR(__xludf.DUMMYFUNCTION("""COMPUTED_VALUE"""),"Non-PII")</f>
        <v>Non-PII</v>
      </c>
      <c r="D497" s="258" t="str">
        <f>IFERROR(__xludf.DUMMYFUNCTION("""COMPUTED_VALUE"""),"Non-PII")</f>
        <v>Non-PII</v>
      </c>
      <c r="E497" s="258" t="str">
        <f>IFERROR(__xludf.DUMMYFUNCTION("""COMPUTED_VALUE"""),"Top application by hits for a month.
 For wireline subscribers, only subscriptions within Metro Manila (including some areas in Rizal) and with DSL, VDSL and GPON technology value are covered.")</f>
        <v>Top application by hits for a month.
 For wireline subscribers, only subscriptions within Metro Manila (including some areas in Rizal) and with DSL, VDSL and GPON technology value are covered.</v>
      </c>
      <c r="F497" s="258" t="str">
        <f>IFERROR(__xludf.DUMMYFUNCTION("""COMPUTED_VALUE"""),"Derived")</f>
        <v>Derived</v>
      </c>
      <c r="G497" s="258" t="str">
        <f>IFERROR(__xludf.DUMMYFUNCTION("""COMPUTED_VALUE"""),"varchar(1000)")</f>
        <v>varchar(1000)</v>
      </c>
      <c r="H497" s="258" t="str">
        <f>IFERROR(__xludf.DUMMYFUNCTION("""COMPUTED_VALUE"""),"zoom")</f>
        <v>zoom</v>
      </c>
      <c r="I497" s="258" t="str">
        <f>IFERROR(__xludf.DUMMYFUNCTION("""COMPUTED_VALUE"""),"EDO-UUP")</f>
        <v>EDO-UUP</v>
      </c>
      <c r="J497" s="258" t="str">
        <f>IFERROR(__xludf.DUMMYFUNCTION("""COMPUTED_VALUE"""),"Monthly")</f>
        <v>Monthly</v>
      </c>
      <c r="K497" s="258" t="str">
        <f>IFERROR(__xludf.DUMMYFUNCTION("""COMPUTED_VALUE"""),"")</f>
        <v/>
      </c>
      <c r="L497" s="258" t="str">
        <f>IFERROR(__xludf.DUMMYFUNCTION("""COMPUTED_VALUE"""),"GHP, GHP-PREPAID, TM, PW, GOMO, WIRELINE, BAYAN, GLOBE")</f>
        <v>GHP, GHP-PREPAID, TM, PW, GOMO, WIRELINE, BAYAN, GLOBE</v>
      </c>
      <c r="M497" s="258" t="str">
        <f>IFERROR(__xludf.DUMMYFUNCTION("""COMPUTED_VALUE"""),"Consumer, EG, SG, In house, IBG Traveler")</f>
        <v>Consumer, EG, SG, In house, IBG Traveler</v>
      </c>
      <c r="N497" s="258" t="str">
        <f>IFERROR(__xludf.DUMMYFUNCTION("""COMPUTED_VALUE"""),"interest")</f>
        <v>interest</v>
      </c>
      <c r="O497" s="258" t="str">
        <f>IFERROR(__xludf.DUMMYFUNCTION("""COMPUTED_VALUE"""),"network_profile")</f>
        <v>network_profile</v>
      </c>
      <c r="P497" s="258"/>
    </row>
    <row r="498">
      <c r="A498" s="257" t="str">
        <f>IFERROR(__xludf.DUMMYFUNCTION("""COMPUTED_VALUE"""),"top_apps_burn")</f>
        <v>top_apps_burn</v>
      </c>
      <c r="B498" s="258" t="str">
        <f>IFERROR(__xludf.DUMMYFUNCTION("""COMPUTED_VALUE"""),"Audience/Persona")</f>
        <v>Audience/Persona</v>
      </c>
      <c r="C498" s="258" t="str">
        <f>IFERROR(__xludf.DUMMYFUNCTION("""COMPUTED_VALUE"""),"Non-PII")</f>
        <v>Non-PII</v>
      </c>
      <c r="D498" s="258" t="str">
        <f>IFERROR(__xludf.DUMMYFUNCTION("""COMPUTED_VALUE"""),"Non-PII")</f>
        <v>Non-PII</v>
      </c>
      <c r="E498" s="258" t="str">
        <f>IFERROR(__xludf.DUMMYFUNCTION("""COMPUTED_VALUE"""),"Top 1 application by data burn for a month
 For wireline subscribers, only subscriptions within Metro Manila (including some areas in Rizal) and with DSL, VDSL and GPON technology value are covered.")</f>
        <v>Top 1 application by data burn for a month
 For wireline subscribers, only subscriptions within Metro Manila (including some areas in Rizal) and with DSL, VDSL and GPON technology value are covered.</v>
      </c>
      <c r="F498" s="258" t="str">
        <f>IFERROR(__xludf.DUMMYFUNCTION("""COMPUTED_VALUE"""),"Derived")</f>
        <v>Derived</v>
      </c>
      <c r="G498" s="258" t="str">
        <f>IFERROR(__xludf.DUMMYFUNCTION("""COMPUTED_VALUE"""),"varchar(1000)")</f>
        <v>varchar(1000)</v>
      </c>
      <c r="H498" s="258" t="str">
        <f>IFERROR(__xludf.DUMMYFUNCTION("""COMPUTED_VALUE"""),"facebook")</f>
        <v>facebook</v>
      </c>
      <c r="I498" s="258" t="str">
        <f>IFERROR(__xludf.DUMMYFUNCTION("""COMPUTED_VALUE"""),"EDO-UUP")</f>
        <v>EDO-UUP</v>
      </c>
      <c r="J498" s="258" t="str">
        <f>IFERROR(__xludf.DUMMYFUNCTION("""COMPUTED_VALUE"""),"Monthly")</f>
        <v>Monthly</v>
      </c>
      <c r="K498" s="258" t="str">
        <f>IFERROR(__xludf.DUMMYFUNCTION("""COMPUTED_VALUE"""),"")</f>
        <v/>
      </c>
      <c r="L498" s="258" t="str">
        <f>IFERROR(__xludf.DUMMYFUNCTION("""COMPUTED_VALUE"""),"GHP, GHP-PREPAID, TM, PW, GOMO, WIRELINE, BAYAN, GLOBE")</f>
        <v>GHP, GHP-PREPAID, TM, PW, GOMO, WIRELINE, BAYAN, GLOBE</v>
      </c>
      <c r="M498" s="258" t="str">
        <f>IFERROR(__xludf.DUMMYFUNCTION("""COMPUTED_VALUE"""),"Consumer, EG, SG, In house, IBG Traveler")</f>
        <v>Consumer, EG, SG, In house, IBG Traveler</v>
      </c>
      <c r="N498" s="258" t="str">
        <f>IFERROR(__xludf.DUMMYFUNCTION("""COMPUTED_VALUE"""),"interest")</f>
        <v>interest</v>
      </c>
      <c r="O498" s="258" t="str">
        <f>IFERROR(__xludf.DUMMYFUNCTION("""COMPUTED_VALUE"""),"network_profile")</f>
        <v>network_profile</v>
      </c>
      <c r="P498" s="258"/>
    </row>
    <row r="499">
      <c r="A499" s="257" t="str">
        <f>IFERROR(__xludf.DUMMYFUNCTION("""COMPUTED_VALUE"""),"usage_vas_ppu_amount_past_90days")</f>
        <v>usage_vas_ppu_amount_past_90days</v>
      </c>
      <c r="B499" s="258" t="str">
        <f>IFERROR(__xludf.DUMMYFUNCTION("""COMPUTED_VALUE"""),"Behavioral")</f>
        <v>Behavioral</v>
      </c>
      <c r="C499" s="258" t="str">
        <f>IFERROR(__xludf.DUMMYFUNCTION("""COMPUTED_VALUE"""),"Non-PII")</f>
        <v>Non-PII</v>
      </c>
      <c r="D499" s="258" t="str">
        <f>IFERROR(__xludf.DUMMYFUNCTION("""COMPUTED_VALUE"""),"Non-PII")</f>
        <v>Non-PII</v>
      </c>
      <c r="E499" s="258" t="str">
        <f>IFERROR(__xludf.DUMMYFUNCTION("""COMPUTED_VALUE"""),"Total charge amount for PPU value added service transactions for the past 90 days")</f>
        <v>Total charge amount for PPU value added service transactions for the past 90 days</v>
      </c>
      <c r="F499" s="258" t="str">
        <f>IFERROR(__xludf.DUMMYFUNCTION("""COMPUTED_VALUE"""),"Derived")</f>
        <v>Derived</v>
      </c>
      <c r="G499" s="258" t="str">
        <f>IFERROR(__xludf.DUMMYFUNCTION("""COMPUTED_VALUE"""),"numeric(21,2)")</f>
        <v>numeric(21,2)</v>
      </c>
      <c r="H499" s="258">
        <f>IFERROR(__xludf.DUMMYFUNCTION("""COMPUTED_VALUE"""),10.0)</f>
        <v>10</v>
      </c>
      <c r="I499" s="258" t="str">
        <f>IFERROR(__xludf.DUMMYFUNCTION("""COMPUTED_VALUE"""),"SG")</f>
        <v>SG</v>
      </c>
      <c r="J499" s="258" t="str">
        <f>IFERROR(__xludf.DUMMYFUNCTION("""COMPUTED_VALUE"""),"Daily")</f>
        <v>Daily</v>
      </c>
      <c r="K499" s="258" t="str">
        <f>IFERROR(__xludf.DUMMYFUNCTION("""COMPUTED_VALUE"""),"")</f>
        <v/>
      </c>
      <c r="L499" s="258" t="str">
        <f>IFERROR(__xludf.DUMMYFUNCTION("""COMPUTED_VALUE"""),"GHP, GHP-PREPAID, TM, PW, WIRELINE")</f>
        <v>GHP, GHP-PREPAID, TM, PW, WIRELINE</v>
      </c>
      <c r="M499" s="258" t="str">
        <f>IFERROR(__xludf.DUMMYFUNCTION("""COMPUTED_VALUE"""),"Consumer, EG, SG, In house, IBG Traveler")</f>
        <v>Consumer, EG, SG, In house, IBG Traveler</v>
      </c>
      <c r="N499" s="258" t="str">
        <f>IFERROR(__xludf.DUMMYFUNCTION("""COMPUTED_VALUE"""),"usage")</f>
        <v>usage</v>
      </c>
      <c r="O499" s="258" t="str">
        <f>IFERROR(__xludf.DUMMYFUNCTION("""COMPUTED_VALUE"""),"adjustment_profile")</f>
        <v>adjustment_profile</v>
      </c>
      <c r="P499" s="258"/>
    </row>
    <row r="500">
      <c r="A500" s="257" t="str">
        <f>IFERROR(__xludf.DUMMYFUNCTION("""COMPUTED_VALUE"""),"usage_data_roaming_ppu_mb_past_90days")</f>
        <v>usage_data_roaming_ppu_mb_past_90days</v>
      </c>
      <c r="B500" s="258" t="str">
        <f>IFERROR(__xludf.DUMMYFUNCTION("""COMPUTED_VALUE"""),"Behavioral")</f>
        <v>Behavioral</v>
      </c>
      <c r="C500" s="258" t="str">
        <f>IFERROR(__xludf.DUMMYFUNCTION("""COMPUTED_VALUE"""),"Non-PII")</f>
        <v>Non-PII</v>
      </c>
      <c r="D500" s="258" t="str">
        <f>IFERROR(__xludf.DUMMYFUNCTION("""COMPUTED_VALUE"""),"Non-PII")</f>
        <v>Non-PII</v>
      </c>
      <c r="E500" s="258" t="str">
        <f>IFERROR(__xludf.DUMMYFUNCTION("""COMPUTED_VALUE"""),"Total volume of PPU data roaming usage transactions in megabytes for the past 90 days")</f>
        <v>Total volume of PPU data roaming usage transactions in megabytes for the past 90 days</v>
      </c>
      <c r="F500" s="258" t="str">
        <f>IFERROR(__xludf.DUMMYFUNCTION("""COMPUTED_VALUE"""),"Derived")</f>
        <v>Derived</v>
      </c>
      <c r="G500" s="258" t="str">
        <f>IFERROR(__xludf.DUMMYFUNCTION("""COMPUTED_VALUE"""),"integer")</f>
        <v>integer</v>
      </c>
      <c r="H500" s="258">
        <f>IFERROR(__xludf.DUMMYFUNCTION("""COMPUTED_VALUE"""),15.0)</f>
        <v>15</v>
      </c>
      <c r="I500" s="258" t="str">
        <f>IFERROR(__xludf.DUMMYFUNCTION("""COMPUTED_VALUE"""),"SG")</f>
        <v>SG</v>
      </c>
      <c r="J500" s="258" t="str">
        <f>IFERROR(__xludf.DUMMYFUNCTION("""COMPUTED_VALUE"""),"Daily")</f>
        <v>Daily</v>
      </c>
      <c r="K500" s="258" t="str">
        <f>IFERROR(__xludf.DUMMYFUNCTION("""COMPUTED_VALUE"""),"")</f>
        <v/>
      </c>
      <c r="L500" s="258" t="str">
        <f>IFERROR(__xludf.DUMMYFUNCTION("""COMPUTED_VALUE"""),"GHP")</f>
        <v>GHP</v>
      </c>
      <c r="M500" s="258" t="str">
        <f>IFERROR(__xludf.DUMMYFUNCTION("""COMPUTED_VALUE"""),"Consumer, EG, SG, In house")</f>
        <v>Consumer, EG, SG, In house</v>
      </c>
      <c r="N500" s="258" t="str">
        <f>IFERROR(__xludf.DUMMYFUNCTION("""COMPUTED_VALUE"""),"usage")</f>
        <v>usage</v>
      </c>
      <c r="O500" s="258" t="str">
        <f>IFERROR(__xludf.DUMMYFUNCTION("""COMPUTED_VALUE"""),"adjustment_profile")</f>
        <v>adjustment_profile</v>
      </c>
      <c r="P500" s="258"/>
    </row>
    <row r="501">
      <c r="A501" s="257" t="str">
        <f>IFERROR(__xludf.DUMMYFUNCTION("""COMPUTED_VALUE"""),"usage_voice_roaming_ppu_mins_past_90days")</f>
        <v>usage_voice_roaming_ppu_mins_past_90days</v>
      </c>
      <c r="B501" s="258" t="str">
        <f>IFERROR(__xludf.DUMMYFUNCTION("""COMPUTED_VALUE"""),"Behavioral")</f>
        <v>Behavioral</v>
      </c>
      <c r="C501" s="258" t="str">
        <f>IFERROR(__xludf.DUMMYFUNCTION("""COMPUTED_VALUE"""),"Non-PII")</f>
        <v>Non-PII</v>
      </c>
      <c r="D501" s="258" t="str">
        <f>IFERROR(__xludf.DUMMYFUNCTION("""COMPUTED_VALUE"""),"Non-PII")</f>
        <v>Non-PII</v>
      </c>
      <c r="E501" s="258" t="str">
        <f>IFERROR(__xludf.DUMMYFUNCTION("""COMPUTED_VALUE"""),"Total length of PPU voice roaming transactions in minutes for the past 90 days")</f>
        <v>Total length of PPU voice roaming transactions in minutes for the past 90 days</v>
      </c>
      <c r="F501" s="258" t="str">
        <f>IFERROR(__xludf.DUMMYFUNCTION("""COMPUTED_VALUE"""),"Derived")</f>
        <v>Derived</v>
      </c>
      <c r="G501" s="258" t="str">
        <f>IFERROR(__xludf.DUMMYFUNCTION("""COMPUTED_VALUE"""),"integer")</f>
        <v>integer</v>
      </c>
      <c r="H501" s="258">
        <f>IFERROR(__xludf.DUMMYFUNCTION("""COMPUTED_VALUE"""),15.0)</f>
        <v>15</v>
      </c>
      <c r="I501" s="258" t="str">
        <f>IFERROR(__xludf.DUMMYFUNCTION("""COMPUTED_VALUE"""),"SG")</f>
        <v>SG</v>
      </c>
      <c r="J501" s="258" t="str">
        <f>IFERROR(__xludf.DUMMYFUNCTION("""COMPUTED_VALUE"""),"Daily")</f>
        <v>Daily</v>
      </c>
      <c r="K501" s="258" t="str">
        <f>IFERROR(__xludf.DUMMYFUNCTION("""COMPUTED_VALUE"""),"")</f>
        <v/>
      </c>
      <c r="L501" s="258" t="str">
        <f>IFERROR(__xludf.DUMMYFUNCTION("""COMPUTED_VALUE"""),"GHP-PREPAID, TM")</f>
        <v>GHP-PREPAID, TM</v>
      </c>
      <c r="M501" s="258" t="str">
        <f>IFERROR(__xludf.DUMMYFUNCTION("""COMPUTED_VALUE"""),"Consumer, EG, SG, In house, IBG Traveler")</f>
        <v>Consumer, EG, SG, In house, IBG Traveler</v>
      </c>
      <c r="N501" s="258" t="str">
        <f>IFERROR(__xludf.DUMMYFUNCTION("""COMPUTED_VALUE"""),"usage")</f>
        <v>usage</v>
      </c>
      <c r="O501" s="258" t="str">
        <f>IFERROR(__xludf.DUMMYFUNCTION("""COMPUTED_VALUE"""),"adjustment_profile")</f>
        <v>adjustment_profile</v>
      </c>
      <c r="P501" s="258"/>
    </row>
    <row r="502">
      <c r="A502" s="257" t="str">
        <f>IFERROR(__xludf.DUMMYFUNCTION("""COMPUTED_VALUE"""),"usage_sms_roaming_ppu_count_past_90days")</f>
        <v>usage_sms_roaming_ppu_count_past_90days</v>
      </c>
      <c r="B502" s="258" t="str">
        <f>IFERROR(__xludf.DUMMYFUNCTION("""COMPUTED_VALUE"""),"Behavioral")</f>
        <v>Behavioral</v>
      </c>
      <c r="C502" s="258" t="str">
        <f>IFERROR(__xludf.DUMMYFUNCTION("""COMPUTED_VALUE"""),"Non-PII")</f>
        <v>Non-PII</v>
      </c>
      <c r="D502" s="258" t="str">
        <f>IFERROR(__xludf.DUMMYFUNCTION("""COMPUTED_VALUE"""),"Non-PII")</f>
        <v>Non-PII</v>
      </c>
      <c r="E502" s="258" t="str">
        <f>IFERROR(__xludf.DUMMYFUNCTION("""COMPUTED_VALUE"""),"Number of PPU SMS roaming transactions for the past 90 days")</f>
        <v>Number of PPU SMS roaming transactions for the past 90 days</v>
      </c>
      <c r="F502" s="258" t="str">
        <f>IFERROR(__xludf.DUMMYFUNCTION("""COMPUTED_VALUE"""),"Derived")</f>
        <v>Derived</v>
      </c>
      <c r="G502" s="258" t="str">
        <f>IFERROR(__xludf.DUMMYFUNCTION("""COMPUTED_VALUE"""),"integer")</f>
        <v>integer</v>
      </c>
      <c r="H502" s="258">
        <f>IFERROR(__xludf.DUMMYFUNCTION("""COMPUTED_VALUE"""),15.0)</f>
        <v>15</v>
      </c>
      <c r="I502" s="258" t="str">
        <f>IFERROR(__xludf.DUMMYFUNCTION("""COMPUTED_VALUE"""),"SG")</f>
        <v>SG</v>
      </c>
      <c r="J502" s="258" t="str">
        <f>IFERROR(__xludf.DUMMYFUNCTION("""COMPUTED_VALUE"""),"Daily")</f>
        <v>Daily</v>
      </c>
      <c r="K502" s="258" t="str">
        <f>IFERROR(__xludf.DUMMYFUNCTION("""COMPUTED_VALUE"""),"")</f>
        <v/>
      </c>
      <c r="L502" s="258" t="str">
        <f>IFERROR(__xludf.DUMMYFUNCTION("""COMPUTED_VALUE"""),"GHP-PREPAID, TM")</f>
        <v>GHP-PREPAID, TM</v>
      </c>
      <c r="M502" s="258" t="str">
        <f>IFERROR(__xludf.DUMMYFUNCTION("""COMPUTED_VALUE"""),"Consumer, EG, SG, In house, IBG Traveler")</f>
        <v>Consumer, EG, SG, In house, IBG Traveler</v>
      </c>
      <c r="N502" s="258" t="str">
        <f>IFERROR(__xludf.DUMMYFUNCTION("""COMPUTED_VALUE"""),"usage")</f>
        <v>usage</v>
      </c>
      <c r="O502" s="258" t="str">
        <f>IFERROR(__xludf.DUMMYFUNCTION("""COMPUTED_VALUE"""),"adjustment_profile")</f>
        <v>adjustment_profile</v>
      </c>
      <c r="P502" s="258"/>
    </row>
    <row r="503">
      <c r="A503" s="257" t="str">
        <f>IFERROR(__xludf.DUMMYFUNCTION("""COMPUTED_VALUE"""),"usage_vas_ppu_count_past_90days")</f>
        <v>usage_vas_ppu_count_past_90days</v>
      </c>
      <c r="B503" s="258" t="str">
        <f>IFERROR(__xludf.DUMMYFUNCTION("""COMPUTED_VALUE"""),"Behavioral")</f>
        <v>Behavioral</v>
      </c>
      <c r="C503" s="258" t="str">
        <f>IFERROR(__xludf.DUMMYFUNCTION("""COMPUTED_VALUE"""),"Non-PII")</f>
        <v>Non-PII</v>
      </c>
      <c r="D503" s="258" t="str">
        <f>IFERROR(__xludf.DUMMYFUNCTION("""COMPUTED_VALUE"""),"Non-PII")</f>
        <v>Non-PII</v>
      </c>
      <c r="E503" s="258" t="str">
        <f>IFERROR(__xludf.DUMMYFUNCTION("""COMPUTED_VALUE"""),"Number of PPU value added service transactions for the past 90 days")</f>
        <v>Number of PPU value added service transactions for the past 90 days</v>
      </c>
      <c r="F503" s="258" t="str">
        <f>IFERROR(__xludf.DUMMYFUNCTION("""COMPUTED_VALUE"""),"Derived")</f>
        <v>Derived</v>
      </c>
      <c r="G503" s="258" t="str">
        <f>IFERROR(__xludf.DUMMYFUNCTION("""COMPUTED_VALUE"""),"integer")</f>
        <v>integer</v>
      </c>
      <c r="H503" s="258">
        <f>IFERROR(__xludf.DUMMYFUNCTION("""COMPUTED_VALUE"""),10.0)</f>
        <v>10</v>
      </c>
      <c r="I503" s="258" t="str">
        <f>IFERROR(__xludf.DUMMYFUNCTION("""COMPUTED_VALUE"""),"SG")</f>
        <v>SG</v>
      </c>
      <c r="J503" s="258" t="str">
        <f>IFERROR(__xludf.DUMMYFUNCTION("""COMPUTED_VALUE"""),"Daily")</f>
        <v>Daily</v>
      </c>
      <c r="K503" s="258" t="str">
        <f>IFERROR(__xludf.DUMMYFUNCTION("""COMPUTED_VALUE"""),"")</f>
        <v/>
      </c>
      <c r="L503" s="258" t="str">
        <f>IFERROR(__xludf.DUMMYFUNCTION("""COMPUTED_VALUE"""),"GHP, GHP-PREPAID, TM, PW, WIRELINE")</f>
        <v>GHP, GHP-PREPAID, TM, PW, WIRELINE</v>
      </c>
      <c r="M503" s="258" t="str">
        <f>IFERROR(__xludf.DUMMYFUNCTION("""COMPUTED_VALUE"""),"Consumer, EG, SG, In house, IBG Traveler")</f>
        <v>Consumer, EG, SG, In house, IBG Traveler</v>
      </c>
      <c r="N503" s="258" t="str">
        <f>IFERROR(__xludf.DUMMYFUNCTION("""COMPUTED_VALUE"""),"usage")</f>
        <v>usage</v>
      </c>
      <c r="O503" s="258" t="str">
        <f>IFERROR(__xludf.DUMMYFUNCTION("""COMPUTED_VALUE"""),"adjustment_profile")</f>
        <v>adjustment_profile</v>
      </c>
      <c r="P503" s="258"/>
    </row>
    <row r="504">
      <c r="A504" s="257" t="str">
        <f>IFERROR(__xludf.DUMMYFUNCTION("""COMPUTED_VALUE"""),"usage_voice_inter_consumable_mins_90days")</f>
        <v>usage_voice_inter_consumable_mins_90days</v>
      </c>
      <c r="B504" s="258" t="str">
        <f>IFERROR(__xludf.DUMMYFUNCTION("""COMPUTED_VALUE"""),"Behavioral")</f>
        <v>Behavioral</v>
      </c>
      <c r="C504" s="258" t="str">
        <f>IFERROR(__xludf.DUMMYFUNCTION("""COMPUTED_VALUE"""),"Non-PII")</f>
        <v>Non-PII</v>
      </c>
      <c r="D504" s="258" t="str">
        <f>IFERROR(__xludf.DUMMYFUNCTION("""COMPUTED_VALUE"""),"Non-PII")</f>
        <v>Non-PII</v>
      </c>
      <c r="E504" s="258" t="str">
        <f>IFERROR(__xludf.DUMMYFUNCTION("""COMPUTED_VALUE"""),"Total length of consumable inter voice transactions in minutes for the past 90 days")</f>
        <v>Total length of consumable inter voice transactions in minutes for the past 90 days</v>
      </c>
      <c r="F504" s="258" t="str">
        <f>IFERROR(__xludf.DUMMYFUNCTION("""COMPUTED_VALUE"""),"Derived")</f>
        <v>Derived</v>
      </c>
      <c r="G504" s="258" t="str">
        <f>IFERROR(__xludf.DUMMYFUNCTION("""COMPUTED_VALUE"""),"integer")</f>
        <v>integer</v>
      </c>
      <c r="H504" s="258">
        <f>IFERROR(__xludf.DUMMYFUNCTION("""COMPUTED_VALUE"""),20.0)</f>
        <v>20</v>
      </c>
      <c r="I504" s="258" t="str">
        <f>IFERROR(__xludf.DUMMYFUNCTION("""COMPUTED_VALUE"""),"SG")</f>
        <v>SG</v>
      </c>
      <c r="J504" s="258" t="str">
        <f>IFERROR(__xludf.DUMMYFUNCTION("""COMPUTED_VALUE"""),"Daily")</f>
        <v>Daily</v>
      </c>
      <c r="K504" s="258" t="str">
        <f>IFERROR(__xludf.DUMMYFUNCTION("""COMPUTED_VALUE"""),"")</f>
        <v/>
      </c>
      <c r="L504" s="258" t="str">
        <f>IFERROR(__xludf.DUMMYFUNCTION("""COMPUTED_VALUE"""),"GHP, GHP-PREPAID, TM")</f>
        <v>GHP, GHP-PREPAID, TM</v>
      </c>
      <c r="M504" s="258" t="str">
        <f>IFERROR(__xludf.DUMMYFUNCTION("""COMPUTED_VALUE"""),"Consumer, EG, SG, In house, IBG Traveler")</f>
        <v>Consumer, EG, SG, In house, IBG Traveler</v>
      </c>
      <c r="N504" s="258" t="str">
        <f>IFERROR(__xludf.DUMMYFUNCTION("""COMPUTED_VALUE"""),"usage")</f>
        <v>usage</v>
      </c>
      <c r="O504" s="258" t="str">
        <f>IFERROR(__xludf.DUMMYFUNCTION("""COMPUTED_VALUE"""),"adjustment_profile")</f>
        <v>adjustment_profile</v>
      </c>
      <c r="P504" s="258"/>
    </row>
    <row r="505">
      <c r="A505" s="257" t="str">
        <f>IFERROR(__xludf.DUMMYFUNCTION("""COMPUTED_VALUE"""),"usage_voice_intra_consumable_mins_90days")</f>
        <v>usage_voice_intra_consumable_mins_90days</v>
      </c>
      <c r="B505" s="258" t="str">
        <f>IFERROR(__xludf.DUMMYFUNCTION("""COMPUTED_VALUE"""),"Behavioral")</f>
        <v>Behavioral</v>
      </c>
      <c r="C505" s="258" t="str">
        <f>IFERROR(__xludf.DUMMYFUNCTION("""COMPUTED_VALUE"""),"Non-PII")</f>
        <v>Non-PII</v>
      </c>
      <c r="D505" s="258" t="str">
        <f>IFERROR(__xludf.DUMMYFUNCTION("""COMPUTED_VALUE"""),"Non-PII")</f>
        <v>Non-PII</v>
      </c>
      <c r="E505" s="258" t="str">
        <f>IFERROR(__xludf.DUMMYFUNCTION("""COMPUTED_VALUE"""),"Total length of consumable intra voice transactions in minutes for the past 90 days")</f>
        <v>Total length of consumable intra voice transactions in minutes for the past 90 days</v>
      </c>
      <c r="F505" s="258" t="str">
        <f>IFERROR(__xludf.DUMMYFUNCTION("""COMPUTED_VALUE"""),"Derived")</f>
        <v>Derived</v>
      </c>
      <c r="G505" s="258" t="str">
        <f>IFERROR(__xludf.DUMMYFUNCTION("""COMPUTED_VALUE"""),"integer")</f>
        <v>integer</v>
      </c>
      <c r="H505" s="258">
        <f>IFERROR(__xludf.DUMMYFUNCTION("""COMPUTED_VALUE"""),7.0)</f>
        <v>7</v>
      </c>
      <c r="I505" s="258" t="str">
        <f>IFERROR(__xludf.DUMMYFUNCTION("""COMPUTED_VALUE"""),"SG")</f>
        <v>SG</v>
      </c>
      <c r="J505" s="258" t="str">
        <f>IFERROR(__xludf.DUMMYFUNCTION("""COMPUTED_VALUE"""),"Daily")</f>
        <v>Daily</v>
      </c>
      <c r="K505" s="258" t="str">
        <f>IFERROR(__xludf.DUMMYFUNCTION("""COMPUTED_VALUE"""),"")</f>
        <v/>
      </c>
      <c r="L505" s="258" t="str">
        <f>IFERROR(__xludf.DUMMYFUNCTION("""COMPUTED_VALUE"""),"GHP")</f>
        <v>GHP</v>
      </c>
      <c r="M505" s="258" t="str">
        <f>IFERROR(__xludf.DUMMYFUNCTION("""COMPUTED_VALUE"""),"Consumer, EG, SG, In house")</f>
        <v>Consumer, EG, SG, In house</v>
      </c>
      <c r="N505" s="258" t="str">
        <f>IFERROR(__xludf.DUMMYFUNCTION("""COMPUTED_VALUE"""),"usage")</f>
        <v>usage</v>
      </c>
      <c r="O505" s="258" t="str">
        <f>IFERROR(__xludf.DUMMYFUNCTION("""COMPUTED_VALUE"""),"adjustment_profile")</f>
        <v>adjustment_profile</v>
      </c>
      <c r="P505" s="258"/>
    </row>
    <row r="506">
      <c r="A506" s="257" t="str">
        <f>IFERROR(__xludf.DUMMYFUNCTION("""COMPUTED_VALUE"""),"usage_sms_inter_consumable_count_90days")</f>
        <v>usage_sms_inter_consumable_count_90days</v>
      </c>
      <c r="B506" s="258" t="str">
        <f>IFERROR(__xludf.DUMMYFUNCTION("""COMPUTED_VALUE"""),"Behavioral")</f>
        <v>Behavioral</v>
      </c>
      <c r="C506" s="258" t="str">
        <f>IFERROR(__xludf.DUMMYFUNCTION("""COMPUTED_VALUE"""),"Non-PII")</f>
        <v>Non-PII</v>
      </c>
      <c r="D506" s="258" t="str">
        <f>IFERROR(__xludf.DUMMYFUNCTION("""COMPUTED_VALUE"""),"Non-PII")</f>
        <v>Non-PII</v>
      </c>
      <c r="E506" s="258" t="str">
        <f>IFERROR(__xludf.DUMMYFUNCTION("""COMPUTED_VALUE"""),"Number of consumable inter SMS for the past 90 days")</f>
        <v>Number of consumable inter SMS for the past 90 days</v>
      </c>
      <c r="F506" s="258" t="str">
        <f>IFERROR(__xludf.DUMMYFUNCTION("""COMPUTED_VALUE"""),"Derived")</f>
        <v>Derived</v>
      </c>
      <c r="G506" s="258" t="str">
        <f>IFERROR(__xludf.DUMMYFUNCTION("""COMPUTED_VALUE"""),"integer")</f>
        <v>integer</v>
      </c>
      <c r="H506" s="258">
        <f>IFERROR(__xludf.DUMMYFUNCTION("""COMPUTED_VALUE"""),88.0)</f>
        <v>88</v>
      </c>
      <c r="I506" s="258" t="str">
        <f>IFERROR(__xludf.DUMMYFUNCTION("""COMPUTED_VALUE"""),"SG")</f>
        <v>SG</v>
      </c>
      <c r="J506" s="258" t="str">
        <f>IFERROR(__xludf.DUMMYFUNCTION("""COMPUTED_VALUE"""),"Daily")</f>
        <v>Daily</v>
      </c>
      <c r="K506" s="258" t="str">
        <f>IFERROR(__xludf.DUMMYFUNCTION("""COMPUTED_VALUE"""),"")</f>
        <v/>
      </c>
      <c r="L506" s="258" t="str">
        <f>IFERROR(__xludf.DUMMYFUNCTION("""COMPUTED_VALUE"""),"GHP")</f>
        <v>GHP</v>
      </c>
      <c r="M506" s="258" t="str">
        <f>IFERROR(__xludf.DUMMYFUNCTION("""COMPUTED_VALUE"""),"Consumer, EG, SG, In house")</f>
        <v>Consumer, EG, SG, In house</v>
      </c>
      <c r="N506" s="258" t="str">
        <f>IFERROR(__xludf.DUMMYFUNCTION("""COMPUTED_VALUE"""),"usage")</f>
        <v>usage</v>
      </c>
      <c r="O506" s="258" t="str">
        <f>IFERROR(__xludf.DUMMYFUNCTION("""COMPUTED_VALUE"""),"adjustment_profile")</f>
        <v>adjustment_profile</v>
      </c>
      <c r="P506" s="258"/>
    </row>
    <row r="507">
      <c r="A507" s="257" t="str">
        <f>IFERROR(__xludf.DUMMYFUNCTION("""COMPUTED_VALUE"""),"usage_sms_intra_consumable_count_90days")</f>
        <v>usage_sms_intra_consumable_count_90days</v>
      </c>
      <c r="B507" s="258" t="str">
        <f>IFERROR(__xludf.DUMMYFUNCTION("""COMPUTED_VALUE"""),"Behavioral")</f>
        <v>Behavioral</v>
      </c>
      <c r="C507" s="258" t="str">
        <f>IFERROR(__xludf.DUMMYFUNCTION("""COMPUTED_VALUE"""),"Non-PII")</f>
        <v>Non-PII</v>
      </c>
      <c r="D507" s="258" t="str">
        <f>IFERROR(__xludf.DUMMYFUNCTION("""COMPUTED_VALUE"""),"Non-PII")</f>
        <v>Non-PII</v>
      </c>
      <c r="E507" s="258" t="str">
        <f>IFERROR(__xludf.DUMMYFUNCTION("""COMPUTED_VALUE"""),"Number of consumable intra SMS for the past 90 days")</f>
        <v>Number of consumable intra SMS for the past 90 days</v>
      </c>
      <c r="F507" s="258" t="str">
        <f>IFERROR(__xludf.DUMMYFUNCTION("""COMPUTED_VALUE"""),"Derived")</f>
        <v>Derived</v>
      </c>
      <c r="G507" s="258" t="str">
        <f>IFERROR(__xludf.DUMMYFUNCTION("""COMPUTED_VALUE"""),"integer")</f>
        <v>integer</v>
      </c>
      <c r="H507" s="258">
        <f>IFERROR(__xludf.DUMMYFUNCTION("""COMPUTED_VALUE"""),260.0)</f>
        <v>260</v>
      </c>
      <c r="I507" s="258" t="str">
        <f>IFERROR(__xludf.DUMMYFUNCTION("""COMPUTED_VALUE"""),"SG")</f>
        <v>SG</v>
      </c>
      <c r="J507" s="258" t="str">
        <f>IFERROR(__xludf.DUMMYFUNCTION("""COMPUTED_VALUE"""),"Daily")</f>
        <v>Daily</v>
      </c>
      <c r="K507" s="258" t="str">
        <f>IFERROR(__xludf.DUMMYFUNCTION("""COMPUTED_VALUE"""),"")</f>
        <v/>
      </c>
      <c r="L507" s="258" t="str">
        <f>IFERROR(__xludf.DUMMYFUNCTION("""COMPUTED_VALUE"""),"GHP")</f>
        <v>GHP</v>
      </c>
      <c r="M507" s="258" t="str">
        <f>IFERROR(__xludf.DUMMYFUNCTION("""COMPUTED_VALUE"""),"Consumer, EG, SG, In house")</f>
        <v>Consumer, EG, SG, In house</v>
      </c>
      <c r="N507" s="258" t="str">
        <f>IFERROR(__xludf.DUMMYFUNCTION("""COMPUTED_VALUE"""),"usage")</f>
        <v>usage</v>
      </c>
      <c r="O507" s="258" t="str">
        <f>IFERROR(__xludf.DUMMYFUNCTION("""COMPUTED_VALUE"""),"adjustment_profile")</f>
        <v>adjustment_profile</v>
      </c>
      <c r="P507" s="258"/>
    </row>
    <row r="508">
      <c r="A508" s="257" t="str">
        <f>IFERROR(__xludf.DUMMYFUNCTION("""COMPUTED_VALUE"""),"gid_b2c")</f>
        <v>gid_b2c</v>
      </c>
      <c r="B508" s="258" t="str">
        <f>IFERROR(__xludf.DUMMYFUNCTION("""COMPUTED_VALUE"""),"Globe ID")</f>
        <v>Globe ID</v>
      </c>
      <c r="C508" s="258" t="str">
        <f>IFERROR(__xludf.DUMMYFUNCTION("""COMPUTED_VALUE"""),"Non-PII")</f>
        <v>Non-PII</v>
      </c>
      <c r="D508" s="258" t="str">
        <f>IFERROR(__xludf.DUMMYFUNCTION("""COMPUTED_VALUE"""),"Non-PII")</f>
        <v>Non-PII</v>
      </c>
      <c r="E508" s="258" t="str">
        <f>IFERROR(__xludf.DUMMYFUNCTION("""COMPUTED_VALUE"""),"Unique global identifier (gid) used to identify multiple subscrptions belonging to one customer.  
Each subscription matched to one customer will have the same GID.  
The rules for matching is defined in the Master Data Management (MDM) platform.")</f>
        <v>Unique global identifier (gid) used to identify multiple subscrptions belonging to one customer.  
Each subscription matched to one customer will have the same GID.  
The rules for matching is defined in the Master Data Management (MDM) platform.</v>
      </c>
      <c r="F508" s="258" t="str">
        <f>IFERROR(__xludf.DUMMYFUNCTION("""COMPUTED_VALUE"""),"Direct Pull")</f>
        <v>Direct Pull</v>
      </c>
      <c r="G508" s="258" t="str">
        <f>IFERROR(__xludf.DUMMYFUNCTION("""COMPUTED_VALUE"""),"varchar(1000)")</f>
        <v>varchar(1000)</v>
      </c>
      <c r="H508" s="258" t="str">
        <f>IFERROR(__xludf.DUMMYFUNCTION("""COMPUTED_VALUE"""),"46db2c95-9e9c-459a-a1b3-ee7648fc0873")</f>
        <v>46db2c95-9e9c-459a-a1b3-ee7648fc0873</v>
      </c>
      <c r="I508" s="258" t="str">
        <f>IFERROR(__xludf.DUMMYFUNCTION("""COMPUTED_VALUE"""),"EDO-DG")</f>
        <v>EDO-DG</v>
      </c>
      <c r="J508" s="258" t="str">
        <f>IFERROR(__xludf.DUMMYFUNCTION("""COMPUTED_VALUE"""),"Daily")</f>
        <v>Daily</v>
      </c>
      <c r="K508" s="258" t="str">
        <f>IFERROR(__xludf.DUMMYFUNCTION("""COMPUTED_VALUE"""),"")</f>
        <v/>
      </c>
      <c r="L508" s="258" t="str">
        <f>IFERROR(__xludf.DUMMYFUNCTION("""COMPUTED_VALUE"""),"GHP, GHP-PREPAID, TM, PW, WIRELINE, BAYAN, GLOBE")</f>
        <v>GHP, GHP-PREPAID, TM, PW, WIRELINE, BAYAN, GLOBE</v>
      </c>
      <c r="M508" s="258" t="str">
        <f>IFERROR(__xludf.DUMMYFUNCTION("""COMPUTED_VALUE"""),"Consumer")</f>
        <v>Consumer</v>
      </c>
      <c r="N508" s="258" t="str">
        <f>IFERROR(__xludf.DUMMYFUNCTION("""COMPUTED_VALUE"""),"customer")</f>
        <v>customer</v>
      </c>
      <c r="O508" s="258" t="str">
        <f>IFERROR(__xludf.DUMMYFUNCTION("""COMPUTED_VALUE"""),"customer_profile")</f>
        <v>customer_profile</v>
      </c>
      <c r="P508" s="258"/>
    </row>
    <row r="509">
      <c r="A509" s="257" t="str">
        <f>IFERROR(__xludf.DUMMYFUNCTION("""COMPUTED_VALUE"""),"mdm_type_code")</f>
        <v>mdm_type_code</v>
      </c>
      <c r="B509" s="258" t="str">
        <f>IFERROR(__xludf.DUMMYFUNCTION("""COMPUTED_VALUE"""),"Globe ID")</f>
        <v>Globe ID</v>
      </c>
      <c r="C509" s="258" t="str">
        <f>IFERROR(__xludf.DUMMYFUNCTION("""COMPUTED_VALUE"""),"Non-PII")</f>
        <v>Non-PII</v>
      </c>
      <c r="D509" s="258" t="str">
        <f>IFERROR(__xludf.DUMMYFUNCTION("""COMPUTED_VALUE"""),"Non-PII")</f>
        <v>Non-PII</v>
      </c>
      <c r="E509" s="258" t="str">
        <f>IFERROR(__xludf.DUMMYFUNCTION("""COMPUTED_VALUE"""),"Type of MDM table where master ID for customer has been derived:
  S - Suspects
  C - Confidence
  U - Uniques")</f>
        <v>Type of MDM table where master ID for customer has been derived:
  S - Suspects
  C - Confidence
  U - Uniques</v>
      </c>
      <c r="F509" s="258" t="str">
        <f>IFERROR(__xludf.DUMMYFUNCTION("""COMPUTED_VALUE"""),"Derived")</f>
        <v>Derived</v>
      </c>
      <c r="G509" s="258" t="str">
        <f>IFERROR(__xludf.DUMMYFUNCTION("""COMPUTED_VALUE"""),"varchar(1000)")</f>
        <v>varchar(1000)</v>
      </c>
      <c r="H509" s="258" t="str">
        <f>IFERROR(__xludf.DUMMYFUNCTION("""COMPUTED_VALUE"""),"S")</f>
        <v>S</v>
      </c>
      <c r="I509" s="258" t="str">
        <f>IFERROR(__xludf.DUMMYFUNCTION("""COMPUTED_VALUE"""),"EDO-DG")</f>
        <v>EDO-DG</v>
      </c>
      <c r="J509" s="258" t="str">
        <f>IFERROR(__xludf.DUMMYFUNCTION("""COMPUTED_VALUE"""),"Daily")</f>
        <v>Daily</v>
      </c>
      <c r="K509" s="258" t="str">
        <f>IFERROR(__xludf.DUMMYFUNCTION("""COMPUTED_VALUE"""),"")</f>
        <v/>
      </c>
      <c r="L509" s="258" t="str">
        <f>IFERROR(__xludf.DUMMYFUNCTION("""COMPUTED_VALUE"""),"GHP, GHP-PREPAID, TM, PW, WIRELINE, BAYAN, GLOBE")</f>
        <v>GHP, GHP-PREPAID, TM, PW, WIRELINE, BAYAN, GLOBE</v>
      </c>
      <c r="M509" s="258" t="str">
        <f>IFERROR(__xludf.DUMMYFUNCTION("""COMPUTED_VALUE"""),"Consumer")</f>
        <v>Consumer</v>
      </c>
      <c r="N509" s="258" t="str">
        <f>IFERROR(__xludf.DUMMYFUNCTION("""COMPUTED_VALUE"""),"customer")</f>
        <v>customer</v>
      </c>
      <c r="O509" s="258" t="str">
        <f>IFERROR(__xludf.DUMMYFUNCTION("""COMPUTED_VALUE"""),"customer_profile")</f>
        <v>customer_profile</v>
      </c>
      <c r="P509" s="258"/>
    </row>
    <row r="510">
      <c r="A510" s="257" t="str">
        <f>IFERROR(__xludf.DUMMYFUNCTION("""COMPUTED_VALUE"""),"mds_journey2")</f>
        <v>mds_journey2</v>
      </c>
      <c r="B510" s="258" t="str">
        <f>IFERROR(__xludf.DUMMYFUNCTION("""COMPUTED_VALUE"""),"Behavioral")</f>
        <v>Behavioral</v>
      </c>
      <c r="C510" s="258" t="str">
        <f>IFERROR(__xludf.DUMMYFUNCTION("""COMPUTED_VALUE"""),"Non-PII")</f>
        <v>Non-PII</v>
      </c>
      <c r="D510" s="258" t="str">
        <f>IFERROR(__xludf.DUMMYFUNCTION("""COMPUTED_VALUE"""),"Non-PII")</f>
        <v>Non-PII</v>
      </c>
      <c r="E510" s="258" t="str">
        <f>IFERROR(__xludf.DUMMYFUNCTION("""COMPUTED_VALUE"""),"Subscriber tagging based on Mobile Data Spend (MDS) journey segmentation to determine how savvy the subscriber is in using MDS. The following segments are:
  - Education: Non MDS User
  - Trial A: Free MDS User with usage &lt;5MB
  - Trial B: Free MDS User w"&amp;"ith usage &gt;5MB
  - Value: Paid Light MDS User 
  - Investment: Paid Medium MDS User
  - Habit: Paid HIGH MDS User
  *** applicable to prepaid only")</f>
        <v>Subscriber tagging based on Mobile Data Spend (MDS) journey segmentation to determine how savvy the subscriber is in using MDS. The following segments are:
  - Education: Non MDS User
  - Trial A: Free MDS User with usage &lt;5MB
  - Trial B: Free MDS User with usage &gt;5MB
  - Value: Paid Light MDS User 
  - Investment: Paid Medium MDS User
  - Habit: Paid HIGH MDS User
  *** applicable to prepaid only</v>
      </c>
      <c r="F510" s="258" t="str">
        <f>IFERROR(__xludf.DUMMYFUNCTION("""COMPUTED_VALUE"""),"Direct Pull")</f>
        <v>Direct Pull</v>
      </c>
      <c r="G510" s="258" t="str">
        <f>IFERROR(__xludf.DUMMYFUNCTION("""COMPUTED_VALUE"""),"varchar(1000)")</f>
        <v>varchar(1000)</v>
      </c>
      <c r="H510" s="258" t="str">
        <f>IFERROR(__xludf.DUMMYFUNCTION("""COMPUTED_VALUE"""),"5: STARTING HABIT")</f>
        <v>5: STARTING HABIT</v>
      </c>
      <c r="I510" s="258" t="str">
        <f>IFERROR(__xludf.DUMMYFUNCTION("""COMPUTED_VALUE"""),"MSH")</f>
        <v>MSH</v>
      </c>
      <c r="J510" s="258" t="str">
        <f>IFERROR(__xludf.DUMMYFUNCTION("""COMPUTED_VALUE"""),"Monthly")</f>
        <v>Monthly</v>
      </c>
      <c r="K510" s="258" t="str">
        <f>IFERROR(__xludf.DUMMYFUNCTION("""COMPUTED_VALUE"""),"")</f>
        <v/>
      </c>
      <c r="L510" s="258" t="str">
        <f>IFERROR(__xludf.DUMMYFUNCTION("""COMPUTED_VALUE"""),"GHP-PREPAID, TM")</f>
        <v>GHP-PREPAID, TM</v>
      </c>
      <c r="M510" s="258" t="str">
        <f>IFERROR(__xludf.DUMMYFUNCTION("""COMPUTED_VALUE"""),"Consumer, IBG Traveler")</f>
        <v>Consumer, IBG Traveler</v>
      </c>
      <c r="N510" s="258" t="str">
        <f>IFERROR(__xludf.DUMMYFUNCTION("""COMPUTED_VALUE"""),"usage")</f>
        <v>usage</v>
      </c>
      <c r="O510" s="258" t="str">
        <f>IFERROR(__xludf.DUMMYFUNCTION("""COMPUTED_VALUE"""),"usage_profile")</f>
        <v>usage_profile</v>
      </c>
      <c r="P510" s="258"/>
    </row>
    <row r="511">
      <c r="A511" s="257" t="str">
        <f>IFERROR(__xludf.DUMMYFUNCTION("""COMPUTED_VALUE"""),"usage_data_ppu_past_amount_90days")</f>
        <v>usage_data_ppu_past_amount_90days</v>
      </c>
      <c r="B511" s="258" t="str">
        <f>IFERROR(__xludf.DUMMYFUNCTION("""COMPUTED_VALUE"""),"Behavioral")</f>
        <v>Behavioral</v>
      </c>
      <c r="C511" s="258" t="str">
        <f>IFERROR(__xludf.DUMMYFUNCTION("""COMPUTED_VALUE"""),"Non-PII")</f>
        <v>Non-PII</v>
      </c>
      <c r="D511" s="258" t="str">
        <f>IFERROR(__xludf.DUMMYFUNCTION("""COMPUTED_VALUE"""),"Non-PII")</f>
        <v>Non-PII</v>
      </c>
      <c r="E511" s="258" t="str">
        <f>IFERROR(__xludf.DUMMYFUNCTION("""COMPUTED_VALUE"""),"Total charge amount for Pay-Per-Use (PPU) data transactions for the past 90 days")</f>
        <v>Total charge amount for Pay-Per-Use (PPU) data transactions for the past 90 days</v>
      </c>
      <c r="F511" s="258" t="str">
        <f>IFERROR(__xludf.DUMMYFUNCTION("""COMPUTED_VALUE"""),"Derived")</f>
        <v>Derived</v>
      </c>
      <c r="G511" s="258" t="str">
        <f>IFERROR(__xludf.DUMMYFUNCTION("""COMPUTED_VALUE"""),"numeric(21,2)")</f>
        <v>numeric(21,2)</v>
      </c>
      <c r="H511" s="258">
        <f>IFERROR(__xludf.DUMMYFUNCTION("""COMPUTED_VALUE"""),80.0)</f>
        <v>80</v>
      </c>
      <c r="I511" s="258" t="str">
        <f>IFERROR(__xludf.DUMMYFUNCTION("""COMPUTED_VALUE"""),"SG")</f>
        <v>SG</v>
      </c>
      <c r="J511" s="258" t="str">
        <f>IFERROR(__xludf.DUMMYFUNCTION("""COMPUTED_VALUE"""),"Daily")</f>
        <v>Daily</v>
      </c>
      <c r="K511" s="258" t="str">
        <f>IFERROR(__xludf.DUMMYFUNCTION("""COMPUTED_VALUE"""),"")</f>
        <v/>
      </c>
      <c r="L511" s="258" t="str">
        <f>IFERROR(__xludf.DUMMYFUNCTION("""COMPUTED_VALUE"""),"GHP, GHP-PREPAID, TM, PW")</f>
        <v>GHP, GHP-PREPAID, TM, PW</v>
      </c>
      <c r="M511" s="258" t="str">
        <f>IFERROR(__xludf.DUMMYFUNCTION("""COMPUTED_VALUE"""),"Consumer, EG, SG, In house, IBG Traveler")</f>
        <v>Consumer, EG, SG, In house, IBG Traveler</v>
      </c>
      <c r="N511" s="258" t="str">
        <f>IFERROR(__xludf.DUMMYFUNCTION("""COMPUTED_VALUE"""),"usage")</f>
        <v>usage</v>
      </c>
      <c r="O511" s="258" t="str">
        <f>IFERROR(__xludf.DUMMYFUNCTION("""COMPUTED_VALUE"""),"usage_profile")</f>
        <v>usage_profile</v>
      </c>
      <c r="P511" s="258"/>
    </row>
    <row r="512">
      <c r="A512" s="257" t="str">
        <f>IFERROR(__xludf.DUMMYFUNCTION("""COMPUTED_VALUE"""),"usage_sms_intra_ppu_amount_90days")</f>
        <v>usage_sms_intra_ppu_amount_90days</v>
      </c>
      <c r="B512" s="258" t="str">
        <f>IFERROR(__xludf.DUMMYFUNCTION("""COMPUTED_VALUE"""),"Behavioral")</f>
        <v>Behavioral</v>
      </c>
      <c r="C512" s="258" t="str">
        <f>IFERROR(__xludf.DUMMYFUNCTION("""COMPUTED_VALUE"""),"Non-PII")</f>
        <v>Non-PII</v>
      </c>
      <c r="D512" s="258" t="str">
        <f>IFERROR(__xludf.DUMMYFUNCTION("""COMPUTED_VALUE"""),"Non-PII")</f>
        <v>Non-PII</v>
      </c>
      <c r="E512" s="258" t="str">
        <f>IFERROR(__xludf.DUMMYFUNCTION("""COMPUTED_VALUE"""),"Total charge amount for Pay-Per-Use (PPU)intra SMS transactions for the past 90 days")</f>
        <v>Total charge amount for Pay-Per-Use (PPU)intra SMS transactions for the past 90 days</v>
      </c>
      <c r="F512" s="258" t="str">
        <f>IFERROR(__xludf.DUMMYFUNCTION("""COMPUTED_VALUE"""),"Derived")</f>
        <v>Derived</v>
      </c>
      <c r="G512" s="258" t="str">
        <f>IFERROR(__xludf.DUMMYFUNCTION("""COMPUTED_VALUE"""),"numeric(21,2)")</f>
        <v>numeric(21,2)</v>
      </c>
      <c r="H512" s="258">
        <f>IFERROR(__xludf.DUMMYFUNCTION("""COMPUTED_VALUE"""),44.5)</f>
        <v>44.5</v>
      </c>
      <c r="I512" s="258" t="str">
        <f>IFERROR(__xludf.DUMMYFUNCTION("""COMPUTED_VALUE"""),"SG")</f>
        <v>SG</v>
      </c>
      <c r="J512" s="258" t="str">
        <f>IFERROR(__xludf.DUMMYFUNCTION("""COMPUTED_VALUE"""),"Daily")</f>
        <v>Daily</v>
      </c>
      <c r="K512" s="258" t="str">
        <f>IFERROR(__xludf.DUMMYFUNCTION("""COMPUTED_VALUE"""),"")</f>
        <v/>
      </c>
      <c r="L512" s="258" t="str">
        <f>IFERROR(__xludf.DUMMYFUNCTION("""COMPUTED_VALUE"""),"GHP, GHP-PREPAID, TM, PW")</f>
        <v>GHP, GHP-PREPAID, TM, PW</v>
      </c>
      <c r="M512" s="258" t="str">
        <f>IFERROR(__xludf.DUMMYFUNCTION("""COMPUTED_VALUE"""),"Consumer, EG, SG, In house, IBG Traveler")</f>
        <v>Consumer, EG, SG, In house, IBG Traveler</v>
      </c>
      <c r="N512" s="258" t="str">
        <f>IFERROR(__xludf.DUMMYFUNCTION("""COMPUTED_VALUE"""),"usage")</f>
        <v>usage</v>
      </c>
      <c r="O512" s="258" t="str">
        <f>IFERROR(__xludf.DUMMYFUNCTION("""COMPUTED_VALUE"""),"usage_profile")</f>
        <v>usage_profile</v>
      </c>
      <c r="P512" s="258"/>
    </row>
    <row r="513">
      <c r="A513" s="257" t="str">
        <f>IFERROR(__xludf.DUMMYFUNCTION("""COMPUTED_VALUE"""),"usage_sms_inter_ppu_amount_90days")</f>
        <v>usage_sms_inter_ppu_amount_90days</v>
      </c>
      <c r="B513" s="258" t="str">
        <f>IFERROR(__xludf.DUMMYFUNCTION("""COMPUTED_VALUE"""),"Behavioral")</f>
        <v>Behavioral</v>
      </c>
      <c r="C513" s="258" t="str">
        <f>IFERROR(__xludf.DUMMYFUNCTION("""COMPUTED_VALUE"""),"Non-PII")</f>
        <v>Non-PII</v>
      </c>
      <c r="D513" s="258" t="str">
        <f>IFERROR(__xludf.DUMMYFUNCTION("""COMPUTED_VALUE"""),"Non-PII")</f>
        <v>Non-PII</v>
      </c>
      <c r="E513" s="258" t="str">
        <f>IFERROR(__xludf.DUMMYFUNCTION("""COMPUTED_VALUE"""),"Total charge amount for Pay-Per-Use (PPU) inter SMS transactions for the past 90 days")</f>
        <v>Total charge amount for Pay-Per-Use (PPU) inter SMS transactions for the past 90 days</v>
      </c>
      <c r="F513" s="258" t="str">
        <f>IFERROR(__xludf.DUMMYFUNCTION("""COMPUTED_VALUE"""),"Derived")</f>
        <v>Derived</v>
      </c>
      <c r="G513" s="258" t="str">
        <f>IFERROR(__xludf.DUMMYFUNCTION("""COMPUTED_VALUE"""),"numeric(21,2)")</f>
        <v>numeric(21,2)</v>
      </c>
      <c r="H513" s="258">
        <f>IFERROR(__xludf.DUMMYFUNCTION("""COMPUTED_VALUE"""),0.45)</f>
        <v>0.45</v>
      </c>
      <c r="I513" s="258" t="str">
        <f>IFERROR(__xludf.DUMMYFUNCTION("""COMPUTED_VALUE"""),"SG")</f>
        <v>SG</v>
      </c>
      <c r="J513" s="258" t="str">
        <f>IFERROR(__xludf.DUMMYFUNCTION("""COMPUTED_VALUE"""),"Daily")</f>
        <v>Daily</v>
      </c>
      <c r="K513" s="258" t="str">
        <f>IFERROR(__xludf.DUMMYFUNCTION("""COMPUTED_VALUE"""),"")</f>
        <v/>
      </c>
      <c r="L513" s="258" t="str">
        <f>IFERROR(__xludf.DUMMYFUNCTION("""COMPUTED_VALUE"""),"GHP, GHP-PREPAID, TM, PW")</f>
        <v>GHP, GHP-PREPAID, TM, PW</v>
      </c>
      <c r="M513" s="258" t="str">
        <f>IFERROR(__xludf.DUMMYFUNCTION("""COMPUTED_VALUE"""),"Consumer, EG, SG, In house, IBG Traveler")</f>
        <v>Consumer, EG, SG, In house, IBG Traveler</v>
      </c>
      <c r="N513" s="258" t="str">
        <f>IFERROR(__xludf.DUMMYFUNCTION("""COMPUTED_VALUE"""),"usage")</f>
        <v>usage</v>
      </c>
      <c r="O513" s="258" t="str">
        <f>IFERROR(__xludf.DUMMYFUNCTION("""COMPUTED_VALUE"""),"usage_profile")</f>
        <v>usage_profile</v>
      </c>
      <c r="P513" s="258"/>
    </row>
    <row r="514">
      <c r="A514" s="257" t="str">
        <f>IFERROR(__xludf.DUMMYFUNCTION("""COMPUTED_VALUE"""),"usage_voice_intra_ppu_amount_90days")</f>
        <v>usage_voice_intra_ppu_amount_90days</v>
      </c>
      <c r="B514" s="258" t="str">
        <f>IFERROR(__xludf.DUMMYFUNCTION("""COMPUTED_VALUE"""),"Behavioral")</f>
        <v>Behavioral</v>
      </c>
      <c r="C514" s="258" t="str">
        <f>IFERROR(__xludf.DUMMYFUNCTION("""COMPUTED_VALUE"""),"Non-PII")</f>
        <v>Non-PII</v>
      </c>
      <c r="D514" s="258" t="str">
        <f>IFERROR(__xludf.DUMMYFUNCTION("""COMPUTED_VALUE"""),"Non-PII")</f>
        <v>Non-PII</v>
      </c>
      <c r="E514" s="258" t="str">
        <f>IFERROR(__xludf.DUMMYFUNCTION("""COMPUTED_VALUE"""),"Total charge amount for Pay-Per-Use (PPU) intra call transactions for the past 90 days")</f>
        <v>Total charge amount for Pay-Per-Use (PPU) intra call transactions for the past 90 days</v>
      </c>
      <c r="F514" s="258" t="str">
        <f>IFERROR(__xludf.DUMMYFUNCTION("""COMPUTED_VALUE"""),"Derived")</f>
        <v>Derived</v>
      </c>
      <c r="G514" s="258" t="str">
        <f>IFERROR(__xludf.DUMMYFUNCTION("""COMPUTED_VALUE"""),"numeric(21,2)")</f>
        <v>numeric(21,2)</v>
      </c>
      <c r="H514" s="258">
        <f>IFERROR(__xludf.DUMMYFUNCTION("""COMPUTED_VALUE"""),40.61)</f>
        <v>40.61</v>
      </c>
      <c r="I514" s="258" t="str">
        <f>IFERROR(__xludf.DUMMYFUNCTION("""COMPUTED_VALUE"""),"SG")</f>
        <v>SG</v>
      </c>
      <c r="J514" s="258" t="str">
        <f>IFERROR(__xludf.DUMMYFUNCTION("""COMPUTED_VALUE"""),"Daily")</f>
        <v>Daily</v>
      </c>
      <c r="K514" s="258" t="str">
        <f>IFERROR(__xludf.DUMMYFUNCTION("""COMPUTED_VALUE"""),"")</f>
        <v/>
      </c>
      <c r="L514" s="258" t="str">
        <f>IFERROR(__xludf.DUMMYFUNCTION("""COMPUTED_VALUE"""),"GHP, GHP-PREPAID, TM, PW, WIRELINE")</f>
        <v>GHP, GHP-PREPAID, TM, PW, WIRELINE</v>
      </c>
      <c r="M514" s="258" t="str">
        <f>IFERROR(__xludf.DUMMYFUNCTION("""COMPUTED_VALUE"""),"Consumer, EG, SG, In house, IBG Traveler")</f>
        <v>Consumer, EG, SG, In house, IBG Traveler</v>
      </c>
      <c r="N514" s="258" t="str">
        <f>IFERROR(__xludf.DUMMYFUNCTION("""COMPUTED_VALUE"""),"usage")</f>
        <v>usage</v>
      </c>
      <c r="O514" s="258" t="str">
        <f>IFERROR(__xludf.DUMMYFUNCTION("""COMPUTED_VALUE"""),"usage_profile")</f>
        <v>usage_profile</v>
      </c>
      <c r="P514" s="258"/>
    </row>
    <row r="515">
      <c r="A515" s="257" t="str">
        <f>IFERROR(__xludf.DUMMYFUNCTION("""COMPUTED_VALUE"""),"usage_voice_inter_ppu_amount_90days")</f>
        <v>usage_voice_inter_ppu_amount_90days</v>
      </c>
      <c r="B515" s="258" t="str">
        <f>IFERROR(__xludf.DUMMYFUNCTION("""COMPUTED_VALUE"""),"Behavioral")</f>
        <v>Behavioral</v>
      </c>
      <c r="C515" s="258" t="str">
        <f>IFERROR(__xludf.DUMMYFUNCTION("""COMPUTED_VALUE"""),"Non-PII")</f>
        <v>Non-PII</v>
      </c>
      <c r="D515" s="258" t="str">
        <f>IFERROR(__xludf.DUMMYFUNCTION("""COMPUTED_VALUE"""),"Non-PII")</f>
        <v>Non-PII</v>
      </c>
      <c r="E515" s="258" t="str">
        <f>IFERROR(__xludf.DUMMYFUNCTION("""COMPUTED_VALUE"""),"Total charge amount for PPU inter call transactions for the past 90 days")</f>
        <v>Total charge amount for PPU inter call transactions for the past 90 days</v>
      </c>
      <c r="F515" s="258" t="str">
        <f>IFERROR(__xludf.DUMMYFUNCTION("""COMPUTED_VALUE"""),"Derived")</f>
        <v>Derived</v>
      </c>
      <c r="G515" s="258" t="str">
        <f>IFERROR(__xludf.DUMMYFUNCTION("""COMPUTED_VALUE"""),"numeric(21,2)")</f>
        <v>numeric(21,2)</v>
      </c>
      <c r="H515" s="258">
        <f>IFERROR(__xludf.DUMMYFUNCTION("""COMPUTED_VALUE"""),1620.65)</f>
        <v>1620.65</v>
      </c>
      <c r="I515" s="258" t="str">
        <f>IFERROR(__xludf.DUMMYFUNCTION("""COMPUTED_VALUE"""),"SG")</f>
        <v>SG</v>
      </c>
      <c r="J515" s="258" t="str">
        <f>IFERROR(__xludf.DUMMYFUNCTION("""COMPUTED_VALUE"""),"Daily")</f>
        <v>Daily</v>
      </c>
      <c r="K515" s="258" t="str">
        <f>IFERROR(__xludf.DUMMYFUNCTION("""COMPUTED_VALUE"""),"")</f>
        <v/>
      </c>
      <c r="L515" s="258" t="str">
        <f>IFERROR(__xludf.DUMMYFUNCTION("""COMPUTED_VALUE"""),"GHP, GHP-PREPAID, TM, PW, WIRELINE")</f>
        <v>GHP, GHP-PREPAID, TM, PW, WIRELINE</v>
      </c>
      <c r="M515" s="258" t="str">
        <f>IFERROR(__xludf.DUMMYFUNCTION("""COMPUTED_VALUE"""),"Consumer, EG, SG, In house, IBG Traveler")</f>
        <v>Consumer, EG, SG, In house, IBG Traveler</v>
      </c>
      <c r="N515" s="258" t="str">
        <f>IFERROR(__xludf.DUMMYFUNCTION("""COMPUTED_VALUE"""),"usage")</f>
        <v>usage</v>
      </c>
      <c r="O515" s="258" t="str">
        <f>IFERROR(__xludf.DUMMYFUNCTION("""COMPUTED_VALUE"""),"usage_profile")</f>
        <v>usage_profile</v>
      </c>
      <c r="P515" s="258"/>
    </row>
    <row r="516">
      <c r="A516" s="257" t="str">
        <f>IFERROR(__xludf.DUMMYFUNCTION("""COMPUTED_VALUE"""),"remaining_contract_period_months")</f>
        <v>remaining_contract_period_months</v>
      </c>
      <c r="B516" s="258" t="str">
        <f>IFERROR(__xludf.DUMMYFUNCTION("""COMPUTED_VALUE"""),"Globe ID")</f>
        <v>Globe ID</v>
      </c>
      <c r="C516" s="258" t="str">
        <f>IFERROR(__xludf.DUMMYFUNCTION("""COMPUTED_VALUE"""),"Non-PII")</f>
        <v>Non-PII</v>
      </c>
      <c r="D516" s="258" t="str">
        <f>IFERROR(__xludf.DUMMYFUNCTION("""COMPUTED_VALUE"""),"Non-PII")</f>
        <v>Non-PII</v>
      </c>
      <c r="E516" s="258" t="str">
        <f>IFERROR(__xludf.DUMMYFUNCTION("""COMPUTED_VALUE"""),"Remaining months before the current contract ends")</f>
        <v>Remaining months before the current contract ends</v>
      </c>
      <c r="F516" s="258" t="str">
        <f>IFERROR(__xludf.DUMMYFUNCTION("""COMPUTED_VALUE"""),"Derived")</f>
        <v>Derived</v>
      </c>
      <c r="G516" s="258" t="str">
        <f>IFERROR(__xludf.DUMMYFUNCTION("""COMPUTED_VALUE"""),"integer")</f>
        <v>integer</v>
      </c>
      <c r="H516" s="258">
        <f>IFERROR(__xludf.DUMMYFUNCTION("""COMPUTED_VALUE"""),6.0)</f>
        <v>6</v>
      </c>
      <c r="I516" s="258" t="str">
        <f>IFERROR(__xludf.DUMMYFUNCTION("""COMPUTED_VALUE"""),"SG")</f>
        <v>SG</v>
      </c>
      <c r="J516" s="258" t="str">
        <f>IFERROR(__xludf.DUMMYFUNCTION("""COMPUTED_VALUE"""),"Daily")</f>
        <v>Daily</v>
      </c>
      <c r="K516" s="258" t="str">
        <f>IFERROR(__xludf.DUMMYFUNCTION("""COMPUTED_VALUE"""),"")</f>
        <v/>
      </c>
      <c r="L516" s="258" t="str">
        <f>IFERROR(__xludf.DUMMYFUNCTION("""COMPUTED_VALUE"""),"GHP, WIRELINE")</f>
        <v>GHP, WIRELINE</v>
      </c>
      <c r="M516" s="258" t="str">
        <f>IFERROR(__xludf.DUMMYFUNCTION("""COMPUTED_VALUE"""),"Consumer, EG, SG, In house")</f>
        <v>Consumer, EG, SG, In house</v>
      </c>
      <c r="N516" s="258" t="str">
        <f>IFERROR(__xludf.DUMMYFUNCTION("""COMPUTED_VALUE"""),"contract")</f>
        <v>contract</v>
      </c>
      <c r="O516" s="258" t="str">
        <f>IFERROR(__xludf.DUMMYFUNCTION("""COMPUTED_VALUE"""),"contract_profile")</f>
        <v>contract_profile</v>
      </c>
      <c r="P516" s="258"/>
    </row>
    <row r="517">
      <c r="A517" s="257" t="str">
        <f>IFERROR(__xludf.DUMMYFUNCTION("""COMPUTED_VALUE"""),"home_barangay_code")</f>
        <v>home_barangay_code</v>
      </c>
      <c r="B517" s="258" t="str">
        <f>IFERROR(__xludf.DUMMYFUNCTION("""COMPUTED_VALUE"""),"Geographics")</f>
        <v>Geographics</v>
      </c>
      <c r="C517" s="258" t="str">
        <f>IFERROR(__xludf.DUMMYFUNCTION("""COMPUTED_VALUE"""),"Non-PII")</f>
        <v>Non-PII</v>
      </c>
      <c r="D517" s="258" t="str">
        <f>IFERROR(__xludf.DUMMYFUNCTION("""COMPUTED_VALUE"""),"Non-PII")</f>
        <v>Non-PII</v>
      </c>
      <c r="E517" s="258" t="str">
        <f>IFERROR(__xludf.DUMMYFUNCTION("""COMPUTED_VALUE"""),"PSGC code for inferred barangay location from which the home address of the subscriber is found. The inferred location is pulled from the available latched cellsites data of the subscriber within the timeframe specified (10pm to 5am).")</f>
        <v>PSGC code for inferred barangay location from which the home address of the subscriber is found. The inferred location is pulled from the available latched cellsites data of the subscriber within the timeframe specified (10pm to 5am).</v>
      </c>
      <c r="F517" s="258" t="str">
        <f>IFERROR(__xludf.DUMMYFUNCTION("""COMPUTED_VALUE"""),"Inferred")</f>
        <v>Inferred</v>
      </c>
      <c r="G517" s="258" t="str">
        <f>IFERROR(__xludf.DUMMYFUNCTION("""COMPUTED_VALUE"""),"varchar(1000)")</f>
        <v>varchar(1000)</v>
      </c>
      <c r="H517" s="258">
        <f>IFERROR(__xludf.DUMMYFUNCTION("""COMPUTED_VALUE"""),6.3034029E7)</f>
        <v>63034029</v>
      </c>
      <c r="I517" s="258" t="str">
        <f>IFERROR(__xludf.DUMMYFUNCTION("""COMPUTED_VALUE"""),"EDO-AA")</f>
        <v>EDO-AA</v>
      </c>
      <c r="J517" s="258" t="str">
        <f>IFERROR(__xludf.DUMMYFUNCTION("""COMPUTED_VALUE"""),"Monthly")</f>
        <v>Monthly</v>
      </c>
      <c r="K517" s="258" t="str">
        <f>IFERROR(__xludf.DUMMYFUNCTION("""COMPUTED_VALUE"""),"")</f>
        <v/>
      </c>
      <c r="L517" s="258" t="str">
        <f>IFERROR(__xludf.DUMMYFUNCTION("""COMPUTED_VALUE"""),"GHP, GHP-PREPAID, TM, PW, GOMO, WIRELINE")</f>
        <v>GHP, GHP-PREPAID, TM, PW, GOMO, WIRELINE</v>
      </c>
      <c r="M517" s="258" t="str">
        <f>IFERROR(__xludf.DUMMYFUNCTION("""COMPUTED_VALUE"""),"Consumer, EG, SG, In house, IBG Traveler")</f>
        <v>Consumer, EG, SG, In house, IBG Traveler</v>
      </c>
      <c r="N517" s="258" t="str">
        <f>IFERROR(__xludf.DUMMYFUNCTION("""COMPUTED_VALUE"""),"network")</f>
        <v>network</v>
      </c>
      <c r="O517" s="258" t="str">
        <f>IFERROR(__xludf.DUMMYFUNCTION("""COMPUTED_VALUE"""),"network_profile")</f>
        <v>network_profile</v>
      </c>
      <c r="P517" s="258"/>
    </row>
    <row r="518">
      <c r="A518" s="257" t="str">
        <f>IFERROR(__xludf.DUMMYFUNCTION("""COMPUTED_VALUE"""),"home_city_code")</f>
        <v>home_city_code</v>
      </c>
      <c r="B518" s="258" t="str">
        <f>IFERROR(__xludf.DUMMYFUNCTION("""COMPUTED_VALUE"""),"Geographics")</f>
        <v>Geographics</v>
      </c>
      <c r="C518" s="258" t="str">
        <f>IFERROR(__xludf.DUMMYFUNCTION("""COMPUTED_VALUE"""),"Non-PII")</f>
        <v>Non-PII</v>
      </c>
      <c r="D518" s="258" t="str">
        <f>IFERROR(__xludf.DUMMYFUNCTION("""COMPUTED_VALUE"""),"Non-PII")</f>
        <v>Non-PII</v>
      </c>
      <c r="E518" s="258" t="str">
        <f>IFERROR(__xludf.DUMMYFUNCTION("""COMPUTED_VALUE"""),"PSGC code for inferred city location from which the home address of the subscriber is found. The inferred location is pulled from the available latched cellsites data of the subscriber within the timeframe specified (10pm to 5am).")</f>
        <v>PSGC code for inferred city location from which the home address of the subscriber is found. The inferred location is pulled from the available latched cellsites data of the subscriber within the timeframe specified (10pm to 5am).</v>
      </c>
      <c r="F518" s="258" t="str">
        <f>IFERROR(__xludf.DUMMYFUNCTION("""COMPUTED_VALUE"""),"Inferred")</f>
        <v>Inferred</v>
      </c>
      <c r="G518" s="258" t="str">
        <f>IFERROR(__xludf.DUMMYFUNCTION("""COMPUTED_VALUE"""),"varchar(1000)")</f>
        <v>varchar(1000)</v>
      </c>
      <c r="H518" s="258">
        <f>IFERROR(__xludf.DUMMYFUNCTION("""COMPUTED_VALUE"""),8.7806E7)</f>
        <v>87806000</v>
      </c>
      <c r="I518" s="258" t="str">
        <f>IFERROR(__xludf.DUMMYFUNCTION("""COMPUTED_VALUE"""),"EDO-AA")</f>
        <v>EDO-AA</v>
      </c>
      <c r="J518" s="258" t="str">
        <f>IFERROR(__xludf.DUMMYFUNCTION("""COMPUTED_VALUE"""),"Monthly")</f>
        <v>Monthly</v>
      </c>
      <c r="K518" s="258" t="str">
        <f>IFERROR(__xludf.DUMMYFUNCTION("""COMPUTED_VALUE"""),"")</f>
        <v/>
      </c>
      <c r="L518" s="258" t="str">
        <f>IFERROR(__xludf.DUMMYFUNCTION("""COMPUTED_VALUE"""),"GHP, GHP-PREPAID, TM, PW, GOMO, WIRELINE")</f>
        <v>GHP, GHP-PREPAID, TM, PW, GOMO, WIRELINE</v>
      </c>
      <c r="M518" s="258" t="str">
        <f>IFERROR(__xludf.DUMMYFUNCTION("""COMPUTED_VALUE"""),"Consumer, EG, SG, In house, IBG Traveler")</f>
        <v>Consumer, EG, SG, In house, IBG Traveler</v>
      </c>
      <c r="N518" s="258" t="str">
        <f>IFERROR(__xludf.DUMMYFUNCTION("""COMPUTED_VALUE"""),"network")</f>
        <v>network</v>
      </c>
      <c r="O518" s="258" t="str">
        <f>IFERROR(__xludf.DUMMYFUNCTION("""COMPUTED_VALUE"""),"network_profile")</f>
        <v>network_profile</v>
      </c>
      <c r="P518" s="258"/>
    </row>
    <row r="519">
      <c r="A519" s="257" t="str">
        <f>IFERROR(__xludf.DUMMYFUNCTION("""COMPUTED_VALUE"""),"work_barangay_code")</f>
        <v>work_barangay_code</v>
      </c>
      <c r="B519" s="258" t="str">
        <f>IFERROR(__xludf.DUMMYFUNCTION("""COMPUTED_VALUE"""),"Geographics")</f>
        <v>Geographics</v>
      </c>
      <c r="C519" s="258" t="str">
        <f>IFERROR(__xludf.DUMMYFUNCTION("""COMPUTED_VALUE"""),"Non-PII")</f>
        <v>Non-PII</v>
      </c>
      <c r="D519" s="258" t="str">
        <f>IFERROR(__xludf.DUMMYFUNCTION("""COMPUTED_VALUE"""),"Non-PII")</f>
        <v>Non-PII</v>
      </c>
      <c r="E519" s="258" t="str">
        <f>IFERROR(__xludf.DUMMYFUNCTION("""COMPUTED_VALUE"""),"PSGC code for inferred barangay location from which the work address of the subscriber is found. The inferred location is pulled from the available latched cellsites data of the subscriber within the timeframe specified (10pm to 5am).")</f>
        <v>PSGC code for inferred barangay location from which the work address of the subscriber is found. The inferred location is pulled from the available latched cellsites data of the subscriber within the timeframe specified (10pm to 5am).</v>
      </c>
      <c r="F519" s="258" t="str">
        <f>IFERROR(__xludf.DUMMYFUNCTION("""COMPUTED_VALUE"""),"Inferred")</f>
        <v>Inferred</v>
      </c>
      <c r="G519" s="258" t="str">
        <f>IFERROR(__xludf.DUMMYFUNCTION("""COMPUTED_VALUE"""),"varchar(1000)")</f>
        <v>varchar(1000)</v>
      </c>
      <c r="H519" s="258">
        <f>IFERROR(__xludf.DUMMYFUNCTION("""COMPUTED_VALUE"""),4.1019048E7)</f>
        <v>41019048</v>
      </c>
      <c r="I519" s="258" t="str">
        <f>IFERROR(__xludf.DUMMYFUNCTION("""COMPUTED_VALUE"""),"EDO-AA")</f>
        <v>EDO-AA</v>
      </c>
      <c r="J519" s="258" t="str">
        <f>IFERROR(__xludf.DUMMYFUNCTION("""COMPUTED_VALUE"""),"Monthly")</f>
        <v>Monthly</v>
      </c>
      <c r="K519" s="258" t="str">
        <f>IFERROR(__xludf.DUMMYFUNCTION("""COMPUTED_VALUE"""),"")</f>
        <v/>
      </c>
      <c r="L519" s="258" t="str">
        <f>IFERROR(__xludf.DUMMYFUNCTION("""COMPUTED_VALUE"""),"GHP, GHP-PREPAID, TM, PW, GOMO, WIRELINE")</f>
        <v>GHP, GHP-PREPAID, TM, PW, GOMO, WIRELINE</v>
      </c>
      <c r="M519" s="258" t="str">
        <f>IFERROR(__xludf.DUMMYFUNCTION("""COMPUTED_VALUE"""),"Consumer, EG, SG, In house, IBG Traveler")</f>
        <v>Consumer, EG, SG, In house, IBG Traveler</v>
      </c>
      <c r="N519" s="258" t="str">
        <f>IFERROR(__xludf.DUMMYFUNCTION("""COMPUTED_VALUE"""),"network")</f>
        <v>network</v>
      </c>
      <c r="O519" s="258" t="str">
        <f>IFERROR(__xludf.DUMMYFUNCTION("""COMPUTED_VALUE"""),"network_profile")</f>
        <v>network_profile</v>
      </c>
      <c r="P519" s="258"/>
    </row>
    <row r="520">
      <c r="A520" s="257" t="str">
        <f>IFERROR(__xludf.DUMMYFUNCTION("""COMPUTED_VALUE"""),"work_city_code")</f>
        <v>work_city_code</v>
      </c>
      <c r="B520" s="258" t="str">
        <f>IFERROR(__xludf.DUMMYFUNCTION("""COMPUTED_VALUE"""),"Geographics")</f>
        <v>Geographics</v>
      </c>
      <c r="C520" s="258" t="str">
        <f>IFERROR(__xludf.DUMMYFUNCTION("""COMPUTED_VALUE"""),"Non-PII")</f>
        <v>Non-PII</v>
      </c>
      <c r="D520" s="258" t="str">
        <f>IFERROR(__xludf.DUMMYFUNCTION("""COMPUTED_VALUE"""),"Non-PII")</f>
        <v>Non-PII</v>
      </c>
      <c r="E520" s="258" t="str">
        <f>IFERROR(__xludf.DUMMYFUNCTION("""COMPUTED_VALUE"""),"PSGC code for inferred city location from which the work address of the subscriber is found. The inferred location is pulled from the available latched cellsites data of the subscriber within the timeframe specified (10pm to 5am).")</f>
        <v>PSGC code for inferred city location from which the work address of the subscriber is found. The inferred location is pulled from the available latched cellsites data of the subscriber within the timeframe specified (10pm to 5am).</v>
      </c>
      <c r="F520" s="258" t="str">
        <f>IFERROR(__xludf.DUMMYFUNCTION("""COMPUTED_VALUE"""),"Inferred")</f>
        <v>Inferred</v>
      </c>
      <c r="G520" s="258" t="str">
        <f>IFERROR(__xludf.DUMMYFUNCTION("""COMPUTED_VALUE"""),"varchar(1000)")</f>
        <v>varchar(1000)</v>
      </c>
      <c r="H520" s="258">
        <f>IFERROR(__xludf.DUMMYFUNCTION("""COMPUTED_VALUE"""),3.1419E7)</f>
        <v>31419000</v>
      </c>
      <c r="I520" s="258" t="str">
        <f>IFERROR(__xludf.DUMMYFUNCTION("""COMPUTED_VALUE"""),"EDO-AA")</f>
        <v>EDO-AA</v>
      </c>
      <c r="J520" s="258" t="str">
        <f>IFERROR(__xludf.DUMMYFUNCTION("""COMPUTED_VALUE"""),"Monthly")</f>
        <v>Monthly</v>
      </c>
      <c r="K520" s="258" t="str">
        <f>IFERROR(__xludf.DUMMYFUNCTION("""COMPUTED_VALUE"""),"")</f>
        <v/>
      </c>
      <c r="L520" s="258" t="str">
        <f>IFERROR(__xludf.DUMMYFUNCTION("""COMPUTED_VALUE"""),"GHP, GHP-PREPAID, TM, PW, GOMO, WIRELINE")</f>
        <v>GHP, GHP-PREPAID, TM, PW, GOMO, WIRELINE</v>
      </c>
      <c r="M520" s="258" t="str">
        <f>IFERROR(__xludf.DUMMYFUNCTION("""COMPUTED_VALUE"""),"Consumer, EG, SG, In house, IBG Traveler")</f>
        <v>Consumer, EG, SG, In house, IBG Traveler</v>
      </c>
      <c r="N520" s="258" t="str">
        <f>IFERROR(__xludf.DUMMYFUNCTION("""COMPUTED_VALUE"""),"network")</f>
        <v>network</v>
      </c>
      <c r="O520" s="258" t="str">
        <f>IFERROR(__xludf.DUMMYFUNCTION("""COMPUTED_VALUE"""),"network_profile")</f>
        <v>network_profile</v>
      </c>
      <c r="P520" s="258"/>
    </row>
    <row r="521">
      <c r="A521" s="257" t="str">
        <f>IFERROR(__xludf.DUMMYFUNCTION("""COMPUTED_VALUE"""),"imei_value_latest_90days")</f>
        <v>imei_value_latest_90days</v>
      </c>
      <c r="B521" s="258" t="str">
        <f>IFERROR(__xludf.DUMMYFUNCTION("""COMPUTED_VALUE"""),"Customer PII - Masked")</f>
        <v>Customer PII - Masked</v>
      </c>
      <c r="C521" s="258" t="str">
        <f>IFERROR(__xludf.DUMMYFUNCTION("""COMPUTED_VALUE"""),"Customer PII - Masked")</f>
        <v>Customer PII - Masked</v>
      </c>
      <c r="D521" s="258" t="str">
        <f>IFERROR(__xludf.DUMMYFUNCTION("""COMPUTED_VALUE"""),"Device")</f>
        <v>Device</v>
      </c>
      <c r="E521" s="258" t="str">
        <f>IFERROR(__xludf.DUMMYFUNCTION("""COMPUTED_VALUE"""),"Latest International Mobile Equipment Identity (IMEI) of the subscriber device for the past 90 days")</f>
        <v>Latest International Mobile Equipment Identity (IMEI) of the subscriber device for the past 90 days</v>
      </c>
      <c r="F521" s="258" t="str">
        <f>IFERROR(__xludf.DUMMYFUNCTION("""COMPUTED_VALUE"""),"Derived")</f>
        <v>Derived</v>
      </c>
      <c r="G521" s="258" t="str">
        <f>IFERROR(__xludf.DUMMYFUNCTION("""COMPUTED_VALUE"""),"varchar(1000)")</f>
        <v>varchar(1000)</v>
      </c>
      <c r="H521" s="258">
        <f>IFERROR(__xludf.DUMMYFUNCTION("""COMPUTED_VALUE"""),3.53E14)</f>
        <v>353000000000000</v>
      </c>
      <c r="I521" s="258" t="str">
        <f>IFERROR(__xludf.DUMMYFUNCTION("""COMPUTED_VALUE"""),"CMB")</f>
        <v>CMB</v>
      </c>
      <c r="J521" s="258" t="str">
        <f>IFERROR(__xludf.DUMMYFUNCTION("""COMPUTED_VALUE"""),"Daily")</f>
        <v>Daily</v>
      </c>
      <c r="K521" s="258" t="str">
        <f>IFERROR(__xludf.DUMMYFUNCTION("""COMPUTED_VALUE"""),"")</f>
        <v/>
      </c>
      <c r="L521" s="258" t="str">
        <f>IFERROR(__xludf.DUMMYFUNCTION("""COMPUTED_VALUE"""),"GHP, GHP-PREPAID, TM, PW, GOMO")</f>
        <v>GHP, GHP-PREPAID, TM, PW, GOMO</v>
      </c>
      <c r="M521" s="258" t="str">
        <f>IFERROR(__xludf.DUMMYFUNCTION("""COMPUTED_VALUE"""),"Consumer, EG, SG, In house, IBG Traveler")</f>
        <v>Consumer, EG, SG, In house, IBG Traveler</v>
      </c>
      <c r="N521" s="258" t="str">
        <f>IFERROR(__xludf.DUMMYFUNCTION("""COMPUTED_VALUE"""),"usage")</f>
        <v>usage</v>
      </c>
      <c r="O521" s="258" t="str">
        <f>IFERROR(__xludf.DUMMYFUNCTION("""COMPUTED_VALUE"""),"usage_profile")</f>
        <v>usage_profile</v>
      </c>
      <c r="P521" s="258"/>
    </row>
    <row r="522">
      <c r="A522" s="257" t="str">
        <f>IFERROR(__xludf.DUMMYFUNCTION("""COMPUTED_VALUE"""),"beauty_skin_care_fan_top_apps")</f>
        <v>beauty_skin_care_fan_top_apps</v>
      </c>
      <c r="B522" s="258" t="str">
        <f>IFERROR(__xludf.DUMMYFUNCTION("""COMPUTED_VALUE"""),"Audience/Persona")</f>
        <v>Audience/Persona</v>
      </c>
      <c r="C522" s="258" t="str">
        <f>IFERROR(__xludf.DUMMYFUNCTION("""COMPUTED_VALUE"""),"Non-PII")</f>
        <v>Non-PII</v>
      </c>
      <c r="D522" s="258" t="str">
        <f>IFERROR(__xludf.DUMMYFUNCTION("""COMPUTED_VALUE"""),"Non-PII")</f>
        <v>Non-PII</v>
      </c>
      <c r="E522" s="258" t="str">
        <f>IFERROR(__xludf.DUMMYFUNCTION("""COMPUTED_VALUE"""),"Top 1 app/site by data burn, total hits and active days in a month categorized under the Beauty &amp; Skin Care Fan profile
 For wireline subscribers, only subscriptions within Metro Manila (including some areas in Rizal) and with DSL, VDSL and GPON technol"&amp;"ogy value are covered.")</f>
        <v>Top 1 app/site by data burn, total hits and active days in a month categorized under the Beauty &amp; Skin Care Fan profile
 For wireline subscribers, only subscriptions within Metro Manila (including some areas in Rizal) and with DSL, VDSL and GPON technology value are covered.</v>
      </c>
      <c r="F522" s="258" t="str">
        <f>IFERROR(__xludf.DUMMYFUNCTION("""COMPUTED_VALUE"""),"Derived")</f>
        <v>Derived</v>
      </c>
      <c r="G522" s="258" t="str">
        <f>IFERROR(__xludf.DUMMYFUNCTION("""COMPUTED_VALUE"""),"varchar(1000)")</f>
        <v>varchar(1000)</v>
      </c>
      <c r="H522" s="258" t="str">
        <f>IFERROR(__xludf.DUMMYFUNCTION("""COMPUTED_VALUE"""),"althea")</f>
        <v>althea</v>
      </c>
      <c r="I522" s="258" t="str">
        <f>IFERROR(__xludf.DUMMYFUNCTION("""COMPUTED_VALUE"""),"EDO-UUP")</f>
        <v>EDO-UUP</v>
      </c>
      <c r="J522" s="258" t="str">
        <f>IFERROR(__xludf.DUMMYFUNCTION("""COMPUTED_VALUE"""),"Daily")</f>
        <v>Daily</v>
      </c>
      <c r="K522" s="258" t="str">
        <f>IFERROR(__xludf.DUMMYFUNCTION("""COMPUTED_VALUE"""),"")</f>
        <v/>
      </c>
      <c r="L522" s="258" t="str">
        <f>IFERROR(__xludf.DUMMYFUNCTION("""COMPUTED_VALUE"""),"GHP, GHP-PREPAID, TM, PW, GOMO, WIRELINE, BAYAN, GLOBE")</f>
        <v>GHP, GHP-PREPAID, TM, PW, GOMO, WIRELINE, BAYAN, GLOBE</v>
      </c>
      <c r="M522" s="258" t="str">
        <f>IFERROR(__xludf.DUMMYFUNCTION("""COMPUTED_VALUE"""),"Consumer, EG, SG, In house, IBG Traveler")</f>
        <v>Consumer, EG, SG, In house, IBG Traveler</v>
      </c>
      <c r="N522" s="258" t="str">
        <f>IFERROR(__xludf.DUMMYFUNCTION("""COMPUTED_VALUE"""),"interest")</f>
        <v>interest</v>
      </c>
      <c r="O522" s="258" t="str">
        <f>IFERROR(__xludf.DUMMYFUNCTION("""COMPUTED_VALUE"""),"network_profile")</f>
        <v>network_profile</v>
      </c>
      <c r="P522" s="258"/>
    </row>
    <row r="523">
      <c r="A523" s="257" t="str">
        <f>IFERROR(__xludf.DUMMYFUNCTION("""COMPUTED_VALUE"""),"bpo_worker_top_apps")</f>
        <v>bpo_worker_top_apps</v>
      </c>
      <c r="B523" s="258" t="str">
        <f>IFERROR(__xludf.DUMMYFUNCTION("""COMPUTED_VALUE"""),"Audience/Persona")</f>
        <v>Audience/Persona</v>
      </c>
      <c r="C523" s="258" t="str">
        <f>IFERROR(__xludf.DUMMYFUNCTION("""COMPUTED_VALUE"""),"Non-PII")</f>
        <v>Non-PII</v>
      </c>
      <c r="D523" s="258" t="str">
        <f>IFERROR(__xludf.DUMMYFUNCTION("""COMPUTED_VALUE"""),"Non-PII")</f>
        <v>Non-PII</v>
      </c>
      <c r="E523" s="258" t="str">
        <f>IFERROR(__xludf.DUMMYFUNCTION("""COMPUTED_VALUE"""),"Top 1 app/site by data burn, total hits and active days in a month categorized under the BPO Worker profile
 For wireline subscribers, only subscriptions within Metro Manila (including some areas in Rizal) and with DSL, VDSL and GPON technology value ar"&amp;"e covered.")</f>
        <v>Top 1 app/site by data burn, total hits and active days in a month categorized under the BPO Worker profile
 For wireline subscribers, only subscriptions within Metro Manila (including some areas in Rizal) and with DSL, VDSL and GPON technology value are covered.</v>
      </c>
      <c r="F523" s="258" t="str">
        <f>IFERROR(__xludf.DUMMYFUNCTION("""COMPUTED_VALUE"""),"Derived")</f>
        <v>Derived</v>
      </c>
      <c r="G523" s="258" t="str">
        <f>IFERROR(__xludf.DUMMYFUNCTION("""COMPUTED_VALUE"""),"varchar(1000)")</f>
        <v>varchar(1000)</v>
      </c>
      <c r="H523" s="258" t="str">
        <f>IFERROR(__xludf.DUMMYFUNCTION("""COMPUTED_VALUE"""),"incontact_softphone")</f>
        <v>incontact_softphone</v>
      </c>
      <c r="I523" s="258" t="str">
        <f>IFERROR(__xludf.DUMMYFUNCTION("""COMPUTED_VALUE"""),"EDO-UUP")</f>
        <v>EDO-UUP</v>
      </c>
      <c r="J523" s="258" t="str">
        <f>IFERROR(__xludf.DUMMYFUNCTION("""COMPUTED_VALUE"""),"Daily")</f>
        <v>Daily</v>
      </c>
      <c r="K523" s="258" t="str">
        <f>IFERROR(__xludf.DUMMYFUNCTION("""COMPUTED_VALUE"""),"")</f>
        <v/>
      </c>
      <c r="L523" s="258" t="str">
        <f>IFERROR(__xludf.DUMMYFUNCTION("""COMPUTED_VALUE"""),"GHP, GHP-PREPAID, TM, PW, GOMO, WIRELINE, BAYAN, GLOBE")</f>
        <v>GHP, GHP-PREPAID, TM, PW, GOMO, WIRELINE, BAYAN, GLOBE</v>
      </c>
      <c r="M523" s="258" t="str">
        <f>IFERROR(__xludf.DUMMYFUNCTION("""COMPUTED_VALUE"""),"Consumer, EG, SG, In house, IBG Traveler")</f>
        <v>Consumer, EG, SG, In house, IBG Traveler</v>
      </c>
      <c r="N523" s="258" t="str">
        <f>IFERROR(__xludf.DUMMYFUNCTION("""COMPUTED_VALUE"""),"interest")</f>
        <v>interest</v>
      </c>
      <c r="O523" s="258" t="str">
        <f>IFERROR(__xludf.DUMMYFUNCTION("""COMPUTED_VALUE"""),"network_profile")</f>
        <v>network_profile</v>
      </c>
      <c r="P523" s="258"/>
    </row>
    <row r="524">
      <c r="A524" s="257" t="str">
        <f>IFERROR(__xludf.DUMMYFUNCTION("""COMPUTED_VALUE"""),"fashionista_top_apps")</f>
        <v>fashionista_top_apps</v>
      </c>
      <c r="B524" s="258" t="str">
        <f>IFERROR(__xludf.DUMMYFUNCTION("""COMPUTED_VALUE"""),"Audience/Persona")</f>
        <v>Audience/Persona</v>
      </c>
      <c r="C524" s="258" t="str">
        <f>IFERROR(__xludf.DUMMYFUNCTION("""COMPUTED_VALUE"""),"Non-PII")</f>
        <v>Non-PII</v>
      </c>
      <c r="D524" s="258" t="str">
        <f>IFERROR(__xludf.DUMMYFUNCTION("""COMPUTED_VALUE"""),"Non-PII")</f>
        <v>Non-PII</v>
      </c>
      <c r="E524" s="258" t="str">
        <f>IFERROR(__xludf.DUMMYFUNCTION("""COMPUTED_VALUE"""),"Top 1 app/site by data burn, total hits and active days in a month categorized under the Fashionista profile
 For wireline subscribers, only subscriptions within Metro Manila (including some areas in Rizal) and with DSL, VDSL and GPON technology value a"&amp;"re covered.")</f>
        <v>Top 1 app/site by data burn, total hits and active days in a month categorized under the Fashionista profile
 For wireline subscribers, only subscriptions within Metro Manila (including some areas in Rizal) and with DSL, VDSL and GPON technology value are covered.</v>
      </c>
      <c r="F524" s="258" t="str">
        <f>IFERROR(__xludf.DUMMYFUNCTION("""COMPUTED_VALUE"""),"Derived")</f>
        <v>Derived</v>
      </c>
      <c r="G524" s="258" t="str">
        <f>IFERROR(__xludf.DUMMYFUNCTION("""COMPUTED_VALUE"""),"varchar(1000)")</f>
        <v>varchar(1000)</v>
      </c>
      <c r="H524" s="258" t="str">
        <f>IFERROR(__xludf.DUMMYFUNCTION("""COMPUTED_VALUE"""),"esquiremag")</f>
        <v>esquiremag</v>
      </c>
      <c r="I524" s="258" t="str">
        <f>IFERROR(__xludf.DUMMYFUNCTION("""COMPUTED_VALUE"""),"EDO-UUP")</f>
        <v>EDO-UUP</v>
      </c>
      <c r="J524" s="258" t="str">
        <f>IFERROR(__xludf.DUMMYFUNCTION("""COMPUTED_VALUE"""),"Daily")</f>
        <v>Daily</v>
      </c>
      <c r="K524" s="258" t="str">
        <f>IFERROR(__xludf.DUMMYFUNCTION("""COMPUTED_VALUE"""),"")</f>
        <v/>
      </c>
      <c r="L524" s="258" t="str">
        <f>IFERROR(__xludf.DUMMYFUNCTION("""COMPUTED_VALUE"""),"GHP, GHP-PREPAID, TM, PW, GOMO, WIRELINE, BAYAN, GLOBE")</f>
        <v>GHP, GHP-PREPAID, TM, PW, GOMO, WIRELINE, BAYAN, GLOBE</v>
      </c>
      <c r="M524" s="258" t="str">
        <f>IFERROR(__xludf.DUMMYFUNCTION("""COMPUTED_VALUE"""),"Consumer, EG, SG, In house, IBG Traveler")</f>
        <v>Consumer, EG, SG, In house, IBG Traveler</v>
      </c>
      <c r="N524" s="258" t="str">
        <f>IFERROR(__xludf.DUMMYFUNCTION("""COMPUTED_VALUE"""),"interest")</f>
        <v>interest</v>
      </c>
      <c r="O524" s="258" t="str">
        <f>IFERROR(__xludf.DUMMYFUNCTION("""COMPUTED_VALUE"""),"network_profile")</f>
        <v>network_profile</v>
      </c>
      <c r="P524" s="258"/>
    </row>
    <row r="525">
      <c r="A525" s="257" t="str">
        <f>IFERROR(__xludf.DUMMYFUNCTION("""COMPUTED_VALUE"""),"iot_user_top_apps")</f>
        <v>iot_user_top_apps</v>
      </c>
      <c r="B525" s="258" t="str">
        <f>IFERROR(__xludf.DUMMYFUNCTION("""COMPUTED_VALUE"""),"Audience/Persona")</f>
        <v>Audience/Persona</v>
      </c>
      <c r="C525" s="258" t="str">
        <f>IFERROR(__xludf.DUMMYFUNCTION("""COMPUTED_VALUE"""),"Non-PII")</f>
        <v>Non-PII</v>
      </c>
      <c r="D525" s="258" t="str">
        <f>IFERROR(__xludf.DUMMYFUNCTION("""COMPUTED_VALUE"""),"Non-PII")</f>
        <v>Non-PII</v>
      </c>
      <c r="E525" s="258" t="str">
        <f>IFERROR(__xludf.DUMMYFUNCTION("""COMPUTED_VALUE"""),"Top 1 app/site by data burn, total hits and active days in a month categorized under the IOT User profile
 For wireline subscribers, only subscriptions within Metro Manila (including some areas in Rizal) and with DSL, VDSL and GPON technology value are "&amp;"covered.")</f>
        <v>Top 1 app/site by data burn, total hits and active days in a month categorized under the IOT User profile
 For wireline subscribers, only subscriptions within Metro Manila (including some areas in Rizal) and with DSL, VDSL and GPON technology value are covered.</v>
      </c>
      <c r="F525" s="258" t="str">
        <f>IFERROR(__xludf.DUMMYFUNCTION("""COMPUTED_VALUE"""),"Derived")</f>
        <v>Derived</v>
      </c>
      <c r="G525" s="258" t="str">
        <f>IFERROR(__xludf.DUMMYFUNCTION("""COMPUTED_VALUE"""),"varchar(1000)")</f>
        <v>varchar(1000)</v>
      </c>
      <c r="H525" s="258" t="str">
        <f>IFERROR(__xludf.DUMMYFUNCTION("""COMPUTED_VALUE"""),"apple_siri")</f>
        <v>apple_siri</v>
      </c>
      <c r="I525" s="258" t="str">
        <f>IFERROR(__xludf.DUMMYFUNCTION("""COMPUTED_VALUE"""),"EDO-UUP")</f>
        <v>EDO-UUP</v>
      </c>
      <c r="J525" s="258" t="str">
        <f>IFERROR(__xludf.DUMMYFUNCTION("""COMPUTED_VALUE"""),"Daily")</f>
        <v>Daily</v>
      </c>
      <c r="K525" s="258" t="str">
        <f>IFERROR(__xludf.DUMMYFUNCTION("""COMPUTED_VALUE"""),"")</f>
        <v/>
      </c>
      <c r="L525" s="258" t="str">
        <f>IFERROR(__xludf.DUMMYFUNCTION("""COMPUTED_VALUE"""),"GHP, GHP-PREPAID, TM, PW, GOMO, WIRELINE, BAYAN, GLOBE")</f>
        <v>GHP, GHP-PREPAID, TM, PW, GOMO, WIRELINE, BAYAN, GLOBE</v>
      </c>
      <c r="M525" s="258" t="str">
        <f>IFERROR(__xludf.DUMMYFUNCTION("""COMPUTED_VALUE"""),"Consumer, EG, SG, In house, IBG Traveler")</f>
        <v>Consumer, EG, SG, In house, IBG Traveler</v>
      </c>
      <c r="N525" s="258" t="str">
        <f>IFERROR(__xludf.DUMMYFUNCTION("""COMPUTED_VALUE"""),"interest")</f>
        <v>interest</v>
      </c>
      <c r="O525" s="258" t="str">
        <f>IFERROR(__xludf.DUMMYFUNCTION("""COMPUTED_VALUE"""),"network_profile")</f>
        <v>network_profile</v>
      </c>
      <c r="P525" s="258"/>
    </row>
    <row r="526">
      <c r="A526" s="257" t="str">
        <f>IFERROR(__xludf.DUMMYFUNCTION("""COMPUTED_VALUE"""),"kid_friendly_top_apps")</f>
        <v>kid_friendly_top_apps</v>
      </c>
      <c r="B526" s="258" t="str">
        <f>IFERROR(__xludf.DUMMYFUNCTION("""COMPUTED_VALUE"""),"Audience/Persona")</f>
        <v>Audience/Persona</v>
      </c>
      <c r="C526" s="258" t="str">
        <f>IFERROR(__xludf.DUMMYFUNCTION("""COMPUTED_VALUE"""),"Non-PII")</f>
        <v>Non-PII</v>
      </c>
      <c r="D526" s="258" t="str">
        <f>IFERROR(__xludf.DUMMYFUNCTION("""COMPUTED_VALUE"""),"Non-PII")</f>
        <v>Non-PII</v>
      </c>
      <c r="E526" s="258" t="str">
        <f>IFERROR(__xludf.DUMMYFUNCTION("""COMPUTED_VALUE"""),"Top 1 app/site by data burn, total hits and active days in a month categorized under the Kid Friendly profile
 For wireline subscribers, only subscriptions within Metro Manila (including some areas in Rizal) and with DSL, VDSL and GPON technology value "&amp;"are covered.")</f>
        <v>Top 1 app/site by data burn, total hits and active days in a month categorized under the Kid Friendly profile
 For wireline subscribers, only subscriptions within Metro Manila (including some areas in Rizal) and with DSL, VDSL and GPON technology value are covered.</v>
      </c>
      <c r="F526" s="258" t="str">
        <f>IFERROR(__xludf.DUMMYFUNCTION("""COMPUTED_VALUE"""),"Derived")</f>
        <v>Derived</v>
      </c>
      <c r="G526" s="258" t="str">
        <f>IFERROR(__xludf.DUMMYFUNCTION("""COMPUTED_VALUE"""),"varchar(1000)")</f>
        <v>varchar(1000)</v>
      </c>
      <c r="H526" s="258" t="str">
        <f>IFERROR(__xludf.DUMMYFUNCTION("""COMPUTED_VALUE"""),"national_geographic")</f>
        <v>national_geographic</v>
      </c>
      <c r="I526" s="258" t="str">
        <f>IFERROR(__xludf.DUMMYFUNCTION("""COMPUTED_VALUE"""),"EDO-UUP")</f>
        <v>EDO-UUP</v>
      </c>
      <c r="J526" s="258" t="str">
        <f>IFERROR(__xludf.DUMMYFUNCTION("""COMPUTED_VALUE"""),"Daily")</f>
        <v>Daily</v>
      </c>
      <c r="K526" s="258" t="str">
        <f>IFERROR(__xludf.DUMMYFUNCTION("""COMPUTED_VALUE"""),"")</f>
        <v/>
      </c>
      <c r="L526" s="258" t="str">
        <f>IFERROR(__xludf.DUMMYFUNCTION("""COMPUTED_VALUE"""),"GHP, GHP-PREPAID, TM, PW, GOMO, WIRELINE, BAYAN, GLOBE")</f>
        <v>GHP, GHP-PREPAID, TM, PW, GOMO, WIRELINE, BAYAN, GLOBE</v>
      </c>
      <c r="M526" s="258" t="str">
        <f>IFERROR(__xludf.DUMMYFUNCTION("""COMPUTED_VALUE"""),"Consumer, EG, SG, In house, IBG Traveler")</f>
        <v>Consumer, EG, SG, In house, IBG Traveler</v>
      </c>
      <c r="N526" s="258" t="str">
        <f>IFERROR(__xludf.DUMMYFUNCTION("""COMPUTED_VALUE"""),"interest")</f>
        <v>interest</v>
      </c>
      <c r="O526" s="258" t="str">
        <f>IFERROR(__xludf.DUMMYFUNCTION("""COMPUTED_VALUE"""),"network_profile")</f>
        <v>network_profile</v>
      </c>
      <c r="P526" s="258"/>
    </row>
    <row r="527">
      <c r="A527" s="257" t="str">
        <f>IFERROR(__xludf.DUMMYFUNCTION("""COMPUTED_VALUE"""),"logistics_delivery_top_apps")</f>
        <v>logistics_delivery_top_apps</v>
      </c>
      <c r="B527" s="258" t="str">
        <f>IFERROR(__xludf.DUMMYFUNCTION("""COMPUTED_VALUE"""),"Audience/Persona")</f>
        <v>Audience/Persona</v>
      </c>
      <c r="C527" s="258" t="str">
        <f>IFERROR(__xludf.DUMMYFUNCTION("""COMPUTED_VALUE"""),"Non-PII")</f>
        <v>Non-PII</v>
      </c>
      <c r="D527" s="258" t="str">
        <f>IFERROR(__xludf.DUMMYFUNCTION("""COMPUTED_VALUE"""),"Non-PII")</f>
        <v>Non-PII</v>
      </c>
      <c r="E527" s="258" t="str">
        <f>IFERROR(__xludf.DUMMYFUNCTION("""COMPUTED_VALUE"""),"Top 1 app/site by data burn, total hits and active days in a month categorized under the Logistics &amp; Delivery App User profile
 For wireline subscribers, only subscriptions within Metro Manila (including some areas in Rizal) and with DSL, VDSL and GPON "&amp;"technology value are covered.")</f>
        <v>Top 1 app/site by data burn, total hits and active days in a month categorized under the Logistics &amp; Delivery App User profile
 For wireline subscribers, only subscriptions within Metro Manila (including some areas in Rizal) and with DSL, VDSL and GPON technology value are covered.</v>
      </c>
      <c r="F527" s="258" t="str">
        <f>IFERROR(__xludf.DUMMYFUNCTION("""COMPUTED_VALUE"""),"Derived")</f>
        <v>Derived</v>
      </c>
      <c r="G527" s="258" t="str">
        <f>IFERROR(__xludf.DUMMYFUNCTION("""COMPUTED_VALUE"""),"varchar(1000)")</f>
        <v>varchar(1000)</v>
      </c>
      <c r="H527" s="258" t="str">
        <f>IFERROR(__xludf.DUMMYFUNCTION("""COMPUTED_VALUE"""),"lalamove")</f>
        <v>lalamove</v>
      </c>
      <c r="I527" s="258" t="str">
        <f>IFERROR(__xludf.DUMMYFUNCTION("""COMPUTED_VALUE"""),"EDO-UUP")</f>
        <v>EDO-UUP</v>
      </c>
      <c r="J527" s="258" t="str">
        <f>IFERROR(__xludf.DUMMYFUNCTION("""COMPUTED_VALUE"""),"Daily")</f>
        <v>Daily</v>
      </c>
      <c r="K527" s="258" t="str">
        <f>IFERROR(__xludf.DUMMYFUNCTION("""COMPUTED_VALUE"""),"")</f>
        <v/>
      </c>
      <c r="L527" s="258" t="str">
        <f>IFERROR(__xludf.DUMMYFUNCTION("""COMPUTED_VALUE"""),"GHP, GHP-PREPAID, TM, PW, GOMO, WIRELINE, BAYAN, GLOBE")</f>
        <v>GHP, GHP-PREPAID, TM, PW, GOMO, WIRELINE, BAYAN, GLOBE</v>
      </c>
      <c r="M527" s="258" t="str">
        <f>IFERROR(__xludf.DUMMYFUNCTION("""COMPUTED_VALUE"""),"Consumer, EG, SG, In house, IBG Traveler")</f>
        <v>Consumer, EG, SG, In house, IBG Traveler</v>
      </c>
      <c r="N527" s="258" t="str">
        <f>IFERROR(__xludf.DUMMYFUNCTION("""COMPUTED_VALUE"""),"interest")</f>
        <v>interest</v>
      </c>
      <c r="O527" s="258" t="str">
        <f>IFERROR(__xludf.DUMMYFUNCTION("""COMPUTED_VALUE"""),"network_profile")</f>
        <v>network_profile</v>
      </c>
      <c r="P527" s="258"/>
    </row>
    <row r="528">
      <c r="A528" s="257" t="str">
        <f>IFERROR(__xludf.DUMMYFUNCTION("""COMPUTED_VALUE"""),"globeone_user_indicator")</f>
        <v>globeone_user_indicator</v>
      </c>
      <c r="B528" s="258" t="str">
        <f>IFERROR(__xludf.DUMMYFUNCTION("""COMPUTED_VALUE"""),"Behavioral")</f>
        <v>Behavioral</v>
      </c>
      <c r="C528" s="258" t="str">
        <f>IFERROR(__xludf.DUMMYFUNCTION("""COMPUTED_VALUE"""),"Non-PII")</f>
        <v>Non-PII</v>
      </c>
      <c r="D528" s="258" t="str">
        <f>IFERROR(__xludf.DUMMYFUNCTION("""COMPUTED_VALUE"""),"Non-PII")</f>
        <v>Non-PII</v>
      </c>
      <c r="E528" s="258" t="str">
        <f>IFERROR(__xludf.DUMMYFUNCTION("""COMPUTED_VALUE"""),"Indicator if a subscriber is enrolled in GlobeOne")</f>
        <v>Indicator if a subscriber is enrolled in GlobeOne</v>
      </c>
      <c r="F528" s="258" t="str">
        <f>IFERROR(__xludf.DUMMYFUNCTION("""COMPUTED_VALUE"""),"Direct Pull")</f>
        <v>Direct Pull</v>
      </c>
      <c r="G528" s="258" t="str">
        <f>IFERROR(__xludf.DUMMYFUNCTION("""COMPUTED_VALUE"""),"boolean")</f>
        <v>boolean</v>
      </c>
      <c r="H528" s="258" t="b">
        <f>IFERROR(__xludf.DUMMYFUNCTION("""COMPUTED_VALUE"""),TRUE)</f>
        <v>1</v>
      </c>
      <c r="I528" s="258" t="str">
        <f>IFERROR(__xludf.DUMMYFUNCTION("""COMPUTED_VALUE"""),"MSH I FVT")</f>
        <v>MSH I FVT</v>
      </c>
      <c r="J528" s="258" t="str">
        <f>IFERROR(__xludf.DUMMYFUNCTION("""COMPUTED_VALUE"""),"Daily")</f>
        <v>Daily</v>
      </c>
      <c r="K528" s="258" t="str">
        <f>IFERROR(__xludf.DUMMYFUNCTION("""COMPUTED_VALUE"""),"")</f>
        <v/>
      </c>
      <c r="L528" s="258" t="str">
        <f>IFERROR(__xludf.DUMMYFUNCTION("""COMPUTED_VALUE"""),"GHP, GHP-PREPAID, TM, PW, WIRELINE, GLOBE")</f>
        <v>GHP, GHP-PREPAID, TM, PW, WIRELINE, GLOBE</v>
      </c>
      <c r="M528" s="258" t="str">
        <f>IFERROR(__xludf.DUMMYFUNCTION("""COMPUTED_VALUE"""),"Consumer, EG, SG, In house, IBG Traveler")</f>
        <v>Consumer, EG, SG, In house, IBG Traveler</v>
      </c>
      <c r="N528" s="258" t="str">
        <f>IFERROR(__xludf.DUMMYFUNCTION("""COMPUTED_VALUE"""),"customer")</f>
        <v>customer</v>
      </c>
      <c r="O528" s="258" t="str">
        <f>IFERROR(__xludf.DUMMYFUNCTION("""COMPUTED_VALUE"""),"customer_profile")</f>
        <v>customer_profile</v>
      </c>
      <c r="P528" s="258"/>
    </row>
    <row r="529">
      <c r="A529" s="257" t="str">
        <f>IFERROR(__xludf.DUMMYFUNCTION("""COMPUTED_VALUE"""),"productivity_tools_user_indicator")</f>
        <v>productivity_tools_user_indicator</v>
      </c>
      <c r="B529" s="258" t="str">
        <f>IFERROR(__xludf.DUMMYFUNCTION("""COMPUTED_VALUE"""),"Audience/Persona")</f>
        <v>Audience/Persona</v>
      </c>
      <c r="C529" s="258" t="str">
        <f>IFERROR(__xludf.DUMMYFUNCTION("""COMPUTED_VALUE"""),"Non-PII")</f>
        <v>Non-PII</v>
      </c>
      <c r="D529" s="258" t="str">
        <f>IFERROR(__xludf.DUMMYFUNCTION("""COMPUTED_VALUE"""),"Non-PII")</f>
        <v>Non-PII</v>
      </c>
      <c r="E529" s="258" t="str">
        <f>IFERROR(__xludf.DUMMYFUNCTION("""COMPUTED_VALUE"""),"Indicator if a subscriber uses productivity tools such as zoom, sharepoint, workday
 For wireline subscribers, only subscriptions within Metro Manila (including some areas in Rizal) and with DSL, VDSL and GPON technology value are covered.")</f>
        <v>Indicator if a subscriber uses productivity tools such as zoom, sharepoint, workday
 For wireline subscribers, only subscriptions within Metro Manila (including some areas in Rizal) and with DSL, VDSL and GPON technology value are covered.</v>
      </c>
      <c r="F529" s="258" t="str">
        <f>IFERROR(__xludf.DUMMYFUNCTION("""COMPUTED_VALUE"""),"Derived")</f>
        <v>Derived</v>
      </c>
      <c r="G529" s="258" t="str">
        <f>IFERROR(__xludf.DUMMYFUNCTION("""COMPUTED_VALUE"""),"boolean")</f>
        <v>boolean</v>
      </c>
      <c r="H529" s="258" t="b">
        <f>IFERROR(__xludf.DUMMYFUNCTION("""COMPUTED_VALUE"""),TRUE)</f>
        <v>1</v>
      </c>
      <c r="I529" s="258" t="str">
        <f>IFERROR(__xludf.DUMMYFUNCTION("""COMPUTED_VALUE"""),"EDO-UUP")</f>
        <v>EDO-UUP</v>
      </c>
      <c r="J529" s="258" t="str">
        <f>IFERROR(__xludf.DUMMYFUNCTION("""COMPUTED_VALUE"""),"Monthly")</f>
        <v>Monthly</v>
      </c>
      <c r="K529" s="258" t="str">
        <f>IFERROR(__xludf.DUMMYFUNCTION("""COMPUTED_VALUE"""),"")</f>
        <v/>
      </c>
      <c r="L529" s="258" t="str">
        <f>IFERROR(__xludf.DUMMYFUNCTION("""COMPUTED_VALUE"""),"GHP, GHP-PREPAID, TM, PW, GOMO, WIRELINE, BAYAN, GLOBE")</f>
        <v>GHP, GHP-PREPAID, TM, PW, GOMO, WIRELINE, BAYAN, GLOBE</v>
      </c>
      <c r="M529" s="258" t="str">
        <f>IFERROR(__xludf.DUMMYFUNCTION("""COMPUTED_VALUE"""),"Consumer, EG, SG, In house, IBG Traveler")</f>
        <v>Consumer, EG, SG, In house, IBG Traveler</v>
      </c>
      <c r="N529" s="258" t="str">
        <f>IFERROR(__xludf.DUMMYFUNCTION("""COMPUTED_VALUE"""),"interest")</f>
        <v>interest</v>
      </c>
      <c r="O529" s="258" t="str">
        <f>IFERROR(__xludf.DUMMYFUNCTION("""COMPUTED_VALUE"""),"network_profile")</f>
        <v>network_profile</v>
      </c>
      <c r="P529" s="258"/>
    </row>
    <row r="530">
      <c r="A530" s="257" t="str">
        <f>IFERROR(__xludf.DUMMYFUNCTION("""COMPUTED_VALUE"""),"productivity_tools_user_bucket")</f>
        <v>productivity_tools_user_bucket</v>
      </c>
      <c r="B530" s="258" t="str">
        <f>IFERROR(__xludf.DUMMYFUNCTION("""COMPUTED_VALUE"""),"Audience/Persona")</f>
        <v>Audience/Persona</v>
      </c>
      <c r="C530" s="258" t="str">
        <f>IFERROR(__xludf.DUMMYFUNCTION("""COMPUTED_VALUE"""),"Non-PII")</f>
        <v>Non-PII</v>
      </c>
      <c r="D530" s="258" t="str">
        <f>IFERROR(__xludf.DUMMYFUNCTION("""COMPUTED_VALUE"""),"Non-PII")</f>
        <v>Non-PII</v>
      </c>
      <c r="E530" s="258" t="str">
        <f>IFERROR(__xludf.DUMMYFUNCTION("""COMPUTED_VALUE"""),"Bucketing based on identified metric for Productivity Tools User profile
 Metric: Average Daily Hits in a Month
 Valid values:
 LOW: &lt;= 5 hits
 MID: &gt; 5 &amp; &lt;= 10 hits
 HIGH: &gt; 10 hits
 For wireline subscribers, only subscriptions within Metro Manila (inc"&amp;"luding some areas in Rizal) and with DSL, VDSL and GPON technology value are covered.")</f>
        <v>Bucketing based on identified metric for Productivity Tools User profile
 Metric: Average Daily Hits in a Month
 Valid values:
 LOW: &lt;= 5 hits
 MID: &gt; 5 &amp; &lt;= 10 hits
 HIGH: &gt; 10 hits
 For wireline subscribers, only subscriptions within Metro Manila (including some areas in Rizal) and with DSL, VDSL and GPON technology value are covered.</v>
      </c>
      <c r="F530" s="258" t="str">
        <f>IFERROR(__xludf.DUMMYFUNCTION("""COMPUTED_VALUE"""),"Direct Pull")</f>
        <v>Direct Pull</v>
      </c>
      <c r="G530" s="258" t="str">
        <f>IFERROR(__xludf.DUMMYFUNCTION("""COMPUTED_VALUE"""),"varchar(1000)")</f>
        <v>varchar(1000)</v>
      </c>
      <c r="H530" s="258" t="str">
        <f>IFERROR(__xludf.DUMMYFUNCTION("""COMPUTED_VALUE"""),"MID")</f>
        <v>MID</v>
      </c>
      <c r="I530" s="258" t="str">
        <f>IFERROR(__xludf.DUMMYFUNCTION("""COMPUTED_VALUE"""),"EDO-UUP")</f>
        <v>EDO-UUP</v>
      </c>
      <c r="J530" s="258" t="str">
        <f>IFERROR(__xludf.DUMMYFUNCTION("""COMPUTED_VALUE"""),"Monthly")</f>
        <v>Monthly</v>
      </c>
      <c r="K530" s="258" t="str">
        <f>IFERROR(__xludf.DUMMYFUNCTION("""COMPUTED_VALUE"""),"")</f>
        <v/>
      </c>
      <c r="L530" s="258" t="str">
        <f>IFERROR(__xludf.DUMMYFUNCTION("""COMPUTED_VALUE"""),"GHP, GHP-PREPAID, TM, PW, GOMO, WIRELINE, BAYAN, GLOBE")</f>
        <v>GHP, GHP-PREPAID, TM, PW, GOMO, WIRELINE, BAYAN, GLOBE</v>
      </c>
      <c r="M530" s="258" t="str">
        <f>IFERROR(__xludf.DUMMYFUNCTION("""COMPUTED_VALUE"""),"Consumer, EG, SG, In house, IBG Traveler")</f>
        <v>Consumer, EG, SG, In house, IBG Traveler</v>
      </c>
      <c r="N530" s="258" t="str">
        <f>IFERROR(__xludf.DUMMYFUNCTION("""COMPUTED_VALUE"""),"interest")</f>
        <v>interest</v>
      </c>
      <c r="O530" s="258" t="str">
        <f>IFERROR(__xludf.DUMMYFUNCTION("""COMPUTED_VALUE"""),"network_profile")</f>
        <v>network_profile</v>
      </c>
      <c r="P530" s="258"/>
    </row>
    <row r="531">
      <c r="A531" s="257" t="str">
        <f>IFERROR(__xludf.DUMMYFUNCTION("""COMPUTED_VALUE"""),"productivity_tools_user_details")</f>
        <v>productivity_tools_user_details</v>
      </c>
      <c r="B531" s="258" t="str">
        <f>IFERROR(__xludf.DUMMYFUNCTION("""COMPUTED_VALUE"""),"Audience/Persona")</f>
        <v>Audience/Persona</v>
      </c>
      <c r="C531" s="258" t="str">
        <f>IFERROR(__xludf.DUMMYFUNCTION("""COMPUTED_VALUE"""),"Non-PII")</f>
        <v>Non-PII</v>
      </c>
      <c r="D531" s="258" t="str">
        <f>IFERROR(__xludf.DUMMYFUNCTION("""COMPUTED_VALUE"""),"Non-PII")</f>
        <v>Non-PII</v>
      </c>
      <c r="E531" s="258" t="str">
        <f>IFERROR(__xludf.DUMMYFUNCTION("""COMPUTED_VALUE"""),"Metric used and value for the Productivity Tools User profile
 For wireline subscribers, only subscriptions within Metro Manila (including some areas in Rizal) and with DSL, VDSL and GPON technology value are covered.")</f>
        <v>Metric used and value for the Productivity Tools User profile
 For wireline subscribers, only subscriptions within Metro Manila (including some areas in Rizal) and with DSL, VDSL and GPON technology value are covered.</v>
      </c>
      <c r="F531" s="258" t="str">
        <f>IFERROR(__xludf.DUMMYFUNCTION("""COMPUTED_VALUE"""),"Derived")</f>
        <v>Derived</v>
      </c>
      <c r="G531" s="258" t="str">
        <f>IFERROR(__xludf.DUMMYFUNCTION("""COMPUTED_VALUE"""),"varchar(1000)")</f>
        <v>varchar(1000)</v>
      </c>
      <c r="H531" s="258" t="str">
        <f>IFERROR(__xludf.DUMMYFUNCTION("""COMPUTED_VALUE"""),"{""Average Daily Hits in a Month"": 9}")</f>
        <v>{"Average Daily Hits in a Month": 9}</v>
      </c>
      <c r="I531" s="258" t="str">
        <f>IFERROR(__xludf.DUMMYFUNCTION("""COMPUTED_VALUE"""),"EDO-UUP")</f>
        <v>EDO-UUP</v>
      </c>
      <c r="J531" s="258" t="str">
        <f>IFERROR(__xludf.DUMMYFUNCTION("""COMPUTED_VALUE"""),"Monthly")</f>
        <v>Monthly</v>
      </c>
      <c r="K531" s="258" t="str">
        <f>IFERROR(__xludf.DUMMYFUNCTION("""COMPUTED_VALUE"""),"")</f>
        <v/>
      </c>
      <c r="L531" s="258" t="str">
        <f>IFERROR(__xludf.DUMMYFUNCTION("""COMPUTED_VALUE"""),"GHP, GHP-PREPAID, TM, PW, GOMO, WIRELINE, BAYAN, GLOBE")</f>
        <v>GHP, GHP-PREPAID, TM, PW, GOMO, WIRELINE, BAYAN, GLOBE</v>
      </c>
      <c r="M531" s="258" t="str">
        <f>IFERROR(__xludf.DUMMYFUNCTION("""COMPUTED_VALUE"""),"Consumer, EG, SG, In house, IBG Traveler")</f>
        <v>Consumer, EG, SG, In house, IBG Traveler</v>
      </c>
      <c r="N531" s="258" t="str">
        <f>IFERROR(__xludf.DUMMYFUNCTION("""COMPUTED_VALUE"""),"interest")</f>
        <v>interest</v>
      </c>
      <c r="O531" s="258" t="str">
        <f>IFERROR(__xludf.DUMMYFUNCTION("""COMPUTED_VALUE"""),"network_profile")</f>
        <v>network_profile</v>
      </c>
      <c r="P531" s="258"/>
    </row>
    <row r="532">
      <c r="A532" s="257" t="str">
        <f>IFERROR(__xludf.DUMMYFUNCTION("""COMPUTED_VALUE"""),"kpop_fan_top_apps")</f>
        <v>kpop_fan_top_apps</v>
      </c>
      <c r="B532" s="258" t="str">
        <f>IFERROR(__xludf.DUMMYFUNCTION("""COMPUTED_VALUE"""),"Audience/Persona")</f>
        <v>Audience/Persona</v>
      </c>
      <c r="C532" s="258" t="str">
        <f>IFERROR(__xludf.DUMMYFUNCTION("""COMPUTED_VALUE"""),"Non-PII")</f>
        <v>Non-PII</v>
      </c>
      <c r="D532" s="258" t="str">
        <f>IFERROR(__xludf.DUMMYFUNCTION("""COMPUTED_VALUE"""),"Non-PII")</f>
        <v>Non-PII</v>
      </c>
      <c r="E532" s="258" t="str">
        <f>IFERROR(__xludf.DUMMYFUNCTION("""COMPUTED_VALUE"""),"Top 1 app/site by data burn, total hits and active days in a month categorized under the KPop Fan profile
 For wireline subscribers, only subscriptions within Metro Manila (including some areas in Rizal) and with DSL, VDSL and GPON technology value are "&amp;"covered.")</f>
        <v>Top 1 app/site by data burn, total hits and active days in a month categorized under the KPop Fan profile
 For wireline subscribers, only subscriptions within Metro Manila (including some areas in Rizal) and with DSL, VDSL and GPON technology value are covered.</v>
      </c>
      <c r="F532" s="258" t="str">
        <f>IFERROR(__xludf.DUMMYFUNCTION("""COMPUTED_VALUE"""),"Derived")</f>
        <v>Derived</v>
      </c>
      <c r="G532" s="258" t="str">
        <f>IFERROR(__xludf.DUMMYFUNCTION("""COMPUTED_VALUE"""),"varchar(1000)")</f>
        <v>varchar(1000)</v>
      </c>
      <c r="H532" s="258" t="str">
        <f>IFERROR(__xludf.DUMMYFUNCTION("""COMPUTED_VALUE"""),"viu")</f>
        <v>viu</v>
      </c>
      <c r="I532" s="258" t="str">
        <f>IFERROR(__xludf.DUMMYFUNCTION("""COMPUTED_VALUE"""),"EDO-UUP")</f>
        <v>EDO-UUP</v>
      </c>
      <c r="J532" s="258" t="str">
        <f>IFERROR(__xludf.DUMMYFUNCTION("""COMPUTED_VALUE"""),"Monthly")</f>
        <v>Monthly</v>
      </c>
      <c r="K532" s="258" t="str">
        <f>IFERROR(__xludf.DUMMYFUNCTION("""COMPUTED_VALUE"""),"")</f>
        <v/>
      </c>
      <c r="L532" s="258" t="str">
        <f>IFERROR(__xludf.DUMMYFUNCTION("""COMPUTED_VALUE"""),"GHP, GHP-PREPAID, TM, PW, GOMO, WIRELINE, BAYAN, GLOBE")</f>
        <v>GHP, GHP-PREPAID, TM, PW, GOMO, WIRELINE, BAYAN, GLOBE</v>
      </c>
      <c r="M532" s="258" t="str">
        <f>IFERROR(__xludf.DUMMYFUNCTION("""COMPUTED_VALUE"""),"Consumer, EG, SG, In house, IBG Traveler")</f>
        <v>Consumer, EG, SG, In house, IBG Traveler</v>
      </c>
      <c r="N532" s="258" t="str">
        <f>IFERROR(__xludf.DUMMYFUNCTION("""COMPUTED_VALUE"""),"interest")</f>
        <v>interest</v>
      </c>
      <c r="O532" s="258" t="str">
        <f>IFERROR(__xludf.DUMMYFUNCTION("""COMPUTED_VALUE"""),"network_profile")</f>
        <v>network_profile</v>
      </c>
      <c r="P532" s="258"/>
    </row>
    <row r="533">
      <c r="A533" s="257" t="str">
        <f>IFERROR(__xludf.DUMMYFUNCTION("""COMPUTED_VALUE"""),"road_warrior_top_apps")</f>
        <v>road_warrior_top_apps</v>
      </c>
      <c r="B533" s="258" t="str">
        <f>IFERROR(__xludf.DUMMYFUNCTION("""COMPUTED_VALUE"""),"Audience/Persona")</f>
        <v>Audience/Persona</v>
      </c>
      <c r="C533" s="258" t="str">
        <f>IFERROR(__xludf.DUMMYFUNCTION("""COMPUTED_VALUE"""),"Non-PII")</f>
        <v>Non-PII</v>
      </c>
      <c r="D533" s="258" t="str">
        <f>IFERROR(__xludf.DUMMYFUNCTION("""COMPUTED_VALUE"""),"Non-PII")</f>
        <v>Non-PII</v>
      </c>
      <c r="E533" s="258" t="str">
        <f>IFERROR(__xludf.DUMMYFUNCTION("""COMPUTED_VALUE"""),"Top 1 application or website by Average Daily Hits in a Month categorized under the Road Warrior profile")</f>
        <v>Top 1 application or website by Average Daily Hits in a Month categorized under the Road Warrior profile</v>
      </c>
      <c r="F533" s="258" t="str">
        <f>IFERROR(__xludf.DUMMYFUNCTION("""COMPUTED_VALUE"""),"Derived")</f>
        <v>Derived</v>
      </c>
      <c r="G533" s="258" t="str">
        <f>IFERROR(__xludf.DUMMYFUNCTION("""COMPUTED_VALUE"""),"varchar(1000)")</f>
        <v>varchar(1000)</v>
      </c>
      <c r="H533" s="258" t="str">
        <f>IFERROR(__xludf.DUMMYFUNCTION("""COMPUTED_VALUE"""),"google_maps")</f>
        <v>google_maps</v>
      </c>
      <c r="I533" s="258" t="str">
        <f>IFERROR(__xludf.DUMMYFUNCTION("""COMPUTED_VALUE"""),"EDO-UUP")</f>
        <v>EDO-UUP</v>
      </c>
      <c r="J533" s="258" t="str">
        <f>IFERROR(__xludf.DUMMYFUNCTION("""COMPUTED_VALUE"""),"Monthly")</f>
        <v>Monthly</v>
      </c>
      <c r="K533" s="258" t="str">
        <f>IFERROR(__xludf.DUMMYFUNCTION("""COMPUTED_VALUE"""),"")</f>
        <v/>
      </c>
      <c r="L533" s="258" t="str">
        <f>IFERROR(__xludf.DUMMYFUNCTION("""COMPUTED_VALUE"""),"GHP, GHP-PREPAID, TM, PW, GOMO")</f>
        <v>GHP, GHP-PREPAID, TM, PW, GOMO</v>
      </c>
      <c r="M533" s="258" t="str">
        <f>IFERROR(__xludf.DUMMYFUNCTION("""COMPUTED_VALUE"""),"Consumer, EG, SG, In house, IBG Traveler")</f>
        <v>Consumer, EG, SG, In house, IBG Traveler</v>
      </c>
      <c r="N533" s="258" t="str">
        <f>IFERROR(__xludf.DUMMYFUNCTION("""COMPUTED_VALUE"""),"interest")</f>
        <v>interest</v>
      </c>
      <c r="O533" s="258" t="str">
        <f>IFERROR(__xludf.DUMMYFUNCTION("""COMPUTED_VALUE"""),"network_profile")</f>
        <v>network_profile</v>
      </c>
      <c r="P533" s="258"/>
    </row>
    <row r="534">
      <c r="A534" s="257" t="str">
        <f>IFERROR(__xludf.DUMMYFUNCTION("""COMPUTED_VALUE"""),"tnvs_user_top_apps")</f>
        <v>tnvs_user_top_apps</v>
      </c>
      <c r="B534" s="258" t="str">
        <f>IFERROR(__xludf.DUMMYFUNCTION("""COMPUTED_VALUE"""),"Audience/Persona")</f>
        <v>Audience/Persona</v>
      </c>
      <c r="C534" s="258" t="str">
        <f>IFERROR(__xludf.DUMMYFUNCTION("""COMPUTED_VALUE"""),"Non-PII")</f>
        <v>Non-PII</v>
      </c>
      <c r="D534" s="258" t="str">
        <f>IFERROR(__xludf.DUMMYFUNCTION("""COMPUTED_VALUE"""),"Non-PII")</f>
        <v>Non-PII</v>
      </c>
      <c r="E534" s="258" t="str">
        <f>IFERROR(__xludf.DUMMYFUNCTION("""COMPUTED_VALUE"""),"Top 1 app/site by data burn, total hits and active days in a month categorized under the TNVS User profile
 For wireline subscribers, only subscriptions within Metro Manila (including some areas in Rizal) and with DSL, VDSL and GPON technology value are"&amp;" covered.")</f>
        <v>Top 1 app/site by data burn, total hits and active days in a month categorized under the TNVS User profile
 For wireline subscribers, only subscriptions within Metro Manila (including some areas in Rizal) and with DSL, VDSL and GPON technology value are covered.</v>
      </c>
      <c r="F534" s="258" t="str">
        <f>IFERROR(__xludf.DUMMYFUNCTION("""COMPUTED_VALUE"""),"Derived")</f>
        <v>Derived</v>
      </c>
      <c r="G534" s="258" t="str">
        <f>IFERROR(__xludf.DUMMYFUNCTION("""COMPUTED_VALUE"""),"varchar(1000)")</f>
        <v>varchar(1000)</v>
      </c>
      <c r="H534" s="258" t="str">
        <f>IFERROR(__xludf.DUMMYFUNCTION("""COMPUTED_VALUE"""),"grab")</f>
        <v>grab</v>
      </c>
      <c r="I534" s="258" t="str">
        <f>IFERROR(__xludf.DUMMYFUNCTION("""COMPUTED_VALUE"""),"EDO-UUP")</f>
        <v>EDO-UUP</v>
      </c>
      <c r="J534" s="258" t="str">
        <f>IFERROR(__xludf.DUMMYFUNCTION("""COMPUTED_VALUE"""),"Monthly")</f>
        <v>Monthly</v>
      </c>
      <c r="K534" s="258" t="str">
        <f>IFERROR(__xludf.DUMMYFUNCTION("""COMPUTED_VALUE"""),"")</f>
        <v/>
      </c>
      <c r="L534" s="258" t="str">
        <f>IFERROR(__xludf.DUMMYFUNCTION("""COMPUTED_VALUE"""),"GHP, GHP-PREPAID, TM, PW, GOMO, WIRELINE, BAYAN, GLOBE")</f>
        <v>GHP, GHP-PREPAID, TM, PW, GOMO, WIRELINE, BAYAN, GLOBE</v>
      </c>
      <c r="M534" s="258" t="str">
        <f>IFERROR(__xludf.DUMMYFUNCTION("""COMPUTED_VALUE"""),"Consumer, EG, SG, In house, IBG Traveler")</f>
        <v>Consumer, EG, SG, In house, IBG Traveler</v>
      </c>
      <c r="N534" s="258" t="str">
        <f>IFERROR(__xludf.DUMMYFUNCTION("""COMPUTED_VALUE"""),"interest")</f>
        <v>interest</v>
      </c>
      <c r="O534" s="258" t="str">
        <f>IFERROR(__xludf.DUMMYFUNCTION("""COMPUTED_VALUE"""),"network_profile")</f>
        <v>network_profile</v>
      </c>
      <c r="P534" s="258"/>
    </row>
    <row r="535">
      <c r="A535" s="257" t="str">
        <f>IFERROR(__xludf.DUMMYFUNCTION("""COMPUTED_VALUE"""),"travel_enthusiast_top_apps")</f>
        <v>travel_enthusiast_top_apps</v>
      </c>
      <c r="B535" s="258" t="str">
        <f>IFERROR(__xludf.DUMMYFUNCTION("""COMPUTED_VALUE"""),"Audience/Persona")</f>
        <v>Audience/Persona</v>
      </c>
      <c r="C535" s="258" t="str">
        <f>IFERROR(__xludf.DUMMYFUNCTION("""COMPUTED_VALUE"""),"Non-PII")</f>
        <v>Non-PII</v>
      </c>
      <c r="D535" s="258" t="str">
        <f>IFERROR(__xludf.DUMMYFUNCTION("""COMPUTED_VALUE"""),"Non-PII")</f>
        <v>Non-PII</v>
      </c>
      <c r="E535" s="258" t="str">
        <f>IFERROR(__xludf.DUMMYFUNCTION("""COMPUTED_VALUE"""),"Top 1 app/site by data burn, total hits and active days in a month categorized under the Travel Enthusiast profile
 For wireline subscribers, only subscriptions within Metro Manila (including some areas in Rizal) and with DSL, VDSL and GPON technology v"&amp;"alue are covered.")</f>
        <v>Top 1 app/site by data burn, total hits and active days in a month categorized under the Travel Enthusiast profile
 For wireline subscribers, only subscriptions within Metro Manila (including some areas in Rizal) and with DSL, VDSL and GPON technology value are covered.</v>
      </c>
      <c r="F535" s="258" t="str">
        <f>IFERROR(__xludf.DUMMYFUNCTION("""COMPUTED_VALUE"""),"Derived")</f>
        <v>Derived</v>
      </c>
      <c r="G535" s="258" t="str">
        <f>IFERROR(__xludf.DUMMYFUNCTION("""COMPUTED_VALUE"""),"varchar(1000)")</f>
        <v>varchar(1000)</v>
      </c>
      <c r="H535" s="258" t="str">
        <f>IFERROR(__xludf.DUMMYFUNCTION("""COMPUTED_VALUE"""),"agoda")</f>
        <v>agoda</v>
      </c>
      <c r="I535" s="258" t="str">
        <f>IFERROR(__xludf.DUMMYFUNCTION("""COMPUTED_VALUE"""),"EDO-UUP")</f>
        <v>EDO-UUP</v>
      </c>
      <c r="J535" s="258" t="str">
        <f>IFERROR(__xludf.DUMMYFUNCTION("""COMPUTED_VALUE"""),"Monthly")</f>
        <v>Monthly</v>
      </c>
      <c r="K535" s="258" t="str">
        <f>IFERROR(__xludf.DUMMYFUNCTION("""COMPUTED_VALUE"""),"")</f>
        <v/>
      </c>
      <c r="L535" s="258" t="str">
        <f>IFERROR(__xludf.DUMMYFUNCTION("""COMPUTED_VALUE"""),"GHP, GHP-PREPAID, TM, PW, GOMO, WIRELINE, BAYAN, GLOBE")</f>
        <v>GHP, GHP-PREPAID, TM, PW, GOMO, WIRELINE, BAYAN, GLOBE</v>
      </c>
      <c r="M535" s="258" t="str">
        <f>IFERROR(__xludf.DUMMYFUNCTION("""COMPUTED_VALUE"""),"Consumer, EG, SG, In house, IBG Traveler")</f>
        <v>Consumer, EG, SG, In house, IBG Traveler</v>
      </c>
      <c r="N535" s="258" t="str">
        <f>IFERROR(__xludf.DUMMYFUNCTION("""COMPUTED_VALUE"""),"interest")</f>
        <v>interest</v>
      </c>
      <c r="O535" s="258" t="str">
        <f>IFERROR(__xludf.DUMMYFUNCTION("""COMPUTED_VALUE"""),"network_profile")</f>
        <v>network_profile</v>
      </c>
      <c r="P535" s="258"/>
    </row>
    <row r="536">
      <c r="A536" s="257" t="str">
        <f>IFERROR(__xludf.DUMMYFUNCTION("""COMPUTED_VALUE"""),"coffee_lover_indicator")</f>
        <v>coffee_lover_indicator</v>
      </c>
      <c r="B536" s="258" t="str">
        <f>IFERROR(__xludf.DUMMYFUNCTION("""COMPUTED_VALUE"""),"Audience/Persona")</f>
        <v>Audience/Persona</v>
      </c>
      <c r="C536" s="258" t="str">
        <f>IFERROR(__xludf.DUMMYFUNCTION("""COMPUTED_VALUE"""),"Non-PII")</f>
        <v>Non-PII</v>
      </c>
      <c r="D536" s="258" t="str">
        <f>IFERROR(__xludf.DUMMYFUNCTION("""COMPUTED_VALUE"""),"Non-PII")</f>
        <v>Non-PII</v>
      </c>
      <c r="E536" s="258" t="str">
        <f>IFERROR(__xludf.DUMMYFUNCTION("""COMPUTED_VALUE"""),"Indicator if a subscriber accesses online coffee shops or coffee sellers like nespresso, starbucks, yardstickcoffee
 For wireline subscribers, only subscriptions within Metro Manila (including some areas in Rizal) and with DSL, VDSL and GPON technology "&amp;"value are covered.")</f>
        <v>Indicator if a subscriber accesses online coffee shops or coffee sellers like nespresso, starbucks, yardstickcoffee
 For wireline subscribers, only subscriptions within Metro Manila (including some areas in Rizal) and with DSL, VDSL and GPON technology value are covered.</v>
      </c>
      <c r="F536" s="258" t="str">
        <f>IFERROR(__xludf.DUMMYFUNCTION("""COMPUTED_VALUE"""),"Derived")</f>
        <v>Derived</v>
      </c>
      <c r="G536" s="258" t="str">
        <f>IFERROR(__xludf.DUMMYFUNCTION("""COMPUTED_VALUE"""),"boolean")</f>
        <v>boolean</v>
      </c>
      <c r="H536" s="258" t="b">
        <f>IFERROR(__xludf.DUMMYFUNCTION("""COMPUTED_VALUE"""),TRUE)</f>
        <v>1</v>
      </c>
      <c r="I536" s="258" t="str">
        <f>IFERROR(__xludf.DUMMYFUNCTION("""COMPUTED_VALUE"""),"EDO-UUP")</f>
        <v>EDO-UUP</v>
      </c>
      <c r="J536" s="258" t="str">
        <f>IFERROR(__xludf.DUMMYFUNCTION("""COMPUTED_VALUE"""),"Monthly")</f>
        <v>Monthly</v>
      </c>
      <c r="K536" s="258" t="str">
        <f>IFERROR(__xludf.DUMMYFUNCTION("""COMPUTED_VALUE"""),"")</f>
        <v/>
      </c>
      <c r="L536" s="258" t="str">
        <f>IFERROR(__xludf.DUMMYFUNCTION("""COMPUTED_VALUE"""),"GHP, GHP-PREPAID, TM, PW, GOMO, WIRELINE, BAYAN, GLOBE")</f>
        <v>GHP, GHP-PREPAID, TM, PW, GOMO, WIRELINE, BAYAN, GLOBE</v>
      </c>
      <c r="M536" s="258" t="str">
        <f>IFERROR(__xludf.DUMMYFUNCTION("""COMPUTED_VALUE"""),"Consumer, EG, SG, In house, IBG Traveler")</f>
        <v>Consumer, EG, SG, In house, IBG Traveler</v>
      </c>
      <c r="N536" s="258" t="str">
        <f>IFERROR(__xludf.DUMMYFUNCTION("""COMPUTED_VALUE"""),"interest")</f>
        <v>interest</v>
      </c>
      <c r="O536" s="258" t="str">
        <f>IFERROR(__xludf.DUMMYFUNCTION("""COMPUTED_VALUE"""),"network_profile")</f>
        <v>network_profile</v>
      </c>
      <c r="P536" s="258"/>
    </row>
    <row r="537">
      <c r="A537" s="257" t="str">
        <f>IFERROR(__xludf.DUMMYFUNCTION("""COMPUTED_VALUE"""),"coffee_lover_bucket")</f>
        <v>coffee_lover_bucket</v>
      </c>
      <c r="B537" s="258" t="str">
        <f>IFERROR(__xludf.DUMMYFUNCTION("""COMPUTED_VALUE"""),"Audience/Persona")</f>
        <v>Audience/Persona</v>
      </c>
      <c r="C537" s="258" t="str">
        <f>IFERROR(__xludf.DUMMYFUNCTION("""COMPUTED_VALUE"""),"Non-PII")</f>
        <v>Non-PII</v>
      </c>
      <c r="D537" s="258" t="str">
        <f>IFERROR(__xludf.DUMMYFUNCTION("""COMPUTED_VALUE"""),"Non-PII")</f>
        <v>Non-PII</v>
      </c>
      <c r="E537" s="258" t="str">
        <f>IFERROR(__xludf.DUMMYFUNCTION("""COMPUTED_VALUE"""),"Bucketing based on identified metric for Coffee Lover profile
 Metric: Total Hits in a Month
 Valid values:
 LOW: &lt;= 3 hits
 MID: &gt; 3 &amp; &lt;= 5 hits
 HIGH: &gt; 5 hits
 For wireline subscribers, only subscriptions within Metro Manila (including some areas in "&amp;"Rizal) and with DSL, VDSL and GPON technology value are covered.")</f>
        <v>Bucketing based on identified metric for Coffee Lover profile
 Metric: Total Hits in a Month
 Valid values:
 LOW: &lt;= 3 hits
 MID: &gt; 3 &amp; &lt;= 5 hits
 HIGH: &gt; 5 hits
 For wireline subscribers, only subscriptions within Metro Manila (including some areas in Rizal) and with DSL, VDSL and GPON technology value are covered.</v>
      </c>
      <c r="F537" s="258" t="str">
        <f>IFERROR(__xludf.DUMMYFUNCTION("""COMPUTED_VALUE"""),"Direct Pull")</f>
        <v>Direct Pull</v>
      </c>
      <c r="G537" s="258" t="str">
        <f>IFERROR(__xludf.DUMMYFUNCTION("""COMPUTED_VALUE"""),"varchar(1000)")</f>
        <v>varchar(1000)</v>
      </c>
      <c r="H537" s="258" t="str">
        <f>IFERROR(__xludf.DUMMYFUNCTION("""COMPUTED_VALUE"""),"MID")</f>
        <v>MID</v>
      </c>
      <c r="I537" s="258" t="str">
        <f>IFERROR(__xludf.DUMMYFUNCTION("""COMPUTED_VALUE"""),"EDO-UUP")</f>
        <v>EDO-UUP</v>
      </c>
      <c r="J537" s="258" t="str">
        <f>IFERROR(__xludf.DUMMYFUNCTION("""COMPUTED_VALUE"""),"Monthly")</f>
        <v>Monthly</v>
      </c>
      <c r="K537" s="258" t="str">
        <f>IFERROR(__xludf.DUMMYFUNCTION("""COMPUTED_VALUE"""),"")</f>
        <v/>
      </c>
      <c r="L537" s="258" t="str">
        <f>IFERROR(__xludf.DUMMYFUNCTION("""COMPUTED_VALUE"""),"GHP, GHP-PREPAID, TM, PW, GOMO, WIRELINE, BAYAN, GLOBE")</f>
        <v>GHP, GHP-PREPAID, TM, PW, GOMO, WIRELINE, BAYAN, GLOBE</v>
      </c>
      <c r="M537" s="258" t="str">
        <f>IFERROR(__xludf.DUMMYFUNCTION("""COMPUTED_VALUE"""),"Consumer, EG, SG, In house, IBG Traveler")</f>
        <v>Consumer, EG, SG, In house, IBG Traveler</v>
      </c>
      <c r="N537" s="258" t="str">
        <f>IFERROR(__xludf.DUMMYFUNCTION("""COMPUTED_VALUE"""),"interest")</f>
        <v>interest</v>
      </c>
      <c r="O537" s="258" t="str">
        <f>IFERROR(__xludf.DUMMYFUNCTION("""COMPUTED_VALUE"""),"network_profile")</f>
        <v>network_profile</v>
      </c>
      <c r="P537" s="258"/>
    </row>
    <row r="538">
      <c r="A538" s="257" t="str">
        <f>IFERROR(__xludf.DUMMYFUNCTION("""COMPUTED_VALUE"""),"coffee_lover_details")</f>
        <v>coffee_lover_details</v>
      </c>
      <c r="B538" s="258" t="str">
        <f>IFERROR(__xludf.DUMMYFUNCTION("""COMPUTED_VALUE"""),"Audience/Persona")</f>
        <v>Audience/Persona</v>
      </c>
      <c r="C538" s="258" t="str">
        <f>IFERROR(__xludf.DUMMYFUNCTION("""COMPUTED_VALUE"""),"Non-PII")</f>
        <v>Non-PII</v>
      </c>
      <c r="D538" s="258" t="str">
        <f>IFERROR(__xludf.DUMMYFUNCTION("""COMPUTED_VALUE"""),"Non-PII")</f>
        <v>Non-PII</v>
      </c>
      <c r="E538" s="258" t="str">
        <f>IFERROR(__xludf.DUMMYFUNCTION("""COMPUTED_VALUE"""),"Metric used and value for the Coffee Lover profile
 For wireline subscribers, only subscriptions within Metro Manila (including some areas in Rizal) and with DSL, VDSL and GPON technology value are covered.")</f>
        <v>Metric used and value for the Coffee Lover profile
 For wireline subscribers, only subscriptions within Metro Manila (including some areas in Rizal) and with DSL, VDSL and GPON technology value are covered.</v>
      </c>
      <c r="F538" s="258" t="str">
        <f>IFERROR(__xludf.DUMMYFUNCTION("""COMPUTED_VALUE"""),"Derived")</f>
        <v>Derived</v>
      </c>
      <c r="G538" s="258" t="str">
        <f>IFERROR(__xludf.DUMMYFUNCTION("""COMPUTED_VALUE"""),"varchar(1000)")</f>
        <v>varchar(1000)</v>
      </c>
      <c r="H538" s="258" t="str">
        <f>IFERROR(__xludf.DUMMYFUNCTION("""COMPUTED_VALUE"""),"{""Total Hits in a Month"": 4}")</f>
        <v>{"Total Hits in a Month": 4}</v>
      </c>
      <c r="I538" s="258" t="str">
        <f>IFERROR(__xludf.DUMMYFUNCTION("""COMPUTED_VALUE"""),"EDO-UUP")</f>
        <v>EDO-UUP</v>
      </c>
      <c r="J538" s="258" t="str">
        <f>IFERROR(__xludf.DUMMYFUNCTION("""COMPUTED_VALUE"""),"Monthly")</f>
        <v>Monthly</v>
      </c>
      <c r="K538" s="258" t="str">
        <f>IFERROR(__xludf.DUMMYFUNCTION("""COMPUTED_VALUE"""),"")</f>
        <v/>
      </c>
      <c r="L538" s="258" t="str">
        <f>IFERROR(__xludf.DUMMYFUNCTION("""COMPUTED_VALUE"""),"GHP, GHP-PREPAID, TM, PW, GOMO, WIRELINE, BAYAN, GLOBE")</f>
        <v>GHP, GHP-PREPAID, TM, PW, GOMO, WIRELINE, BAYAN, GLOBE</v>
      </c>
      <c r="M538" s="258" t="str">
        <f>IFERROR(__xludf.DUMMYFUNCTION("""COMPUTED_VALUE"""),"Consumer, EG, SG, In house, IBG Traveler")</f>
        <v>Consumer, EG, SG, In house, IBG Traveler</v>
      </c>
      <c r="N538" s="258" t="str">
        <f>IFERROR(__xludf.DUMMYFUNCTION("""COMPUTED_VALUE"""),"interest")</f>
        <v>interest</v>
      </c>
      <c r="O538" s="258" t="str">
        <f>IFERROR(__xludf.DUMMYFUNCTION("""COMPUTED_VALUE"""),"network_profile")</f>
        <v>network_profile</v>
      </c>
      <c r="P538" s="258"/>
    </row>
    <row r="539">
      <c r="A539" s="257" t="str">
        <f>IFERROR(__xludf.DUMMYFUNCTION("""COMPUTED_VALUE"""),"coffee_lover_top_apps")</f>
        <v>coffee_lover_top_apps</v>
      </c>
      <c r="B539" s="258" t="str">
        <f>IFERROR(__xludf.DUMMYFUNCTION("""COMPUTED_VALUE"""),"Audience/Persona")</f>
        <v>Audience/Persona</v>
      </c>
      <c r="C539" s="258" t="str">
        <f>IFERROR(__xludf.DUMMYFUNCTION("""COMPUTED_VALUE"""),"Non-PII")</f>
        <v>Non-PII</v>
      </c>
      <c r="D539" s="258" t="str">
        <f>IFERROR(__xludf.DUMMYFUNCTION("""COMPUTED_VALUE"""),"Non-PII")</f>
        <v>Non-PII</v>
      </c>
      <c r="E539" s="258" t="str">
        <f>IFERROR(__xludf.DUMMYFUNCTION("""COMPUTED_VALUE"""),"Top 1 app/site by data burn, total hits and active days in a month categorized under the Coffee Lover profile
 For wireline subscribers, only subscriptions within Metro Manila (including some areas in Rizal) and with DSL, VDSL and GPON technology value "&amp;"are covered.")</f>
        <v>Top 1 app/site by data burn, total hits and active days in a month categorized under the Coffee Lover profile
 For wireline subscribers, only subscriptions within Metro Manila (including some areas in Rizal) and with DSL, VDSL and GPON technology value are covered.</v>
      </c>
      <c r="F539" s="258" t="str">
        <f>IFERROR(__xludf.DUMMYFUNCTION("""COMPUTED_VALUE"""),"Derived")</f>
        <v>Derived</v>
      </c>
      <c r="G539" s="258" t="str">
        <f>IFERROR(__xludf.DUMMYFUNCTION("""COMPUTED_VALUE"""),"varchar(1000)")</f>
        <v>varchar(1000)</v>
      </c>
      <c r="H539" s="258" t="str">
        <f>IFERROR(__xludf.DUMMYFUNCTION("""COMPUTED_VALUE"""),"starbucks")</f>
        <v>starbucks</v>
      </c>
      <c r="I539" s="258" t="str">
        <f>IFERROR(__xludf.DUMMYFUNCTION("""COMPUTED_VALUE"""),"EDO-UUP")</f>
        <v>EDO-UUP</v>
      </c>
      <c r="J539" s="258" t="str">
        <f>IFERROR(__xludf.DUMMYFUNCTION("""COMPUTED_VALUE"""),"Monthly")</f>
        <v>Monthly</v>
      </c>
      <c r="K539" s="258" t="str">
        <f>IFERROR(__xludf.DUMMYFUNCTION("""COMPUTED_VALUE"""),"")</f>
        <v/>
      </c>
      <c r="L539" s="258" t="str">
        <f>IFERROR(__xludf.DUMMYFUNCTION("""COMPUTED_VALUE"""),"GHP, GHP-PREPAID, TM, PW, GOMO, WIRELINE, BAYAN, GLOBE")</f>
        <v>GHP, GHP-PREPAID, TM, PW, GOMO, WIRELINE, BAYAN, GLOBE</v>
      </c>
      <c r="M539" s="258" t="str">
        <f>IFERROR(__xludf.DUMMYFUNCTION("""COMPUTED_VALUE"""),"Consumer, EG, SG, In house, IBG Traveler")</f>
        <v>Consumer, EG, SG, In house, IBG Traveler</v>
      </c>
      <c r="N539" s="258" t="str">
        <f>IFERROR(__xludf.DUMMYFUNCTION("""COMPUTED_VALUE"""),"interest")</f>
        <v>interest</v>
      </c>
      <c r="O539" s="258" t="str">
        <f>IFERROR(__xludf.DUMMYFUNCTION("""COMPUTED_VALUE"""),"network_profile")</f>
        <v>network_profile</v>
      </c>
      <c r="P539" s="258"/>
    </row>
    <row r="540">
      <c r="A540" s="257" t="str">
        <f>IFERROR(__xludf.DUMMYFUNCTION("""COMPUTED_VALUE"""),"chi_indicator")</f>
        <v>chi_indicator</v>
      </c>
      <c r="B540" s="258" t="str">
        <f>IFERROR(__xludf.DUMMYFUNCTION("""COMPUTED_VALUE"""),"Audience/Persona")</f>
        <v>Audience/Persona</v>
      </c>
      <c r="C540" s="258" t="str">
        <f>IFERROR(__xludf.DUMMYFUNCTION("""COMPUTED_VALUE"""),"Non-PII")</f>
        <v>Non-PII</v>
      </c>
      <c r="D540" s="258" t="str">
        <f>IFERROR(__xludf.DUMMYFUNCTION("""COMPUTED_VALUE"""),"Non-PII")</f>
        <v>Non-PII</v>
      </c>
      <c r="E540" s="258" t="str">
        <f>IFERROR(__xludf.DUMMYFUNCTION("""COMPUTED_VALUE"""),"Inferred indicator to detect subscriber happiness and unhappiness.
TRUE - Happy
FALSE - Unhappy")</f>
        <v>Inferred indicator to detect subscriber happiness and unhappiness.
TRUE - Happy
FALSE - Unhappy</v>
      </c>
      <c r="F540" s="258" t="str">
        <f>IFERROR(__xludf.DUMMYFUNCTION("""COMPUTED_VALUE"""),"Derived")</f>
        <v>Derived</v>
      </c>
      <c r="G540" s="258" t="str">
        <f>IFERROR(__xludf.DUMMYFUNCTION("""COMPUTED_VALUE"""),"boolean")</f>
        <v>boolean</v>
      </c>
      <c r="H540" s="258" t="b">
        <f>IFERROR(__xludf.DUMMYFUNCTION("""COMPUTED_VALUE"""),TRUE)</f>
        <v>1</v>
      </c>
      <c r="I540" s="258" t="str">
        <f>IFERROR(__xludf.DUMMYFUNCTION("""COMPUTED_VALUE"""),"EDO-AA")</f>
        <v>EDO-AA</v>
      </c>
      <c r="J540" s="258" t="str">
        <f>IFERROR(__xludf.DUMMYFUNCTION("""COMPUTED_VALUE"""),"Monthly")</f>
        <v>Monthly</v>
      </c>
      <c r="K540" s="258" t="str">
        <f>IFERROR(__xludf.DUMMYFUNCTION("""COMPUTED_VALUE"""),"")</f>
        <v/>
      </c>
      <c r="L540" s="258" t="str">
        <f>IFERROR(__xludf.DUMMYFUNCTION("""COMPUTED_VALUE"""),"GHP-PREPAID, TM, PW")</f>
        <v>GHP-PREPAID, TM, PW</v>
      </c>
      <c r="M540" s="258" t="str">
        <f>IFERROR(__xludf.DUMMYFUNCTION("""COMPUTED_VALUE"""),"Consumer, SG")</f>
        <v>Consumer, SG</v>
      </c>
      <c r="N540" s="258" t="str">
        <f>IFERROR(__xludf.DUMMYFUNCTION("""COMPUTED_VALUE"""),"customer")</f>
        <v>customer</v>
      </c>
      <c r="O540" s="258" t="str">
        <f>IFERROR(__xludf.DUMMYFUNCTION("""COMPUTED_VALUE"""),"customer_profile")</f>
        <v>customer_profile</v>
      </c>
      <c r="P540" s="258"/>
    </row>
    <row r="541">
      <c r="A541" s="257" t="str">
        <f>IFERROR(__xludf.DUMMYFUNCTION("""COMPUTED_VALUE"""),"nps_detractor_indicator")</f>
        <v>nps_detractor_indicator</v>
      </c>
      <c r="B541" s="258" t="str">
        <f>IFERROR(__xludf.DUMMYFUNCTION("""COMPUTED_VALUE"""),"Profitability")</f>
        <v>Profitability</v>
      </c>
      <c r="C541" s="258" t="str">
        <f>IFERROR(__xludf.DUMMYFUNCTION("""COMPUTED_VALUE"""),"Non-PII")</f>
        <v>Non-PII</v>
      </c>
      <c r="D541" s="258" t="str">
        <f>IFERROR(__xludf.DUMMYFUNCTION("""COMPUTED_VALUE"""),"Non-PII")</f>
        <v>Non-PII</v>
      </c>
      <c r="E541" s="258" t="str">
        <f>IFERROR(__xludf.DUMMYFUNCTION("""COMPUTED_VALUE"""),"Indicator among Mobile Data Services (MDS) and Mobile Core Services (MCS) that infers detractors and promoters from a unified model for wireless subscribers and using broadband services for wireless subscribers.
TRUE - Detractor
FALSE - Promoter")</f>
        <v>Indicator among Mobile Data Services (MDS) and Mobile Core Services (MCS) that infers detractors and promoters from a unified model for wireless subscribers and using broadband services for wireless subscribers.
TRUE - Detractor
FALSE - Promoter</v>
      </c>
      <c r="F541" s="258" t="str">
        <f>IFERROR(__xludf.DUMMYFUNCTION("""COMPUTED_VALUE"""),"Derived")</f>
        <v>Derived</v>
      </c>
      <c r="G541" s="258" t="str">
        <f>IFERROR(__xludf.DUMMYFUNCTION("""COMPUTED_VALUE"""),"boolean")</f>
        <v>boolean</v>
      </c>
      <c r="H541" s="258" t="b">
        <f>IFERROR(__xludf.DUMMYFUNCTION("""COMPUTED_VALUE"""),TRUE)</f>
        <v>1</v>
      </c>
      <c r="I541" s="258" t="str">
        <f>IFERROR(__xludf.DUMMYFUNCTION("""COMPUTED_VALUE"""),"EDO-AA")</f>
        <v>EDO-AA</v>
      </c>
      <c r="J541" s="258" t="str">
        <f>IFERROR(__xludf.DUMMYFUNCTION("""COMPUTED_VALUE"""),"Monthly")</f>
        <v>Monthly</v>
      </c>
      <c r="K541" s="258" t="str">
        <f>IFERROR(__xludf.DUMMYFUNCTION("""COMPUTED_VALUE"""),"")</f>
        <v/>
      </c>
      <c r="L541" s="258" t="str">
        <f>IFERROR(__xludf.DUMMYFUNCTION("""COMPUTED_VALUE"""),"GHP, GHP-PREPAID, TM, PW, BAYAN, GLOBE")</f>
        <v>GHP, GHP-PREPAID, TM, PW, BAYAN, GLOBE</v>
      </c>
      <c r="M541" s="258" t="str">
        <f>IFERROR(__xludf.DUMMYFUNCTION("""COMPUTED_VALUE"""),"Consumer, EG, SG")</f>
        <v>Consumer, EG, SG</v>
      </c>
      <c r="N541" s="258" t="str">
        <f>IFERROR(__xludf.DUMMYFUNCTION("""COMPUTED_VALUE"""),"network")</f>
        <v>network</v>
      </c>
      <c r="O541" s="258" t="str">
        <f>IFERROR(__xludf.DUMMYFUNCTION("""COMPUTED_VALUE"""),"network_profile")</f>
        <v>network_profile</v>
      </c>
      <c r="P541" s="258"/>
    </row>
    <row r="542">
      <c r="A542" s="257" t="str">
        <f>IFERROR(__xludf.DUMMYFUNCTION("""COMPUTED_VALUE"""),"bank_caller_indicator")</f>
        <v>bank_caller_indicator</v>
      </c>
      <c r="B542" s="258" t="str">
        <f>IFERROR(__xludf.DUMMYFUNCTION("""COMPUTED_VALUE"""),"Audience/Persona")</f>
        <v>Audience/Persona</v>
      </c>
      <c r="C542" s="258" t="str">
        <f>IFERROR(__xludf.DUMMYFUNCTION("""COMPUTED_VALUE"""),"Non-PII")</f>
        <v>Non-PII</v>
      </c>
      <c r="D542" s="258" t="str">
        <f>IFERROR(__xludf.DUMMYFUNCTION("""COMPUTED_VALUE"""),"Non-PII")</f>
        <v>Non-PII</v>
      </c>
      <c r="E542" s="258" t="str">
        <f>IFERROR(__xludf.DUMMYFUNCTION("""COMPUTED_VALUE"""),"Indicator if a subscriber calls whitelisted bank numbers such as pnb, unionbank, rcbc")</f>
        <v>Indicator if a subscriber calls whitelisted bank numbers such as pnb, unionbank, rcbc</v>
      </c>
      <c r="F542" s="258" t="str">
        <f>IFERROR(__xludf.DUMMYFUNCTION("""COMPUTED_VALUE"""),"Derived")</f>
        <v>Derived</v>
      </c>
      <c r="G542" s="258" t="str">
        <f>IFERROR(__xludf.DUMMYFUNCTION("""COMPUTED_VALUE"""),"boolean")</f>
        <v>boolean</v>
      </c>
      <c r="H542" s="258" t="b">
        <f>IFERROR(__xludf.DUMMYFUNCTION("""COMPUTED_VALUE"""),TRUE)</f>
        <v>1</v>
      </c>
      <c r="I542" s="258" t="str">
        <f>IFERROR(__xludf.DUMMYFUNCTION("""COMPUTED_VALUE"""),"EDO-UUP")</f>
        <v>EDO-UUP</v>
      </c>
      <c r="J542" s="258" t="str">
        <f>IFERROR(__xludf.DUMMYFUNCTION("""COMPUTED_VALUE"""),"Monthly")</f>
        <v>Monthly</v>
      </c>
      <c r="K542" s="258" t="str">
        <f>IFERROR(__xludf.DUMMYFUNCTION("""COMPUTED_VALUE"""),"")</f>
        <v/>
      </c>
      <c r="L542" s="258" t="str">
        <f>IFERROR(__xludf.DUMMYFUNCTION("""COMPUTED_VALUE"""),"GHP, GHP-PREPAID, TM")</f>
        <v>GHP, GHP-PREPAID, TM</v>
      </c>
      <c r="M542" s="258" t="str">
        <f>IFERROR(__xludf.DUMMYFUNCTION("""COMPUTED_VALUE"""),"Consumer, EG, SG, In house, IBG Traveler")</f>
        <v>Consumer, EG, SG, In house, IBG Traveler</v>
      </c>
      <c r="N542" s="258" t="str">
        <f>IFERROR(__xludf.DUMMYFUNCTION("""COMPUTED_VALUE"""),"interest")</f>
        <v>interest</v>
      </c>
      <c r="O542" s="258" t="str">
        <f>IFERROR(__xludf.DUMMYFUNCTION("""COMPUTED_VALUE"""),"network_profile")</f>
        <v>network_profile</v>
      </c>
      <c r="P542" s="258"/>
    </row>
    <row r="543">
      <c r="A543" s="257" t="str">
        <f>IFERROR(__xludf.DUMMYFUNCTION("""COMPUTED_VALUE"""),"bank_caller_details")</f>
        <v>bank_caller_details</v>
      </c>
      <c r="B543" s="258" t="str">
        <f>IFERROR(__xludf.DUMMYFUNCTION("""COMPUTED_VALUE"""),"Audience/Persona")</f>
        <v>Audience/Persona</v>
      </c>
      <c r="C543" s="258" t="str">
        <f>IFERROR(__xludf.DUMMYFUNCTION("""COMPUTED_VALUE"""),"Non-PII")</f>
        <v>Non-PII</v>
      </c>
      <c r="D543" s="258" t="str">
        <f>IFERROR(__xludf.DUMMYFUNCTION("""COMPUTED_VALUE"""),"Non-PII")</f>
        <v>Non-PII</v>
      </c>
      <c r="E543" s="258" t="str">
        <f>IFERROR(__xludf.DUMMYFUNCTION("""COMPUTED_VALUE"""),"Metric used and value for the Bank Caller profile")</f>
        <v>Metric used and value for the Bank Caller profile</v>
      </c>
      <c r="F543" s="258" t="str">
        <f>IFERROR(__xludf.DUMMYFUNCTION("""COMPUTED_VALUE"""),"Derived")</f>
        <v>Derived</v>
      </c>
      <c r="G543" s="258" t="str">
        <f>IFERROR(__xludf.DUMMYFUNCTION("""COMPUTED_VALUE"""),"varchar(1000)")</f>
        <v>varchar(1000)</v>
      </c>
      <c r="H543" s="258" t="str">
        <f>IFERROR(__xludf.DUMMYFUNCTION("""COMPUTED_VALUE"""),"{""Total Hits in a Month"": 1}")</f>
        <v>{"Total Hits in a Month": 1}</v>
      </c>
      <c r="I543" s="258" t="str">
        <f>IFERROR(__xludf.DUMMYFUNCTION("""COMPUTED_VALUE"""),"EDO-UUP")</f>
        <v>EDO-UUP</v>
      </c>
      <c r="J543" s="258" t="str">
        <f>IFERROR(__xludf.DUMMYFUNCTION("""COMPUTED_VALUE"""),"Monthly")</f>
        <v>Monthly</v>
      </c>
      <c r="K543" s="258" t="str">
        <f>IFERROR(__xludf.DUMMYFUNCTION("""COMPUTED_VALUE"""),"")</f>
        <v/>
      </c>
      <c r="L543" s="258" t="str">
        <f>IFERROR(__xludf.DUMMYFUNCTION("""COMPUTED_VALUE"""),"GHP, GHP-PREPAID, TM")</f>
        <v>GHP, GHP-PREPAID, TM</v>
      </c>
      <c r="M543" s="258" t="str">
        <f>IFERROR(__xludf.DUMMYFUNCTION("""COMPUTED_VALUE"""),"Consumer, EG, SG, In house, IBG Traveler")</f>
        <v>Consumer, EG, SG, In house, IBG Traveler</v>
      </c>
      <c r="N543" s="258" t="str">
        <f>IFERROR(__xludf.DUMMYFUNCTION("""COMPUTED_VALUE"""),"interest")</f>
        <v>interest</v>
      </c>
      <c r="O543" s="258" t="str">
        <f>IFERROR(__xludf.DUMMYFUNCTION("""COMPUTED_VALUE"""),"network_profile")</f>
        <v>network_profile</v>
      </c>
      <c r="P543" s="258"/>
    </row>
    <row r="544">
      <c r="A544" s="257" t="str">
        <f>IFERROR(__xludf.DUMMYFUNCTION("""COMPUTED_VALUE"""),"bank_caller_mode")</f>
        <v>bank_caller_mode</v>
      </c>
      <c r="B544" s="258" t="str">
        <f>IFERROR(__xludf.DUMMYFUNCTION("""COMPUTED_VALUE"""),"Audience/Persona")</f>
        <v>Audience/Persona</v>
      </c>
      <c r="C544" s="258" t="str">
        <f>IFERROR(__xludf.DUMMYFUNCTION("""COMPUTED_VALUE"""),"Non-PII")</f>
        <v>Non-PII</v>
      </c>
      <c r="D544" s="258" t="str">
        <f>IFERROR(__xludf.DUMMYFUNCTION("""COMPUTED_VALUE"""),"Non-PII")</f>
        <v>Non-PII</v>
      </c>
      <c r="E544" s="258" t="str">
        <f>IFERROR(__xludf.DUMMYFUNCTION("""COMPUTED_VALUE"""),"Top 1 tag by Total Hits in a Month categorized under the Bank Caller profile")</f>
        <v>Top 1 tag by Total Hits in a Month categorized under the Bank Caller profile</v>
      </c>
      <c r="F544" s="258" t="str">
        <f>IFERROR(__xludf.DUMMYFUNCTION("""COMPUTED_VALUE"""),"Derived")</f>
        <v>Derived</v>
      </c>
      <c r="G544" s="258" t="str">
        <f>IFERROR(__xludf.DUMMYFUNCTION("""COMPUTED_VALUE"""),"varchar(1000)")</f>
        <v>varchar(1000)</v>
      </c>
      <c r="H544" s="258" t="str">
        <f>IFERROR(__xludf.DUMMYFUNCTION("""COMPUTED_VALUE"""),"bdo")</f>
        <v>bdo</v>
      </c>
      <c r="I544" s="258" t="str">
        <f>IFERROR(__xludf.DUMMYFUNCTION("""COMPUTED_VALUE"""),"EDO-UUP")</f>
        <v>EDO-UUP</v>
      </c>
      <c r="J544" s="258" t="str">
        <f>IFERROR(__xludf.DUMMYFUNCTION("""COMPUTED_VALUE"""),"Monthly")</f>
        <v>Monthly</v>
      </c>
      <c r="K544" s="258" t="str">
        <f>IFERROR(__xludf.DUMMYFUNCTION("""COMPUTED_VALUE"""),"")</f>
        <v/>
      </c>
      <c r="L544" s="258" t="str">
        <f>IFERROR(__xludf.DUMMYFUNCTION("""COMPUTED_VALUE"""),"GHP, GHP-PREPAID, TM")</f>
        <v>GHP, GHP-PREPAID, TM</v>
      </c>
      <c r="M544" s="258" t="str">
        <f>IFERROR(__xludf.DUMMYFUNCTION("""COMPUTED_VALUE"""),"Consumer, EG, SG, In house, IBG Traveler")</f>
        <v>Consumer, EG, SG, In house, IBG Traveler</v>
      </c>
      <c r="N544" s="258" t="str">
        <f>IFERROR(__xludf.DUMMYFUNCTION("""COMPUTED_VALUE"""),"interest")</f>
        <v>interest</v>
      </c>
      <c r="O544" s="258" t="str">
        <f>IFERROR(__xludf.DUMMYFUNCTION("""COMPUTED_VALUE"""),"network_profile")</f>
        <v>network_profile</v>
      </c>
      <c r="P544" s="258"/>
    </row>
    <row r="545">
      <c r="A545" s="257" t="str">
        <f>IFERROR(__xludf.DUMMYFUNCTION("""COMPUTED_VALUE"""),"bank_caller_bucket")</f>
        <v>bank_caller_bucket</v>
      </c>
      <c r="B545" s="258" t="str">
        <f>IFERROR(__xludf.DUMMYFUNCTION("""COMPUTED_VALUE"""),"Audience/Persona")</f>
        <v>Audience/Persona</v>
      </c>
      <c r="C545" s="258" t="str">
        <f>IFERROR(__xludf.DUMMYFUNCTION("""COMPUTED_VALUE"""),"Non-PII")</f>
        <v>Non-PII</v>
      </c>
      <c r="D545" s="258" t="str">
        <f>IFERROR(__xludf.DUMMYFUNCTION("""COMPUTED_VALUE"""),"Non-PII")</f>
        <v>Non-PII</v>
      </c>
      <c r="E545" s="258" t="str">
        <f>IFERROR(__xludf.DUMMYFUNCTION("""COMPUTED_VALUE"""),"Bucketing based on the identified metric for the Bank Caller profile
  Metric: Total Hits in a Month
  Valid values:
  Wireless
  LOW: &lt;= 2
  MID: &gt; 2 &amp; &lt;= 5
  HIGH: &gt; 5")</f>
        <v>Bucketing based on the identified metric for the Bank Caller profile
  Metric: Total Hits in a Month
  Valid values:
  Wireless
  LOW: &lt;= 2
  MID: &gt; 2 &amp; &lt;= 5
  HIGH: &gt; 5</v>
      </c>
      <c r="F545" s="258" t="str">
        <f>IFERROR(__xludf.DUMMYFUNCTION("""COMPUTED_VALUE"""),"Direct Pull")</f>
        <v>Direct Pull</v>
      </c>
      <c r="G545" s="258" t="str">
        <f>IFERROR(__xludf.DUMMYFUNCTION("""COMPUTED_VALUE"""),"varchar(1000)")</f>
        <v>varchar(1000)</v>
      </c>
      <c r="H545" s="258" t="str">
        <f>IFERROR(__xludf.DUMMYFUNCTION("""COMPUTED_VALUE"""),"LOW")</f>
        <v>LOW</v>
      </c>
      <c r="I545" s="258" t="str">
        <f>IFERROR(__xludf.DUMMYFUNCTION("""COMPUTED_VALUE"""),"EDO-UUP")</f>
        <v>EDO-UUP</v>
      </c>
      <c r="J545" s="258" t="str">
        <f>IFERROR(__xludf.DUMMYFUNCTION("""COMPUTED_VALUE"""),"Monthly")</f>
        <v>Monthly</v>
      </c>
      <c r="K545" s="258" t="str">
        <f>IFERROR(__xludf.DUMMYFUNCTION("""COMPUTED_VALUE"""),"")</f>
        <v/>
      </c>
      <c r="L545" s="258" t="str">
        <f>IFERROR(__xludf.DUMMYFUNCTION("""COMPUTED_VALUE"""),"GHP, GHP-PREPAID, TM")</f>
        <v>GHP, GHP-PREPAID, TM</v>
      </c>
      <c r="M545" s="258" t="str">
        <f>IFERROR(__xludf.DUMMYFUNCTION("""COMPUTED_VALUE"""),"Consumer, EG, SG, In house, IBG Traveler")</f>
        <v>Consumer, EG, SG, In house, IBG Traveler</v>
      </c>
      <c r="N545" s="258" t="str">
        <f>IFERROR(__xludf.DUMMYFUNCTION("""COMPUTED_VALUE"""),"interest")</f>
        <v>interest</v>
      </c>
      <c r="O545" s="258" t="str">
        <f>IFERROR(__xludf.DUMMYFUNCTION("""COMPUTED_VALUE"""),"network_profile")</f>
        <v>network_profile</v>
      </c>
      <c r="P545" s="258"/>
    </row>
    <row r="546">
      <c r="A546" s="257" t="str">
        <f>IFERROR(__xludf.DUMMYFUNCTION("""COMPUTED_VALUE"""),"customer_preferred_contact_mode")</f>
        <v>customer_preferred_contact_mode</v>
      </c>
      <c r="B546" s="258" t="str">
        <f>IFERROR(__xludf.DUMMYFUNCTION("""COMPUTED_VALUE"""),"Customer PII")</f>
        <v>Customer PII</v>
      </c>
      <c r="C546" s="258" t="str">
        <f>IFERROR(__xludf.DUMMYFUNCTION("""COMPUTED_VALUE"""),"Non-PII")</f>
        <v>Non-PII</v>
      </c>
      <c r="D546" s="258" t="str">
        <f>IFERROR(__xludf.DUMMYFUNCTION("""COMPUTED_VALUE"""),"Non-PII")</f>
        <v>Non-PII</v>
      </c>
      <c r="E546" s="258" t="str">
        <f>IFERROR(__xludf.DUMMYFUNCTION("""COMPUTED_VALUE"""),"The preferred contact mode such as Mobile Phone, Email, Mail, etc.")</f>
        <v>The preferred contact mode such as Mobile Phone, Email, Mail, etc.</v>
      </c>
      <c r="F546" s="258" t="str">
        <f>IFERROR(__xludf.DUMMYFUNCTION("""COMPUTED_VALUE"""),"Direct Pull")</f>
        <v>Direct Pull</v>
      </c>
      <c r="G546" s="258" t="str">
        <f>IFERROR(__xludf.DUMMYFUNCTION("""COMPUTED_VALUE"""),"varchar(1000)")</f>
        <v>varchar(1000)</v>
      </c>
      <c r="H546" s="258" t="str">
        <f>IFERROR(__xludf.DUMMYFUNCTION("""COMPUTED_VALUE"""),"Email")</f>
        <v>Email</v>
      </c>
      <c r="I546" s="258" t="str">
        <f>IFERROR(__xludf.DUMMYFUNCTION("""COMPUTED_VALUE"""),"SG")</f>
        <v>SG</v>
      </c>
      <c r="J546" s="258" t="str">
        <f>IFERROR(__xludf.DUMMYFUNCTION("""COMPUTED_VALUE"""),"Daily")</f>
        <v>Daily</v>
      </c>
      <c r="K546" s="258" t="str">
        <f>IFERROR(__xludf.DUMMYFUNCTION("""COMPUTED_VALUE"""),"")</f>
        <v/>
      </c>
      <c r="L546" s="258" t="str">
        <f>IFERROR(__xludf.DUMMYFUNCTION("""COMPUTED_VALUE"""),"GHP, GHP-PREPAID, TM, PW, WIRELINE")</f>
        <v>GHP, GHP-PREPAID, TM, PW, WIRELINE</v>
      </c>
      <c r="M546" s="258" t="str">
        <f>IFERROR(__xludf.DUMMYFUNCTION("""COMPUTED_VALUE"""),"Consumer, EG, SG, In house, IBG Traveler")</f>
        <v>Consumer, EG, SG, In house, IBG Traveler</v>
      </c>
      <c r="N546" s="258" t="str">
        <f>IFERROR(__xludf.DUMMYFUNCTION("""COMPUTED_VALUE"""),"customer")</f>
        <v>customer</v>
      </c>
      <c r="O546" s="258" t="str">
        <f>IFERROR(__xludf.DUMMYFUNCTION("""COMPUTED_VALUE"""),"customer_profile")</f>
        <v>customer_profile</v>
      </c>
      <c r="P546" s="258"/>
    </row>
    <row r="547">
      <c r="A547" s="257" t="str">
        <f>IFERROR(__xludf.DUMMYFUNCTION("""COMPUTED_VALUE"""),"customer_contact_authorized_representative_name")</f>
        <v>customer_contact_authorized_representative_name</v>
      </c>
      <c r="B547" s="258" t="str">
        <f>IFERROR(__xludf.DUMMYFUNCTION("""COMPUTED_VALUE"""),"Customer PII - Masked")</f>
        <v>Customer PII - Masked</v>
      </c>
      <c r="C547" s="258" t="str">
        <f>IFERROR(__xludf.DUMMYFUNCTION("""COMPUTED_VALUE"""),"Customer PII - Masked")</f>
        <v>Customer PII - Masked</v>
      </c>
      <c r="D547" s="258" t="str">
        <f>IFERROR(__xludf.DUMMYFUNCTION("""COMPUTED_VALUE"""),"Contact")</f>
        <v>Contact</v>
      </c>
      <c r="E547" s="258" t="str">
        <f>IFERROR(__xludf.DUMMYFUNCTION("""COMPUTED_VALUE"""),"Name of the authorized representative of the customer contract")</f>
        <v>Name of the authorized representative of the customer contract</v>
      </c>
      <c r="F547" s="258" t="str">
        <f>IFERROR(__xludf.DUMMYFUNCTION("""COMPUTED_VALUE"""),"Derived")</f>
        <v>Derived</v>
      </c>
      <c r="G547" s="258" t="str">
        <f>IFERROR(__xludf.DUMMYFUNCTION("""COMPUTED_VALUE"""),"varchar(1000)")</f>
        <v>varchar(1000)</v>
      </c>
      <c r="H547" s="258" t="str">
        <f>IFERROR(__xludf.DUMMYFUNCTION("""COMPUTED_VALUE"""),"John Doe")</f>
        <v>John Doe</v>
      </c>
      <c r="I547" s="258" t="str">
        <f>IFERROR(__xludf.DUMMYFUNCTION("""COMPUTED_VALUE"""),"SG")</f>
        <v>SG</v>
      </c>
      <c r="J547" s="258" t="str">
        <f>IFERROR(__xludf.DUMMYFUNCTION("""COMPUTED_VALUE"""),"Daily")</f>
        <v>Daily</v>
      </c>
      <c r="K547" s="258" t="str">
        <f>IFERROR(__xludf.DUMMYFUNCTION("""COMPUTED_VALUE"""),"")</f>
        <v/>
      </c>
      <c r="L547" s="258" t="str">
        <f>IFERROR(__xludf.DUMMYFUNCTION("""COMPUTED_VALUE"""),"GHP, GHP-PREPAID, TM, PW, WIRELINE")</f>
        <v>GHP, GHP-PREPAID, TM, PW, WIRELINE</v>
      </c>
      <c r="M547" s="258" t="str">
        <f>IFERROR(__xludf.DUMMYFUNCTION("""COMPUTED_VALUE"""),"Consumer, EG, SG, In house")</f>
        <v>Consumer, EG, SG, In house</v>
      </c>
      <c r="N547" s="258" t="str">
        <f>IFERROR(__xludf.DUMMYFUNCTION("""COMPUTED_VALUE"""),"customer")</f>
        <v>customer</v>
      </c>
      <c r="O547" s="258" t="str">
        <f>IFERROR(__xludf.DUMMYFUNCTION("""COMPUTED_VALUE"""),"customer_profile")</f>
        <v>customer_profile</v>
      </c>
      <c r="P547" s="258"/>
    </row>
    <row r="548">
      <c r="A548" s="257" t="str">
        <f>IFERROR(__xludf.DUMMYFUNCTION("""COMPUTED_VALUE"""),"customer_contact_authorized_signatory_name")</f>
        <v>customer_contact_authorized_signatory_name</v>
      </c>
      <c r="B548" s="258" t="str">
        <f>IFERROR(__xludf.DUMMYFUNCTION("""COMPUTED_VALUE"""),"Customer PII - Masked")</f>
        <v>Customer PII - Masked</v>
      </c>
      <c r="C548" s="258" t="str">
        <f>IFERROR(__xludf.DUMMYFUNCTION("""COMPUTED_VALUE"""),"Customer PII - Masked")</f>
        <v>Customer PII - Masked</v>
      </c>
      <c r="D548" s="258" t="str">
        <f>IFERROR(__xludf.DUMMYFUNCTION("""COMPUTED_VALUE"""),"Contact")</f>
        <v>Contact</v>
      </c>
      <c r="E548" s="258" t="str">
        <f>IFERROR(__xludf.DUMMYFUNCTION("""COMPUTED_VALUE"""),"Name of the authorized signatory of the customer contract")</f>
        <v>Name of the authorized signatory of the customer contract</v>
      </c>
      <c r="F548" s="258" t="str">
        <f>IFERROR(__xludf.DUMMYFUNCTION("""COMPUTED_VALUE"""),"Derived")</f>
        <v>Derived</v>
      </c>
      <c r="G548" s="258" t="str">
        <f>IFERROR(__xludf.DUMMYFUNCTION("""COMPUTED_VALUE"""),"varchar(1000)")</f>
        <v>varchar(1000)</v>
      </c>
      <c r="H548" s="258" t="str">
        <f>IFERROR(__xludf.DUMMYFUNCTION("""COMPUTED_VALUE"""),"Jane Doe")</f>
        <v>Jane Doe</v>
      </c>
      <c r="I548" s="258" t="str">
        <f>IFERROR(__xludf.DUMMYFUNCTION("""COMPUTED_VALUE"""),"SG")</f>
        <v>SG</v>
      </c>
      <c r="J548" s="258" t="str">
        <f>IFERROR(__xludf.DUMMYFUNCTION("""COMPUTED_VALUE"""),"Daily")</f>
        <v>Daily</v>
      </c>
      <c r="K548" s="258" t="str">
        <f>IFERROR(__xludf.DUMMYFUNCTION("""COMPUTED_VALUE"""),"")</f>
        <v/>
      </c>
      <c r="L548" s="258" t="str">
        <f>IFERROR(__xludf.DUMMYFUNCTION("""COMPUTED_VALUE"""),"GHP, GHP-PREPAID, TM, PW, WIRELINE")</f>
        <v>GHP, GHP-PREPAID, TM, PW, WIRELINE</v>
      </c>
      <c r="M548" s="258" t="str">
        <f>IFERROR(__xludf.DUMMYFUNCTION("""COMPUTED_VALUE"""),"Consumer, EG, SG")</f>
        <v>Consumer, EG, SG</v>
      </c>
      <c r="N548" s="258" t="str">
        <f>IFERROR(__xludf.DUMMYFUNCTION("""COMPUTED_VALUE"""),"customer")</f>
        <v>customer</v>
      </c>
      <c r="O548" s="258" t="str">
        <f>IFERROR(__xludf.DUMMYFUNCTION("""COMPUTED_VALUE"""),"customer_profile")</f>
        <v>customer_profile</v>
      </c>
      <c r="P548" s="258"/>
    </row>
    <row r="549">
      <c r="A549" s="257" t="str">
        <f>IFERROR(__xludf.DUMMYFUNCTION("""COMPUTED_VALUE"""),"sim_tag")</f>
        <v>sim_tag</v>
      </c>
      <c r="B549" s="258" t="str">
        <f>IFERROR(__xludf.DUMMYFUNCTION("""COMPUTED_VALUE"""),"Behavioral")</f>
        <v>Behavioral</v>
      </c>
      <c r="C549" s="258" t="str">
        <f>IFERROR(__xludf.DUMMYFUNCTION("""COMPUTED_VALUE"""),"Non-PII")</f>
        <v>Non-PII</v>
      </c>
      <c r="D549" s="258" t="str">
        <f>IFERROR(__xludf.DUMMYFUNCTION("""COMPUTED_VALUE"""),"Non-PII")</f>
        <v>Non-PII</v>
      </c>
      <c r="E549" s="258" t="str">
        <f>IFERROR(__xludf.DUMMYFUNCTION("""COMPUTED_VALUE"""),"The subscribertype key. 
  Values:
  Regular - Whenever its subscribertypeKey = 'MT
  VISI - Whenever its subscribertypeKey = 'BB'")</f>
        <v>The subscribertype key. 
  Values:
  Regular - Whenever its subscribertypeKey = 'MT
  VISI - Whenever its subscribertypeKey = 'BB'</v>
      </c>
      <c r="F549" s="258" t="str">
        <f>IFERROR(__xludf.DUMMYFUNCTION("""COMPUTED_VALUE"""),"Direct Pull")</f>
        <v>Direct Pull</v>
      </c>
      <c r="G549" s="258" t="str">
        <f>IFERROR(__xludf.DUMMYFUNCTION("""COMPUTED_VALUE"""),"varchar(1000)")</f>
        <v>varchar(1000)</v>
      </c>
      <c r="H549" s="258" t="str">
        <f>IFERROR(__xludf.DUMMYFUNCTION("""COMPUTED_VALUE"""),"Regular, VISI")</f>
        <v>Regular, VISI</v>
      </c>
      <c r="I549" s="258" t="str">
        <f>IFERROR(__xludf.DUMMYFUNCTION("""COMPUTED_VALUE"""),"CRM")</f>
        <v>CRM</v>
      </c>
      <c r="J549" s="258" t="str">
        <f>IFERROR(__xludf.DUMMYFUNCTION("""COMPUTED_VALUE"""),"Daily")</f>
        <v>Daily</v>
      </c>
      <c r="K549" s="258" t="str">
        <f>IFERROR(__xludf.DUMMYFUNCTION("""COMPUTED_VALUE"""),"day-1")</f>
        <v>day-1</v>
      </c>
      <c r="L549" s="258" t="str">
        <f>IFERROR(__xludf.DUMMYFUNCTION("""COMPUTED_VALUE"""),"GHP, GHP-PREPAID, TM, PW, GOMO")</f>
        <v>GHP, GHP-PREPAID, TM, PW, GOMO</v>
      </c>
      <c r="M549" s="258" t="str">
        <f>IFERROR(__xludf.DUMMYFUNCTION("""COMPUTED_VALUE"""),"Consumer, EG, SG, In house, IBG Traveler")</f>
        <v>Consumer, EG, SG, In house, IBG Traveler</v>
      </c>
      <c r="N549" s="258" t="str">
        <f>IFERROR(__xludf.DUMMYFUNCTION("""COMPUTED_VALUE"""),"customer")</f>
        <v>customer</v>
      </c>
      <c r="O549" s="258" t="str">
        <f>IFERROR(__xludf.DUMMYFUNCTION("""COMPUTED_VALUE"""),"customer_profile")</f>
        <v>customer_profile</v>
      </c>
      <c r="P549" s="258"/>
    </row>
    <row r="550">
      <c r="A550" s="257" t="str">
        <f>IFERROR(__xludf.DUMMYFUNCTION("""COMPUTED_VALUE"""),"fraud_indicator")</f>
        <v>fraud_indicator</v>
      </c>
      <c r="B550" s="258" t="str">
        <f>IFERROR(__xludf.DUMMYFUNCTION("""COMPUTED_VALUE"""),"Behavioral")</f>
        <v>Behavioral</v>
      </c>
      <c r="C550" s="258" t="str">
        <f>IFERROR(__xludf.DUMMYFUNCTION("""COMPUTED_VALUE"""),"Non-PII")</f>
        <v>Non-PII</v>
      </c>
      <c r="D550" s="258" t="str">
        <f>IFERROR(__xludf.DUMMYFUNCTION("""COMPUTED_VALUE"""),"Non-PII")</f>
        <v>Non-PII</v>
      </c>
      <c r="E550" s="258" t="str">
        <f>IFERROR(__xludf.DUMMYFUNCTION("""COMPUTED_VALUE"""),"Indicator if the subscriber has fraudulent activity")</f>
        <v>Indicator if the subscriber has fraudulent activity</v>
      </c>
      <c r="F550" s="258" t="str">
        <f>IFERROR(__xludf.DUMMYFUNCTION("""COMPUTED_VALUE"""),"Derived")</f>
        <v>Derived</v>
      </c>
      <c r="G550" s="258" t="str">
        <f>IFERROR(__xludf.DUMMYFUNCTION("""COMPUTED_VALUE"""),"boolean")</f>
        <v>boolean</v>
      </c>
      <c r="H550" s="258" t="b">
        <f>IFERROR(__xludf.DUMMYFUNCTION("""COMPUTED_VALUE"""),TRUE)</f>
        <v>1</v>
      </c>
      <c r="I550" s="258" t="str">
        <f>IFERROR(__xludf.DUMMYFUNCTION("""COMPUTED_VALUE"""),"CRM")</f>
        <v>CRM</v>
      </c>
      <c r="J550" s="258" t="str">
        <f>IFERROR(__xludf.DUMMYFUNCTION("""COMPUTED_VALUE"""),"Daily")</f>
        <v>Daily</v>
      </c>
      <c r="K550" s="258" t="str">
        <f>IFERROR(__xludf.DUMMYFUNCTION("""COMPUTED_VALUE"""),"")</f>
        <v/>
      </c>
      <c r="L550" s="258" t="str">
        <f>IFERROR(__xludf.DUMMYFUNCTION("""COMPUTED_VALUE"""),"GHP-PREPAID, TM")</f>
        <v>GHP-PREPAID, TM</v>
      </c>
      <c r="M550" s="258" t="str">
        <f>IFERROR(__xludf.DUMMYFUNCTION("""COMPUTED_VALUE"""),"Consumer, EG, SG, IBG Traveler")</f>
        <v>Consumer, EG, SG, IBG Traveler</v>
      </c>
      <c r="N550" s="258" t="str">
        <f>IFERROR(__xludf.DUMMYFUNCTION("""COMPUTED_VALUE"""),"customer")</f>
        <v>customer</v>
      </c>
      <c r="O550" s="258" t="str">
        <f>IFERROR(__xludf.DUMMYFUNCTION("""COMPUTED_VALUE"""),"customer_profile")</f>
        <v>customer_profile</v>
      </c>
      <c r="P550" s="258"/>
    </row>
    <row r="551">
      <c r="A551" s="257" t="str">
        <f>IFERROR(__xludf.DUMMYFUNCTION("""COMPUTED_VALUE"""),"chi_happiness_score")</f>
        <v>chi_happiness_score</v>
      </c>
      <c r="B551" s="258" t="str">
        <f>IFERROR(__xludf.DUMMYFUNCTION("""COMPUTED_VALUE"""),"Audience/Persona")</f>
        <v>Audience/Persona</v>
      </c>
      <c r="C551" s="258" t="str">
        <f>IFERROR(__xludf.DUMMYFUNCTION("""COMPUTED_VALUE"""),"Non-PII")</f>
        <v>Non-PII</v>
      </c>
      <c r="D551" s="258" t="str">
        <f>IFERROR(__xludf.DUMMYFUNCTION("""COMPUTED_VALUE"""),"Non-PII")</f>
        <v>Non-PII</v>
      </c>
      <c r="E551" s="258" t="str">
        <f>IFERROR(__xludf.DUMMYFUNCTION("""COMPUTED_VALUE"""),"Customer state manifested through behavior of continuous patronage of service, engagement and availment of products, measured by perceived quality, perceived value and customer expectations from 0 (lowest) to 100 (highest)")</f>
        <v>Customer state manifested through behavior of continuous patronage of service, engagement and availment of products, measured by perceived quality, perceived value and customer expectations from 0 (lowest) to 100 (highest)</v>
      </c>
      <c r="F551" s="258" t="str">
        <f>IFERROR(__xludf.DUMMYFUNCTION("""COMPUTED_VALUE"""),"Derived")</f>
        <v>Derived</v>
      </c>
      <c r="G551" s="258" t="str">
        <f>IFERROR(__xludf.DUMMYFUNCTION("""COMPUTED_VALUE"""),"numeric(21,2)")</f>
        <v>numeric(21,2)</v>
      </c>
      <c r="H551" s="258">
        <f>IFERROR(__xludf.DUMMYFUNCTION("""COMPUTED_VALUE"""),80.36)</f>
        <v>80.36</v>
      </c>
      <c r="I551" s="258" t="str">
        <f>IFERROR(__xludf.DUMMYFUNCTION("""COMPUTED_VALUE"""),"EDO-AA")</f>
        <v>EDO-AA</v>
      </c>
      <c r="J551" s="258" t="str">
        <f>IFERROR(__xludf.DUMMYFUNCTION("""COMPUTED_VALUE"""),"Monthly")</f>
        <v>Monthly</v>
      </c>
      <c r="K551" s="258" t="str">
        <f>IFERROR(__xludf.DUMMYFUNCTION("""COMPUTED_VALUE"""),"")</f>
        <v/>
      </c>
      <c r="L551" s="258" t="str">
        <f>IFERROR(__xludf.DUMMYFUNCTION("""COMPUTED_VALUE"""),"GHP-PREPAID, TM, PW")</f>
        <v>GHP-PREPAID, TM, PW</v>
      </c>
      <c r="M551" s="258" t="str">
        <f>IFERROR(__xludf.DUMMYFUNCTION("""COMPUTED_VALUE"""),"Consumer, SG")</f>
        <v>Consumer, SG</v>
      </c>
      <c r="N551" s="258" t="str">
        <f>IFERROR(__xludf.DUMMYFUNCTION("""COMPUTED_VALUE"""),"customer")</f>
        <v>customer</v>
      </c>
      <c r="O551" s="258" t="str">
        <f>IFERROR(__xludf.DUMMYFUNCTION("""COMPUTED_VALUE"""),"customer_profile")</f>
        <v>customer_profile</v>
      </c>
      <c r="P551" s="258"/>
    </row>
    <row r="552">
      <c r="A552" s="257" t="str">
        <f>IFERROR(__xludf.DUMMYFUNCTION("""COMPUTED_VALUE"""),"chi_quality_score")</f>
        <v>chi_quality_score</v>
      </c>
      <c r="B552" s="258" t="str">
        <f>IFERROR(__xludf.DUMMYFUNCTION("""COMPUTED_VALUE"""),"Audience/Persona")</f>
        <v>Audience/Persona</v>
      </c>
      <c r="C552" s="258" t="str">
        <f>IFERROR(__xludf.DUMMYFUNCTION("""COMPUTED_VALUE"""),"Non-PII")</f>
        <v>Non-PII</v>
      </c>
      <c r="D552" s="258" t="str">
        <f>IFERROR(__xludf.DUMMYFUNCTION("""COMPUTED_VALUE"""),"Non-PII")</f>
        <v>Non-PII</v>
      </c>
      <c r="E552" s="258" t="str">
        <f>IFERROR(__xludf.DUMMYFUNCTION("""COMPUTED_VALUE"""),"Customer score for perceived network &amp; system performance from 0 (lowest) to 100 (highest)")</f>
        <v>Customer score for perceived network &amp; system performance from 0 (lowest) to 100 (highest)</v>
      </c>
      <c r="F552" s="258" t="str">
        <f>IFERROR(__xludf.DUMMYFUNCTION("""COMPUTED_VALUE"""),"Derived")</f>
        <v>Derived</v>
      </c>
      <c r="G552" s="258" t="str">
        <f>IFERROR(__xludf.DUMMYFUNCTION("""COMPUTED_VALUE"""),"numeric(21,2)")</f>
        <v>numeric(21,2)</v>
      </c>
      <c r="H552" s="258">
        <f>IFERROR(__xludf.DUMMYFUNCTION("""COMPUTED_VALUE"""),51.89)</f>
        <v>51.89</v>
      </c>
      <c r="I552" s="258" t="str">
        <f>IFERROR(__xludf.DUMMYFUNCTION("""COMPUTED_VALUE"""),"EDO-AA")</f>
        <v>EDO-AA</v>
      </c>
      <c r="J552" s="258" t="str">
        <f>IFERROR(__xludf.DUMMYFUNCTION("""COMPUTED_VALUE"""),"Monthly")</f>
        <v>Monthly</v>
      </c>
      <c r="K552" s="258" t="str">
        <f>IFERROR(__xludf.DUMMYFUNCTION("""COMPUTED_VALUE"""),"")</f>
        <v/>
      </c>
      <c r="L552" s="258" t="str">
        <f>IFERROR(__xludf.DUMMYFUNCTION("""COMPUTED_VALUE"""),"GHP-PREPAID, TM, PW")</f>
        <v>GHP-PREPAID, TM, PW</v>
      </c>
      <c r="M552" s="258" t="str">
        <f>IFERROR(__xludf.DUMMYFUNCTION("""COMPUTED_VALUE"""),"Consumer, SG")</f>
        <v>Consumer, SG</v>
      </c>
      <c r="N552" s="258" t="str">
        <f>IFERROR(__xludf.DUMMYFUNCTION("""COMPUTED_VALUE"""),"customer")</f>
        <v>customer</v>
      </c>
      <c r="O552" s="258" t="str">
        <f>IFERROR(__xludf.DUMMYFUNCTION("""COMPUTED_VALUE"""),"customer_profile")</f>
        <v>customer_profile</v>
      </c>
      <c r="P552" s="258"/>
    </row>
    <row r="553">
      <c r="A553" s="257" t="str">
        <f>IFERROR(__xludf.DUMMYFUNCTION("""COMPUTED_VALUE"""),"chi_segment")</f>
        <v>chi_segment</v>
      </c>
      <c r="B553" s="258" t="str">
        <f>IFERROR(__xludf.DUMMYFUNCTION("""COMPUTED_VALUE"""),"Audience/Persona")</f>
        <v>Audience/Persona</v>
      </c>
      <c r="C553" s="258" t="str">
        <f>IFERROR(__xludf.DUMMYFUNCTION("""COMPUTED_VALUE"""),"Non-PII")</f>
        <v>Non-PII</v>
      </c>
      <c r="D553" s="258" t="str">
        <f>IFERROR(__xludf.DUMMYFUNCTION("""COMPUTED_VALUE"""),"Non-PII")</f>
        <v>Non-PII</v>
      </c>
      <c r="E553" s="258" t="str">
        <f>IFERROR(__xludf.DUMMYFUNCTION("""COMPUTED_VALUE"""),"Subscriber segment (data-heavy, core-heavy, hybrid subs)")</f>
        <v>Subscriber segment (data-heavy, core-heavy, hybrid subs)</v>
      </c>
      <c r="F553" s="258" t="str">
        <f>IFERROR(__xludf.DUMMYFUNCTION("""COMPUTED_VALUE"""),"Derived")</f>
        <v>Derived</v>
      </c>
      <c r="G553" s="258" t="str">
        <f>IFERROR(__xludf.DUMMYFUNCTION("""COMPUTED_VALUE"""),"varchar(1000)")</f>
        <v>varchar(1000)</v>
      </c>
      <c r="H553" s="258" t="str">
        <f>IFERROR(__xludf.DUMMYFUNCTION("""COMPUTED_VALUE"""),"CORE")</f>
        <v>CORE</v>
      </c>
      <c r="I553" s="258" t="str">
        <f>IFERROR(__xludf.DUMMYFUNCTION("""COMPUTED_VALUE"""),"EDO-AA")</f>
        <v>EDO-AA</v>
      </c>
      <c r="J553" s="258" t="str">
        <f>IFERROR(__xludf.DUMMYFUNCTION("""COMPUTED_VALUE"""),"Monthly")</f>
        <v>Monthly</v>
      </c>
      <c r="K553" s="258" t="str">
        <f>IFERROR(__xludf.DUMMYFUNCTION("""COMPUTED_VALUE"""),"")</f>
        <v/>
      </c>
      <c r="L553" s="258" t="str">
        <f>IFERROR(__xludf.DUMMYFUNCTION("""COMPUTED_VALUE"""),"GHP-PREPAID, TM")</f>
        <v>GHP-PREPAID, TM</v>
      </c>
      <c r="M553" s="258" t="str">
        <f>IFERROR(__xludf.DUMMYFUNCTION("""COMPUTED_VALUE"""),"Consumer")</f>
        <v>Consumer</v>
      </c>
      <c r="N553" s="258" t="str">
        <f>IFERROR(__xludf.DUMMYFUNCTION("""COMPUTED_VALUE"""),"customer")</f>
        <v>customer</v>
      </c>
      <c r="O553" s="258" t="str">
        <f>IFERROR(__xludf.DUMMYFUNCTION("""COMPUTED_VALUE"""),"customer_profile")</f>
        <v>customer_profile</v>
      </c>
      <c r="P553" s="258"/>
    </row>
    <row r="554">
      <c r="A554" s="257" t="str">
        <f>IFERROR(__xludf.DUMMYFUNCTION("""COMPUTED_VALUE"""),"chi_expectation_score")</f>
        <v>chi_expectation_score</v>
      </c>
      <c r="B554" s="258" t="str">
        <f>IFERROR(__xludf.DUMMYFUNCTION("""COMPUTED_VALUE"""),"Audience/Persona")</f>
        <v>Audience/Persona</v>
      </c>
      <c r="C554" s="258" t="str">
        <f>IFERROR(__xludf.DUMMYFUNCTION("""COMPUTED_VALUE"""),"Non-PII")</f>
        <v>Non-PII</v>
      </c>
      <c r="D554" s="258" t="str">
        <f>IFERROR(__xludf.DUMMYFUNCTION("""COMPUTED_VALUE"""),"Non-PII")</f>
        <v>Non-PII</v>
      </c>
      <c r="E554" s="258" t="str">
        <f>IFERROR(__xludf.DUMMYFUNCTION("""COMPUTED_VALUE"""),"Customers' level of investment and engagement from 0 (lowest) to 100 (highest)")</f>
        <v>Customers' level of investment and engagement from 0 (lowest) to 100 (highest)</v>
      </c>
      <c r="F554" s="258" t="str">
        <f>IFERROR(__xludf.DUMMYFUNCTION("""COMPUTED_VALUE"""),"Derived")</f>
        <v>Derived</v>
      </c>
      <c r="G554" s="258" t="str">
        <f>IFERROR(__xludf.DUMMYFUNCTION("""COMPUTED_VALUE"""),"numeric(38,2)")</f>
        <v>numeric(38,2)</v>
      </c>
      <c r="H554" s="258">
        <f>IFERROR(__xludf.DUMMYFUNCTION("""COMPUTED_VALUE"""),70.91)</f>
        <v>70.91</v>
      </c>
      <c r="I554" s="258" t="str">
        <f>IFERROR(__xludf.DUMMYFUNCTION("""COMPUTED_VALUE"""),"EDO-AA")</f>
        <v>EDO-AA</v>
      </c>
      <c r="J554" s="258" t="str">
        <f>IFERROR(__xludf.DUMMYFUNCTION("""COMPUTED_VALUE"""),"Monthly")</f>
        <v>Monthly</v>
      </c>
      <c r="K554" s="258" t="str">
        <f>IFERROR(__xludf.DUMMYFUNCTION("""COMPUTED_VALUE"""),"")</f>
        <v/>
      </c>
      <c r="L554" s="258" t="str">
        <f>IFERROR(__xludf.DUMMYFUNCTION("""COMPUTED_VALUE"""),"GHP-PREPAID, TM, PW")</f>
        <v>GHP-PREPAID, TM, PW</v>
      </c>
      <c r="M554" s="258" t="str">
        <f>IFERROR(__xludf.DUMMYFUNCTION("""COMPUTED_VALUE"""),"Consumer, SG")</f>
        <v>Consumer, SG</v>
      </c>
      <c r="N554" s="258" t="str">
        <f>IFERROR(__xludf.DUMMYFUNCTION("""COMPUTED_VALUE"""),"customer")</f>
        <v>customer</v>
      </c>
      <c r="O554" s="258" t="str">
        <f>IFERROR(__xludf.DUMMYFUNCTION("""COMPUTED_VALUE"""),"customer_profile")</f>
        <v>customer_profile</v>
      </c>
      <c r="P554" s="258"/>
    </row>
    <row r="555">
      <c r="A555" s="257" t="str">
        <f>IFERROR(__xludf.DUMMYFUNCTION("""COMPUTED_VALUE"""),"chi_value_score")</f>
        <v>chi_value_score</v>
      </c>
      <c r="B555" s="258" t="str">
        <f>IFERROR(__xludf.DUMMYFUNCTION("""COMPUTED_VALUE"""),"Audience/Persona")</f>
        <v>Audience/Persona</v>
      </c>
      <c r="C555" s="258" t="str">
        <f>IFERROR(__xludf.DUMMYFUNCTION("""COMPUTED_VALUE"""),"Non-PII")</f>
        <v>Non-PII</v>
      </c>
      <c r="D555" s="258" t="str">
        <f>IFERROR(__xludf.DUMMYFUNCTION("""COMPUTED_VALUE"""),"Non-PII")</f>
        <v>Non-PII</v>
      </c>
      <c r="E555" s="258" t="str">
        <f>IFERROR(__xludf.DUMMYFUNCTION("""COMPUTED_VALUE"""),"Customers score for use of data and core services from 0 (lowest) to 100 (highest)")</f>
        <v>Customers score for use of data and core services from 0 (lowest) to 100 (highest)</v>
      </c>
      <c r="F555" s="258" t="str">
        <f>IFERROR(__xludf.DUMMYFUNCTION("""COMPUTED_VALUE"""),"Derived")</f>
        <v>Derived</v>
      </c>
      <c r="G555" s="258" t="str">
        <f>IFERROR(__xludf.DUMMYFUNCTION("""COMPUTED_VALUE"""),"numeric(38,2)")</f>
        <v>numeric(38,2)</v>
      </c>
      <c r="H555" s="258">
        <f>IFERROR(__xludf.DUMMYFUNCTION("""COMPUTED_VALUE"""),88.63)</f>
        <v>88.63</v>
      </c>
      <c r="I555" s="258" t="str">
        <f>IFERROR(__xludf.DUMMYFUNCTION("""COMPUTED_VALUE"""),"EDO-AA")</f>
        <v>EDO-AA</v>
      </c>
      <c r="J555" s="258" t="str">
        <f>IFERROR(__xludf.DUMMYFUNCTION("""COMPUTED_VALUE"""),"Monthly")</f>
        <v>Monthly</v>
      </c>
      <c r="K555" s="258" t="str">
        <f>IFERROR(__xludf.DUMMYFUNCTION("""COMPUTED_VALUE"""),"")</f>
        <v/>
      </c>
      <c r="L555" s="258" t="str">
        <f>IFERROR(__xludf.DUMMYFUNCTION("""COMPUTED_VALUE"""),"GHP-PREPAID, TM, PW")</f>
        <v>GHP-PREPAID, TM, PW</v>
      </c>
      <c r="M555" s="258" t="str">
        <f>IFERROR(__xludf.DUMMYFUNCTION("""COMPUTED_VALUE"""),"Consumer, SG")</f>
        <v>Consumer, SG</v>
      </c>
      <c r="N555" s="258" t="str">
        <f>IFERROR(__xludf.DUMMYFUNCTION("""COMPUTED_VALUE"""),"customer")</f>
        <v>customer</v>
      </c>
      <c r="O555" s="258" t="str">
        <f>IFERROR(__xludf.DUMMYFUNCTION("""COMPUTED_VALUE"""),"customer_profile")</f>
        <v>customer_profile</v>
      </c>
      <c r="P555" s="258"/>
    </row>
    <row r="556">
      <c r="A556" s="257" t="str">
        <f>IFERROR(__xludf.DUMMYFUNCTION("""COMPUTED_VALUE"""),"address_house_bldg_name")</f>
        <v>address_house_bldg_name</v>
      </c>
      <c r="B556" s="258" t="str">
        <f>IFERROR(__xludf.DUMMYFUNCTION("""COMPUTED_VALUE"""),"Customer PII - Masked")</f>
        <v>Customer PII - Masked</v>
      </c>
      <c r="C556" s="258" t="str">
        <f>IFERROR(__xludf.DUMMYFUNCTION("""COMPUTED_VALUE"""),"Customer PII - Masked")</f>
        <v>Customer PII - Masked</v>
      </c>
      <c r="D556" s="258" t="str">
        <f>IFERROR(__xludf.DUMMYFUNCTION("""COMPUTED_VALUE"""),"Confidential")</f>
        <v>Confidential</v>
      </c>
      <c r="E556" s="258" t="str">
        <f>IFERROR(__xludf.DUMMYFUNCTION("""COMPUTED_VALUE"""),"Office, building, house or suite number of the subscriber's address")</f>
        <v>Office, building, house or suite number of the subscriber's address</v>
      </c>
      <c r="F556" s="258" t="str">
        <f>IFERROR(__xludf.DUMMYFUNCTION("""COMPUTED_VALUE"""),"Direct Pull")</f>
        <v>Direct Pull</v>
      </c>
      <c r="G556" s="258" t="str">
        <f>IFERROR(__xludf.DUMMYFUNCTION("""COMPUTED_VALUE"""),"varchar(1000)")</f>
        <v>varchar(1000)</v>
      </c>
      <c r="H556" s="258" t="str">
        <f>IFERROR(__xludf.DUMMYFUNCTION("""COMPUTED_VALUE"""),"Labogon Mandaue")</f>
        <v>Labogon Mandaue</v>
      </c>
      <c r="I556" s="258" t="str">
        <f>IFERROR(__xludf.DUMMYFUNCTION("""COMPUTED_VALUE"""),"EDO-UUP")</f>
        <v>EDO-UUP</v>
      </c>
      <c r="J556" s="258" t="str">
        <f>IFERROR(__xludf.DUMMYFUNCTION("""COMPUTED_VALUE"""),"Daily")</f>
        <v>Daily</v>
      </c>
      <c r="K556" s="258" t="str">
        <f>IFERROR(__xludf.DUMMYFUNCTION("""COMPUTED_VALUE"""),"")</f>
        <v/>
      </c>
      <c r="L556" s="258" t="str">
        <f>IFERROR(__xludf.DUMMYFUNCTION("""COMPUTED_VALUE"""),"GHP, GHP-PREPAID, TM, WIRELINE")</f>
        <v>GHP, GHP-PREPAID, TM, WIRELINE</v>
      </c>
      <c r="M556" s="258" t="str">
        <f>IFERROR(__xludf.DUMMYFUNCTION("""COMPUTED_VALUE"""),"Consumer, EG, SG, In house")</f>
        <v>Consumer, EG, SG, In house</v>
      </c>
      <c r="N556" s="258" t="str">
        <f>IFERROR(__xludf.DUMMYFUNCTION("""COMPUTED_VALUE"""),"customer")</f>
        <v>customer</v>
      </c>
      <c r="O556" s="258" t="str">
        <f>IFERROR(__xludf.DUMMYFUNCTION("""COMPUTED_VALUE"""),"customer_profile")</f>
        <v>customer_profile</v>
      </c>
      <c r="P556" s="258"/>
    </row>
    <row r="557">
      <c r="A557" s="257" t="str">
        <f>IFERROR(__xludf.DUMMYFUNCTION("""COMPUTED_VALUE"""),"address_street_name")</f>
        <v>address_street_name</v>
      </c>
      <c r="B557" s="258" t="str">
        <f>IFERROR(__xludf.DUMMYFUNCTION("""COMPUTED_VALUE"""),"Customer PII - Masked")</f>
        <v>Customer PII - Masked</v>
      </c>
      <c r="C557" s="258" t="str">
        <f>IFERROR(__xludf.DUMMYFUNCTION("""COMPUTED_VALUE"""),"Customer PII - Masked")</f>
        <v>Customer PII - Masked</v>
      </c>
      <c r="D557" s="258" t="str">
        <f>IFERROR(__xludf.DUMMYFUNCTION("""COMPUTED_VALUE"""),"Confidential")</f>
        <v>Confidential</v>
      </c>
      <c r="E557" s="258" t="str">
        <f>IFERROR(__xludf.DUMMYFUNCTION("""COMPUTED_VALUE"""),"Street number, street name, office, building, or suite number of the subscriber's address")</f>
        <v>Street number, street name, office, building, or suite number of the subscriber's address</v>
      </c>
      <c r="F557" s="258" t="str">
        <f>IFERROR(__xludf.DUMMYFUNCTION("""COMPUTED_VALUE"""),"Direct Pull")</f>
        <v>Direct Pull</v>
      </c>
      <c r="G557" s="258" t="str">
        <f>IFERROR(__xludf.DUMMYFUNCTION("""COMPUTED_VALUE"""),"varchar(1000)")</f>
        <v>varchar(1000)</v>
      </c>
      <c r="H557" s="258" t="str">
        <f>IFERROR(__xludf.DUMMYFUNCTION("""COMPUTED_VALUE"""),"Ortigas 12 ADB Avenue")</f>
        <v>Ortigas 12 ADB Avenue</v>
      </c>
      <c r="I557" s="258" t="str">
        <f>IFERROR(__xludf.DUMMYFUNCTION("""COMPUTED_VALUE"""),"EDO-UUP")</f>
        <v>EDO-UUP</v>
      </c>
      <c r="J557" s="258" t="str">
        <f>IFERROR(__xludf.DUMMYFUNCTION("""COMPUTED_VALUE"""),"Daily")</f>
        <v>Daily</v>
      </c>
      <c r="K557" s="258" t="str">
        <f>IFERROR(__xludf.DUMMYFUNCTION("""COMPUTED_VALUE"""),"")</f>
        <v/>
      </c>
      <c r="L557" s="258" t="str">
        <f>IFERROR(__xludf.DUMMYFUNCTION("""COMPUTED_VALUE"""),"GHP, GHP-PREPAID, TM, PW, WIRELINE, BAYAN, GLOBE")</f>
        <v>GHP, GHP-PREPAID, TM, PW, WIRELINE, BAYAN, GLOBE</v>
      </c>
      <c r="M557" s="258" t="str">
        <f>IFERROR(__xludf.DUMMYFUNCTION("""COMPUTED_VALUE"""),"Consumer, EG, SG, In house, IBG Traveler")</f>
        <v>Consumer, EG, SG, In house, IBG Traveler</v>
      </c>
      <c r="N557" s="258" t="str">
        <f>IFERROR(__xludf.DUMMYFUNCTION("""COMPUTED_VALUE"""),"customer")</f>
        <v>customer</v>
      </c>
      <c r="O557" s="258" t="str">
        <f>IFERROR(__xludf.DUMMYFUNCTION("""COMPUTED_VALUE"""),"customer_profile")</f>
        <v>customer_profile</v>
      </c>
      <c r="P557" s="258"/>
    </row>
    <row r="558">
      <c r="A558" s="257" t="str">
        <f>IFERROR(__xludf.DUMMYFUNCTION("""COMPUTED_VALUE"""),"address_barangay_name")</f>
        <v>address_barangay_name</v>
      </c>
      <c r="B558" s="258" t="str">
        <f>IFERROR(__xludf.DUMMYFUNCTION("""COMPUTED_VALUE"""),"Customer PII")</f>
        <v>Customer PII</v>
      </c>
      <c r="C558" s="258" t="str">
        <f>IFERROR(__xludf.DUMMYFUNCTION("""COMPUTED_VALUE"""),"Non-PII")</f>
        <v>Non-PII</v>
      </c>
      <c r="D558" s="258" t="str">
        <f>IFERROR(__xludf.DUMMYFUNCTION("""COMPUTED_VALUE"""),"Non-PII")</f>
        <v>Non-PII</v>
      </c>
      <c r="E558" s="258" t="str">
        <f>IFERROR(__xludf.DUMMYFUNCTION("""COMPUTED_VALUE"""),"Barangay name of the subscriber's address")</f>
        <v>Barangay name of the subscriber's address</v>
      </c>
      <c r="F558" s="258" t="str">
        <f>IFERROR(__xludf.DUMMYFUNCTION("""COMPUTED_VALUE"""),"Direct Pull")</f>
        <v>Direct Pull</v>
      </c>
      <c r="G558" s="258" t="str">
        <f>IFERROR(__xludf.DUMMYFUNCTION("""COMPUTED_VALUE"""),"varchar(1000)")</f>
        <v>varchar(1000)</v>
      </c>
      <c r="H558" s="258" t="str">
        <f>IFERROR(__xludf.DUMMYFUNCTION("""COMPUTED_VALUE"""),"Mandaluyong CPO")</f>
        <v>Mandaluyong CPO</v>
      </c>
      <c r="I558" s="258" t="str">
        <f>IFERROR(__xludf.DUMMYFUNCTION("""COMPUTED_VALUE"""),"EDO-UUP")</f>
        <v>EDO-UUP</v>
      </c>
      <c r="J558" s="258" t="str">
        <f>IFERROR(__xludf.DUMMYFUNCTION("""COMPUTED_VALUE"""),"Daily")</f>
        <v>Daily</v>
      </c>
      <c r="K558" s="258" t="str">
        <f>IFERROR(__xludf.DUMMYFUNCTION("""COMPUTED_VALUE"""),"")</f>
        <v/>
      </c>
      <c r="L558" s="258" t="str">
        <f>IFERROR(__xludf.DUMMYFUNCTION("""COMPUTED_VALUE"""),"GHP, GHP-PREPAID, TM, WIRELINE, BAYAN, GLOBE")</f>
        <v>GHP, GHP-PREPAID, TM, WIRELINE, BAYAN, GLOBE</v>
      </c>
      <c r="M558" s="258" t="str">
        <f>IFERROR(__xludf.DUMMYFUNCTION("""COMPUTED_VALUE"""),"Consumer, EG, SG, In house")</f>
        <v>Consumer, EG, SG, In house</v>
      </c>
      <c r="N558" s="258" t="str">
        <f>IFERROR(__xludf.DUMMYFUNCTION("""COMPUTED_VALUE"""),"customer")</f>
        <v>customer</v>
      </c>
      <c r="O558" s="258" t="str">
        <f>IFERROR(__xludf.DUMMYFUNCTION("""COMPUTED_VALUE"""),"customer_profile")</f>
        <v>customer_profile</v>
      </c>
      <c r="P558" s="258"/>
    </row>
    <row r="559">
      <c r="A559" s="257" t="str">
        <f>IFERROR(__xludf.DUMMYFUNCTION("""COMPUTED_VALUE"""),"address_city_name")</f>
        <v>address_city_name</v>
      </c>
      <c r="B559" s="258" t="str">
        <f>IFERROR(__xludf.DUMMYFUNCTION("""COMPUTED_VALUE"""),"Customer PII")</f>
        <v>Customer PII</v>
      </c>
      <c r="C559" s="258" t="str">
        <f>IFERROR(__xludf.DUMMYFUNCTION("""COMPUTED_VALUE"""),"Non-PII")</f>
        <v>Non-PII</v>
      </c>
      <c r="D559" s="258" t="str">
        <f>IFERROR(__xludf.DUMMYFUNCTION("""COMPUTED_VALUE"""),"Non-PII")</f>
        <v>Non-PII</v>
      </c>
      <c r="E559" s="258" t="str">
        <f>IFERROR(__xludf.DUMMYFUNCTION("""COMPUTED_VALUE"""),"City name of the subscriber's address")</f>
        <v>City name of the subscriber's address</v>
      </c>
      <c r="F559" s="258" t="str">
        <f>IFERROR(__xludf.DUMMYFUNCTION("""COMPUTED_VALUE"""),"Direct Pull")</f>
        <v>Direct Pull</v>
      </c>
      <c r="G559" s="258" t="str">
        <f>IFERROR(__xludf.DUMMYFUNCTION("""COMPUTED_VALUE"""),"varchar(1000)")</f>
        <v>varchar(1000)</v>
      </c>
      <c r="H559" s="258" t="str">
        <f>IFERROR(__xludf.DUMMYFUNCTION("""COMPUTED_VALUE"""),"Cebu City")</f>
        <v>Cebu City</v>
      </c>
      <c r="I559" s="258" t="str">
        <f>IFERROR(__xludf.DUMMYFUNCTION("""COMPUTED_VALUE"""),"EDO-UUP")</f>
        <v>EDO-UUP</v>
      </c>
      <c r="J559" s="258" t="str">
        <f>IFERROR(__xludf.DUMMYFUNCTION("""COMPUTED_VALUE"""),"Daily")</f>
        <v>Daily</v>
      </c>
      <c r="K559" s="258" t="str">
        <f>IFERROR(__xludf.DUMMYFUNCTION("""COMPUTED_VALUE"""),"")</f>
        <v/>
      </c>
      <c r="L559" s="258" t="str">
        <f>IFERROR(__xludf.DUMMYFUNCTION("""COMPUTED_VALUE"""),"GHP, GHP-PREPAID, TM, PW, WIRELINE, BAYAN, GLOBE")</f>
        <v>GHP, GHP-PREPAID, TM, PW, WIRELINE, BAYAN, GLOBE</v>
      </c>
      <c r="M559" s="258" t="str">
        <f>IFERROR(__xludf.DUMMYFUNCTION("""COMPUTED_VALUE"""),"Consumer, EG, SG, In house, IBG Traveler")</f>
        <v>Consumer, EG, SG, In house, IBG Traveler</v>
      </c>
      <c r="N559" s="258" t="str">
        <f>IFERROR(__xludf.DUMMYFUNCTION("""COMPUTED_VALUE"""),"customer")</f>
        <v>customer</v>
      </c>
      <c r="O559" s="258" t="str">
        <f>IFERROR(__xludf.DUMMYFUNCTION("""COMPUTED_VALUE"""),"customer_profile")</f>
        <v>customer_profile</v>
      </c>
      <c r="P559" s="258"/>
    </row>
    <row r="560">
      <c r="A560" s="257" t="str">
        <f>IFERROR(__xludf.DUMMYFUNCTION("""COMPUTED_VALUE"""),"address_province_name")</f>
        <v>address_province_name</v>
      </c>
      <c r="B560" s="258" t="str">
        <f>IFERROR(__xludf.DUMMYFUNCTION("""COMPUTED_VALUE"""),"Customer PII")</f>
        <v>Customer PII</v>
      </c>
      <c r="C560" s="258" t="str">
        <f>IFERROR(__xludf.DUMMYFUNCTION("""COMPUTED_VALUE"""),"Non-PII")</f>
        <v>Non-PII</v>
      </c>
      <c r="D560" s="258" t="str">
        <f>IFERROR(__xludf.DUMMYFUNCTION("""COMPUTED_VALUE"""),"Non-PII")</f>
        <v>Non-PII</v>
      </c>
      <c r="E560" s="258" t="str">
        <f>IFERROR(__xludf.DUMMYFUNCTION("""COMPUTED_VALUE"""),"Province name of the subscriber's address")</f>
        <v>Province name of the subscriber's address</v>
      </c>
      <c r="F560" s="258" t="str">
        <f>IFERROR(__xludf.DUMMYFUNCTION("""COMPUTED_VALUE"""),"Direct Pull")</f>
        <v>Direct Pull</v>
      </c>
      <c r="G560" s="258" t="str">
        <f>IFERROR(__xludf.DUMMYFUNCTION("""COMPUTED_VALUE"""),"varchar(1000)")</f>
        <v>varchar(1000)</v>
      </c>
      <c r="H560" s="258" t="str">
        <f>IFERROR(__xludf.DUMMYFUNCTION("""COMPUTED_VALUE"""),"Cebu")</f>
        <v>Cebu</v>
      </c>
      <c r="I560" s="258" t="str">
        <f>IFERROR(__xludf.DUMMYFUNCTION("""COMPUTED_VALUE"""),"EDO-UUP")</f>
        <v>EDO-UUP</v>
      </c>
      <c r="J560" s="258" t="str">
        <f>IFERROR(__xludf.DUMMYFUNCTION("""COMPUTED_VALUE"""),"Daily")</f>
        <v>Daily</v>
      </c>
      <c r="K560" s="258" t="str">
        <f>IFERROR(__xludf.DUMMYFUNCTION("""COMPUTED_VALUE"""),"")</f>
        <v/>
      </c>
      <c r="L560" s="258" t="str">
        <f>IFERROR(__xludf.DUMMYFUNCTION("""COMPUTED_VALUE"""),"GHP, GHP-PREPAID, TM, PW, WIRELINE, BAYAN, GLOBE")</f>
        <v>GHP, GHP-PREPAID, TM, PW, WIRELINE, BAYAN, GLOBE</v>
      </c>
      <c r="M560" s="258" t="str">
        <f>IFERROR(__xludf.DUMMYFUNCTION("""COMPUTED_VALUE"""),"Consumer, EG, SG, In house, IBG Traveler")</f>
        <v>Consumer, EG, SG, In house, IBG Traveler</v>
      </c>
      <c r="N560" s="258" t="str">
        <f>IFERROR(__xludf.DUMMYFUNCTION("""COMPUTED_VALUE"""),"customer")</f>
        <v>customer</v>
      </c>
      <c r="O560" s="258" t="str">
        <f>IFERROR(__xludf.DUMMYFUNCTION("""COMPUTED_VALUE"""),"customer_profile")</f>
        <v>customer_profile</v>
      </c>
      <c r="P560" s="258"/>
    </row>
    <row r="561">
      <c r="A561" s="257" t="str">
        <f>IFERROR(__xludf.DUMMYFUNCTION("""COMPUTED_VALUE"""),"address_region_name")</f>
        <v>address_region_name</v>
      </c>
      <c r="B561" s="258" t="str">
        <f>IFERROR(__xludf.DUMMYFUNCTION("""COMPUTED_VALUE"""),"Customer PII")</f>
        <v>Customer PII</v>
      </c>
      <c r="C561" s="258" t="str">
        <f>IFERROR(__xludf.DUMMYFUNCTION("""COMPUTED_VALUE"""),"Non-PII")</f>
        <v>Non-PII</v>
      </c>
      <c r="D561" s="258" t="str">
        <f>IFERROR(__xludf.DUMMYFUNCTION("""COMPUTED_VALUE"""),"Non-PII")</f>
        <v>Non-PII</v>
      </c>
      <c r="E561" s="258" t="str">
        <f>IFERROR(__xludf.DUMMYFUNCTION("""COMPUTED_VALUE"""),"Region name of the subscriber's address")</f>
        <v>Region name of the subscriber's address</v>
      </c>
      <c r="F561" s="258" t="str">
        <f>IFERROR(__xludf.DUMMYFUNCTION("""COMPUTED_VALUE"""),"Direct Pull")</f>
        <v>Direct Pull</v>
      </c>
      <c r="G561" s="258" t="str">
        <f>IFERROR(__xludf.DUMMYFUNCTION("""COMPUTED_VALUE"""),"varchar(1000)")</f>
        <v>varchar(1000)</v>
      </c>
      <c r="H561" s="258" t="str">
        <f>IFERROR(__xludf.DUMMYFUNCTION("""COMPUTED_VALUE"""),"Region VII")</f>
        <v>Region VII</v>
      </c>
      <c r="I561" s="258" t="str">
        <f>IFERROR(__xludf.DUMMYFUNCTION("""COMPUTED_VALUE"""),"EDO-UUP")</f>
        <v>EDO-UUP</v>
      </c>
      <c r="J561" s="258" t="str">
        <f>IFERROR(__xludf.DUMMYFUNCTION("""COMPUTED_VALUE"""),"Daily")</f>
        <v>Daily</v>
      </c>
      <c r="K561" s="258" t="str">
        <f>IFERROR(__xludf.DUMMYFUNCTION("""COMPUTED_VALUE"""),"")</f>
        <v/>
      </c>
      <c r="L561" s="258" t="str">
        <f>IFERROR(__xludf.DUMMYFUNCTION("""COMPUTED_VALUE"""),"GHP, GHP-PREPAID, TM, PW, WIRELINE")</f>
        <v>GHP, GHP-PREPAID, TM, PW, WIRELINE</v>
      </c>
      <c r="M561" s="258" t="str">
        <f>IFERROR(__xludf.DUMMYFUNCTION("""COMPUTED_VALUE"""),"Consumer, EG, SG, In house, IBG Traveler")</f>
        <v>Consumer, EG, SG, In house, IBG Traveler</v>
      </c>
      <c r="N561" s="258" t="str">
        <f>IFERROR(__xludf.DUMMYFUNCTION("""COMPUTED_VALUE"""),"customer")</f>
        <v>customer</v>
      </c>
      <c r="O561" s="258" t="str">
        <f>IFERROR(__xludf.DUMMYFUNCTION("""COMPUTED_VALUE"""),"customer_profile")</f>
        <v>customer_profile</v>
      </c>
      <c r="P561" s="258"/>
    </row>
    <row r="562">
      <c r="A562" s="257" t="str">
        <f>IFERROR(__xludf.DUMMYFUNCTION("""COMPUTED_VALUE"""),"address_zip_code")</f>
        <v>address_zip_code</v>
      </c>
      <c r="B562" s="258" t="str">
        <f>IFERROR(__xludf.DUMMYFUNCTION("""COMPUTED_VALUE"""),"Customer PII")</f>
        <v>Customer PII</v>
      </c>
      <c r="C562" s="258" t="str">
        <f>IFERROR(__xludf.DUMMYFUNCTION("""COMPUTED_VALUE"""),"Non-PII")</f>
        <v>Non-PII</v>
      </c>
      <c r="D562" s="258" t="str">
        <f>IFERROR(__xludf.DUMMYFUNCTION("""COMPUTED_VALUE"""),"Non-PII")</f>
        <v>Non-PII</v>
      </c>
      <c r="E562" s="258" t="str">
        <f>IFERROR(__xludf.DUMMYFUNCTION("""COMPUTED_VALUE"""),"Zip code of the subscriber's address")</f>
        <v>Zip code of the subscriber's address</v>
      </c>
      <c r="F562" s="258" t="str">
        <f>IFERROR(__xludf.DUMMYFUNCTION("""COMPUTED_VALUE"""),"Direct Pull")</f>
        <v>Direct Pull</v>
      </c>
      <c r="G562" s="258" t="str">
        <f>IFERROR(__xludf.DUMMYFUNCTION("""COMPUTED_VALUE"""),"varchar(1000)")</f>
        <v>varchar(1000)</v>
      </c>
      <c r="H562" s="258">
        <f>IFERROR(__xludf.DUMMYFUNCTION("""COMPUTED_VALUE"""),6000.0)</f>
        <v>6000</v>
      </c>
      <c r="I562" s="258" t="str">
        <f>IFERROR(__xludf.DUMMYFUNCTION("""COMPUTED_VALUE"""),"EDO-UUP")</f>
        <v>EDO-UUP</v>
      </c>
      <c r="J562" s="258" t="str">
        <f>IFERROR(__xludf.DUMMYFUNCTION("""COMPUTED_VALUE"""),"Daily")</f>
        <v>Daily</v>
      </c>
      <c r="K562" s="258" t="str">
        <f>IFERROR(__xludf.DUMMYFUNCTION("""COMPUTED_VALUE"""),"")</f>
        <v/>
      </c>
      <c r="L562" s="258" t="str">
        <f>IFERROR(__xludf.DUMMYFUNCTION("""COMPUTED_VALUE"""),"GHP, GHP-PREPAID, TM, PW, WIRELINE, BAYAN, GLOBE")</f>
        <v>GHP, GHP-PREPAID, TM, PW, WIRELINE, BAYAN, GLOBE</v>
      </c>
      <c r="M562" s="258" t="str">
        <f>IFERROR(__xludf.DUMMYFUNCTION("""COMPUTED_VALUE"""),"Consumer, EG, SG, In house, IBG Traveler")</f>
        <v>Consumer, EG, SG, In house, IBG Traveler</v>
      </c>
      <c r="N562" s="258" t="str">
        <f>IFERROR(__xludf.DUMMYFUNCTION("""COMPUTED_VALUE"""),"customer")</f>
        <v>customer</v>
      </c>
      <c r="O562" s="258" t="str">
        <f>IFERROR(__xludf.DUMMYFUNCTION("""COMPUTED_VALUE"""),"customer_profile")</f>
        <v>customer_profile</v>
      </c>
      <c r="P562" s="258"/>
    </row>
    <row r="563">
      <c r="A563" s="257" t="str">
        <f>IFERROR(__xludf.DUMMYFUNCTION("""COMPUTED_VALUE"""),"clv_survival_segment")</f>
        <v>clv_survival_segment</v>
      </c>
      <c r="B563" s="258" t="str">
        <f>IFERROR(__xludf.DUMMYFUNCTION("""COMPUTED_VALUE"""),"Loyalty &amp; Retention")</f>
        <v>Loyalty &amp; Retention</v>
      </c>
      <c r="C563" s="258" t="str">
        <f>IFERROR(__xludf.DUMMYFUNCTION("""COMPUTED_VALUE"""),"Non-PII")</f>
        <v>Non-PII</v>
      </c>
      <c r="D563" s="258" t="str">
        <f>IFERROR(__xludf.DUMMYFUNCTION("""COMPUTED_VALUE"""),"Non-PII")</f>
        <v>Non-PII</v>
      </c>
      <c r="E563" s="258" t="str">
        <f>IFERROR(__xludf.DUMMYFUNCTION("""COMPUTED_VALUE"""),"Inferred Customer Lifetime Value (CLV) segment of subscribers based on their profile")</f>
        <v>Inferred Customer Lifetime Value (CLV) segment of subscribers based on their profile</v>
      </c>
      <c r="F563" s="258" t="str">
        <f>IFERROR(__xludf.DUMMYFUNCTION("""COMPUTED_VALUE"""),"Inferred")</f>
        <v>Inferred</v>
      </c>
      <c r="G563" s="258" t="str">
        <f>IFERROR(__xludf.DUMMYFUNCTION("""COMPUTED_VALUE"""),"integer")</f>
        <v>integer</v>
      </c>
      <c r="H563" s="258">
        <f>IFERROR(__xludf.DUMMYFUNCTION("""COMPUTED_VALUE"""),17.0)</f>
        <v>17</v>
      </c>
      <c r="I563" s="258" t="str">
        <f>IFERROR(__xludf.DUMMYFUNCTION("""COMPUTED_VALUE"""),"EDO-AA")</f>
        <v>EDO-AA</v>
      </c>
      <c r="J563" s="258" t="str">
        <f>IFERROR(__xludf.DUMMYFUNCTION("""COMPUTED_VALUE"""),"Monthly")</f>
        <v>Monthly</v>
      </c>
      <c r="K563" s="258" t="str">
        <f>IFERROR(__xludf.DUMMYFUNCTION("""COMPUTED_VALUE"""),"")</f>
        <v/>
      </c>
      <c r="L563" s="258" t="str">
        <f>IFERROR(__xludf.DUMMYFUNCTION("""COMPUTED_VALUE"""),"GHP, GHP-PREPAID, TM")</f>
        <v>GHP, GHP-PREPAID, TM</v>
      </c>
      <c r="M563" s="258" t="str">
        <f>IFERROR(__xludf.DUMMYFUNCTION("""COMPUTED_VALUE"""),"Consumer")</f>
        <v>Consumer</v>
      </c>
      <c r="N563" s="258" t="str">
        <f>IFERROR(__xludf.DUMMYFUNCTION("""COMPUTED_VALUE"""),"revenue")</f>
        <v>revenue</v>
      </c>
      <c r="O563" s="258" t="str">
        <f>IFERROR(__xludf.DUMMYFUNCTION("""COMPUTED_VALUE"""),"revenue_profile")</f>
        <v>revenue_profile</v>
      </c>
      <c r="P563" s="258"/>
    </row>
    <row r="564">
      <c r="A564" s="257" t="str">
        <f>IFERROR(__xludf.DUMMYFUNCTION("""COMPUTED_VALUE"""),"clv_survival_mo1")</f>
        <v>clv_survival_mo1</v>
      </c>
      <c r="B564" s="258" t="str">
        <f>IFERROR(__xludf.DUMMYFUNCTION("""COMPUTED_VALUE"""),"Loyalty &amp; Retention")</f>
        <v>Loyalty &amp; Retention</v>
      </c>
      <c r="C564" s="258" t="str">
        <f>IFERROR(__xludf.DUMMYFUNCTION("""COMPUTED_VALUE"""),"Non-PII")</f>
        <v>Non-PII</v>
      </c>
      <c r="D564" s="258" t="str">
        <f>IFERROR(__xludf.DUMMYFUNCTION("""COMPUTED_VALUE"""),"Non-PII")</f>
        <v>Non-PII</v>
      </c>
      <c r="E564" s="258" t="str">
        <f>IFERROR(__xludf.DUMMYFUNCTION("""COMPUTED_VALUE"""),"Inferred probability of a subscriber's survival to the next month")</f>
        <v>Inferred probability of a subscriber's survival to the next month</v>
      </c>
      <c r="F564" s="258" t="str">
        <f>IFERROR(__xludf.DUMMYFUNCTION("""COMPUTED_VALUE"""),"Inferred")</f>
        <v>Inferred</v>
      </c>
      <c r="G564" s="258" t="str">
        <f>IFERROR(__xludf.DUMMYFUNCTION("""COMPUTED_VALUE"""),"numeric(21,2)")</f>
        <v>numeric(21,2)</v>
      </c>
      <c r="H564" s="258">
        <f>IFERROR(__xludf.DUMMYFUNCTION("""COMPUTED_VALUE"""),0.99)</f>
        <v>0.99</v>
      </c>
      <c r="I564" s="258" t="str">
        <f>IFERROR(__xludf.DUMMYFUNCTION("""COMPUTED_VALUE"""),"EDO-AA")</f>
        <v>EDO-AA</v>
      </c>
      <c r="J564" s="258" t="str">
        <f>IFERROR(__xludf.DUMMYFUNCTION("""COMPUTED_VALUE"""),"Monthly")</f>
        <v>Monthly</v>
      </c>
      <c r="K564" s="258" t="str">
        <f>IFERROR(__xludf.DUMMYFUNCTION("""COMPUTED_VALUE"""),"")</f>
        <v/>
      </c>
      <c r="L564" s="258" t="str">
        <f>IFERROR(__xludf.DUMMYFUNCTION("""COMPUTED_VALUE"""),"GHP, GHP-PREPAID, TM")</f>
        <v>GHP, GHP-PREPAID, TM</v>
      </c>
      <c r="M564" s="258" t="str">
        <f>IFERROR(__xludf.DUMMYFUNCTION("""COMPUTED_VALUE"""),"Consumer")</f>
        <v>Consumer</v>
      </c>
      <c r="N564" s="258" t="str">
        <f>IFERROR(__xludf.DUMMYFUNCTION("""COMPUTED_VALUE"""),"revenue")</f>
        <v>revenue</v>
      </c>
      <c r="O564" s="258" t="str">
        <f>IFERROR(__xludf.DUMMYFUNCTION("""COMPUTED_VALUE"""),"revenue_profile")</f>
        <v>revenue_profile</v>
      </c>
      <c r="P564" s="258"/>
    </row>
    <row r="565">
      <c r="A565" s="257" t="str">
        <f>IFERROR(__xludf.DUMMYFUNCTION("""COMPUTED_VALUE"""),"clv_survival_mo2")</f>
        <v>clv_survival_mo2</v>
      </c>
      <c r="B565" s="258" t="str">
        <f>IFERROR(__xludf.DUMMYFUNCTION("""COMPUTED_VALUE"""),"Loyalty &amp; Retention")</f>
        <v>Loyalty &amp; Retention</v>
      </c>
      <c r="C565" s="258" t="str">
        <f>IFERROR(__xludf.DUMMYFUNCTION("""COMPUTED_VALUE"""),"Non-PII")</f>
        <v>Non-PII</v>
      </c>
      <c r="D565" s="258" t="str">
        <f>IFERROR(__xludf.DUMMYFUNCTION("""COMPUTED_VALUE"""),"Non-PII")</f>
        <v>Non-PII</v>
      </c>
      <c r="E565" s="258" t="str">
        <f>IFERROR(__xludf.DUMMYFUNCTION("""COMPUTED_VALUE"""),"Inferred probability of a subscriber's survival to the next 2 months")</f>
        <v>Inferred probability of a subscriber's survival to the next 2 months</v>
      </c>
      <c r="F565" s="258" t="str">
        <f>IFERROR(__xludf.DUMMYFUNCTION("""COMPUTED_VALUE"""),"Inferred")</f>
        <v>Inferred</v>
      </c>
      <c r="G565" s="258" t="str">
        <f>IFERROR(__xludf.DUMMYFUNCTION("""COMPUTED_VALUE"""),"numeric(21,2)")</f>
        <v>numeric(21,2)</v>
      </c>
      <c r="H565" s="258">
        <f>IFERROR(__xludf.DUMMYFUNCTION("""COMPUTED_VALUE"""),0.94)</f>
        <v>0.94</v>
      </c>
      <c r="I565" s="258" t="str">
        <f>IFERROR(__xludf.DUMMYFUNCTION("""COMPUTED_VALUE"""),"EDO-AA")</f>
        <v>EDO-AA</v>
      </c>
      <c r="J565" s="258" t="str">
        <f>IFERROR(__xludf.DUMMYFUNCTION("""COMPUTED_VALUE"""),"Monthly")</f>
        <v>Monthly</v>
      </c>
      <c r="K565" s="258" t="str">
        <f>IFERROR(__xludf.DUMMYFUNCTION("""COMPUTED_VALUE"""),"")</f>
        <v/>
      </c>
      <c r="L565" s="258" t="str">
        <f>IFERROR(__xludf.DUMMYFUNCTION("""COMPUTED_VALUE"""),"GHP, GHP-PREPAID, TM")</f>
        <v>GHP, GHP-PREPAID, TM</v>
      </c>
      <c r="M565" s="258" t="str">
        <f>IFERROR(__xludf.DUMMYFUNCTION("""COMPUTED_VALUE"""),"Consumer")</f>
        <v>Consumer</v>
      </c>
      <c r="N565" s="258" t="str">
        <f>IFERROR(__xludf.DUMMYFUNCTION("""COMPUTED_VALUE"""),"revenue")</f>
        <v>revenue</v>
      </c>
      <c r="O565" s="258" t="str">
        <f>IFERROR(__xludf.DUMMYFUNCTION("""COMPUTED_VALUE"""),"revenue_profile")</f>
        <v>revenue_profile</v>
      </c>
      <c r="P565" s="258"/>
    </row>
    <row r="566">
      <c r="A566" s="257" t="str">
        <f>IFERROR(__xludf.DUMMYFUNCTION("""COMPUTED_VALUE"""),"clv_survival_mo3")</f>
        <v>clv_survival_mo3</v>
      </c>
      <c r="B566" s="258" t="str">
        <f>IFERROR(__xludf.DUMMYFUNCTION("""COMPUTED_VALUE"""),"Loyalty &amp; Retention")</f>
        <v>Loyalty &amp; Retention</v>
      </c>
      <c r="C566" s="258" t="str">
        <f>IFERROR(__xludf.DUMMYFUNCTION("""COMPUTED_VALUE"""),"Non-PII")</f>
        <v>Non-PII</v>
      </c>
      <c r="D566" s="258" t="str">
        <f>IFERROR(__xludf.DUMMYFUNCTION("""COMPUTED_VALUE"""),"Non-PII")</f>
        <v>Non-PII</v>
      </c>
      <c r="E566" s="258" t="str">
        <f>IFERROR(__xludf.DUMMYFUNCTION("""COMPUTED_VALUE"""),"Inferred probability of a subscriber's survival to the next 3 months")</f>
        <v>Inferred probability of a subscriber's survival to the next 3 months</v>
      </c>
      <c r="F566" s="258" t="str">
        <f>IFERROR(__xludf.DUMMYFUNCTION("""COMPUTED_VALUE"""),"Inferred")</f>
        <v>Inferred</v>
      </c>
      <c r="G566" s="258" t="str">
        <f>IFERROR(__xludf.DUMMYFUNCTION("""COMPUTED_VALUE"""),"numeric(21,2)")</f>
        <v>numeric(21,2)</v>
      </c>
      <c r="H566" s="258">
        <f>IFERROR(__xludf.DUMMYFUNCTION("""COMPUTED_VALUE"""),0.89)</f>
        <v>0.89</v>
      </c>
      <c r="I566" s="258" t="str">
        <f>IFERROR(__xludf.DUMMYFUNCTION("""COMPUTED_VALUE"""),"EDO-AA")</f>
        <v>EDO-AA</v>
      </c>
      <c r="J566" s="258" t="str">
        <f>IFERROR(__xludf.DUMMYFUNCTION("""COMPUTED_VALUE"""),"Monthly")</f>
        <v>Monthly</v>
      </c>
      <c r="K566" s="258" t="str">
        <f>IFERROR(__xludf.DUMMYFUNCTION("""COMPUTED_VALUE"""),"")</f>
        <v/>
      </c>
      <c r="L566" s="258" t="str">
        <f>IFERROR(__xludf.DUMMYFUNCTION("""COMPUTED_VALUE"""),"GHP, GHP-PREPAID, TM")</f>
        <v>GHP, GHP-PREPAID, TM</v>
      </c>
      <c r="M566" s="258" t="str">
        <f>IFERROR(__xludf.DUMMYFUNCTION("""COMPUTED_VALUE"""),"Consumer")</f>
        <v>Consumer</v>
      </c>
      <c r="N566" s="258" t="str">
        <f>IFERROR(__xludf.DUMMYFUNCTION("""COMPUTED_VALUE"""),"revenue")</f>
        <v>revenue</v>
      </c>
      <c r="O566" s="258" t="str">
        <f>IFERROR(__xludf.DUMMYFUNCTION("""COMPUTED_VALUE"""),"revenue_profile")</f>
        <v>revenue_profile</v>
      </c>
      <c r="P566" s="258"/>
    </row>
    <row r="567">
      <c r="A567" s="257" t="str">
        <f>IFERROR(__xludf.DUMMYFUNCTION("""COMPUTED_VALUE"""),"clv_survival_mo4")</f>
        <v>clv_survival_mo4</v>
      </c>
      <c r="B567" s="258" t="str">
        <f>IFERROR(__xludf.DUMMYFUNCTION("""COMPUTED_VALUE"""),"Loyalty &amp; Retention")</f>
        <v>Loyalty &amp; Retention</v>
      </c>
      <c r="C567" s="258" t="str">
        <f>IFERROR(__xludf.DUMMYFUNCTION("""COMPUTED_VALUE"""),"Non-PII")</f>
        <v>Non-PII</v>
      </c>
      <c r="D567" s="258" t="str">
        <f>IFERROR(__xludf.DUMMYFUNCTION("""COMPUTED_VALUE"""),"Non-PII")</f>
        <v>Non-PII</v>
      </c>
      <c r="E567" s="258" t="str">
        <f>IFERROR(__xludf.DUMMYFUNCTION("""COMPUTED_VALUE"""),"Inferred probability of a subscriber's survival to the next 4 months")</f>
        <v>Inferred probability of a subscriber's survival to the next 4 months</v>
      </c>
      <c r="F567" s="258" t="str">
        <f>IFERROR(__xludf.DUMMYFUNCTION("""COMPUTED_VALUE"""),"Inferred")</f>
        <v>Inferred</v>
      </c>
      <c r="G567" s="258" t="str">
        <f>IFERROR(__xludf.DUMMYFUNCTION("""COMPUTED_VALUE"""),"numeric(21,2)")</f>
        <v>numeric(21,2)</v>
      </c>
      <c r="H567" s="258">
        <f>IFERROR(__xludf.DUMMYFUNCTION("""COMPUTED_VALUE"""),0.85)</f>
        <v>0.85</v>
      </c>
      <c r="I567" s="258" t="str">
        <f>IFERROR(__xludf.DUMMYFUNCTION("""COMPUTED_VALUE"""),"EDO-AA")</f>
        <v>EDO-AA</v>
      </c>
      <c r="J567" s="258" t="str">
        <f>IFERROR(__xludf.DUMMYFUNCTION("""COMPUTED_VALUE"""),"Monthly")</f>
        <v>Monthly</v>
      </c>
      <c r="K567" s="258" t="str">
        <f>IFERROR(__xludf.DUMMYFUNCTION("""COMPUTED_VALUE"""),"")</f>
        <v/>
      </c>
      <c r="L567" s="258" t="str">
        <f>IFERROR(__xludf.DUMMYFUNCTION("""COMPUTED_VALUE"""),"GHP, GHP-PREPAID, TM")</f>
        <v>GHP, GHP-PREPAID, TM</v>
      </c>
      <c r="M567" s="258" t="str">
        <f>IFERROR(__xludf.DUMMYFUNCTION("""COMPUTED_VALUE"""),"Consumer")</f>
        <v>Consumer</v>
      </c>
      <c r="N567" s="258" t="str">
        <f>IFERROR(__xludf.DUMMYFUNCTION("""COMPUTED_VALUE"""),"revenue")</f>
        <v>revenue</v>
      </c>
      <c r="O567" s="258" t="str">
        <f>IFERROR(__xludf.DUMMYFUNCTION("""COMPUTED_VALUE"""),"revenue_profile")</f>
        <v>revenue_profile</v>
      </c>
      <c r="P567" s="258"/>
    </row>
    <row r="568">
      <c r="A568" s="257" t="str">
        <f>IFERROR(__xludf.DUMMYFUNCTION("""COMPUTED_VALUE"""),"clv_survival_mo5")</f>
        <v>clv_survival_mo5</v>
      </c>
      <c r="B568" s="258" t="str">
        <f>IFERROR(__xludf.DUMMYFUNCTION("""COMPUTED_VALUE"""),"Loyalty &amp; Retention")</f>
        <v>Loyalty &amp; Retention</v>
      </c>
      <c r="C568" s="258" t="str">
        <f>IFERROR(__xludf.DUMMYFUNCTION("""COMPUTED_VALUE"""),"Non-PII")</f>
        <v>Non-PII</v>
      </c>
      <c r="D568" s="258" t="str">
        <f>IFERROR(__xludf.DUMMYFUNCTION("""COMPUTED_VALUE"""),"Non-PII")</f>
        <v>Non-PII</v>
      </c>
      <c r="E568" s="258" t="str">
        <f>IFERROR(__xludf.DUMMYFUNCTION("""COMPUTED_VALUE"""),"Inferred probability of a subscriber's survival to the next 5 months")</f>
        <v>Inferred probability of a subscriber's survival to the next 5 months</v>
      </c>
      <c r="F568" s="258" t="str">
        <f>IFERROR(__xludf.DUMMYFUNCTION("""COMPUTED_VALUE"""),"Inferred")</f>
        <v>Inferred</v>
      </c>
      <c r="G568" s="258" t="str">
        <f>IFERROR(__xludf.DUMMYFUNCTION("""COMPUTED_VALUE"""),"numeric(21,2)")</f>
        <v>numeric(21,2)</v>
      </c>
      <c r="H568" s="258">
        <f>IFERROR(__xludf.DUMMYFUNCTION("""COMPUTED_VALUE"""),0.81)</f>
        <v>0.81</v>
      </c>
      <c r="I568" s="258" t="str">
        <f>IFERROR(__xludf.DUMMYFUNCTION("""COMPUTED_VALUE"""),"EDO-AA")</f>
        <v>EDO-AA</v>
      </c>
      <c r="J568" s="258" t="str">
        <f>IFERROR(__xludf.DUMMYFUNCTION("""COMPUTED_VALUE"""),"Monthly")</f>
        <v>Monthly</v>
      </c>
      <c r="K568" s="258" t="str">
        <f>IFERROR(__xludf.DUMMYFUNCTION("""COMPUTED_VALUE"""),"")</f>
        <v/>
      </c>
      <c r="L568" s="258" t="str">
        <f>IFERROR(__xludf.DUMMYFUNCTION("""COMPUTED_VALUE"""),"GHP, GHP-PREPAID, TM")</f>
        <v>GHP, GHP-PREPAID, TM</v>
      </c>
      <c r="M568" s="258" t="str">
        <f>IFERROR(__xludf.DUMMYFUNCTION("""COMPUTED_VALUE"""),"Consumer")</f>
        <v>Consumer</v>
      </c>
      <c r="N568" s="258" t="str">
        <f>IFERROR(__xludf.DUMMYFUNCTION("""COMPUTED_VALUE"""),"revenue")</f>
        <v>revenue</v>
      </c>
      <c r="O568" s="258" t="str">
        <f>IFERROR(__xludf.DUMMYFUNCTION("""COMPUTED_VALUE"""),"revenue_profile")</f>
        <v>revenue_profile</v>
      </c>
      <c r="P568" s="258"/>
    </row>
    <row r="569">
      <c r="A569" s="257" t="str">
        <f>IFERROR(__xludf.DUMMYFUNCTION("""COMPUTED_VALUE"""),"clv_survival_mo6")</f>
        <v>clv_survival_mo6</v>
      </c>
      <c r="B569" s="258" t="str">
        <f>IFERROR(__xludf.DUMMYFUNCTION("""COMPUTED_VALUE"""),"Loyalty &amp; Retention")</f>
        <v>Loyalty &amp; Retention</v>
      </c>
      <c r="C569" s="258" t="str">
        <f>IFERROR(__xludf.DUMMYFUNCTION("""COMPUTED_VALUE"""),"Non-PII")</f>
        <v>Non-PII</v>
      </c>
      <c r="D569" s="258" t="str">
        <f>IFERROR(__xludf.DUMMYFUNCTION("""COMPUTED_VALUE"""),"Non-PII")</f>
        <v>Non-PII</v>
      </c>
      <c r="E569" s="258" t="str">
        <f>IFERROR(__xludf.DUMMYFUNCTION("""COMPUTED_VALUE"""),"Inferred probability of a subscriber's survival to the next 6 months")</f>
        <v>Inferred probability of a subscriber's survival to the next 6 months</v>
      </c>
      <c r="F569" s="258" t="str">
        <f>IFERROR(__xludf.DUMMYFUNCTION("""COMPUTED_VALUE"""),"Inferred")</f>
        <v>Inferred</v>
      </c>
      <c r="G569" s="258" t="str">
        <f>IFERROR(__xludf.DUMMYFUNCTION("""COMPUTED_VALUE"""),"numeric(21,2)")</f>
        <v>numeric(21,2)</v>
      </c>
      <c r="H569" s="258">
        <f>IFERROR(__xludf.DUMMYFUNCTION("""COMPUTED_VALUE"""),0.78)</f>
        <v>0.78</v>
      </c>
      <c r="I569" s="258" t="str">
        <f>IFERROR(__xludf.DUMMYFUNCTION("""COMPUTED_VALUE"""),"EDO-AA")</f>
        <v>EDO-AA</v>
      </c>
      <c r="J569" s="258" t="str">
        <f>IFERROR(__xludf.DUMMYFUNCTION("""COMPUTED_VALUE"""),"Monthly")</f>
        <v>Monthly</v>
      </c>
      <c r="K569" s="258" t="str">
        <f>IFERROR(__xludf.DUMMYFUNCTION("""COMPUTED_VALUE"""),"")</f>
        <v/>
      </c>
      <c r="L569" s="258" t="str">
        <f>IFERROR(__xludf.DUMMYFUNCTION("""COMPUTED_VALUE"""),"GHP, GHP-PREPAID, TM")</f>
        <v>GHP, GHP-PREPAID, TM</v>
      </c>
      <c r="M569" s="258" t="str">
        <f>IFERROR(__xludf.DUMMYFUNCTION("""COMPUTED_VALUE"""),"Consumer")</f>
        <v>Consumer</v>
      </c>
      <c r="N569" s="258" t="str">
        <f>IFERROR(__xludf.DUMMYFUNCTION("""COMPUTED_VALUE"""),"revenue")</f>
        <v>revenue</v>
      </c>
      <c r="O569" s="258" t="str">
        <f>IFERROR(__xludf.DUMMYFUNCTION("""COMPUTED_VALUE"""),"revenue_profile")</f>
        <v>revenue_profile</v>
      </c>
      <c r="P569" s="258"/>
    </row>
    <row r="570">
      <c r="A570" s="257" t="str">
        <f>IFERROR(__xludf.DUMMYFUNCTION("""COMPUTED_VALUE"""),"clv_survival_mo7")</f>
        <v>clv_survival_mo7</v>
      </c>
      <c r="B570" s="258" t="str">
        <f>IFERROR(__xludf.DUMMYFUNCTION("""COMPUTED_VALUE"""),"Loyalty &amp; Retention")</f>
        <v>Loyalty &amp; Retention</v>
      </c>
      <c r="C570" s="258" t="str">
        <f>IFERROR(__xludf.DUMMYFUNCTION("""COMPUTED_VALUE"""),"Non-PII")</f>
        <v>Non-PII</v>
      </c>
      <c r="D570" s="258" t="str">
        <f>IFERROR(__xludf.DUMMYFUNCTION("""COMPUTED_VALUE"""),"Non-PII")</f>
        <v>Non-PII</v>
      </c>
      <c r="E570" s="258" t="str">
        <f>IFERROR(__xludf.DUMMYFUNCTION("""COMPUTED_VALUE"""),"Inferred probability of a subscriber's survival to the next 7 months")</f>
        <v>Inferred probability of a subscriber's survival to the next 7 months</v>
      </c>
      <c r="F570" s="258" t="str">
        <f>IFERROR(__xludf.DUMMYFUNCTION("""COMPUTED_VALUE"""),"Inferred")</f>
        <v>Inferred</v>
      </c>
      <c r="G570" s="258" t="str">
        <f>IFERROR(__xludf.DUMMYFUNCTION("""COMPUTED_VALUE"""),"numeric(21,2)")</f>
        <v>numeric(21,2)</v>
      </c>
      <c r="H570" s="258">
        <f>IFERROR(__xludf.DUMMYFUNCTION("""COMPUTED_VALUE"""),0.76)</f>
        <v>0.76</v>
      </c>
      <c r="I570" s="258" t="str">
        <f>IFERROR(__xludf.DUMMYFUNCTION("""COMPUTED_VALUE"""),"EDO-AA")</f>
        <v>EDO-AA</v>
      </c>
      <c r="J570" s="258" t="str">
        <f>IFERROR(__xludf.DUMMYFUNCTION("""COMPUTED_VALUE"""),"Monthly")</f>
        <v>Monthly</v>
      </c>
      <c r="K570" s="258" t="str">
        <f>IFERROR(__xludf.DUMMYFUNCTION("""COMPUTED_VALUE"""),"")</f>
        <v/>
      </c>
      <c r="L570" s="258" t="str">
        <f>IFERROR(__xludf.DUMMYFUNCTION("""COMPUTED_VALUE"""),"GHP, GHP-PREPAID, TM")</f>
        <v>GHP, GHP-PREPAID, TM</v>
      </c>
      <c r="M570" s="258" t="str">
        <f>IFERROR(__xludf.DUMMYFUNCTION("""COMPUTED_VALUE"""),"Consumer")</f>
        <v>Consumer</v>
      </c>
      <c r="N570" s="258" t="str">
        <f>IFERROR(__xludf.DUMMYFUNCTION("""COMPUTED_VALUE"""),"revenue")</f>
        <v>revenue</v>
      </c>
      <c r="O570" s="258" t="str">
        <f>IFERROR(__xludf.DUMMYFUNCTION("""COMPUTED_VALUE"""),"revenue_profile")</f>
        <v>revenue_profile</v>
      </c>
      <c r="P570" s="258"/>
    </row>
    <row r="571">
      <c r="A571" s="257" t="str">
        <f>IFERROR(__xludf.DUMMYFUNCTION("""COMPUTED_VALUE"""),"clv_survival_mo8")</f>
        <v>clv_survival_mo8</v>
      </c>
      <c r="B571" s="258" t="str">
        <f>IFERROR(__xludf.DUMMYFUNCTION("""COMPUTED_VALUE"""),"Loyalty &amp; Retention")</f>
        <v>Loyalty &amp; Retention</v>
      </c>
      <c r="C571" s="258" t="str">
        <f>IFERROR(__xludf.DUMMYFUNCTION("""COMPUTED_VALUE"""),"Non-PII")</f>
        <v>Non-PII</v>
      </c>
      <c r="D571" s="258" t="str">
        <f>IFERROR(__xludf.DUMMYFUNCTION("""COMPUTED_VALUE"""),"Non-PII")</f>
        <v>Non-PII</v>
      </c>
      <c r="E571" s="258" t="str">
        <f>IFERROR(__xludf.DUMMYFUNCTION("""COMPUTED_VALUE"""),"Inferred probability of a subscriber's survival to the next 8 months")</f>
        <v>Inferred probability of a subscriber's survival to the next 8 months</v>
      </c>
      <c r="F571" s="258" t="str">
        <f>IFERROR(__xludf.DUMMYFUNCTION("""COMPUTED_VALUE"""),"Inferred")</f>
        <v>Inferred</v>
      </c>
      <c r="G571" s="258" t="str">
        <f>IFERROR(__xludf.DUMMYFUNCTION("""COMPUTED_VALUE"""),"numeric(21,2)")</f>
        <v>numeric(21,2)</v>
      </c>
      <c r="H571" s="258">
        <f>IFERROR(__xludf.DUMMYFUNCTION("""COMPUTED_VALUE"""),0.73)</f>
        <v>0.73</v>
      </c>
      <c r="I571" s="258" t="str">
        <f>IFERROR(__xludf.DUMMYFUNCTION("""COMPUTED_VALUE"""),"EDO-AA")</f>
        <v>EDO-AA</v>
      </c>
      <c r="J571" s="258" t="str">
        <f>IFERROR(__xludf.DUMMYFUNCTION("""COMPUTED_VALUE"""),"Monthly")</f>
        <v>Monthly</v>
      </c>
      <c r="K571" s="258" t="str">
        <f>IFERROR(__xludf.DUMMYFUNCTION("""COMPUTED_VALUE"""),"")</f>
        <v/>
      </c>
      <c r="L571" s="258" t="str">
        <f>IFERROR(__xludf.DUMMYFUNCTION("""COMPUTED_VALUE"""),"GHP, GHP-PREPAID, TM")</f>
        <v>GHP, GHP-PREPAID, TM</v>
      </c>
      <c r="M571" s="258" t="str">
        <f>IFERROR(__xludf.DUMMYFUNCTION("""COMPUTED_VALUE"""),"Consumer")</f>
        <v>Consumer</v>
      </c>
      <c r="N571" s="258" t="str">
        <f>IFERROR(__xludf.DUMMYFUNCTION("""COMPUTED_VALUE"""),"revenue")</f>
        <v>revenue</v>
      </c>
      <c r="O571" s="258" t="str">
        <f>IFERROR(__xludf.DUMMYFUNCTION("""COMPUTED_VALUE"""),"revenue_profile")</f>
        <v>revenue_profile</v>
      </c>
      <c r="P571" s="258"/>
    </row>
    <row r="572">
      <c r="A572" s="257" t="str">
        <f>IFERROR(__xludf.DUMMYFUNCTION("""COMPUTED_VALUE"""),"clv_survival_mo9")</f>
        <v>clv_survival_mo9</v>
      </c>
      <c r="B572" s="258" t="str">
        <f>IFERROR(__xludf.DUMMYFUNCTION("""COMPUTED_VALUE"""),"Loyalty &amp; Retention")</f>
        <v>Loyalty &amp; Retention</v>
      </c>
      <c r="C572" s="258" t="str">
        <f>IFERROR(__xludf.DUMMYFUNCTION("""COMPUTED_VALUE"""),"Non-PII")</f>
        <v>Non-PII</v>
      </c>
      <c r="D572" s="258" t="str">
        <f>IFERROR(__xludf.DUMMYFUNCTION("""COMPUTED_VALUE"""),"Non-PII")</f>
        <v>Non-PII</v>
      </c>
      <c r="E572" s="258" t="str">
        <f>IFERROR(__xludf.DUMMYFUNCTION("""COMPUTED_VALUE"""),"Inferred probability of a subscriber's survival to the next 9 months")</f>
        <v>Inferred probability of a subscriber's survival to the next 9 months</v>
      </c>
      <c r="F572" s="258" t="str">
        <f>IFERROR(__xludf.DUMMYFUNCTION("""COMPUTED_VALUE"""),"Inferred")</f>
        <v>Inferred</v>
      </c>
      <c r="G572" s="258" t="str">
        <f>IFERROR(__xludf.DUMMYFUNCTION("""COMPUTED_VALUE"""),"numeric(21,2)")</f>
        <v>numeric(21,2)</v>
      </c>
      <c r="H572" s="258">
        <f>IFERROR(__xludf.DUMMYFUNCTION("""COMPUTED_VALUE"""),0.71)</f>
        <v>0.71</v>
      </c>
      <c r="I572" s="258" t="str">
        <f>IFERROR(__xludf.DUMMYFUNCTION("""COMPUTED_VALUE"""),"EDO-AA")</f>
        <v>EDO-AA</v>
      </c>
      <c r="J572" s="258" t="str">
        <f>IFERROR(__xludf.DUMMYFUNCTION("""COMPUTED_VALUE"""),"Monthly")</f>
        <v>Monthly</v>
      </c>
      <c r="K572" s="258" t="str">
        <f>IFERROR(__xludf.DUMMYFUNCTION("""COMPUTED_VALUE"""),"")</f>
        <v/>
      </c>
      <c r="L572" s="258" t="str">
        <f>IFERROR(__xludf.DUMMYFUNCTION("""COMPUTED_VALUE"""),"GHP, GHP-PREPAID, TM")</f>
        <v>GHP, GHP-PREPAID, TM</v>
      </c>
      <c r="M572" s="258" t="str">
        <f>IFERROR(__xludf.DUMMYFUNCTION("""COMPUTED_VALUE"""),"Consumer")</f>
        <v>Consumer</v>
      </c>
      <c r="N572" s="258" t="str">
        <f>IFERROR(__xludf.DUMMYFUNCTION("""COMPUTED_VALUE"""),"revenue")</f>
        <v>revenue</v>
      </c>
      <c r="O572" s="258" t="str">
        <f>IFERROR(__xludf.DUMMYFUNCTION("""COMPUTED_VALUE"""),"revenue_profile")</f>
        <v>revenue_profile</v>
      </c>
      <c r="P572" s="258"/>
    </row>
    <row r="573">
      <c r="A573" s="257" t="str">
        <f>IFERROR(__xludf.DUMMYFUNCTION("""COMPUTED_VALUE"""),"clv_survival_mo10")</f>
        <v>clv_survival_mo10</v>
      </c>
      <c r="B573" s="258" t="str">
        <f>IFERROR(__xludf.DUMMYFUNCTION("""COMPUTED_VALUE"""),"Loyalty &amp; Retention")</f>
        <v>Loyalty &amp; Retention</v>
      </c>
      <c r="C573" s="258" t="str">
        <f>IFERROR(__xludf.DUMMYFUNCTION("""COMPUTED_VALUE"""),"Non-PII")</f>
        <v>Non-PII</v>
      </c>
      <c r="D573" s="258" t="str">
        <f>IFERROR(__xludf.DUMMYFUNCTION("""COMPUTED_VALUE"""),"Non-PII")</f>
        <v>Non-PII</v>
      </c>
      <c r="E573" s="258" t="str">
        <f>IFERROR(__xludf.DUMMYFUNCTION("""COMPUTED_VALUE"""),"Inferred probability of a subscriber's survival to the next 10 months")</f>
        <v>Inferred probability of a subscriber's survival to the next 10 months</v>
      </c>
      <c r="F573" s="258" t="str">
        <f>IFERROR(__xludf.DUMMYFUNCTION("""COMPUTED_VALUE"""),"Inferred")</f>
        <v>Inferred</v>
      </c>
      <c r="G573" s="258" t="str">
        <f>IFERROR(__xludf.DUMMYFUNCTION("""COMPUTED_VALUE"""),"numeric(21,2)")</f>
        <v>numeric(21,2)</v>
      </c>
      <c r="H573" s="258">
        <f>IFERROR(__xludf.DUMMYFUNCTION("""COMPUTED_VALUE"""),0.7)</f>
        <v>0.7</v>
      </c>
      <c r="I573" s="258" t="str">
        <f>IFERROR(__xludf.DUMMYFUNCTION("""COMPUTED_VALUE"""),"EDO-AA")</f>
        <v>EDO-AA</v>
      </c>
      <c r="J573" s="258" t="str">
        <f>IFERROR(__xludf.DUMMYFUNCTION("""COMPUTED_VALUE"""),"Monthly")</f>
        <v>Monthly</v>
      </c>
      <c r="K573" s="258" t="str">
        <f>IFERROR(__xludf.DUMMYFUNCTION("""COMPUTED_VALUE"""),"")</f>
        <v/>
      </c>
      <c r="L573" s="258" t="str">
        <f>IFERROR(__xludf.DUMMYFUNCTION("""COMPUTED_VALUE"""),"GHP, GHP-PREPAID, TM")</f>
        <v>GHP, GHP-PREPAID, TM</v>
      </c>
      <c r="M573" s="258" t="str">
        <f>IFERROR(__xludf.DUMMYFUNCTION("""COMPUTED_VALUE"""),"Consumer")</f>
        <v>Consumer</v>
      </c>
      <c r="N573" s="258" t="str">
        <f>IFERROR(__xludf.DUMMYFUNCTION("""COMPUTED_VALUE"""),"revenue")</f>
        <v>revenue</v>
      </c>
      <c r="O573" s="258" t="str">
        <f>IFERROR(__xludf.DUMMYFUNCTION("""COMPUTED_VALUE"""),"revenue_profile")</f>
        <v>revenue_profile</v>
      </c>
      <c r="P573" s="258"/>
    </row>
    <row r="574">
      <c r="A574" s="257" t="str">
        <f>IFERROR(__xludf.DUMMYFUNCTION("""COMPUTED_VALUE"""),"clv_survival_mo11")</f>
        <v>clv_survival_mo11</v>
      </c>
      <c r="B574" s="258" t="str">
        <f>IFERROR(__xludf.DUMMYFUNCTION("""COMPUTED_VALUE"""),"Loyalty &amp; Retention")</f>
        <v>Loyalty &amp; Retention</v>
      </c>
      <c r="C574" s="258" t="str">
        <f>IFERROR(__xludf.DUMMYFUNCTION("""COMPUTED_VALUE"""),"Non-PII")</f>
        <v>Non-PII</v>
      </c>
      <c r="D574" s="258" t="str">
        <f>IFERROR(__xludf.DUMMYFUNCTION("""COMPUTED_VALUE"""),"Non-PII")</f>
        <v>Non-PII</v>
      </c>
      <c r="E574" s="258" t="str">
        <f>IFERROR(__xludf.DUMMYFUNCTION("""COMPUTED_VALUE"""),"Inferred probability of a subscriber's survival to the next 11 months")</f>
        <v>Inferred probability of a subscriber's survival to the next 11 months</v>
      </c>
      <c r="F574" s="258" t="str">
        <f>IFERROR(__xludf.DUMMYFUNCTION("""COMPUTED_VALUE"""),"Inferred")</f>
        <v>Inferred</v>
      </c>
      <c r="G574" s="258" t="str">
        <f>IFERROR(__xludf.DUMMYFUNCTION("""COMPUTED_VALUE"""),"numeric(21,2)")</f>
        <v>numeric(21,2)</v>
      </c>
      <c r="H574" s="258">
        <f>IFERROR(__xludf.DUMMYFUNCTION("""COMPUTED_VALUE"""),0.68)</f>
        <v>0.68</v>
      </c>
      <c r="I574" s="258" t="str">
        <f>IFERROR(__xludf.DUMMYFUNCTION("""COMPUTED_VALUE"""),"EDO-AA")</f>
        <v>EDO-AA</v>
      </c>
      <c r="J574" s="258" t="str">
        <f>IFERROR(__xludf.DUMMYFUNCTION("""COMPUTED_VALUE"""),"Monthly")</f>
        <v>Monthly</v>
      </c>
      <c r="K574" s="258" t="str">
        <f>IFERROR(__xludf.DUMMYFUNCTION("""COMPUTED_VALUE"""),"")</f>
        <v/>
      </c>
      <c r="L574" s="258" t="str">
        <f>IFERROR(__xludf.DUMMYFUNCTION("""COMPUTED_VALUE"""),"GHP, GHP-PREPAID, TM")</f>
        <v>GHP, GHP-PREPAID, TM</v>
      </c>
      <c r="M574" s="258" t="str">
        <f>IFERROR(__xludf.DUMMYFUNCTION("""COMPUTED_VALUE"""),"Consumer")</f>
        <v>Consumer</v>
      </c>
      <c r="N574" s="258" t="str">
        <f>IFERROR(__xludf.DUMMYFUNCTION("""COMPUTED_VALUE"""),"revenue")</f>
        <v>revenue</v>
      </c>
      <c r="O574" s="258" t="str">
        <f>IFERROR(__xludf.DUMMYFUNCTION("""COMPUTED_VALUE"""),"revenue_profile")</f>
        <v>revenue_profile</v>
      </c>
      <c r="P574" s="258"/>
    </row>
    <row r="575">
      <c r="A575" s="257" t="str">
        <f>IFERROR(__xludf.DUMMYFUNCTION("""COMPUTED_VALUE"""),"clv_survival_mo12")</f>
        <v>clv_survival_mo12</v>
      </c>
      <c r="B575" s="258" t="str">
        <f>IFERROR(__xludf.DUMMYFUNCTION("""COMPUTED_VALUE"""),"Loyalty &amp; Retention")</f>
        <v>Loyalty &amp; Retention</v>
      </c>
      <c r="C575" s="258" t="str">
        <f>IFERROR(__xludf.DUMMYFUNCTION("""COMPUTED_VALUE"""),"Non-PII")</f>
        <v>Non-PII</v>
      </c>
      <c r="D575" s="258" t="str">
        <f>IFERROR(__xludf.DUMMYFUNCTION("""COMPUTED_VALUE"""),"Non-PII")</f>
        <v>Non-PII</v>
      </c>
      <c r="E575" s="258" t="str">
        <f>IFERROR(__xludf.DUMMYFUNCTION("""COMPUTED_VALUE"""),"Inferred probability of a subscriber's survival to the next 12 months")</f>
        <v>Inferred probability of a subscriber's survival to the next 12 months</v>
      </c>
      <c r="F575" s="258" t="str">
        <f>IFERROR(__xludf.DUMMYFUNCTION("""COMPUTED_VALUE"""),"Inferred")</f>
        <v>Inferred</v>
      </c>
      <c r="G575" s="258" t="str">
        <f>IFERROR(__xludf.DUMMYFUNCTION("""COMPUTED_VALUE"""),"numeric(21,2)")</f>
        <v>numeric(21,2)</v>
      </c>
      <c r="H575" s="258">
        <f>IFERROR(__xludf.DUMMYFUNCTION("""COMPUTED_VALUE"""),0.66)</f>
        <v>0.66</v>
      </c>
      <c r="I575" s="258" t="str">
        <f>IFERROR(__xludf.DUMMYFUNCTION("""COMPUTED_VALUE"""),"EDO-AA")</f>
        <v>EDO-AA</v>
      </c>
      <c r="J575" s="258" t="str">
        <f>IFERROR(__xludf.DUMMYFUNCTION("""COMPUTED_VALUE"""),"Monthly")</f>
        <v>Monthly</v>
      </c>
      <c r="K575" s="258" t="str">
        <f>IFERROR(__xludf.DUMMYFUNCTION("""COMPUTED_VALUE"""),"")</f>
        <v/>
      </c>
      <c r="L575" s="258" t="str">
        <f>IFERROR(__xludf.DUMMYFUNCTION("""COMPUTED_VALUE"""),"GHP, GHP-PREPAID, TM")</f>
        <v>GHP, GHP-PREPAID, TM</v>
      </c>
      <c r="M575" s="258" t="str">
        <f>IFERROR(__xludf.DUMMYFUNCTION("""COMPUTED_VALUE"""),"Consumer")</f>
        <v>Consumer</v>
      </c>
      <c r="N575" s="258" t="str">
        <f>IFERROR(__xludf.DUMMYFUNCTION("""COMPUTED_VALUE"""),"revenue")</f>
        <v>revenue</v>
      </c>
      <c r="O575" s="258" t="str">
        <f>IFERROR(__xludf.DUMMYFUNCTION("""COMPUTED_VALUE"""),"revenue_profile")</f>
        <v>revenue_profile</v>
      </c>
      <c r="P575" s="258"/>
    </row>
    <row r="576">
      <c r="A576" s="257" t="str">
        <f>IFERROR(__xludf.DUMMYFUNCTION("""COMPUTED_VALUE"""),"content_creator_indicator")</f>
        <v>content_creator_indicator</v>
      </c>
      <c r="B576" s="258" t="str">
        <f>IFERROR(__xludf.DUMMYFUNCTION("""COMPUTED_VALUE"""),"Audience/Persona")</f>
        <v>Audience/Persona</v>
      </c>
      <c r="C576" s="258" t="str">
        <f>IFERROR(__xludf.DUMMYFUNCTION("""COMPUTED_VALUE"""),"Non-PII")</f>
        <v>Non-PII</v>
      </c>
      <c r="D576" s="258" t="str">
        <f>IFERROR(__xludf.DUMMYFUNCTION("""COMPUTED_VALUE"""),"Non-PII")</f>
        <v>Non-PII</v>
      </c>
      <c r="E576" s="258" t="str">
        <f>IFERROR(__xludf.DUMMYFUNCTION("""COMPUTED_VALUE"""),"Indicator if a subscriber uses content creation platforms such as kumu, youtube, twitch
 For wireline subscribers, only subscriptions within Metro Manila (including some areas in Rizal) and with DSL, VDSL and GPON technology value are covered.")</f>
        <v>Indicator if a subscriber uses content creation platforms such as kumu, youtube, twitch
 For wireline subscribers, only subscriptions within Metro Manila (including some areas in Rizal) and with DSL, VDSL and GPON technology value are covered.</v>
      </c>
      <c r="F576" s="258" t="str">
        <f>IFERROR(__xludf.DUMMYFUNCTION("""COMPUTED_VALUE"""),"Derived")</f>
        <v>Derived</v>
      </c>
      <c r="G576" s="258" t="str">
        <f>IFERROR(__xludf.DUMMYFUNCTION("""COMPUTED_VALUE"""),"boolean")</f>
        <v>boolean</v>
      </c>
      <c r="H576" s="258" t="b">
        <f>IFERROR(__xludf.DUMMYFUNCTION("""COMPUTED_VALUE"""),TRUE)</f>
        <v>1</v>
      </c>
      <c r="I576" s="258" t="str">
        <f>IFERROR(__xludf.DUMMYFUNCTION("""COMPUTED_VALUE"""),"EDO-UUP")</f>
        <v>EDO-UUP</v>
      </c>
      <c r="J576" s="258" t="str">
        <f>IFERROR(__xludf.DUMMYFUNCTION("""COMPUTED_VALUE"""),"Monthly")</f>
        <v>Monthly</v>
      </c>
      <c r="K576" s="258" t="str">
        <f>IFERROR(__xludf.DUMMYFUNCTION("""COMPUTED_VALUE"""),"")</f>
        <v/>
      </c>
      <c r="L576" s="258" t="str">
        <f>IFERROR(__xludf.DUMMYFUNCTION("""COMPUTED_VALUE"""),"GHP, GHP-PREPAID, TM, PW, GOMO, WIRELINE, BAYAN, GLOBE")</f>
        <v>GHP, GHP-PREPAID, TM, PW, GOMO, WIRELINE, BAYAN, GLOBE</v>
      </c>
      <c r="M576" s="258" t="str">
        <f>IFERROR(__xludf.DUMMYFUNCTION("""COMPUTED_VALUE"""),"Consumer, EG, SG, In house, IBG Traveler")</f>
        <v>Consumer, EG, SG, In house, IBG Traveler</v>
      </c>
      <c r="N576" s="258" t="str">
        <f>IFERROR(__xludf.DUMMYFUNCTION("""COMPUTED_VALUE"""),"interest")</f>
        <v>interest</v>
      </c>
      <c r="O576" s="258" t="str">
        <f>IFERROR(__xludf.DUMMYFUNCTION("""COMPUTED_VALUE"""),"network_profile")</f>
        <v>network_profile</v>
      </c>
      <c r="P576" s="258"/>
    </row>
    <row r="577">
      <c r="A577" s="257" t="str">
        <f>IFERROR(__xludf.DUMMYFUNCTION("""COMPUTED_VALUE"""),"content_creator_bucket")</f>
        <v>content_creator_bucket</v>
      </c>
      <c r="B577" s="258" t="str">
        <f>IFERROR(__xludf.DUMMYFUNCTION("""COMPUTED_VALUE"""),"Audience/Persona")</f>
        <v>Audience/Persona</v>
      </c>
      <c r="C577" s="258" t="str">
        <f>IFERROR(__xludf.DUMMYFUNCTION("""COMPUTED_VALUE"""),"Non-PII")</f>
        <v>Non-PII</v>
      </c>
      <c r="D577" s="258" t="str">
        <f>IFERROR(__xludf.DUMMYFUNCTION("""COMPUTED_VALUE"""),"Non-PII")</f>
        <v>Non-PII</v>
      </c>
      <c r="E577" s="258" t="str">
        <f>IFERROR(__xludf.DUMMYFUNCTION("""COMPUTED_VALUE"""),"Bucketing based on identified metric for Content Creator profile
 Metric: Total Data Burn in Gigabytes in a Month (where data burn = data upload)
 Valid values:
 LOW: &lt;= 2 GB
 MID: &gt; 2GB &amp; &lt;= 4 GB
 HIGH: &gt; 4 GB
 For wireline subscribers, only subscripti"&amp;"ons within Metro Manila (including some areas in Rizal) and with DSL, VDSL and GPON technology value are covered.")</f>
        <v>Bucketing based on identified metric for Content Creator profile
 Metric: Total Data Burn in Gigabytes in a Month (where data burn = data upload)
 Valid values:
 LOW: &lt;= 2 GB
 MID: &gt; 2GB &amp; &lt;= 4 GB
 HIGH: &gt; 4 GB
 For wireline subscribers, only subscriptions within Metro Manila (including some areas in Rizal) and with DSL, VDSL and GPON technology value are covered.</v>
      </c>
      <c r="F577" s="258" t="str">
        <f>IFERROR(__xludf.DUMMYFUNCTION("""COMPUTED_VALUE"""),"Direct Pull")</f>
        <v>Direct Pull</v>
      </c>
      <c r="G577" s="258" t="str">
        <f>IFERROR(__xludf.DUMMYFUNCTION("""COMPUTED_VALUE"""),"varchar(1000)")</f>
        <v>varchar(1000)</v>
      </c>
      <c r="H577" s="258" t="str">
        <f>IFERROR(__xludf.DUMMYFUNCTION("""COMPUTED_VALUE"""),"LOW")</f>
        <v>LOW</v>
      </c>
      <c r="I577" s="258" t="str">
        <f>IFERROR(__xludf.DUMMYFUNCTION("""COMPUTED_VALUE"""),"EDO-UUP")</f>
        <v>EDO-UUP</v>
      </c>
      <c r="J577" s="258" t="str">
        <f>IFERROR(__xludf.DUMMYFUNCTION("""COMPUTED_VALUE"""),"Monthly")</f>
        <v>Monthly</v>
      </c>
      <c r="K577" s="258" t="str">
        <f>IFERROR(__xludf.DUMMYFUNCTION("""COMPUTED_VALUE"""),"")</f>
        <v/>
      </c>
      <c r="L577" s="258" t="str">
        <f>IFERROR(__xludf.DUMMYFUNCTION("""COMPUTED_VALUE"""),"GHP, GHP-PREPAID, TM, PW, GOMO, WIRELINE, BAYAN, GLOBE")</f>
        <v>GHP, GHP-PREPAID, TM, PW, GOMO, WIRELINE, BAYAN, GLOBE</v>
      </c>
      <c r="M577" s="258" t="str">
        <f>IFERROR(__xludf.DUMMYFUNCTION("""COMPUTED_VALUE"""),"Consumer, EG, SG, In house, IBG Traveler")</f>
        <v>Consumer, EG, SG, In house, IBG Traveler</v>
      </c>
      <c r="N577" s="258" t="str">
        <f>IFERROR(__xludf.DUMMYFUNCTION("""COMPUTED_VALUE"""),"interest")</f>
        <v>interest</v>
      </c>
      <c r="O577" s="258" t="str">
        <f>IFERROR(__xludf.DUMMYFUNCTION("""COMPUTED_VALUE"""),"network_profile")</f>
        <v>network_profile</v>
      </c>
      <c r="P577" s="258"/>
    </row>
    <row r="578">
      <c r="A578" s="257" t="str">
        <f>IFERROR(__xludf.DUMMYFUNCTION("""COMPUTED_VALUE"""),"content_creator_details")</f>
        <v>content_creator_details</v>
      </c>
      <c r="B578" s="258" t="str">
        <f>IFERROR(__xludf.DUMMYFUNCTION("""COMPUTED_VALUE"""),"Audience/Persona")</f>
        <v>Audience/Persona</v>
      </c>
      <c r="C578" s="258" t="str">
        <f>IFERROR(__xludf.DUMMYFUNCTION("""COMPUTED_VALUE"""),"Non-PII")</f>
        <v>Non-PII</v>
      </c>
      <c r="D578" s="258" t="str">
        <f>IFERROR(__xludf.DUMMYFUNCTION("""COMPUTED_VALUE"""),"Non-PII")</f>
        <v>Non-PII</v>
      </c>
      <c r="E578" s="258" t="str">
        <f>IFERROR(__xludf.DUMMYFUNCTION("""COMPUTED_VALUE"""),"Metric used and value for the Content Creator profile
 For wireline subscribers, only subscriptions within Metro Manila (including some areas in Rizal) and with DSL, VDSL and GPON technology value are covered.")</f>
        <v>Metric used and value for the Content Creator profile
 For wireline subscribers, only subscriptions within Metro Manila (including some areas in Rizal) and with DSL, VDSL and GPON technology value are covered.</v>
      </c>
      <c r="F578" s="258" t="str">
        <f>IFERROR(__xludf.DUMMYFUNCTION("""COMPUTED_VALUE"""),"Derived")</f>
        <v>Derived</v>
      </c>
      <c r="G578" s="258" t="str">
        <f>IFERROR(__xludf.DUMMYFUNCTION("""COMPUTED_VALUE"""),"varchar(1000)")</f>
        <v>varchar(1000)</v>
      </c>
      <c r="H578" s="258" t="str">
        <f>IFERROR(__xludf.DUMMYFUNCTION("""COMPUTED_VALUE"""),"{\Total Hits in a Month\"": 4}""")</f>
        <v>{\Total Hits in a Month\": 4}"</v>
      </c>
      <c r="I578" s="258" t="str">
        <f>IFERROR(__xludf.DUMMYFUNCTION("""COMPUTED_VALUE"""),"EDO-UUP")</f>
        <v>EDO-UUP</v>
      </c>
      <c r="J578" s="258" t="str">
        <f>IFERROR(__xludf.DUMMYFUNCTION("""COMPUTED_VALUE"""),"Monthly")</f>
        <v>Monthly</v>
      </c>
      <c r="K578" s="258" t="str">
        <f>IFERROR(__xludf.DUMMYFUNCTION("""COMPUTED_VALUE"""),"")</f>
        <v/>
      </c>
      <c r="L578" s="258" t="str">
        <f>IFERROR(__xludf.DUMMYFUNCTION("""COMPUTED_VALUE"""),"GHP, GHP-PREPAID, TM, PW, GOMO, WIRELINE, BAYAN, GLOBE")</f>
        <v>GHP, GHP-PREPAID, TM, PW, GOMO, WIRELINE, BAYAN, GLOBE</v>
      </c>
      <c r="M578" s="258" t="str">
        <f>IFERROR(__xludf.DUMMYFUNCTION("""COMPUTED_VALUE"""),"Consumer, EG, SG, In house, IBG Traveler")</f>
        <v>Consumer, EG, SG, In house, IBG Traveler</v>
      </c>
      <c r="N578" s="258" t="str">
        <f>IFERROR(__xludf.DUMMYFUNCTION("""COMPUTED_VALUE"""),"interest")</f>
        <v>interest</v>
      </c>
      <c r="O578" s="258" t="str">
        <f>IFERROR(__xludf.DUMMYFUNCTION("""COMPUTED_VALUE"""),"network_profile")</f>
        <v>network_profile</v>
      </c>
      <c r="P578" s="258"/>
    </row>
    <row r="579">
      <c r="A579" s="257" t="str">
        <f>IFERROR(__xludf.DUMMYFUNCTION("""COMPUTED_VALUE"""),"content_creator_top_apps")</f>
        <v>content_creator_top_apps</v>
      </c>
      <c r="B579" s="258" t="str">
        <f>IFERROR(__xludf.DUMMYFUNCTION("""COMPUTED_VALUE"""),"Audience/Persona")</f>
        <v>Audience/Persona</v>
      </c>
      <c r="C579" s="258" t="str">
        <f>IFERROR(__xludf.DUMMYFUNCTION("""COMPUTED_VALUE"""),"Non-PII")</f>
        <v>Non-PII</v>
      </c>
      <c r="D579" s="258" t="str">
        <f>IFERROR(__xludf.DUMMYFUNCTION("""COMPUTED_VALUE"""),"Non-PII")</f>
        <v>Non-PII</v>
      </c>
      <c r="E579" s="258" t="str">
        <f>IFERROR(__xludf.DUMMYFUNCTION("""COMPUTED_VALUE"""),"Top 1 app/site by data burn, total hits and active days in a month categorized under the Content Creator profile
 For wireline subscribers, only subscriptions within Metro Manila (including some areas in Rizal) and with DSL, VDSL and GPON technology val"&amp;"ue are covered.")</f>
        <v>Top 1 app/site by data burn, total hits and active days in a month categorized under the Content Creator profile
 For wireline subscribers, only subscriptions within Metro Manila (including some areas in Rizal) and with DSL, VDSL and GPON technology value are covered.</v>
      </c>
      <c r="F579" s="258" t="str">
        <f>IFERROR(__xludf.DUMMYFUNCTION("""COMPUTED_VALUE"""),"Derived")</f>
        <v>Derived</v>
      </c>
      <c r="G579" s="258" t="str">
        <f>IFERROR(__xludf.DUMMYFUNCTION("""COMPUTED_VALUE"""),"varchar(1000)")</f>
        <v>varchar(1000)</v>
      </c>
      <c r="H579" s="258" t="str">
        <f>IFERROR(__xludf.DUMMYFUNCTION("""COMPUTED_VALUE"""),"youtube")</f>
        <v>youtube</v>
      </c>
      <c r="I579" s="258" t="str">
        <f>IFERROR(__xludf.DUMMYFUNCTION("""COMPUTED_VALUE"""),"EDO-UUP")</f>
        <v>EDO-UUP</v>
      </c>
      <c r="J579" s="258" t="str">
        <f>IFERROR(__xludf.DUMMYFUNCTION("""COMPUTED_VALUE"""),"Monthly")</f>
        <v>Monthly</v>
      </c>
      <c r="K579" s="258" t="str">
        <f>IFERROR(__xludf.DUMMYFUNCTION("""COMPUTED_VALUE"""),"")</f>
        <v/>
      </c>
      <c r="L579" s="258" t="str">
        <f>IFERROR(__xludf.DUMMYFUNCTION("""COMPUTED_VALUE"""),"GHP, GHP-PREPAID, TM, PW, GOMO, WIRELINE, BAYAN, GLOBE")</f>
        <v>GHP, GHP-PREPAID, TM, PW, GOMO, WIRELINE, BAYAN, GLOBE</v>
      </c>
      <c r="M579" s="258" t="str">
        <f>IFERROR(__xludf.DUMMYFUNCTION("""COMPUTED_VALUE"""),"Consumer, EG, SG, In house, IBG Traveler")</f>
        <v>Consumer, EG, SG, In house, IBG Traveler</v>
      </c>
      <c r="N579" s="258" t="str">
        <f>IFERROR(__xludf.DUMMYFUNCTION("""COMPUTED_VALUE"""),"interest")</f>
        <v>interest</v>
      </c>
      <c r="O579" s="258" t="str">
        <f>IFERROR(__xludf.DUMMYFUNCTION("""COMPUTED_VALUE"""),"network_profile")</f>
        <v>network_profile</v>
      </c>
      <c r="P579" s="258"/>
    </row>
    <row r="580">
      <c r="A580" s="257" t="str">
        <f>IFERROR(__xludf.DUMMYFUNCTION("""COMPUTED_VALUE"""),"stock_trader_indicator")</f>
        <v>stock_trader_indicator</v>
      </c>
      <c r="B580" s="258" t="str">
        <f>IFERROR(__xludf.DUMMYFUNCTION("""COMPUTED_VALUE"""),"Audience/Persona")</f>
        <v>Audience/Persona</v>
      </c>
      <c r="C580" s="258" t="str">
        <f>IFERROR(__xludf.DUMMYFUNCTION("""COMPUTED_VALUE"""),"Non-PII")</f>
        <v>Non-PII</v>
      </c>
      <c r="D580" s="258" t="str">
        <f>IFERROR(__xludf.DUMMYFUNCTION("""COMPUTED_VALUE"""),"Non-PII")</f>
        <v>Non-PII</v>
      </c>
      <c r="E580" s="258" t="str">
        <f>IFERROR(__xludf.DUMMYFUNCTION("""COMPUTED_VALUE"""),"Indicator if a subscriber visits stock-trading sites such as philstocks, colfinancial, investagrams
 For wireline subscribers, only subscriptions within Metro Manila (including some areas in Rizal) and with DSL, VDSL and GPON technology value are covere"&amp;"d.")</f>
        <v>Indicator if a subscriber visits stock-trading sites such as philstocks, colfinancial, investagrams
 For wireline subscribers, only subscriptions within Metro Manila (including some areas in Rizal) and with DSL, VDSL and GPON technology value are covered.</v>
      </c>
      <c r="F580" s="258" t="str">
        <f>IFERROR(__xludf.DUMMYFUNCTION("""COMPUTED_VALUE"""),"Derived")</f>
        <v>Derived</v>
      </c>
      <c r="G580" s="258" t="str">
        <f>IFERROR(__xludf.DUMMYFUNCTION("""COMPUTED_VALUE"""),"boolean")</f>
        <v>boolean</v>
      </c>
      <c r="H580" s="258" t="b">
        <f>IFERROR(__xludf.DUMMYFUNCTION("""COMPUTED_VALUE"""),TRUE)</f>
        <v>1</v>
      </c>
      <c r="I580" s="258" t="str">
        <f>IFERROR(__xludf.DUMMYFUNCTION("""COMPUTED_VALUE"""),"EDO-UUP")</f>
        <v>EDO-UUP</v>
      </c>
      <c r="J580" s="258" t="str">
        <f>IFERROR(__xludf.DUMMYFUNCTION("""COMPUTED_VALUE"""),"Monthly")</f>
        <v>Monthly</v>
      </c>
      <c r="K580" s="258" t="str">
        <f>IFERROR(__xludf.DUMMYFUNCTION("""COMPUTED_VALUE"""),"")</f>
        <v/>
      </c>
      <c r="L580" s="258" t="str">
        <f>IFERROR(__xludf.DUMMYFUNCTION("""COMPUTED_VALUE"""),"GHP, GHP-PREPAID, TM, PW, GOMO, WIRELINE, BAYAN, GLOBE")</f>
        <v>GHP, GHP-PREPAID, TM, PW, GOMO, WIRELINE, BAYAN, GLOBE</v>
      </c>
      <c r="M580" s="258" t="str">
        <f>IFERROR(__xludf.DUMMYFUNCTION("""COMPUTED_VALUE"""),"Consumer, EG, SG, In house, IBG Traveler")</f>
        <v>Consumer, EG, SG, In house, IBG Traveler</v>
      </c>
      <c r="N580" s="258" t="str">
        <f>IFERROR(__xludf.DUMMYFUNCTION("""COMPUTED_VALUE"""),"interest")</f>
        <v>interest</v>
      </c>
      <c r="O580" s="258" t="str">
        <f>IFERROR(__xludf.DUMMYFUNCTION("""COMPUTED_VALUE"""),"network_profile")</f>
        <v>network_profile</v>
      </c>
      <c r="P580" s="258"/>
    </row>
    <row r="581">
      <c r="A581" s="257" t="str">
        <f>IFERROR(__xludf.DUMMYFUNCTION("""COMPUTED_VALUE"""),"stock_trader_bucket")</f>
        <v>stock_trader_bucket</v>
      </c>
      <c r="B581" s="258" t="str">
        <f>IFERROR(__xludf.DUMMYFUNCTION("""COMPUTED_VALUE"""),"Audience/Persona")</f>
        <v>Audience/Persona</v>
      </c>
      <c r="C581" s="258" t="str">
        <f>IFERROR(__xludf.DUMMYFUNCTION("""COMPUTED_VALUE"""),"Non-PII")</f>
        <v>Non-PII</v>
      </c>
      <c r="D581" s="258" t="str">
        <f>IFERROR(__xludf.DUMMYFUNCTION("""COMPUTED_VALUE"""),"Non-PII")</f>
        <v>Non-PII</v>
      </c>
      <c r="E581" s="258" t="str">
        <f>IFERROR(__xludf.DUMMYFUNCTION("""COMPUTED_VALUE"""),"Bucketing based on identified metric for Stock Trader profile
 Metric: Total Hits in a Month
 Valid values:
 LOW: &lt;= 2
 MID: &gt; 2 &amp; &lt;= 5 hits
 HIGH: &gt; 5 hits
 For wireline subscribers, only subscriptions within Metro Manila (including some areas in Rizal"&amp;") and with DSL, VDSL and GPON technology value are covered.")</f>
        <v>Bucketing based on identified metric for Stock Trader profile
 Metric: Total Hits in a Month
 Valid values:
 LOW: &lt;= 2
 MID: &gt; 2 &amp; &lt;= 5 hits
 HIGH: &gt; 5 hits
 For wireline subscribers, only subscriptions within Metro Manila (including some areas in Rizal) and with DSL, VDSL and GPON technology value are covered.</v>
      </c>
      <c r="F581" s="258" t="str">
        <f>IFERROR(__xludf.DUMMYFUNCTION("""COMPUTED_VALUE"""),"Direct Pull")</f>
        <v>Direct Pull</v>
      </c>
      <c r="G581" s="258" t="str">
        <f>IFERROR(__xludf.DUMMYFUNCTION("""COMPUTED_VALUE"""),"varchar(1000)")</f>
        <v>varchar(1000)</v>
      </c>
      <c r="H581" s="258" t="str">
        <f>IFERROR(__xludf.DUMMYFUNCTION("""COMPUTED_VALUE"""),"LOW")</f>
        <v>LOW</v>
      </c>
      <c r="I581" s="258" t="str">
        <f>IFERROR(__xludf.DUMMYFUNCTION("""COMPUTED_VALUE"""),"EDO-UUP")</f>
        <v>EDO-UUP</v>
      </c>
      <c r="J581" s="258" t="str">
        <f>IFERROR(__xludf.DUMMYFUNCTION("""COMPUTED_VALUE"""),"Monthly")</f>
        <v>Monthly</v>
      </c>
      <c r="K581" s="258" t="str">
        <f>IFERROR(__xludf.DUMMYFUNCTION("""COMPUTED_VALUE"""),"")</f>
        <v/>
      </c>
      <c r="L581" s="258" t="str">
        <f>IFERROR(__xludf.DUMMYFUNCTION("""COMPUTED_VALUE"""),"GHP, GHP-PREPAID, TM, PW, GOMO, WIRELINE, BAYAN, GLOBE")</f>
        <v>GHP, GHP-PREPAID, TM, PW, GOMO, WIRELINE, BAYAN, GLOBE</v>
      </c>
      <c r="M581" s="258" t="str">
        <f>IFERROR(__xludf.DUMMYFUNCTION("""COMPUTED_VALUE"""),"Consumer, EG, SG, In house, IBG Traveler")</f>
        <v>Consumer, EG, SG, In house, IBG Traveler</v>
      </c>
      <c r="N581" s="258" t="str">
        <f>IFERROR(__xludf.DUMMYFUNCTION("""COMPUTED_VALUE"""),"interest")</f>
        <v>interest</v>
      </c>
      <c r="O581" s="258" t="str">
        <f>IFERROR(__xludf.DUMMYFUNCTION("""COMPUTED_VALUE"""),"network_profile")</f>
        <v>network_profile</v>
      </c>
      <c r="P581" s="258"/>
    </row>
    <row r="582">
      <c r="A582" s="257" t="str">
        <f>IFERROR(__xludf.DUMMYFUNCTION("""COMPUTED_VALUE"""),"stock_trader_details")</f>
        <v>stock_trader_details</v>
      </c>
      <c r="B582" s="258" t="str">
        <f>IFERROR(__xludf.DUMMYFUNCTION("""COMPUTED_VALUE"""),"Audience/Persona")</f>
        <v>Audience/Persona</v>
      </c>
      <c r="C582" s="258" t="str">
        <f>IFERROR(__xludf.DUMMYFUNCTION("""COMPUTED_VALUE"""),"Non-PII")</f>
        <v>Non-PII</v>
      </c>
      <c r="D582" s="258" t="str">
        <f>IFERROR(__xludf.DUMMYFUNCTION("""COMPUTED_VALUE"""),"Non-PII")</f>
        <v>Non-PII</v>
      </c>
      <c r="E582" s="258" t="str">
        <f>IFERROR(__xludf.DUMMYFUNCTION("""COMPUTED_VALUE"""),"Metric used and value for the Stock Trader profile
 For wireline subscribers, only subscriptions within Metro Manila (including some areas in Rizal) and with DSL, VDSL and GPON technology value are covered.")</f>
        <v>Metric used and value for the Stock Trader profile
 For wireline subscribers, only subscriptions within Metro Manila (including some areas in Rizal) and with DSL, VDSL and GPON technology value are covered.</v>
      </c>
      <c r="F582" s="258" t="str">
        <f>IFERROR(__xludf.DUMMYFUNCTION("""COMPUTED_VALUE"""),"Derived")</f>
        <v>Derived</v>
      </c>
      <c r="G582" s="258" t="str">
        <f>IFERROR(__xludf.DUMMYFUNCTION("""COMPUTED_VALUE"""),"varchar(1000)")</f>
        <v>varchar(1000)</v>
      </c>
      <c r="H582" s="258" t="str">
        <f>IFERROR(__xludf.DUMMYFUNCTION("""COMPUTED_VALUE"""),"{\Total Hits in a Month\"": 4}""")</f>
        <v>{\Total Hits in a Month\": 4}"</v>
      </c>
      <c r="I582" s="258" t="str">
        <f>IFERROR(__xludf.DUMMYFUNCTION("""COMPUTED_VALUE"""),"EDO-UUP")</f>
        <v>EDO-UUP</v>
      </c>
      <c r="J582" s="258" t="str">
        <f>IFERROR(__xludf.DUMMYFUNCTION("""COMPUTED_VALUE"""),"Monthly")</f>
        <v>Monthly</v>
      </c>
      <c r="K582" s="258" t="str">
        <f>IFERROR(__xludf.DUMMYFUNCTION("""COMPUTED_VALUE"""),"")</f>
        <v/>
      </c>
      <c r="L582" s="258" t="str">
        <f>IFERROR(__xludf.DUMMYFUNCTION("""COMPUTED_VALUE"""),"GHP, GHP-PREPAID, TM, PW, GOMO, WIRELINE, BAYAN, GLOBE")</f>
        <v>GHP, GHP-PREPAID, TM, PW, GOMO, WIRELINE, BAYAN, GLOBE</v>
      </c>
      <c r="M582" s="258" t="str">
        <f>IFERROR(__xludf.DUMMYFUNCTION("""COMPUTED_VALUE"""),"Consumer, EG, SG, In house, IBG Traveler")</f>
        <v>Consumer, EG, SG, In house, IBG Traveler</v>
      </c>
      <c r="N582" s="258" t="str">
        <f>IFERROR(__xludf.DUMMYFUNCTION("""COMPUTED_VALUE"""),"interest")</f>
        <v>interest</v>
      </c>
      <c r="O582" s="258" t="str">
        <f>IFERROR(__xludf.DUMMYFUNCTION("""COMPUTED_VALUE"""),"network_profile")</f>
        <v>network_profile</v>
      </c>
      <c r="P582" s="258"/>
    </row>
    <row r="583">
      <c r="A583" s="257" t="str">
        <f>IFERROR(__xludf.DUMMYFUNCTION("""COMPUTED_VALUE"""),"stock_trader_top_apps")</f>
        <v>stock_trader_top_apps</v>
      </c>
      <c r="B583" s="258" t="str">
        <f>IFERROR(__xludf.DUMMYFUNCTION("""COMPUTED_VALUE"""),"Audience/Persona")</f>
        <v>Audience/Persona</v>
      </c>
      <c r="C583" s="258" t="str">
        <f>IFERROR(__xludf.DUMMYFUNCTION("""COMPUTED_VALUE"""),"Non-PII")</f>
        <v>Non-PII</v>
      </c>
      <c r="D583" s="258" t="str">
        <f>IFERROR(__xludf.DUMMYFUNCTION("""COMPUTED_VALUE"""),"Non-PII")</f>
        <v>Non-PII</v>
      </c>
      <c r="E583" s="258" t="str">
        <f>IFERROR(__xludf.DUMMYFUNCTION("""COMPUTED_VALUE"""),"Top 1 app/site by data burn, total hits and active days in a month categorized under the Stock Trader profile
 For wireline subscribers, only subscriptions within Metro Manila (including some areas in Rizal) and with DSL, VDSL and GPON technology value "&amp;"are covered.")</f>
        <v>Top 1 app/site by data burn, total hits and active days in a month categorized under the Stock Trader profile
 For wireline subscribers, only subscriptions within Metro Manila (including some areas in Rizal) and with DSL, VDSL and GPON technology value are covered.</v>
      </c>
      <c r="F583" s="258" t="str">
        <f>IFERROR(__xludf.DUMMYFUNCTION("""COMPUTED_VALUE"""),"Derived")</f>
        <v>Derived</v>
      </c>
      <c r="G583" s="258" t="str">
        <f>IFERROR(__xludf.DUMMYFUNCTION("""COMPUTED_VALUE"""),"varchar(1000)")</f>
        <v>varchar(1000)</v>
      </c>
      <c r="H583" s="258" t="str">
        <f>IFERROR(__xludf.DUMMYFUNCTION("""COMPUTED_VALUE"""),"philstocks")</f>
        <v>philstocks</v>
      </c>
      <c r="I583" s="258" t="str">
        <f>IFERROR(__xludf.DUMMYFUNCTION("""COMPUTED_VALUE"""),"EDO-UUP")</f>
        <v>EDO-UUP</v>
      </c>
      <c r="J583" s="258" t="str">
        <f>IFERROR(__xludf.DUMMYFUNCTION("""COMPUTED_VALUE"""),"Monthly")</f>
        <v>Monthly</v>
      </c>
      <c r="K583" s="258" t="str">
        <f>IFERROR(__xludf.DUMMYFUNCTION("""COMPUTED_VALUE"""),"")</f>
        <v/>
      </c>
      <c r="L583" s="258" t="str">
        <f>IFERROR(__xludf.DUMMYFUNCTION("""COMPUTED_VALUE"""),"GHP, GHP-PREPAID, TM, PW, GOMO, WIRELINE, BAYAN, GLOBE")</f>
        <v>GHP, GHP-PREPAID, TM, PW, GOMO, WIRELINE, BAYAN, GLOBE</v>
      </c>
      <c r="M583" s="258" t="str">
        <f>IFERROR(__xludf.DUMMYFUNCTION("""COMPUTED_VALUE"""),"Consumer, EG, SG, In house, IBG Traveler")</f>
        <v>Consumer, EG, SG, In house, IBG Traveler</v>
      </c>
      <c r="N583" s="258" t="str">
        <f>IFERROR(__xludf.DUMMYFUNCTION("""COMPUTED_VALUE"""),"interest")</f>
        <v>interest</v>
      </c>
      <c r="O583" s="258" t="str">
        <f>IFERROR(__xludf.DUMMYFUNCTION("""COMPUTED_VALUE"""),"network_profile")</f>
        <v>network_profile</v>
      </c>
      <c r="P583" s="258"/>
    </row>
    <row r="584">
      <c r="A584" s="257" t="str">
        <f>IFERROR(__xludf.DUMMYFUNCTION("""COMPUTED_VALUE"""),"martial_arts_fan_indicator")</f>
        <v>martial_arts_fan_indicator</v>
      </c>
      <c r="B584" s="258" t="str">
        <f>IFERROR(__xludf.DUMMYFUNCTION("""COMPUTED_VALUE"""),"Audience/Persona")</f>
        <v>Audience/Persona</v>
      </c>
      <c r="C584" s="258" t="str">
        <f>IFERROR(__xludf.DUMMYFUNCTION("""COMPUTED_VALUE"""),"Non-PII")</f>
        <v>Non-PII</v>
      </c>
      <c r="D584" s="258" t="str">
        <f>IFERROR(__xludf.DUMMYFUNCTION("""COMPUTED_VALUE"""),"Non-PII")</f>
        <v>Non-PII</v>
      </c>
      <c r="E584" s="258" t="str">
        <f>IFERROR(__xludf.DUMMYFUNCTION("""COMPUTED_VALUE"""),"Indicator if a subscriber accesses martial arts apps or websites such as 3_more_rounds, evolve-mma, ewrestling
 For wireline subscribers, only subscriptions within Metro Manila (including some areas in Rizal) and with DSL, VDSL and GPON technology value"&amp;" are covered.")</f>
        <v>Indicator if a subscriber accesses martial arts apps or websites such as 3_more_rounds, evolve-mma, ewrestling
 For wireline subscribers, only subscriptions within Metro Manila (including some areas in Rizal) and with DSL, VDSL and GPON technology value are covered.</v>
      </c>
      <c r="F584" s="258" t="str">
        <f>IFERROR(__xludf.DUMMYFUNCTION("""COMPUTED_VALUE"""),"Derived")</f>
        <v>Derived</v>
      </c>
      <c r="G584" s="258" t="str">
        <f>IFERROR(__xludf.DUMMYFUNCTION("""COMPUTED_VALUE"""),"boolean")</f>
        <v>boolean</v>
      </c>
      <c r="H584" s="258" t="b">
        <f>IFERROR(__xludf.DUMMYFUNCTION("""COMPUTED_VALUE"""),TRUE)</f>
        <v>1</v>
      </c>
      <c r="I584" s="258" t="str">
        <f>IFERROR(__xludf.DUMMYFUNCTION("""COMPUTED_VALUE"""),"EDO-UUP")</f>
        <v>EDO-UUP</v>
      </c>
      <c r="J584" s="258" t="str">
        <f>IFERROR(__xludf.DUMMYFUNCTION("""COMPUTED_VALUE"""),"Monthly")</f>
        <v>Monthly</v>
      </c>
      <c r="K584" s="258" t="str">
        <f>IFERROR(__xludf.DUMMYFUNCTION("""COMPUTED_VALUE"""),"")</f>
        <v/>
      </c>
      <c r="L584" s="258" t="str">
        <f>IFERROR(__xludf.DUMMYFUNCTION("""COMPUTED_VALUE"""),"GHP, GHP-PREPAID, TM, PW, GOMO, WIRELINE, BAYAN, GLOBE")</f>
        <v>GHP, GHP-PREPAID, TM, PW, GOMO, WIRELINE, BAYAN, GLOBE</v>
      </c>
      <c r="M584" s="258" t="str">
        <f>IFERROR(__xludf.DUMMYFUNCTION("""COMPUTED_VALUE"""),"Consumer, EG, SG, In house, IBG Traveler")</f>
        <v>Consumer, EG, SG, In house, IBG Traveler</v>
      </c>
      <c r="N584" s="258" t="str">
        <f>IFERROR(__xludf.DUMMYFUNCTION("""COMPUTED_VALUE"""),"interest")</f>
        <v>interest</v>
      </c>
      <c r="O584" s="258" t="str">
        <f>IFERROR(__xludf.DUMMYFUNCTION("""COMPUTED_VALUE"""),"network_profile")</f>
        <v>network_profile</v>
      </c>
      <c r="P584" s="258"/>
    </row>
    <row r="585">
      <c r="A585" s="257" t="str">
        <f>IFERROR(__xludf.DUMMYFUNCTION("""COMPUTED_VALUE"""),"martial_arts_fan_bucket")</f>
        <v>martial_arts_fan_bucket</v>
      </c>
      <c r="B585" s="258" t="str">
        <f>IFERROR(__xludf.DUMMYFUNCTION("""COMPUTED_VALUE"""),"Audience/Persona")</f>
        <v>Audience/Persona</v>
      </c>
      <c r="C585" s="258" t="str">
        <f>IFERROR(__xludf.DUMMYFUNCTION("""COMPUTED_VALUE"""),"Non-PII")</f>
        <v>Non-PII</v>
      </c>
      <c r="D585" s="258" t="str">
        <f>IFERROR(__xludf.DUMMYFUNCTION("""COMPUTED_VALUE"""),"Non-PII")</f>
        <v>Non-PII</v>
      </c>
      <c r="E585" s="258" t="str">
        <f>IFERROR(__xludf.DUMMYFUNCTION("""COMPUTED_VALUE"""),"Bucketing based on identified metric for Martial Arts Fan profile
 Metric: Total Hits in a Month
 Valid values:
 LOW: &lt;= 10 hits
 MID: &gt; 10 &amp; &lt;= 20 hits
 HIGH: &gt; 20 hits
 For wireline subscribers, only subscriptions within Metro Manila (including some a"&amp;"reas in Rizal) and with DSL, VDSL and GPON technology value are covered.")</f>
        <v>Bucketing based on identified metric for Martial Arts Fan profile
 Metric: Total Hits in a Month
 Valid values:
 LOW: &lt;= 10 hits
 MID: &gt; 10 &amp; &lt;= 20 hits
 HIGH: &gt; 20 hits
 For wireline subscribers, only subscriptions within Metro Manila (including some areas in Rizal) and with DSL, VDSL and GPON technology value are covered.</v>
      </c>
      <c r="F585" s="258" t="str">
        <f>IFERROR(__xludf.DUMMYFUNCTION("""COMPUTED_VALUE"""),"Direct Pull")</f>
        <v>Direct Pull</v>
      </c>
      <c r="G585" s="258" t="str">
        <f>IFERROR(__xludf.DUMMYFUNCTION("""COMPUTED_VALUE"""),"varchar(1000)")</f>
        <v>varchar(1000)</v>
      </c>
      <c r="H585" s="258" t="str">
        <f>IFERROR(__xludf.DUMMYFUNCTION("""COMPUTED_VALUE"""),"LOW")</f>
        <v>LOW</v>
      </c>
      <c r="I585" s="258" t="str">
        <f>IFERROR(__xludf.DUMMYFUNCTION("""COMPUTED_VALUE"""),"EDO-UUP")</f>
        <v>EDO-UUP</v>
      </c>
      <c r="J585" s="258" t="str">
        <f>IFERROR(__xludf.DUMMYFUNCTION("""COMPUTED_VALUE"""),"Monthly")</f>
        <v>Monthly</v>
      </c>
      <c r="K585" s="258" t="str">
        <f>IFERROR(__xludf.DUMMYFUNCTION("""COMPUTED_VALUE"""),"")</f>
        <v/>
      </c>
      <c r="L585" s="258" t="str">
        <f>IFERROR(__xludf.DUMMYFUNCTION("""COMPUTED_VALUE"""),"GHP, GHP-PREPAID, TM, PW, GOMO, WIRELINE, BAYAN, GLOBE")</f>
        <v>GHP, GHP-PREPAID, TM, PW, GOMO, WIRELINE, BAYAN, GLOBE</v>
      </c>
      <c r="M585" s="258" t="str">
        <f>IFERROR(__xludf.DUMMYFUNCTION("""COMPUTED_VALUE"""),"Consumer, EG, SG, In house, IBG Traveler")</f>
        <v>Consumer, EG, SG, In house, IBG Traveler</v>
      </c>
      <c r="N585" s="258" t="str">
        <f>IFERROR(__xludf.DUMMYFUNCTION("""COMPUTED_VALUE"""),"interest")</f>
        <v>interest</v>
      </c>
      <c r="O585" s="258" t="str">
        <f>IFERROR(__xludf.DUMMYFUNCTION("""COMPUTED_VALUE"""),"network_profile")</f>
        <v>network_profile</v>
      </c>
      <c r="P585" s="258"/>
    </row>
    <row r="586">
      <c r="A586" s="257" t="str">
        <f>IFERROR(__xludf.DUMMYFUNCTION("""COMPUTED_VALUE"""),"martial_arts_fan_details")</f>
        <v>martial_arts_fan_details</v>
      </c>
      <c r="B586" s="258" t="str">
        <f>IFERROR(__xludf.DUMMYFUNCTION("""COMPUTED_VALUE"""),"Audience/Persona")</f>
        <v>Audience/Persona</v>
      </c>
      <c r="C586" s="258" t="str">
        <f>IFERROR(__xludf.DUMMYFUNCTION("""COMPUTED_VALUE"""),"Non-PII")</f>
        <v>Non-PII</v>
      </c>
      <c r="D586" s="258" t="str">
        <f>IFERROR(__xludf.DUMMYFUNCTION("""COMPUTED_VALUE"""),"Non-PII")</f>
        <v>Non-PII</v>
      </c>
      <c r="E586" s="258" t="str">
        <f>IFERROR(__xludf.DUMMYFUNCTION("""COMPUTED_VALUE"""),"Metric used and value for the Martial Arts Fan profile
 For wireline subscribers, only subscriptions within Metro Manila (including some areas in Rizal) and with DSL, VDSL and GPON technology value are covered.")</f>
        <v>Metric used and value for the Martial Arts Fan profile
 For wireline subscribers, only subscriptions within Metro Manila (including some areas in Rizal) and with DSL, VDSL and GPON technology value are covered.</v>
      </c>
      <c r="F586" s="258" t="str">
        <f>IFERROR(__xludf.DUMMYFUNCTION("""COMPUTED_VALUE"""),"Derived")</f>
        <v>Derived</v>
      </c>
      <c r="G586" s="258" t="str">
        <f>IFERROR(__xludf.DUMMYFUNCTION("""COMPUTED_VALUE"""),"varchar(1000)")</f>
        <v>varchar(1000)</v>
      </c>
      <c r="H586" s="258" t="str">
        <f>IFERROR(__xludf.DUMMYFUNCTION("""COMPUTED_VALUE"""),"{\Total Hits in a Month\"": 4}""")</f>
        <v>{\Total Hits in a Month\": 4}"</v>
      </c>
      <c r="I586" s="258" t="str">
        <f>IFERROR(__xludf.DUMMYFUNCTION("""COMPUTED_VALUE"""),"EDO-UUP")</f>
        <v>EDO-UUP</v>
      </c>
      <c r="J586" s="258" t="str">
        <f>IFERROR(__xludf.DUMMYFUNCTION("""COMPUTED_VALUE"""),"Monthly")</f>
        <v>Monthly</v>
      </c>
      <c r="K586" s="258" t="str">
        <f>IFERROR(__xludf.DUMMYFUNCTION("""COMPUTED_VALUE"""),"")</f>
        <v/>
      </c>
      <c r="L586" s="258" t="str">
        <f>IFERROR(__xludf.DUMMYFUNCTION("""COMPUTED_VALUE"""),"GHP, GHP-PREPAID, TM, PW, GOMO, WIRELINE, BAYAN, GLOBE")</f>
        <v>GHP, GHP-PREPAID, TM, PW, GOMO, WIRELINE, BAYAN, GLOBE</v>
      </c>
      <c r="M586" s="258" t="str">
        <f>IFERROR(__xludf.DUMMYFUNCTION("""COMPUTED_VALUE"""),"Consumer, EG, SG, In house, IBG Traveler")</f>
        <v>Consumer, EG, SG, In house, IBG Traveler</v>
      </c>
      <c r="N586" s="258" t="str">
        <f>IFERROR(__xludf.DUMMYFUNCTION("""COMPUTED_VALUE"""),"interest")</f>
        <v>interest</v>
      </c>
      <c r="O586" s="258" t="str">
        <f>IFERROR(__xludf.DUMMYFUNCTION("""COMPUTED_VALUE"""),"network_profile")</f>
        <v>network_profile</v>
      </c>
      <c r="P586" s="258"/>
    </row>
    <row r="587">
      <c r="A587" s="257" t="str">
        <f>IFERROR(__xludf.DUMMYFUNCTION("""COMPUTED_VALUE"""),"martial_arts_fan_top_apps")</f>
        <v>martial_arts_fan_top_apps</v>
      </c>
      <c r="B587" s="258" t="str">
        <f>IFERROR(__xludf.DUMMYFUNCTION("""COMPUTED_VALUE"""),"Audience/Persona")</f>
        <v>Audience/Persona</v>
      </c>
      <c r="C587" s="258" t="str">
        <f>IFERROR(__xludf.DUMMYFUNCTION("""COMPUTED_VALUE"""),"Non-PII")</f>
        <v>Non-PII</v>
      </c>
      <c r="D587" s="258" t="str">
        <f>IFERROR(__xludf.DUMMYFUNCTION("""COMPUTED_VALUE"""),"Non-PII")</f>
        <v>Non-PII</v>
      </c>
      <c r="E587" s="258" t="str">
        <f>IFERROR(__xludf.DUMMYFUNCTION("""COMPUTED_VALUE"""),"Top 1 app/site by data burn, total hits and active days in a month categorized under the Martial Arts Fan profile
 For wireline subscribers, only subscriptions within Metro Manila (including some areas in Rizal) and with DSL, VDSL and GPON technology va"&amp;"lue are covered.")</f>
        <v>Top 1 app/site by data burn, total hits and active days in a month categorized under the Martial Arts Fan profile
 For wireline subscribers, only subscriptions within Metro Manila (including some areas in Rizal) and with DSL, VDSL and GPON technology value are covered.</v>
      </c>
      <c r="F587" s="258" t="str">
        <f>IFERROR(__xludf.DUMMYFUNCTION("""COMPUTED_VALUE"""),"Derived")</f>
        <v>Derived</v>
      </c>
      <c r="G587" s="258" t="str">
        <f>IFERROR(__xludf.DUMMYFUNCTION("""COMPUTED_VALUE"""),"varchar(1000)")</f>
        <v>varchar(1000)</v>
      </c>
      <c r="H587" s="258" t="str">
        <f>IFERROR(__xludf.DUMMYFUNCTION("""COMPUTED_VALUE"""),"yaw-yan")</f>
        <v>yaw-yan</v>
      </c>
      <c r="I587" s="258" t="str">
        <f>IFERROR(__xludf.DUMMYFUNCTION("""COMPUTED_VALUE"""),"EDO-UUP")</f>
        <v>EDO-UUP</v>
      </c>
      <c r="J587" s="258" t="str">
        <f>IFERROR(__xludf.DUMMYFUNCTION("""COMPUTED_VALUE"""),"Monthly")</f>
        <v>Monthly</v>
      </c>
      <c r="K587" s="258" t="str">
        <f>IFERROR(__xludf.DUMMYFUNCTION("""COMPUTED_VALUE"""),"")</f>
        <v/>
      </c>
      <c r="L587" s="258" t="str">
        <f>IFERROR(__xludf.DUMMYFUNCTION("""COMPUTED_VALUE"""),"GHP, GHP-PREPAID, TM, PW, GOMO, WIRELINE, BAYAN, GLOBE")</f>
        <v>GHP, GHP-PREPAID, TM, PW, GOMO, WIRELINE, BAYAN, GLOBE</v>
      </c>
      <c r="M587" s="258" t="str">
        <f>IFERROR(__xludf.DUMMYFUNCTION("""COMPUTED_VALUE"""),"Consumer, EG, SG, In house, IBG Traveler")</f>
        <v>Consumer, EG, SG, In house, IBG Traveler</v>
      </c>
      <c r="N587" s="258" t="str">
        <f>IFERROR(__xludf.DUMMYFUNCTION("""COMPUTED_VALUE"""),"interest")</f>
        <v>interest</v>
      </c>
      <c r="O587" s="258" t="str">
        <f>IFERROR(__xludf.DUMMYFUNCTION("""COMPUTED_VALUE"""),"network_profile")</f>
        <v>network_profile</v>
      </c>
      <c r="P587" s="258"/>
    </row>
    <row r="588">
      <c r="A588" s="257" t="str">
        <f>IFERROR(__xludf.DUMMYFUNCTION("""COMPUTED_VALUE"""),"comics_reader_indicator")</f>
        <v>comics_reader_indicator</v>
      </c>
      <c r="B588" s="258" t="str">
        <f>IFERROR(__xludf.DUMMYFUNCTION("""COMPUTED_VALUE"""),"Audience/Persona")</f>
        <v>Audience/Persona</v>
      </c>
      <c r="C588" s="258" t="str">
        <f>IFERROR(__xludf.DUMMYFUNCTION("""COMPUTED_VALUE"""),"Non-PII")</f>
        <v>Non-PII</v>
      </c>
      <c r="D588" s="258" t="str">
        <f>IFERROR(__xludf.DUMMYFUNCTION("""COMPUTED_VALUE"""),"Non-PII")</f>
        <v>Non-PII</v>
      </c>
      <c r="E588" s="258" t="str">
        <f>IFERROR(__xludf.DUMMYFUNCTION("""COMPUTED_VALUE"""),"Indicator if a subscriber visits comic apps or websites such as comixology, digital_comic_museum, comic_punch
 For wireline subscribers, only subscriptions within Metro Manila (including some areas in Rizal) and with DSL, VDSL and GPON technology value "&amp;"are covered.")</f>
        <v>Indicator if a subscriber visits comic apps or websites such as comixology, digital_comic_museum, comic_punch
 For wireline subscribers, only subscriptions within Metro Manila (including some areas in Rizal) and with DSL, VDSL and GPON technology value are covered.</v>
      </c>
      <c r="F588" s="258" t="str">
        <f>IFERROR(__xludf.DUMMYFUNCTION("""COMPUTED_VALUE"""),"Derived")</f>
        <v>Derived</v>
      </c>
      <c r="G588" s="258" t="str">
        <f>IFERROR(__xludf.DUMMYFUNCTION("""COMPUTED_VALUE"""),"boolean")</f>
        <v>boolean</v>
      </c>
      <c r="H588" s="258" t="b">
        <f>IFERROR(__xludf.DUMMYFUNCTION("""COMPUTED_VALUE"""),TRUE)</f>
        <v>1</v>
      </c>
      <c r="I588" s="258" t="str">
        <f>IFERROR(__xludf.DUMMYFUNCTION("""COMPUTED_VALUE"""),"EDO-UUP")</f>
        <v>EDO-UUP</v>
      </c>
      <c r="J588" s="258" t="str">
        <f>IFERROR(__xludf.DUMMYFUNCTION("""COMPUTED_VALUE"""),"Monthly")</f>
        <v>Monthly</v>
      </c>
      <c r="K588" s="258" t="str">
        <f>IFERROR(__xludf.DUMMYFUNCTION("""COMPUTED_VALUE"""),"")</f>
        <v/>
      </c>
      <c r="L588" s="258" t="str">
        <f>IFERROR(__xludf.DUMMYFUNCTION("""COMPUTED_VALUE"""),"GHP, GHP-PREPAID, TM, PW, GOMO, WIRELINE, BAYAN, GLOBE")</f>
        <v>GHP, GHP-PREPAID, TM, PW, GOMO, WIRELINE, BAYAN, GLOBE</v>
      </c>
      <c r="M588" s="258" t="str">
        <f>IFERROR(__xludf.DUMMYFUNCTION("""COMPUTED_VALUE"""),"Consumer, EG, SG, In house, IBG Traveler")</f>
        <v>Consumer, EG, SG, In house, IBG Traveler</v>
      </c>
      <c r="N588" s="258" t="str">
        <f>IFERROR(__xludf.DUMMYFUNCTION("""COMPUTED_VALUE"""),"interest")</f>
        <v>interest</v>
      </c>
      <c r="O588" s="258" t="str">
        <f>IFERROR(__xludf.DUMMYFUNCTION("""COMPUTED_VALUE"""),"network_profile")</f>
        <v>network_profile</v>
      </c>
      <c r="P588" s="258"/>
    </row>
    <row r="589">
      <c r="A589" s="257" t="str">
        <f>IFERROR(__xludf.DUMMYFUNCTION("""COMPUTED_VALUE"""),"comics_reader_bucket")</f>
        <v>comics_reader_bucket</v>
      </c>
      <c r="B589" s="258" t="str">
        <f>IFERROR(__xludf.DUMMYFUNCTION("""COMPUTED_VALUE"""),"Audience/Persona")</f>
        <v>Audience/Persona</v>
      </c>
      <c r="C589" s="258" t="str">
        <f>IFERROR(__xludf.DUMMYFUNCTION("""COMPUTED_VALUE"""),"Non-PII")</f>
        <v>Non-PII</v>
      </c>
      <c r="D589" s="258" t="str">
        <f>IFERROR(__xludf.DUMMYFUNCTION("""COMPUTED_VALUE"""),"Non-PII")</f>
        <v>Non-PII</v>
      </c>
      <c r="E589" s="258" t="str">
        <f>IFERROR(__xludf.DUMMYFUNCTION("""COMPUTED_VALUE"""),"Bucketing based on identified metric for Geek - Tech profile
 Metric: Total Hits in a Month
 Valid values:
 LOW: &lt;= 10 hits
 MID: &gt; 10 &amp; &lt;= 20 hits
 HIGH: &gt; 20 hits
 For wireline subscribers, only subscriptions within Metro Manila (including some areas "&amp;"in Rizal) and with DSL, VDSL and GPON technology value are covered.")</f>
        <v>Bucketing based on identified metric for Geek - Tech profile
 Metric: Total Hits in a Month
 Valid values:
 LOW: &lt;= 10 hits
 MID: &gt; 10 &amp; &lt;= 20 hits
 HIGH: &gt; 20 hits
 For wireline subscribers, only subscriptions within Metro Manila (including some areas in Rizal) and with DSL, VDSL and GPON technology value are covered.</v>
      </c>
      <c r="F589" s="258" t="str">
        <f>IFERROR(__xludf.DUMMYFUNCTION("""COMPUTED_VALUE"""),"Direct Pull")</f>
        <v>Direct Pull</v>
      </c>
      <c r="G589" s="258" t="str">
        <f>IFERROR(__xludf.DUMMYFUNCTION("""COMPUTED_VALUE"""),"varchar(1000)")</f>
        <v>varchar(1000)</v>
      </c>
      <c r="H589" s="258" t="str">
        <f>IFERROR(__xludf.DUMMYFUNCTION("""COMPUTED_VALUE"""),"LOW")</f>
        <v>LOW</v>
      </c>
      <c r="I589" s="258" t="str">
        <f>IFERROR(__xludf.DUMMYFUNCTION("""COMPUTED_VALUE"""),"EDO-UUP")</f>
        <v>EDO-UUP</v>
      </c>
      <c r="J589" s="258" t="str">
        <f>IFERROR(__xludf.DUMMYFUNCTION("""COMPUTED_VALUE"""),"Monthly")</f>
        <v>Monthly</v>
      </c>
      <c r="K589" s="258" t="str">
        <f>IFERROR(__xludf.DUMMYFUNCTION("""COMPUTED_VALUE"""),"")</f>
        <v/>
      </c>
      <c r="L589" s="258" t="str">
        <f>IFERROR(__xludf.DUMMYFUNCTION("""COMPUTED_VALUE"""),"GHP, GHP-PREPAID, TM, PW, GOMO, WIRELINE, BAYAN, GLOBE")</f>
        <v>GHP, GHP-PREPAID, TM, PW, GOMO, WIRELINE, BAYAN, GLOBE</v>
      </c>
      <c r="M589" s="258" t="str">
        <f>IFERROR(__xludf.DUMMYFUNCTION("""COMPUTED_VALUE"""),"Consumer, EG, SG, In house, IBG Traveler")</f>
        <v>Consumer, EG, SG, In house, IBG Traveler</v>
      </c>
      <c r="N589" s="258" t="str">
        <f>IFERROR(__xludf.DUMMYFUNCTION("""COMPUTED_VALUE"""),"interest")</f>
        <v>interest</v>
      </c>
      <c r="O589" s="258" t="str">
        <f>IFERROR(__xludf.DUMMYFUNCTION("""COMPUTED_VALUE"""),"network_profile")</f>
        <v>network_profile</v>
      </c>
      <c r="P589" s="258"/>
    </row>
    <row r="590">
      <c r="A590" s="257" t="str">
        <f>IFERROR(__xludf.DUMMYFUNCTION("""COMPUTED_VALUE"""),"comics_reader_details")</f>
        <v>comics_reader_details</v>
      </c>
      <c r="B590" s="258" t="str">
        <f>IFERROR(__xludf.DUMMYFUNCTION("""COMPUTED_VALUE"""),"Audience/Persona")</f>
        <v>Audience/Persona</v>
      </c>
      <c r="C590" s="258" t="str">
        <f>IFERROR(__xludf.DUMMYFUNCTION("""COMPUTED_VALUE"""),"Non-PII")</f>
        <v>Non-PII</v>
      </c>
      <c r="D590" s="258" t="str">
        <f>IFERROR(__xludf.DUMMYFUNCTION("""COMPUTED_VALUE"""),"Non-PII")</f>
        <v>Non-PII</v>
      </c>
      <c r="E590" s="258" t="str">
        <f>IFERROR(__xludf.DUMMYFUNCTION("""COMPUTED_VALUE"""),"Metric used and value for the Comics Reader profile
 For wireline subscribers, only subscriptions within Metro Manila (including some areas in Rizal) and with DSL, VDSL and GPON technology value are covered.")</f>
        <v>Metric used and value for the Comics Reader profile
 For wireline subscribers, only subscriptions within Metro Manila (including some areas in Rizal) and with DSL, VDSL and GPON technology value are covered.</v>
      </c>
      <c r="F590" s="258" t="str">
        <f>IFERROR(__xludf.DUMMYFUNCTION("""COMPUTED_VALUE"""),"Derived")</f>
        <v>Derived</v>
      </c>
      <c r="G590" s="258" t="str">
        <f>IFERROR(__xludf.DUMMYFUNCTION("""COMPUTED_VALUE"""),"varchar(1000)")</f>
        <v>varchar(1000)</v>
      </c>
      <c r="H590" s="258" t="str">
        <f>IFERROR(__xludf.DUMMYFUNCTION("""COMPUTED_VALUE"""),"{\Total Hits in a Month\"": 4}""")</f>
        <v>{\Total Hits in a Month\": 4}"</v>
      </c>
      <c r="I590" s="258" t="str">
        <f>IFERROR(__xludf.DUMMYFUNCTION("""COMPUTED_VALUE"""),"EDO-UUP")</f>
        <v>EDO-UUP</v>
      </c>
      <c r="J590" s="258" t="str">
        <f>IFERROR(__xludf.DUMMYFUNCTION("""COMPUTED_VALUE"""),"Monthly")</f>
        <v>Monthly</v>
      </c>
      <c r="K590" s="258" t="str">
        <f>IFERROR(__xludf.DUMMYFUNCTION("""COMPUTED_VALUE"""),"")</f>
        <v/>
      </c>
      <c r="L590" s="258" t="str">
        <f>IFERROR(__xludf.DUMMYFUNCTION("""COMPUTED_VALUE"""),"GHP, GHP-PREPAID, TM, PW, GOMO, WIRELINE, BAYAN, GLOBE")</f>
        <v>GHP, GHP-PREPAID, TM, PW, GOMO, WIRELINE, BAYAN, GLOBE</v>
      </c>
      <c r="M590" s="258" t="str">
        <f>IFERROR(__xludf.DUMMYFUNCTION("""COMPUTED_VALUE"""),"Consumer, EG, SG, In house, IBG Traveler")</f>
        <v>Consumer, EG, SG, In house, IBG Traveler</v>
      </c>
      <c r="N590" s="258" t="str">
        <f>IFERROR(__xludf.DUMMYFUNCTION("""COMPUTED_VALUE"""),"interest")</f>
        <v>interest</v>
      </c>
      <c r="O590" s="258" t="str">
        <f>IFERROR(__xludf.DUMMYFUNCTION("""COMPUTED_VALUE"""),"network_profile")</f>
        <v>network_profile</v>
      </c>
      <c r="P590" s="258"/>
    </row>
    <row r="591">
      <c r="A591" s="257" t="str">
        <f>IFERROR(__xludf.DUMMYFUNCTION("""COMPUTED_VALUE"""),"comics_reader_top_apps")</f>
        <v>comics_reader_top_apps</v>
      </c>
      <c r="B591" s="258" t="str">
        <f>IFERROR(__xludf.DUMMYFUNCTION("""COMPUTED_VALUE"""),"Audience/Persona")</f>
        <v>Audience/Persona</v>
      </c>
      <c r="C591" s="258" t="str">
        <f>IFERROR(__xludf.DUMMYFUNCTION("""COMPUTED_VALUE"""),"Non-PII")</f>
        <v>Non-PII</v>
      </c>
      <c r="D591" s="258" t="str">
        <f>IFERROR(__xludf.DUMMYFUNCTION("""COMPUTED_VALUE"""),"Non-PII")</f>
        <v>Non-PII</v>
      </c>
      <c r="E591" s="258" t="str">
        <f>IFERROR(__xludf.DUMMYFUNCTION("""COMPUTED_VALUE"""),"Top 1 app/site by data burn, total hits and active days in a month categorized under the Comics Reader profile
 For wireline subscribers, only subscriptions within Metro Manila (including some areas in Rizal) and with DSL, VDSL and GPON technology value"&amp;" are covered.")</f>
        <v>Top 1 app/site by data burn, total hits and active days in a month categorized under the Comics Reader profile
 For wireline subscribers, only subscriptions within Metro Manila (including some areas in Rizal) and with DSL, VDSL and GPON technology value are covered.</v>
      </c>
      <c r="F591" s="258" t="str">
        <f>IFERROR(__xludf.DUMMYFUNCTION("""COMPUTED_VALUE"""),"Derived")</f>
        <v>Derived</v>
      </c>
      <c r="G591" s="258" t="str">
        <f>IFERROR(__xludf.DUMMYFUNCTION("""COMPUTED_VALUE"""),"varchar(1000)")</f>
        <v>varchar(1000)</v>
      </c>
      <c r="H591" s="258" t="str">
        <f>IFERROR(__xludf.DUMMYFUNCTION("""COMPUTED_VALUE"""),"yugatech")</f>
        <v>yugatech</v>
      </c>
      <c r="I591" s="258" t="str">
        <f>IFERROR(__xludf.DUMMYFUNCTION("""COMPUTED_VALUE"""),"EDO-UUP")</f>
        <v>EDO-UUP</v>
      </c>
      <c r="J591" s="258" t="str">
        <f>IFERROR(__xludf.DUMMYFUNCTION("""COMPUTED_VALUE"""),"Monthly")</f>
        <v>Monthly</v>
      </c>
      <c r="K591" s="258" t="str">
        <f>IFERROR(__xludf.DUMMYFUNCTION("""COMPUTED_VALUE"""),"")</f>
        <v/>
      </c>
      <c r="L591" s="258" t="str">
        <f>IFERROR(__xludf.DUMMYFUNCTION("""COMPUTED_VALUE"""),"GHP, GHP-PREPAID, TM, PW, GOMO, WIRELINE, BAYAN, GLOBE")</f>
        <v>GHP, GHP-PREPAID, TM, PW, GOMO, WIRELINE, BAYAN, GLOBE</v>
      </c>
      <c r="M591" s="258" t="str">
        <f>IFERROR(__xludf.DUMMYFUNCTION("""COMPUTED_VALUE"""),"Consumer, EG, SG, In house, IBG Traveler")</f>
        <v>Consumer, EG, SG, In house, IBG Traveler</v>
      </c>
      <c r="N591" s="258" t="str">
        <f>IFERROR(__xludf.DUMMYFUNCTION("""COMPUTED_VALUE"""),"interest")</f>
        <v>interest</v>
      </c>
      <c r="O591" s="258" t="str">
        <f>IFERROR(__xludf.DUMMYFUNCTION("""COMPUTED_VALUE"""),"network_profile")</f>
        <v>network_profile</v>
      </c>
      <c r="P591" s="258"/>
    </row>
    <row r="592">
      <c r="A592" s="257" t="str">
        <f>IFERROR(__xludf.DUMMYFUNCTION("""COMPUTED_VALUE"""),"grab_driver_indicator")</f>
        <v>grab_driver_indicator</v>
      </c>
      <c r="B592" s="258" t="str">
        <f>IFERROR(__xludf.DUMMYFUNCTION("""COMPUTED_VALUE"""),"Audience/Persona")</f>
        <v>Audience/Persona</v>
      </c>
      <c r="C592" s="258" t="str">
        <f>IFERROR(__xludf.DUMMYFUNCTION("""COMPUTED_VALUE"""),"Non-PII")</f>
        <v>Non-PII</v>
      </c>
      <c r="D592" s="258" t="str">
        <f>IFERROR(__xludf.DUMMYFUNCTION("""COMPUTED_VALUE"""),"Non-PII")</f>
        <v>Non-PII</v>
      </c>
      <c r="E592" s="258" t="str">
        <f>IFERROR(__xludf.DUMMYFUNCTION("""COMPUTED_VALUE"""),"Indicator if a subscriber accesses grab applications along with online maps such as google_maps, waze, yahoo_maps")</f>
        <v>Indicator if a subscriber accesses grab applications along with online maps such as google_maps, waze, yahoo_maps</v>
      </c>
      <c r="F592" s="258" t="str">
        <f>IFERROR(__xludf.DUMMYFUNCTION("""COMPUTED_VALUE"""),"Derived")</f>
        <v>Derived</v>
      </c>
      <c r="G592" s="258" t="str">
        <f>IFERROR(__xludf.DUMMYFUNCTION("""COMPUTED_VALUE"""),"boolean")</f>
        <v>boolean</v>
      </c>
      <c r="H592" s="258" t="b">
        <f>IFERROR(__xludf.DUMMYFUNCTION("""COMPUTED_VALUE"""),TRUE)</f>
        <v>1</v>
      </c>
      <c r="I592" s="258" t="str">
        <f>IFERROR(__xludf.DUMMYFUNCTION("""COMPUTED_VALUE"""),"EDO-UUP")</f>
        <v>EDO-UUP</v>
      </c>
      <c r="J592" s="258" t="str">
        <f>IFERROR(__xludf.DUMMYFUNCTION("""COMPUTED_VALUE"""),"Monthly")</f>
        <v>Monthly</v>
      </c>
      <c r="K592" s="258" t="str">
        <f>IFERROR(__xludf.DUMMYFUNCTION("""COMPUTED_VALUE"""),"")</f>
        <v/>
      </c>
      <c r="L592" s="258" t="str">
        <f>IFERROR(__xludf.DUMMYFUNCTION("""COMPUTED_VALUE"""),"GHP, GHP-PREPAID, TM, PW, GOMO")</f>
        <v>GHP, GHP-PREPAID, TM, PW, GOMO</v>
      </c>
      <c r="M592" s="258" t="str">
        <f>IFERROR(__xludf.DUMMYFUNCTION("""COMPUTED_VALUE"""),"Consumer, EG, SG, In house, IBG Traveler")</f>
        <v>Consumer, EG, SG, In house, IBG Traveler</v>
      </c>
      <c r="N592" s="258" t="str">
        <f>IFERROR(__xludf.DUMMYFUNCTION("""COMPUTED_VALUE"""),"interest")</f>
        <v>interest</v>
      </c>
      <c r="O592" s="258" t="str">
        <f>IFERROR(__xludf.DUMMYFUNCTION("""COMPUTED_VALUE"""),"network_profile")</f>
        <v>network_profile</v>
      </c>
      <c r="P592" s="258"/>
    </row>
    <row r="593">
      <c r="A593" s="257" t="str">
        <f>IFERROR(__xludf.DUMMYFUNCTION("""COMPUTED_VALUE"""),"grab_driver_bucket")</f>
        <v>grab_driver_bucket</v>
      </c>
      <c r="B593" s="258" t="str">
        <f>IFERROR(__xludf.DUMMYFUNCTION("""COMPUTED_VALUE"""),"Audience/Persona")</f>
        <v>Audience/Persona</v>
      </c>
      <c r="C593" s="258" t="str">
        <f>IFERROR(__xludf.DUMMYFUNCTION("""COMPUTED_VALUE"""),"Non-PII")</f>
        <v>Non-PII</v>
      </c>
      <c r="D593" s="258" t="str">
        <f>IFERROR(__xludf.DUMMYFUNCTION("""COMPUTED_VALUE"""),"Non-PII")</f>
        <v>Non-PII</v>
      </c>
      <c r="E593" s="258" t="str">
        <f>IFERROR(__xludf.DUMMYFUNCTION("""COMPUTED_VALUE"""),"Bucketing based on the identified metric for the Grab Driver profile
  Metric: Total Hits in a Month
  Valid values:
  Wireless
  LOW: &lt;= 20
  MID: &gt; 20 &amp; &lt;= 30
  HIGH: &gt; 30")</f>
        <v>Bucketing based on the identified metric for the Grab Driver profile
  Metric: Total Hits in a Month
  Valid values:
  Wireless
  LOW: &lt;= 20
  MID: &gt; 20 &amp; &lt;= 30
  HIGH: &gt; 30</v>
      </c>
      <c r="F593" s="258" t="str">
        <f>IFERROR(__xludf.DUMMYFUNCTION("""COMPUTED_VALUE"""),"Direct Pull")</f>
        <v>Direct Pull</v>
      </c>
      <c r="G593" s="258" t="str">
        <f>IFERROR(__xludf.DUMMYFUNCTION("""COMPUTED_VALUE"""),"varchar(1000)")</f>
        <v>varchar(1000)</v>
      </c>
      <c r="H593" s="258" t="str">
        <f>IFERROR(__xludf.DUMMYFUNCTION("""COMPUTED_VALUE"""),"LOW")</f>
        <v>LOW</v>
      </c>
      <c r="I593" s="258" t="str">
        <f>IFERROR(__xludf.DUMMYFUNCTION("""COMPUTED_VALUE"""),"EDO-UUP")</f>
        <v>EDO-UUP</v>
      </c>
      <c r="J593" s="258" t="str">
        <f>IFERROR(__xludf.DUMMYFUNCTION("""COMPUTED_VALUE"""),"Monthly")</f>
        <v>Monthly</v>
      </c>
      <c r="K593" s="258" t="str">
        <f>IFERROR(__xludf.DUMMYFUNCTION("""COMPUTED_VALUE"""),"")</f>
        <v/>
      </c>
      <c r="L593" s="258" t="str">
        <f>IFERROR(__xludf.DUMMYFUNCTION("""COMPUTED_VALUE"""),"GHP, GHP-PREPAID, TM, PW, GOMO")</f>
        <v>GHP, GHP-PREPAID, TM, PW, GOMO</v>
      </c>
      <c r="M593" s="258" t="str">
        <f>IFERROR(__xludf.DUMMYFUNCTION("""COMPUTED_VALUE"""),"Consumer, EG, SG, In house, IBG Traveler")</f>
        <v>Consumer, EG, SG, In house, IBG Traveler</v>
      </c>
      <c r="N593" s="258" t="str">
        <f>IFERROR(__xludf.DUMMYFUNCTION("""COMPUTED_VALUE"""),"interest")</f>
        <v>interest</v>
      </c>
      <c r="O593" s="258" t="str">
        <f>IFERROR(__xludf.DUMMYFUNCTION("""COMPUTED_VALUE"""),"network_profile")</f>
        <v>network_profile</v>
      </c>
      <c r="P593" s="258"/>
    </row>
    <row r="594">
      <c r="A594" s="257" t="str">
        <f>IFERROR(__xludf.DUMMYFUNCTION("""COMPUTED_VALUE"""),"grab_driver_details")</f>
        <v>grab_driver_details</v>
      </c>
      <c r="B594" s="258" t="str">
        <f>IFERROR(__xludf.DUMMYFUNCTION("""COMPUTED_VALUE"""),"Audience/Persona")</f>
        <v>Audience/Persona</v>
      </c>
      <c r="C594" s="258" t="str">
        <f>IFERROR(__xludf.DUMMYFUNCTION("""COMPUTED_VALUE"""),"Non-PII")</f>
        <v>Non-PII</v>
      </c>
      <c r="D594" s="258" t="str">
        <f>IFERROR(__xludf.DUMMYFUNCTION("""COMPUTED_VALUE"""),"Non-PII")</f>
        <v>Non-PII</v>
      </c>
      <c r="E594" s="258" t="str">
        <f>IFERROR(__xludf.DUMMYFUNCTION("""COMPUTED_VALUE"""),"Metric used and value for the Grab Driver profile")</f>
        <v>Metric used and value for the Grab Driver profile</v>
      </c>
      <c r="F594" s="258" t="str">
        <f>IFERROR(__xludf.DUMMYFUNCTION("""COMPUTED_VALUE"""),"Derived")</f>
        <v>Derived</v>
      </c>
      <c r="G594" s="258" t="str">
        <f>IFERROR(__xludf.DUMMYFUNCTION("""COMPUTED_VALUE"""),"varchar(1000)")</f>
        <v>varchar(1000)</v>
      </c>
      <c r="H594" s="258" t="str">
        <f>IFERROR(__xludf.DUMMYFUNCTION("""COMPUTED_VALUE"""),"{\Total Hits in a Month\"": 4}""")</f>
        <v>{\Total Hits in a Month\": 4}"</v>
      </c>
      <c r="I594" s="258" t="str">
        <f>IFERROR(__xludf.DUMMYFUNCTION("""COMPUTED_VALUE"""),"EDO-UUP")</f>
        <v>EDO-UUP</v>
      </c>
      <c r="J594" s="258" t="str">
        <f>IFERROR(__xludf.DUMMYFUNCTION("""COMPUTED_VALUE"""),"Monthly")</f>
        <v>Monthly</v>
      </c>
      <c r="K594" s="258" t="str">
        <f>IFERROR(__xludf.DUMMYFUNCTION("""COMPUTED_VALUE"""),"")</f>
        <v/>
      </c>
      <c r="L594" s="258" t="str">
        <f>IFERROR(__xludf.DUMMYFUNCTION("""COMPUTED_VALUE"""),"GHP, GHP-PREPAID, TM, PW, GOMO")</f>
        <v>GHP, GHP-PREPAID, TM, PW, GOMO</v>
      </c>
      <c r="M594" s="258" t="str">
        <f>IFERROR(__xludf.DUMMYFUNCTION("""COMPUTED_VALUE"""),"Consumer, EG, SG, In house, IBG Traveler")</f>
        <v>Consumer, EG, SG, In house, IBG Traveler</v>
      </c>
      <c r="N594" s="258" t="str">
        <f>IFERROR(__xludf.DUMMYFUNCTION("""COMPUTED_VALUE"""),"interest")</f>
        <v>interest</v>
      </c>
      <c r="O594" s="258" t="str">
        <f>IFERROR(__xludf.DUMMYFUNCTION("""COMPUTED_VALUE"""),"network_profile")</f>
        <v>network_profile</v>
      </c>
      <c r="P594" s="258"/>
    </row>
    <row r="595">
      <c r="A595" s="257" t="str">
        <f>IFERROR(__xludf.DUMMYFUNCTION("""COMPUTED_VALUE"""),"bpo_worker_indicator")</f>
        <v>bpo_worker_indicator</v>
      </c>
      <c r="B595" s="258" t="str">
        <f>IFERROR(__xludf.DUMMYFUNCTION("""COMPUTED_VALUE"""),"Audience/Persona")</f>
        <v>Audience/Persona</v>
      </c>
      <c r="C595" s="258" t="str">
        <f>IFERROR(__xludf.DUMMYFUNCTION("""COMPUTED_VALUE"""),"Non-PII")</f>
        <v>Non-PII</v>
      </c>
      <c r="D595" s="258" t="str">
        <f>IFERROR(__xludf.DUMMYFUNCTION("""COMPUTED_VALUE"""),"Non-PII")</f>
        <v>Non-PII</v>
      </c>
      <c r="E595" s="258" t="str">
        <f>IFERROR(__xludf.DUMMYFUNCTION("""COMPUTED_VALUE"""),"Indicator if a subscriber accesses applications or websites featuring contact center or CRM solutions like aircall, ameyo, callhippo
 For wireline subscribers, only subscriptions within Metro Manila (including some areas in Rizal) and with DSL, VDSL and"&amp;" GPON technology value are covered.")</f>
        <v>Indicator if a subscriber accesses applications or websites featuring contact center or CRM solutions like aircall, ameyo, callhippo
 For wireline subscribers, only subscriptions within Metro Manila (including some areas in Rizal) and with DSL, VDSL and GPON technology value are covered.</v>
      </c>
      <c r="F595" s="258" t="str">
        <f>IFERROR(__xludf.DUMMYFUNCTION("""COMPUTED_VALUE"""),"Derived")</f>
        <v>Derived</v>
      </c>
      <c r="G595" s="258" t="str">
        <f>IFERROR(__xludf.DUMMYFUNCTION("""COMPUTED_VALUE"""),"boolean")</f>
        <v>boolean</v>
      </c>
      <c r="H595" s="258" t="b">
        <f>IFERROR(__xludf.DUMMYFUNCTION("""COMPUTED_VALUE"""),TRUE)</f>
        <v>1</v>
      </c>
      <c r="I595" s="258" t="str">
        <f>IFERROR(__xludf.DUMMYFUNCTION("""COMPUTED_VALUE"""),"EDO-UUP")</f>
        <v>EDO-UUP</v>
      </c>
      <c r="J595" s="258" t="str">
        <f>IFERROR(__xludf.DUMMYFUNCTION("""COMPUTED_VALUE"""),"Monthly")</f>
        <v>Monthly</v>
      </c>
      <c r="K595" s="258" t="str">
        <f>IFERROR(__xludf.DUMMYFUNCTION("""COMPUTED_VALUE"""),"")</f>
        <v/>
      </c>
      <c r="L595" s="258" t="str">
        <f>IFERROR(__xludf.DUMMYFUNCTION("""COMPUTED_VALUE"""),"GHP, GHP-PREPAID, TM, PW, GOMO, WIRELINE, BAYAN, GLOBE")</f>
        <v>GHP, GHP-PREPAID, TM, PW, GOMO, WIRELINE, BAYAN, GLOBE</v>
      </c>
      <c r="M595" s="258" t="str">
        <f>IFERROR(__xludf.DUMMYFUNCTION("""COMPUTED_VALUE"""),"Consumer, EG, SG, In house, IBG Traveler")</f>
        <v>Consumer, EG, SG, In house, IBG Traveler</v>
      </c>
      <c r="N595" s="258" t="str">
        <f>IFERROR(__xludf.DUMMYFUNCTION("""COMPUTED_VALUE"""),"interest")</f>
        <v>interest</v>
      </c>
      <c r="O595" s="258" t="str">
        <f>IFERROR(__xludf.DUMMYFUNCTION("""COMPUTED_VALUE"""),"network_profile")</f>
        <v>network_profile</v>
      </c>
      <c r="P595" s="258"/>
    </row>
    <row r="596">
      <c r="A596" s="257" t="str">
        <f>IFERROR(__xludf.DUMMYFUNCTION("""COMPUTED_VALUE"""),"bpo_worker_bucket")</f>
        <v>bpo_worker_bucket</v>
      </c>
      <c r="B596" s="258" t="str">
        <f>IFERROR(__xludf.DUMMYFUNCTION("""COMPUTED_VALUE"""),"Audience/Persona")</f>
        <v>Audience/Persona</v>
      </c>
      <c r="C596" s="258" t="str">
        <f>IFERROR(__xludf.DUMMYFUNCTION("""COMPUTED_VALUE"""),"Non-PII")</f>
        <v>Non-PII</v>
      </c>
      <c r="D596" s="258" t="str">
        <f>IFERROR(__xludf.DUMMYFUNCTION("""COMPUTED_VALUE"""),"Non-PII")</f>
        <v>Non-PII</v>
      </c>
      <c r="E596" s="258" t="str">
        <f>IFERROR(__xludf.DUMMYFUNCTION("""COMPUTED_VALUE"""),"Bucketing based on identified metric for BPO Worker profile
 Metric: Total Hits in a Month
 Valid values:
 LOW: &lt;= 12 hits
 MID: &gt; 12 &amp; &lt;= 20 hits
 HIGH: &gt; 20 hits
 For wireline subscribers, only subscriptions within Metro Manila (including some areas i"&amp;"n Rizal) and with DSL, VDSL and GPON technology value are covered.")</f>
        <v>Bucketing based on identified metric for BPO Worker profile
 Metric: Total Hits in a Month
 Valid values:
 LOW: &lt;= 12 hits
 MID: &gt; 12 &amp; &lt;= 20 hits
 HIGH: &gt; 20 hits
 For wireline subscribers, only subscriptions within Metro Manila (including some areas in Rizal) and with DSL, VDSL and GPON technology value are covered.</v>
      </c>
      <c r="F596" s="258" t="str">
        <f>IFERROR(__xludf.DUMMYFUNCTION("""COMPUTED_VALUE"""),"Direct Pull")</f>
        <v>Direct Pull</v>
      </c>
      <c r="G596" s="258" t="str">
        <f>IFERROR(__xludf.DUMMYFUNCTION("""COMPUTED_VALUE"""),"varchar(1000)")</f>
        <v>varchar(1000)</v>
      </c>
      <c r="H596" s="258" t="str">
        <f>IFERROR(__xludf.DUMMYFUNCTION("""COMPUTED_VALUE"""),"LOW")</f>
        <v>LOW</v>
      </c>
      <c r="I596" s="258" t="str">
        <f>IFERROR(__xludf.DUMMYFUNCTION("""COMPUTED_VALUE"""),"EDO-UUP")</f>
        <v>EDO-UUP</v>
      </c>
      <c r="J596" s="258" t="str">
        <f>IFERROR(__xludf.DUMMYFUNCTION("""COMPUTED_VALUE"""),"Monthly")</f>
        <v>Monthly</v>
      </c>
      <c r="K596" s="258" t="str">
        <f>IFERROR(__xludf.DUMMYFUNCTION("""COMPUTED_VALUE"""),"")</f>
        <v/>
      </c>
      <c r="L596" s="258" t="str">
        <f>IFERROR(__xludf.DUMMYFUNCTION("""COMPUTED_VALUE"""),"GHP, GHP-PREPAID, TM, PW, GOMO, WIRELINE, BAYAN, GLOBE")</f>
        <v>GHP, GHP-PREPAID, TM, PW, GOMO, WIRELINE, BAYAN, GLOBE</v>
      </c>
      <c r="M596" s="258" t="str">
        <f>IFERROR(__xludf.DUMMYFUNCTION("""COMPUTED_VALUE"""),"Consumer, EG, SG, In house, IBG Traveler")</f>
        <v>Consumer, EG, SG, In house, IBG Traveler</v>
      </c>
      <c r="N596" s="258" t="str">
        <f>IFERROR(__xludf.DUMMYFUNCTION("""COMPUTED_VALUE"""),"interest")</f>
        <v>interest</v>
      </c>
      <c r="O596" s="258" t="str">
        <f>IFERROR(__xludf.DUMMYFUNCTION("""COMPUTED_VALUE"""),"network_profile")</f>
        <v>network_profile</v>
      </c>
      <c r="P596" s="258"/>
    </row>
    <row r="597">
      <c r="A597" s="257" t="str">
        <f>IFERROR(__xludf.DUMMYFUNCTION("""COMPUTED_VALUE"""),"bpo_worker_details")</f>
        <v>bpo_worker_details</v>
      </c>
      <c r="B597" s="258" t="str">
        <f>IFERROR(__xludf.DUMMYFUNCTION("""COMPUTED_VALUE"""),"Audience/Persona")</f>
        <v>Audience/Persona</v>
      </c>
      <c r="C597" s="258" t="str">
        <f>IFERROR(__xludf.DUMMYFUNCTION("""COMPUTED_VALUE"""),"Non-PII")</f>
        <v>Non-PII</v>
      </c>
      <c r="D597" s="258" t="str">
        <f>IFERROR(__xludf.DUMMYFUNCTION("""COMPUTED_VALUE"""),"Non-PII")</f>
        <v>Non-PII</v>
      </c>
      <c r="E597" s="258" t="str">
        <f>IFERROR(__xludf.DUMMYFUNCTION("""COMPUTED_VALUE"""),"Metric used and value for the BPO Worker profile
 For wireline subscribers, only subscriptions within Metro Manila (including some areas in Rizal) and with DSL, VDSL and GPON technology value are covered.")</f>
        <v>Metric used and value for the BPO Worker profile
 For wireline subscribers, only subscriptions within Metro Manila (including some areas in Rizal) and with DSL, VDSL and GPON technology value are covered.</v>
      </c>
      <c r="F597" s="258" t="str">
        <f>IFERROR(__xludf.DUMMYFUNCTION("""COMPUTED_VALUE"""),"Derived")</f>
        <v>Derived</v>
      </c>
      <c r="G597" s="258" t="str">
        <f>IFERROR(__xludf.DUMMYFUNCTION("""COMPUTED_VALUE"""),"varchar(1000)")</f>
        <v>varchar(1000)</v>
      </c>
      <c r="H597" s="258" t="str">
        <f>IFERROR(__xludf.DUMMYFUNCTION("""COMPUTED_VALUE"""),"{""Total Hits in a Month"": 4}")</f>
        <v>{"Total Hits in a Month": 4}</v>
      </c>
      <c r="I597" s="258" t="str">
        <f>IFERROR(__xludf.DUMMYFUNCTION("""COMPUTED_VALUE"""),"EDO-UUP")</f>
        <v>EDO-UUP</v>
      </c>
      <c r="J597" s="258" t="str">
        <f>IFERROR(__xludf.DUMMYFUNCTION("""COMPUTED_VALUE"""),"Monthly")</f>
        <v>Monthly</v>
      </c>
      <c r="K597" s="258" t="str">
        <f>IFERROR(__xludf.DUMMYFUNCTION("""COMPUTED_VALUE"""),"")</f>
        <v/>
      </c>
      <c r="L597" s="258" t="str">
        <f>IFERROR(__xludf.DUMMYFUNCTION("""COMPUTED_VALUE"""),"GHP, GHP-PREPAID, TM, PW, GOMO, WIRELINE, BAYAN, GLOBE")</f>
        <v>GHP, GHP-PREPAID, TM, PW, GOMO, WIRELINE, BAYAN, GLOBE</v>
      </c>
      <c r="M597" s="258" t="str">
        <f>IFERROR(__xludf.DUMMYFUNCTION("""COMPUTED_VALUE"""),"Consumer, EG, SG, In house, IBG Traveler")</f>
        <v>Consumer, EG, SG, In house, IBG Traveler</v>
      </c>
      <c r="N597" s="258" t="str">
        <f>IFERROR(__xludf.DUMMYFUNCTION("""COMPUTED_VALUE"""),"interest")</f>
        <v>interest</v>
      </c>
      <c r="O597" s="258" t="str">
        <f>IFERROR(__xludf.DUMMYFUNCTION("""COMPUTED_VALUE"""),"network_profile")</f>
        <v>network_profile</v>
      </c>
      <c r="P597" s="258"/>
    </row>
    <row r="598">
      <c r="A598" s="257" t="str">
        <f>IFERROR(__xludf.DUMMYFUNCTION("""COMPUTED_VALUE"""),"aspiring_chef_indicator")</f>
        <v>aspiring_chef_indicator</v>
      </c>
      <c r="B598" s="258" t="str">
        <f>IFERROR(__xludf.DUMMYFUNCTION("""COMPUTED_VALUE"""),"Audience/Persona")</f>
        <v>Audience/Persona</v>
      </c>
      <c r="C598" s="258" t="str">
        <f>IFERROR(__xludf.DUMMYFUNCTION("""COMPUTED_VALUE"""),"Non-PII")</f>
        <v>Non-PII</v>
      </c>
      <c r="D598" s="258" t="str">
        <f>IFERROR(__xludf.DUMMYFUNCTION("""COMPUTED_VALUE"""),"Non-PII")</f>
        <v>Non-PII</v>
      </c>
      <c r="E598" s="258" t="str">
        <f>IFERROR(__xludf.DUMMYFUNCTION("""COMPUTED_VALUE"""),"Indicator if a subscriber accesses applications or websites that feature cooking or recipes such as allrecipes, cook_magazine, tasty
 For wireline subscribers, only subscriptions within Metro Manila (including some areas in Rizal) and with DSL, VDSL and"&amp;" GPON technology value are covered.")</f>
        <v>Indicator if a subscriber accesses applications or websites that feature cooking or recipes such as allrecipes, cook_magazine, tasty
 For wireline subscribers, only subscriptions within Metro Manila (including some areas in Rizal) and with DSL, VDSL and GPON technology value are covered.</v>
      </c>
      <c r="F598" s="258" t="str">
        <f>IFERROR(__xludf.DUMMYFUNCTION("""COMPUTED_VALUE"""),"Derived")</f>
        <v>Derived</v>
      </c>
      <c r="G598" s="258" t="str">
        <f>IFERROR(__xludf.DUMMYFUNCTION("""COMPUTED_VALUE"""),"boolean")</f>
        <v>boolean</v>
      </c>
      <c r="H598" s="258" t="b">
        <f>IFERROR(__xludf.DUMMYFUNCTION("""COMPUTED_VALUE"""),TRUE)</f>
        <v>1</v>
      </c>
      <c r="I598" s="258" t="str">
        <f>IFERROR(__xludf.DUMMYFUNCTION("""COMPUTED_VALUE"""),"EDO-UUP")</f>
        <v>EDO-UUP</v>
      </c>
      <c r="J598" s="258" t="str">
        <f>IFERROR(__xludf.DUMMYFUNCTION("""COMPUTED_VALUE"""),"Monthly")</f>
        <v>Monthly</v>
      </c>
      <c r="K598" s="258" t="str">
        <f>IFERROR(__xludf.DUMMYFUNCTION("""COMPUTED_VALUE"""),"")</f>
        <v/>
      </c>
      <c r="L598" s="258" t="str">
        <f>IFERROR(__xludf.DUMMYFUNCTION("""COMPUTED_VALUE"""),"GHP, GHP-PREPAID, TM, PW, GOMO, WIRELINE, BAYAN, GLOBE")</f>
        <v>GHP, GHP-PREPAID, TM, PW, GOMO, WIRELINE, BAYAN, GLOBE</v>
      </c>
      <c r="M598" s="258" t="str">
        <f>IFERROR(__xludf.DUMMYFUNCTION("""COMPUTED_VALUE"""),"Consumer, EG, SG, In house, IBG Traveler")</f>
        <v>Consumer, EG, SG, In house, IBG Traveler</v>
      </c>
      <c r="N598" s="258" t="str">
        <f>IFERROR(__xludf.DUMMYFUNCTION("""COMPUTED_VALUE"""),"interest")</f>
        <v>interest</v>
      </c>
      <c r="O598" s="258" t="str">
        <f>IFERROR(__xludf.DUMMYFUNCTION("""COMPUTED_VALUE"""),"network_profile")</f>
        <v>network_profile</v>
      </c>
      <c r="P598" s="258"/>
    </row>
    <row r="599">
      <c r="A599" s="257" t="str">
        <f>IFERROR(__xludf.DUMMYFUNCTION("""COMPUTED_VALUE"""),"aspiring_chef_bucket")</f>
        <v>aspiring_chef_bucket</v>
      </c>
      <c r="B599" s="258" t="str">
        <f>IFERROR(__xludf.DUMMYFUNCTION("""COMPUTED_VALUE"""),"Audience/Persona")</f>
        <v>Audience/Persona</v>
      </c>
      <c r="C599" s="258" t="str">
        <f>IFERROR(__xludf.DUMMYFUNCTION("""COMPUTED_VALUE"""),"Non-PII")</f>
        <v>Non-PII</v>
      </c>
      <c r="D599" s="258" t="str">
        <f>IFERROR(__xludf.DUMMYFUNCTION("""COMPUTED_VALUE"""),"Non-PII")</f>
        <v>Non-PII</v>
      </c>
      <c r="E599" s="258" t="str">
        <f>IFERROR(__xludf.DUMMYFUNCTION("""COMPUTED_VALUE"""),"Bucketing based on identified metric for Aspiring Chef profile
 Metric: Total Hits in a Month
 Valid values:
 LOW: &lt;= 8 hits
 MID: &gt; 8 &amp; &lt;= 15 hits
 HIGH: &gt; 15 hits
 For wireline subscribers, only subscriptions within Metro Manila (including some areas "&amp;"in Rizal) and with DSL, VDSL and GPON technology value are covered.")</f>
        <v>Bucketing based on identified metric for Aspiring Chef profile
 Metric: Total Hits in a Month
 Valid values:
 LOW: &lt;= 8 hits
 MID: &gt; 8 &amp; &lt;= 15 hits
 HIGH: &gt; 15 hits
 For wireline subscribers, only subscriptions within Metro Manila (including some areas in Rizal) and with DSL, VDSL and GPON technology value are covered.</v>
      </c>
      <c r="F599" s="258" t="str">
        <f>IFERROR(__xludf.DUMMYFUNCTION("""COMPUTED_VALUE"""),"Direct Pull")</f>
        <v>Direct Pull</v>
      </c>
      <c r="G599" s="258" t="str">
        <f>IFERROR(__xludf.DUMMYFUNCTION("""COMPUTED_VALUE"""),"varchar(1000)")</f>
        <v>varchar(1000)</v>
      </c>
      <c r="H599" s="258" t="str">
        <f>IFERROR(__xludf.DUMMYFUNCTION("""COMPUTED_VALUE"""),"LOW")</f>
        <v>LOW</v>
      </c>
      <c r="I599" s="258" t="str">
        <f>IFERROR(__xludf.DUMMYFUNCTION("""COMPUTED_VALUE"""),"EDO-UUP")</f>
        <v>EDO-UUP</v>
      </c>
      <c r="J599" s="258" t="str">
        <f>IFERROR(__xludf.DUMMYFUNCTION("""COMPUTED_VALUE"""),"Monthly")</f>
        <v>Monthly</v>
      </c>
      <c r="K599" s="258" t="str">
        <f>IFERROR(__xludf.DUMMYFUNCTION("""COMPUTED_VALUE"""),"")</f>
        <v/>
      </c>
      <c r="L599" s="258" t="str">
        <f>IFERROR(__xludf.DUMMYFUNCTION("""COMPUTED_VALUE"""),"GHP, GHP-PREPAID, TM, PW, GOMO, WIRELINE, BAYAN, GLOBE")</f>
        <v>GHP, GHP-PREPAID, TM, PW, GOMO, WIRELINE, BAYAN, GLOBE</v>
      </c>
      <c r="M599" s="258" t="str">
        <f>IFERROR(__xludf.DUMMYFUNCTION("""COMPUTED_VALUE"""),"Consumer, EG, SG, In house, IBG Traveler")</f>
        <v>Consumer, EG, SG, In house, IBG Traveler</v>
      </c>
      <c r="N599" s="258" t="str">
        <f>IFERROR(__xludf.DUMMYFUNCTION("""COMPUTED_VALUE"""),"interest")</f>
        <v>interest</v>
      </c>
      <c r="O599" s="258" t="str">
        <f>IFERROR(__xludf.DUMMYFUNCTION("""COMPUTED_VALUE"""),"network_profile")</f>
        <v>network_profile</v>
      </c>
      <c r="P599" s="258"/>
    </row>
    <row r="600">
      <c r="A600" s="257" t="str">
        <f>IFERROR(__xludf.DUMMYFUNCTION("""COMPUTED_VALUE"""),"aspiring_chef_details")</f>
        <v>aspiring_chef_details</v>
      </c>
      <c r="B600" s="258" t="str">
        <f>IFERROR(__xludf.DUMMYFUNCTION("""COMPUTED_VALUE"""),"Audience/Persona")</f>
        <v>Audience/Persona</v>
      </c>
      <c r="C600" s="258" t="str">
        <f>IFERROR(__xludf.DUMMYFUNCTION("""COMPUTED_VALUE"""),"Non-PII")</f>
        <v>Non-PII</v>
      </c>
      <c r="D600" s="258" t="str">
        <f>IFERROR(__xludf.DUMMYFUNCTION("""COMPUTED_VALUE"""),"Non-PII")</f>
        <v>Non-PII</v>
      </c>
      <c r="E600" s="258" t="str">
        <f>IFERROR(__xludf.DUMMYFUNCTION("""COMPUTED_VALUE"""),"Metric used and value for the Aspiring Chef profile
 For wireline subscribers, only subscriptions within Metro Manila (including some areas in Rizal) and with DSL, VDSL and GPON technology value are covered.")</f>
        <v>Metric used and value for the Aspiring Chef profile
 For wireline subscribers, only subscriptions within Metro Manila (including some areas in Rizal) and with DSL, VDSL and GPON technology value are covered.</v>
      </c>
      <c r="F600" s="258" t="str">
        <f>IFERROR(__xludf.DUMMYFUNCTION("""COMPUTED_VALUE"""),"Derived")</f>
        <v>Derived</v>
      </c>
      <c r="G600" s="258" t="str">
        <f>IFERROR(__xludf.DUMMYFUNCTION("""COMPUTED_VALUE"""),"varchar(1000)")</f>
        <v>varchar(1000)</v>
      </c>
      <c r="H600" s="258" t="str">
        <f>IFERROR(__xludf.DUMMYFUNCTION("""COMPUTED_VALUE"""),"{""Total Hits in a Month"": 4}")</f>
        <v>{"Total Hits in a Month": 4}</v>
      </c>
      <c r="I600" s="258" t="str">
        <f>IFERROR(__xludf.DUMMYFUNCTION("""COMPUTED_VALUE"""),"EDO-UUP")</f>
        <v>EDO-UUP</v>
      </c>
      <c r="J600" s="258" t="str">
        <f>IFERROR(__xludf.DUMMYFUNCTION("""COMPUTED_VALUE"""),"Monthly")</f>
        <v>Monthly</v>
      </c>
      <c r="K600" s="258" t="str">
        <f>IFERROR(__xludf.DUMMYFUNCTION("""COMPUTED_VALUE"""),"")</f>
        <v/>
      </c>
      <c r="L600" s="258" t="str">
        <f>IFERROR(__xludf.DUMMYFUNCTION("""COMPUTED_VALUE"""),"GHP, GHP-PREPAID, TM, PW, GOMO, WIRELINE, BAYAN, GLOBE")</f>
        <v>GHP, GHP-PREPAID, TM, PW, GOMO, WIRELINE, BAYAN, GLOBE</v>
      </c>
      <c r="M600" s="258" t="str">
        <f>IFERROR(__xludf.DUMMYFUNCTION("""COMPUTED_VALUE"""),"Consumer, EG, SG, In house, IBG Traveler")</f>
        <v>Consumer, EG, SG, In house, IBG Traveler</v>
      </c>
      <c r="N600" s="258" t="str">
        <f>IFERROR(__xludf.DUMMYFUNCTION("""COMPUTED_VALUE"""),"interest")</f>
        <v>interest</v>
      </c>
      <c r="O600" s="258" t="str">
        <f>IFERROR(__xludf.DUMMYFUNCTION("""COMPUTED_VALUE"""),"network_profile")</f>
        <v>network_profile</v>
      </c>
      <c r="P600" s="258"/>
    </row>
    <row r="601">
      <c r="A601" s="257" t="str">
        <f>IFERROR(__xludf.DUMMYFUNCTION("""COMPUTED_VALUE"""),"interaction_count_30days")</f>
        <v>interaction_count_30days</v>
      </c>
      <c r="B601" s="258" t="str">
        <f>IFERROR(__xludf.DUMMYFUNCTION("""COMPUTED_VALUE"""),"Behavioral")</f>
        <v>Behavioral</v>
      </c>
      <c r="C601" s="258" t="str">
        <f>IFERROR(__xludf.DUMMYFUNCTION("""COMPUTED_VALUE"""),"Non-PII")</f>
        <v>Non-PII</v>
      </c>
      <c r="D601" s="258" t="str">
        <f>IFERROR(__xludf.DUMMYFUNCTION("""COMPUTED_VALUE"""),"Non-PII")</f>
        <v>Non-PII</v>
      </c>
      <c r="E601" s="258" t="str">
        <f>IFERROR(__xludf.DUMMYFUNCTION("""COMPUTED_VALUE"""),"Number of interactions between the subscriber and the Customer Service Representative (CSR) for the past 30 days")</f>
        <v>Number of interactions between the subscriber and the Customer Service Representative (CSR) for the past 30 days</v>
      </c>
      <c r="F601" s="258" t="str">
        <f>IFERROR(__xludf.DUMMYFUNCTION("""COMPUTED_VALUE"""),"Derived")</f>
        <v>Derived</v>
      </c>
      <c r="G601" s="258" t="str">
        <f>IFERROR(__xludf.DUMMYFUNCTION("""COMPUTED_VALUE"""),"integer")</f>
        <v>integer</v>
      </c>
      <c r="H601" s="258">
        <f>IFERROR(__xludf.DUMMYFUNCTION("""COMPUTED_VALUE"""),5.0)</f>
        <v>5</v>
      </c>
      <c r="I601" s="258" t="str">
        <f>IFERROR(__xludf.DUMMYFUNCTION("""COMPUTED_VALUE"""),"EDO-UUP")</f>
        <v>EDO-UUP</v>
      </c>
      <c r="J601" s="258" t="str">
        <f>IFERROR(__xludf.DUMMYFUNCTION("""COMPUTED_VALUE"""),"Daily")</f>
        <v>Daily</v>
      </c>
      <c r="K601" s="258" t="str">
        <f>IFERROR(__xludf.DUMMYFUNCTION("""COMPUTED_VALUE"""),"")</f>
        <v/>
      </c>
      <c r="L601" s="258" t="str">
        <f>IFERROR(__xludf.DUMMYFUNCTION("""COMPUTED_VALUE"""),"GHP, GHP-PREPAID, TM, PW, WIRELINE, BAYAN, GLOBE")</f>
        <v>GHP, GHP-PREPAID, TM, PW, WIRELINE, BAYAN, GLOBE</v>
      </c>
      <c r="M601" s="258" t="str">
        <f>IFERROR(__xludf.DUMMYFUNCTION("""COMPUTED_VALUE"""),"Consumer, EG, SG, In house, IBG Traveler")</f>
        <v>Consumer, EG, SG, In house, IBG Traveler</v>
      </c>
      <c r="N601" s="258" t="str">
        <f>IFERROR(__xludf.DUMMYFUNCTION("""COMPUTED_VALUE"""),"customer_service")</f>
        <v>customer_service</v>
      </c>
      <c r="O601" s="258" t="str">
        <f>IFERROR(__xludf.DUMMYFUNCTION("""COMPUTED_VALUE"""),"customer_service_profile")</f>
        <v>customer_service_profile</v>
      </c>
      <c r="P601" s="258"/>
    </row>
    <row r="602">
      <c r="A602" s="257" t="str">
        <f>IFERROR(__xludf.DUMMYFUNCTION("""COMPUTED_VALUE"""),"interaction_top_channel_30days")</f>
        <v>interaction_top_channel_30days</v>
      </c>
      <c r="B602" s="258" t="str">
        <f>IFERROR(__xludf.DUMMYFUNCTION("""COMPUTED_VALUE"""),"Behavioral")</f>
        <v>Behavioral</v>
      </c>
      <c r="C602" s="258" t="str">
        <f>IFERROR(__xludf.DUMMYFUNCTION("""COMPUTED_VALUE"""),"Non-PII")</f>
        <v>Non-PII</v>
      </c>
      <c r="D602" s="258" t="str">
        <f>IFERROR(__xludf.DUMMYFUNCTION("""COMPUTED_VALUE"""),"Non-PII")</f>
        <v>Non-PII</v>
      </c>
      <c r="E602" s="258" t="str">
        <f>IFERROR(__xludf.DUMMYFUNCTION("""COMPUTED_VALUE"""),"Channel with the top number of interactions between the subscriber and the Customer Service Representative (CSR) for the past 30 days")</f>
        <v>Channel with the top number of interactions between the subscriber and the Customer Service Representative (CSR) for the past 30 days</v>
      </c>
      <c r="F602" s="258" t="str">
        <f>IFERROR(__xludf.DUMMYFUNCTION("""COMPUTED_VALUE"""),"Derived")</f>
        <v>Derived</v>
      </c>
      <c r="G602" s="258" t="str">
        <f>IFERROR(__xludf.DUMMYFUNCTION("""COMPUTED_VALUE"""),"varchar(1000)")</f>
        <v>varchar(1000)</v>
      </c>
      <c r="H602" s="258" t="str">
        <f>IFERROR(__xludf.DUMMYFUNCTION("""COMPUTED_VALUE"""),"SNS - Facebook
 SNS - Twitter
 Walk-In")</f>
        <v>SNS - Facebook
 SNS - Twitter
 Walk-In</v>
      </c>
      <c r="I602" s="258" t="str">
        <f>IFERROR(__xludf.DUMMYFUNCTION("""COMPUTED_VALUE"""),"EDO-UUP")</f>
        <v>EDO-UUP</v>
      </c>
      <c r="J602" s="258" t="str">
        <f>IFERROR(__xludf.DUMMYFUNCTION("""COMPUTED_VALUE"""),"Daily")</f>
        <v>Daily</v>
      </c>
      <c r="K602" s="258" t="str">
        <f>IFERROR(__xludf.DUMMYFUNCTION("""COMPUTED_VALUE"""),"")</f>
        <v/>
      </c>
      <c r="L602" s="258" t="str">
        <f>IFERROR(__xludf.DUMMYFUNCTION("""COMPUTED_VALUE"""),"GHP, GHP-PREPAID, TM, PW, WIRELINE, BAYAN, GLOBE")</f>
        <v>GHP, GHP-PREPAID, TM, PW, WIRELINE, BAYAN, GLOBE</v>
      </c>
      <c r="M602" s="258" t="str">
        <f>IFERROR(__xludf.DUMMYFUNCTION("""COMPUTED_VALUE"""),"Consumer, EG, SG, In house, IBG Traveler")</f>
        <v>Consumer, EG, SG, In house, IBG Traveler</v>
      </c>
      <c r="N602" s="258" t="str">
        <f>IFERROR(__xludf.DUMMYFUNCTION("""COMPUTED_VALUE"""),"customer_service")</f>
        <v>customer_service</v>
      </c>
      <c r="O602" s="258" t="str">
        <f>IFERROR(__xludf.DUMMYFUNCTION("""COMPUTED_VALUE"""),"customer_service_profile")</f>
        <v>customer_service_profile</v>
      </c>
      <c r="P602" s="258"/>
    </row>
    <row r="603">
      <c r="A603" s="257" t="str">
        <f>IFERROR(__xludf.DUMMYFUNCTION("""COMPUTED_VALUE"""),"interaction_top_channel_count_30days")</f>
        <v>interaction_top_channel_count_30days</v>
      </c>
      <c r="B603" s="258" t="str">
        <f>IFERROR(__xludf.DUMMYFUNCTION("""COMPUTED_VALUE"""),"Behavioral")</f>
        <v>Behavioral</v>
      </c>
      <c r="C603" s="258" t="str">
        <f>IFERROR(__xludf.DUMMYFUNCTION("""COMPUTED_VALUE"""),"Non-PII")</f>
        <v>Non-PII</v>
      </c>
      <c r="D603" s="258" t="str">
        <f>IFERROR(__xludf.DUMMYFUNCTION("""COMPUTED_VALUE"""),"Non-PII")</f>
        <v>Non-PII</v>
      </c>
      <c r="E603" s="258" t="str">
        <f>IFERROR(__xludf.DUMMYFUNCTION("""COMPUTED_VALUE"""),"Number of interactions through the top channel between the subscriber and the Customer Service Representative (CSR) for the past 30 days")</f>
        <v>Number of interactions through the top channel between the subscriber and the Customer Service Representative (CSR) for the past 30 days</v>
      </c>
      <c r="F603" s="258" t="str">
        <f>IFERROR(__xludf.DUMMYFUNCTION("""COMPUTED_VALUE"""),"Derived")</f>
        <v>Derived</v>
      </c>
      <c r="G603" s="258" t="str">
        <f>IFERROR(__xludf.DUMMYFUNCTION("""COMPUTED_VALUE"""),"integer")</f>
        <v>integer</v>
      </c>
      <c r="H603" s="258">
        <f>IFERROR(__xludf.DUMMYFUNCTION("""COMPUTED_VALUE"""),5.0)</f>
        <v>5</v>
      </c>
      <c r="I603" s="258" t="str">
        <f>IFERROR(__xludf.DUMMYFUNCTION("""COMPUTED_VALUE"""),"EDO-UUP")</f>
        <v>EDO-UUP</v>
      </c>
      <c r="J603" s="258" t="str">
        <f>IFERROR(__xludf.DUMMYFUNCTION("""COMPUTED_VALUE"""),"Daily")</f>
        <v>Daily</v>
      </c>
      <c r="K603" s="258" t="str">
        <f>IFERROR(__xludf.DUMMYFUNCTION("""COMPUTED_VALUE"""),"")</f>
        <v/>
      </c>
      <c r="L603" s="258" t="str">
        <f>IFERROR(__xludf.DUMMYFUNCTION("""COMPUTED_VALUE"""),"GHP, GHP-PREPAID, TM, PW, WIRELINE, BAYAN, GLOBE")</f>
        <v>GHP, GHP-PREPAID, TM, PW, WIRELINE, BAYAN, GLOBE</v>
      </c>
      <c r="M603" s="258" t="str">
        <f>IFERROR(__xludf.DUMMYFUNCTION("""COMPUTED_VALUE"""),"Consumer, EG, SG, In house, IBG Traveler")</f>
        <v>Consumer, EG, SG, In house, IBG Traveler</v>
      </c>
      <c r="N603" s="258" t="str">
        <f>IFERROR(__xludf.DUMMYFUNCTION("""COMPUTED_VALUE"""),"customer_service")</f>
        <v>customer_service</v>
      </c>
      <c r="O603" s="258" t="str">
        <f>IFERROR(__xludf.DUMMYFUNCTION("""COMPUTED_VALUE"""),"customer_service_profile")</f>
        <v>customer_service_profile</v>
      </c>
      <c r="P603" s="258"/>
    </row>
    <row r="604">
      <c r="A604" s="257" t="str">
        <f>IFERROR(__xludf.DUMMYFUNCTION("""COMPUTED_VALUE"""),"credit_card_user_indicator")</f>
        <v>credit_card_user_indicator</v>
      </c>
      <c r="B604" s="258" t="str">
        <f>IFERROR(__xludf.DUMMYFUNCTION("""COMPUTED_VALUE"""),"Audience/Persona")</f>
        <v>Audience/Persona</v>
      </c>
      <c r="C604" s="258" t="str">
        <f>IFERROR(__xludf.DUMMYFUNCTION("""COMPUTED_VALUE"""),"Non-PII")</f>
        <v>Non-PII</v>
      </c>
      <c r="D604" s="258" t="str">
        <f>IFERROR(__xludf.DUMMYFUNCTION("""COMPUTED_VALUE"""),"Non-PII")</f>
        <v>Non-PII</v>
      </c>
      <c r="E604" s="258" t="str">
        <f>IFERROR(__xludf.DUMMYFUNCTION("""COMPUTED_VALUE"""),"Indicator if a subscriber receives SMS from credit card companies:
  AUB, BDO, BPI")</f>
        <v>Indicator if a subscriber receives SMS from credit card companies:
  AUB, BDO, BPI</v>
      </c>
      <c r="F604" s="258" t="str">
        <f>IFERROR(__xludf.DUMMYFUNCTION("""COMPUTED_VALUE"""),"Derived")</f>
        <v>Derived</v>
      </c>
      <c r="G604" s="258" t="str">
        <f>IFERROR(__xludf.DUMMYFUNCTION("""COMPUTED_VALUE"""),"boolean")</f>
        <v>boolean</v>
      </c>
      <c r="H604" s="258" t="b">
        <f>IFERROR(__xludf.DUMMYFUNCTION("""COMPUTED_VALUE"""),TRUE)</f>
        <v>1</v>
      </c>
      <c r="I604" s="258" t="str">
        <f>IFERROR(__xludf.DUMMYFUNCTION("""COMPUTED_VALUE"""),"EDO-UUP")</f>
        <v>EDO-UUP</v>
      </c>
      <c r="J604" s="258" t="str">
        <f>IFERROR(__xludf.DUMMYFUNCTION("""COMPUTED_VALUE"""),"Daily")</f>
        <v>Daily</v>
      </c>
      <c r="K604" s="258" t="str">
        <f>IFERROR(__xludf.DUMMYFUNCTION("""COMPUTED_VALUE"""),"")</f>
        <v/>
      </c>
      <c r="L604" s="258" t="str">
        <f>IFERROR(__xludf.DUMMYFUNCTION("""COMPUTED_VALUE"""),"GHP, GHP-PREPAID, TM, PW, GOMO, WIRELINE, BAYAN, GLOBE")</f>
        <v>GHP, GHP-PREPAID, TM, PW, GOMO, WIRELINE, BAYAN, GLOBE</v>
      </c>
      <c r="M604" s="258" t="str">
        <f>IFERROR(__xludf.DUMMYFUNCTION("""COMPUTED_VALUE"""),"Consumer, EG, SG, In house, IBG Traveler")</f>
        <v>Consumer, EG, SG, In house, IBG Traveler</v>
      </c>
      <c r="N604" s="258" t="str">
        <f>IFERROR(__xludf.DUMMYFUNCTION("""COMPUTED_VALUE"""),"interest")</f>
        <v>interest</v>
      </c>
      <c r="O604" s="258" t="str">
        <f>IFERROR(__xludf.DUMMYFUNCTION("""COMPUTED_VALUE"""),"network_profile")</f>
        <v>network_profile</v>
      </c>
      <c r="P604" s="258"/>
    </row>
    <row r="605">
      <c r="A605" s="257" t="str">
        <f>IFERROR(__xludf.DUMMYFUNCTION("""COMPUTED_VALUE"""),"credit_card_user_bucket")</f>
        <v>credit_card_user_bucket</v>
      </c>
      <c r="B605" s="258" t="str">
        <f>IFERROR(__xludf.DUMMYFUNCTION("""COMPUTED_VALUE"""),"Audience/Persona")</f>
        <v>Audience/Persona</v>
      </c>
      <c r="C605" s="258" t="str">
        <f>IFERROR(__xludf.DUMMYFUNCTION("""COMPUTED_VALUE"""),"Non-PII")</f>
        <v>Non-PII</v>
      </c>
      <c r="D605" s="258" t="str">
        <f>IFERROR(__xludf.DUMMYFUNCTION("""COMPUTED_VALUE"""),"Non-PII")</f>
        <v>Non-PII</v>
      </c>
      <c r="E605" s="258" t="str">
        <f>IFERROR(__xludf.DUMMYFUNCTION("""COMPUTED_VALUE"""),"Bucketing based on the identified metric for the Credit Card User profile
  Metric: Total Hits in a Month
  Valid values:
  Wireless
  LOW: &lt;= 5
  MID: &gt; 5 &amp; &lt;= 13
  HIGH: &gt; 13")</f>
        <v>Bucketing based on the identified metric for the Credit Card User profile
  Metric: Total Hits in a Month
  Valid values:
  Wireless
  LOW: &lt;= 5
  MID: &gt; 5 &amp; &lt;= 13
  HIGH: &gt; 13</v>
      </c>
      <c r="F605" s="258" t="str">
        <f>IFERROR(__xludf.DUMMYFUNCTION("""COMPUTED_VALUE"""),"Direct Pull")</f>
        <v>Direct Pull</v>
      </c>
      <c r="G605" s="258" t="str">
        <f>IFERROR(__xludf.DUMMYFUNCTION("""COMPUTED_VALUE"""),"varchar(1000)")</f>
        <v>varchar(1000)</v>
      </c>
      <c r="H605" s="258" t="str">
        <f>IFERROR(__xludf.DUMMYFUNCTION("""COMPUTED_VALUE"""),"HIGH")</f>
        <v>HIGH</v>
      </c>
      <c r="I605" s="258" t="str">
        <f>IFERROR(__xludf.DUMMYFUNCTION("""COMPUTED_VALUE"""),"EDO-UUP")</f>
        <v>EDO-UUP</v>
      </c>
      <c r="J605" s="258" t="str">
        <f>IFERROR(__xludf.DUMMYFUNCTION("""COMPUTED_VALUE"""),"Daily")</f>
        <v>Daily</v>
      </c>
      <c r="K605" s="258" t="str">
        <f>IFERROR(__xludf.DUMMYFUNCTION("""COMPUTED_VALUE"""),"")</f>
        <v/>
      </c>
      <c r="L605" s="258" t="str">
        <f>IFERROR(__xludf.DUMMYFUNCTION("""COMPUTED_VALUE"""),"GHP, GHP-PREPAID, TM, PW, GOMO, WIRELINE, BAYAN, GLOBE")</f>
        <v>GHP, GHP-PREPAID, TM, PW, GOMO, WIRELINE, BAYAN, GLOBE</v>
      </c>
      <c r="M605" s="258" t="str">
        <f>IFERROR(__xludf.DUMMYFUNCTION("""COMPUTED_VALUE"""),"Consumer, EG, SG, In house, IBG Traveler")</f>
        <v>Consumer, EG, SG, In house, IBG Traveler</v>
      </c>
      <c r="N605" s="258" t="str">
        <f>IFERROR(__xludf.DUMMYFUNCTION("""COMPUTED_VALUE"""),"interest")</f>
        <v>interest</v>
      </c>
      <c r="O605" s="258" t="str">
        <f>IFERROR(__xludf.DUMMYFUNCTION("""COMPUTED_VALUE"""),"network_profile")</f>
        <v>network_profile</v>
      </c>
      <c r="P605" s="258"/>
    </row>
    <row r="606">
      <c r="A606" s="257" t="str">
        <f>IFERROR(__xludf.DUMMYFUNCTION("""COMPUTED_VALUE"""),"credit_card_user_details")</f>
        <v>credit_card_user_details</v>
      </c>
      <c r="B606" s="258" t="str">
        <f>IFERROR(__xludf.DUMMYFUNCTION("""COMPUTED_VALUE"""),"Audience/Persona")</f>
        <v>Audience/Persona</v>
      </c>
      <c r="C606" s="258" t="str">
        <f>IFERROR(__xludf.DUMMYFUNCTION("""COMPUTED_VALUE"""),"Non-PII")</f>
        <v>Non-PII</v>
      </c>
      <c r="D606" s="258" t="str">
        <f>IFERROR(__xludf.DUMMYFUNCTION("""COMPUTED_VALUE"""),"Non-PII")</f>
        <v>Non-PII</v>
      </c>
      <c r="E606" s="258" t="str">
        <f>IFERROR(__xludf.DUMMYFUNCTION("""COMPUTED_VALUE"""),"Metric used and value for the Credit Card User profile")</f>
        <v>Metric used and value for the Credit Card User profile</v>
      </c>
      <c r="F606" s="258" t="str">
        <f>IFERROR(__xludf.DUMMYFUNCTION("""COMPUTED_VALUE"""),"Derived")</f>
        <v>Derived</v>
      </c>
      <c r="G606" s="258" t="str">
        <f>IFERROR(__xludf.DUMMYFUNCTION("""COMPUTED_VALUE"""),"varchar(1000)")</f>
        <v>varchar(1000)</v>
      </c>
      <c r="H606" s="258" t="str">
        <f>IFERROR(__xludf.DUMMYFUNCTION("""COMPUTED_VALUE"""),"{""Total Hits in a Month"": 14}""")</f>
        <v>{"Total Hits in a Month": 14}"</v>
      </c>
      <c r="I606" s="258" t="str">
        <f>IFERROR(__xludf.DUMMYFUNCTION("""COMPUTED_VALUE"""),"EDO-UUP")</f>
        <v>EDO-UUP</v>
      </c>
      <c r="J606" s="258" t="str">
        <f>IFERROR(__xludf.DUMMYFUNCTION("""COMPUTED_VALUE"""),"Daily")</f>
        <v>Daily</v>
      </c>
      <c r="K606" s="258" t="str">
        <f>IFERROR(__xludf.DUMMYFUNCTION("""COMPUTED_VALUE"""),"")</f>
        <v/>
      </c>
      <c r="L606" s="258" t="str">
        <f>IFERROR(__xludf.DUMMYFUNCTION("""COMPUTED_VALUE"""),"GHP, GHP-PREPAID, TM, PW, GOMO, WIRELINE, BAYAN, GLOBE")</f>
        <v>GHP, GHP-PREPAID, TM, PW, GOMO, WIRELINE, BAYAN, GLOBE</v>
      </c>
      <c r="M606" s="258" t="str">
        <f>IFERROR(__xludf.DUMMYFUNCTION("""COMPUTED_VALUE"""),"Consumer, EG, SG, In house, IBG Traveler")</f>
        <v>Consumer, EG, SG, In house, IBG Traveler</v>
      </c>
      <c r="N606" s="258" t="str">
        <f>IFERROR(__xludf.DUMMYFUNCTION("""COMPUTED_VALUE"""),"interest")</f>
        <v>interest</v>
      </c>
      <c r="O606" s="258" t="str">
        <f>IFERROR(__xludf.DUMMYFUNCTION("""COMPUTED_VALUE"""),"network_profile")</f>
        <v>network_profile</v>
      </c>
      <c r="P606" s="258"/>
    </row>
    <row r="607">
      <c r="A607" s="257" t="str">
        <f>IFERROR(__xludf.DUMMYFUNCTION("""COMPUTED_VALUE"""),"parent_indicator")</f>
        <v>parent_indicator</v>
      </c>
      <c r="B607" s="258" t="str">
        <f>IFERROR(__xludf.DUMMYFUNCTION("""COMPUTED_VALUE"""),"Audience/Persona")</f>
        <v>Audience/Persona</v>
      </c>
      <c r="C607" s="258" t="str">
        <f>IFERROR(__xludf.DUMMYFUNCTION("""COMPUTED_VALUE"""),"Non-PII")</f>
        <v>Non-PII</v>
      </c>
      <c r="D607" s="258" t="str">
        <f>IFERROR(__xludf.DUMMYFUNCTION("""COMPUTED_VALUE"""),"Non-PII")</f>
        <v>Non-PII</v>
      </c>
      <c r="E607" s="258" t="str">
        <f>IFERROR(__xludf.DUMMYFUNCTION("""COMPUTED_VALUE"""),"Inferred indicator if a subscriber is a parent")</f>
        <v>Inferred indicator if a subscriber is a parent</v>
      </c>
      <c r="F607" s="258" t="str">
        <f>IFERROR(__xludf.DUMMYFUNCTION("""COMPUTED_VALUE"""),"Derived")</f>
        <v>Derived</v>
      </c>
      <c r="G607" s="258" t="str">
        <f>IFERROR(__xludf.DUMMYFUNCTION("""COMPUTED_VALUE"""),"boolean")</f>
        <v>boolean</v>
      </c>
      <c r="H607" s="258" t="b">
        <f>IFERROR(__xludf.DUMMYFUNCTION("""COMPUTED_VALUE"""),TRUE)</f>
        <v>1</v>
      </c>
      <c r="I607" s="258" t="str">
        <f>IFERROR(__xludf.DUMMYFUNCTION("""COMPUTED_VALUE"""),"EDO-AA")</f>
        <v>EDO-AA</v>
      </c>
      <c r="J607" s="258" t="str">
        <f>IFERROR(__xludf.DUMMYFUNCTION("""COMPUTED_VALUE"""),"Daily")</f>
        <v>Daily</v>
      </c>
      <c r="K607" s="258" t="str">
        <f>IFERROR(__xludf.DUMMYFUNCTION("""COMPUTED_VALUE"""),"")</f>
        <v/>
      </c>
      <c r="L607" s="258" t="str">
        <f>IFERROR(__xludf.DUMMYFUNCTION("""COMPUTED_VALUE"""),"GHP, GHP-PREPAID, TM")</f>
        <v>GHP, GHP-PREPAID, TM</v>
      </c>
      <c r="M607" s="258" t="str">
        <f>IFERROR(__xludf.DUMMYFUNCTION("""COMPUTED_VALUE"""),"Consumer")</f>
        <v>Consumer</v>
      </c>
      <c r="N607" s="258" t="str">
        <f>IFERROR(__xludf.DUMMYFUNCTION("""COMPUTED_VALUE"""),"network")</f>
        <v>network</v>
      </c>
      <c r="O607" s="258" t="str">
        <f>IFERROR(__xludf.DUMMYFUNCTION("""COMPUTED_VALUE"""),"network_profile")</f>
        <v>network_profile</v>
      </c>
      <c r="P607" s="258"/>
    </row>
    <row r="608">
      <c r="A608" s="257" t="str">
        <f>IFERROR(__xludf.DUMMYFUNCTION("""COMPUTED_VALUE"""),"sale_shopper_top_apps")</f>
        <v>sale_shopper_top_apps</v>
      </c>
      <c r="B608" s="258" t="str">
        <f>IFERROR(__xludf.DUMMYFUNCTION("""COMPUTED_VALUE"""),"Audience/Persona")</f>
        <v>Audience/Persona</v>
      </c>
      <c r="C608" s="258" t="str">
        <f>IFERROR(__xludf.DUMMYFUNCTION("""COMPUTED_VALUE"""),"Non-PII")</f>
        <v>Non-PII</v>
      </c>
      <c r="D608" s="258" t="str">
        <f>IFERROR(__xludf.DUMMYFUNCTION("""COMPUTED_VALUE"""),"Non-PII")</f>
        <v>Non-PII</v>
      </c>
      <c r="E608" s="258" t="str">
        <f>IFERROR(__xludf.DUMMYFUNCTION("""COMPUTED_VALUE"""),"Top 1 app/site by total hits during sale day of the month categorized under the Sale Shopper profile
 For wireline subscribers, only subscriptions within Metro Manila (including some areas in Rizal) and with DSL, VDSL and GPON technology value are cover"&amp;"ed.")</f>
        <v>Top 1 app/site by total hits during sale day of the month categorized under the Sale Shopper profile
 For wireline subscribers, only subscriptions within Metro Manila (including some areas in Rizal) and with DSL, VDSL and GPON technology value are covered.</v>
      </c>
      <c r="F608" s="258" t="str">
        <f>IFERROR(__xludf.DUMMYFUNCTION("""COMPUTED_VALUE"""),"Inferred")</f>
        <v>Inferred</v>
      </c>
      <c r="G608" s="258" t="str">
        <f>IFERROR(__xludf.DUMMYFUNCTION("""COMPUTED_VALUE"""),"varchar(1000)")</f>
        <v>varchar(1000)</v>
      </c>
      <c r="H608" s="258" t="str">
        <f>IFERROR(__xludf.DUMMYFUNCTION("""COMPUTED_VALUE"""),"lazada")</f>
        <v>lazada</v>
      </c>
      <c r="I608" s="258" t="str">
        <f>IFERROR(__xludf.DUMMYFUNCTION("""COMPUTED_VALUE"""),"EDO-UUP")</f>
        <v>EDO-UUP</v>
      </c>
      <c r="J608" s="258" t="str">
        <f>IFERROR(__xludf.DUMMYFUNCTION("""COMPUTED_VALUE"""),"Monthly")</f>
        <v>Monthly</v>
      </c>
      <c r="K608" s="258" t="str">
        <f>IFERROR(__xludf.DUMMYFUNCTION("""COMPUTED_VALUE"""),"")</f>
        <v/>
      </c>
      <c r="L608" s="258" t="str">
        <f>IFERROR(__xludf.DUMMYFUNCTION("""COMPUTED_VALUE"""),"GHP, GHP-PREPAID, TM, PW, GOMO, WIRELINE, BAYAN, GLOBE")</f>
        <v>GHP, GHP-PREPAID, TM, PW, GOMO, WIRELINE, BAYAN, GLOBE</v>
      </c>
      <c r="M608" s="258" t="str">
        <f>IFERROR(__xludf.DUMMYFUNCTION("""COMPUTED_VALUE"""),"Consumer, EG, SG, In house, IBG Traveler")</f>
        <v>Consumer, EG, SG, In house, IBG Traveler</v>
      </c>
      <c r="N608" s="258" t="str">
        <f>IFERROR(__xludf.DUMMYFUNCTION("""COMPUTED_VALUE"""),"interest")</f>
        <v>interest</v>
      </c>
      <c r="O608" s="258" t="str">
        <f>IFERROR(__xludf.DUMMYFUNCTION("""COMPUTED_VALUE"""),"network_profile")</f>
        <v>network_profile</v>
      </c>
      <c r="P608" s="258"/>
    </row>
    <row r="609">
      <c r="A609" s="257" t="str">
        <f>IFERROR(__xludf.DUMMYFUNCTION("""COMPUTED_VALUE"""),"clv_survival_mo13")</f>
        <v>clv_survival_mo13</v>
      </c>
      <c r="B609" s="258" t="str">
        <f>IFERROR(__xludf.DUMMYFUNCTION("""COMPUTED_VALUE"""),"Loyalty &amp; Retention")</f>
        <v>Loyalty &amp; Retention</v>
      </c>
      <c r="C609" s="258" t="str">
        <f>IFERROR(__xludf.DUMMYFUNCTION("""COMPUTED_VALUE"""),"Non-PII")</f>
        <v>Non-PII</v>
      </c>
      <c r="D609" s="258" t="str">
        <f>IFERROR(__xludf.DUMMYFUNCTION("""COMPUTED_VALUE"""),"Non-PII")</f>
        <v>Non-PII</v>
      </c>
      <c r="E609" s="258" t="str">
        <f>IFERROR(__xludf.DUMMYFUNCTION("""COMPUTED_VALUE"""),"Inferred probability of a subscriber's survival to the next 13 months")</f>
        <v>Inferred probability of a subscriber's survival to the next 13 months</v>
      </c>
      <c r="F609" s="258" t="str">
        <f>IFERROR(__xludf.DUMMYFUNCTION("""COMPUTED_VALUE"""),"Inferred")</f>
        <v>Inferred</v>
      </c>
      <c r="G609" s="258" t="str">
        <f>IFERROR(__xludf.DUMMYFUNCTION("""COMPUTED_VALUE"""),"numeric(21,2)")</f>
        <v>numeric(21,2)</v>
      </c>
      <c r="H609" s="258">
        <f>IFERROR(__xludf.DUMMYFUNCTION("""COMPUTED_VALUE"""),0.55)</f>
        <v>0.55</v>
      </c>
      <c r="I609" s="258" t="str">
        <f>IFERROR(__xludf.DUMMYFUNCTION("""COMPUTED_VALUE"""),"EDO-AA")</f>
        <v>EDO-AA</v>
      </c>
      <c r="J609" s="258" t="str">
        <f>IFERROR(__xludf.DUMMYFUNCTION("""COMPUTED_VALUE"""),"Monthly")</f>
        <v>Monthly</v>
      </c>
      <c r="K609" s="258" t="str">
        <f>IFERROR(__xludf.DUMMYFUNCTION("""COMPUTED_VALUE"""),"")</f>
        <v/>
      </c>
      <c r="L609" s="258" t="str">
        <f>IFERROR(__xludf.DUMMYFUNCTION("""COMPUTED_VALUE"""),"GHP, GHP-PREPAID, TM")</f>
        <v>GHP, GHP-PREPAID, TM</v>
      </c>
      <c r="M609" s="258" t="str">
        <f>IFERROR(__xludf.DUMMYFUNCTION("""COMPUTED_VALUE"""),"Consumer")</f>
        <v>Consumer</v>
      </c>
      <c r="N609" s="258" t="str">
        <f>IFERROR(__xludf.DUMMYFUNCTION("""COMPUTED_VALUE"""),"revenue")</f>
        <v>revenue</v>
      </c>
      <c r="O609" s="258" t="str">
        <f>IFERROR(__xludf.DUMMYFUNCTION("""COMPUTED_VALUE"""),"revenue_profile")</f>
        <v>revenue_profile</v>
      </c>
      <c r="P609" s="258"/>
    </row>
    <row r="610">
      <c r="A610" s="257" t="str">
        <f>IFERROR(__xludf.DUMMYFUNCTION("""COMPUTED_VALUE"""),"clv_survival_mo14")</f>
        <v>clv_survival_mo14</v>
      </c>
      <c r="B610" s="258" t="str">
        <f>IFERROR(__xludf.DUMMYFUNCTION("""COMPUTED_VALUE"""),"Loyalty &amp; Retention")</f>
        <v>Loyalty &amp; Retention</v>
      </c>
      <c r="C610" s="258" t="str">
        <f>IFERROR(__xludf.DUMMYFUNCTION("""COMPUTED_VALUE"""),"Non-PII")</f>
        <v>Non-PII</v>
      </c>
      <c r="D610" s="258" t="str">
        <f>IFERROR(__xludf.DUMMYFUNCTION("""COMPUTED_VALUE"""),"Non-PII")</f>
        <v>Non-PII</v>
      </c>
      <c r="E610" s="258" t="str">
        <f>IFERROR(__xludf.DUMMYFUNCTION("""COMPUTED_VALUE"""),"Inferred probability of a subscriber's survival to the next 14 months")</f>
        <v>Inferred probability of a subscriber's survival to the next 14 months</v>
      </c>
      <c r="F610" s="258" t="str">
        <f>IFERROR(__xludf.DUMMYFUNCTION("""COMPUTED_VALUE"""),"Inferred")</f>
        <v>Inferred</v>
      </c>
      <c r="G610" s="258" t="str">
        <f>IFERROR(__xludf.DUMMYFUNCTION("""COMPUTED_VALUE"""),"numeric(21,2)")</f>
        <v>numeric(21,2)</v>
      </c>
      <c r="H610" s="258">
        <f>IFERROR(__xludf.DUMMYFUNCTION("""COMPUTED_VALUE"""),0.56)</f>
        <v>0.56</v>
      </c>
      <c r="I610" s="258" t="str">
        <f>IFERROR(__xludf.DUMMYFUNCTION("""COMPUTED_VALUE"""),"EDO-AA")</f>
        <v>EDO-AA</v>
      </c>
      <c r="J610" s="258" t="str">
        <f>IFERROR(__xludf.DUMMYFUNCTION("""COMPUTED_VALUE"""),"Monthly")</f>
        <v>Monthly</v>
      </c>
      <c r="K610" s="258" t="str">
        <f>IFERROR(__xludf.DUMMYFUNCTION("""COMPUTED_VALUE"""),"")</f>
        <v/>
      </c>
      <c r="L610" s="258" t="str">
        <f>IFERROR(__xludf.DUMMYFUNCTION("""COMPUTED_VALUE"""),"GHP, GHP-PREPAID, TM")</f>
        <v>GHP, GHP-PREPAID, TM</v>
      </c>
      <c r="M610" s="258" t="str">
        <f>IFERROR(__xludf.DUMMYFUNCTION("""COMPUTED_VALUE"""),"Consumer")</f>
        <v>Consumer</v>
      </c>
      <c r="N610" s="258" t="str">
        <f>IFERROR(__xludf.DUMMYFUNCTION("""COMPUTED_VALUE"""),"revenue")</f>
        <v>revenue</v>
      </c>
      <c r="O610" s="258" t="str">
        <f>IFERROR(__xludf.DUMMYFUNCTION("""COMPUTED_VALUE"""),"revenue_profile")</f>
        <v>revenue_profile</v>
      </c>
      <c r="P610" s="258"/>
    </row>
    <row r="611">
      <c r="A611" s="257" t="str">
        <f>IFERROR(__xludf.DUMMYFUNCTION("""COMPUTED_VALUE"""),"clv_survival_mo15")</f>
        <v>clv_survival_mo15</v>
      </c>
      <c r="B611" s="258" t="str">
        <f>IFERROR(__xludf.DUMMYFUNCTION("""COMPUTED_VALUE"""),"Loyalty &amp; Retention")</f>
        <v>Loyalty &amp; Retention</v>
      </c>
      <c r="C611" s="258" t="str">
        <f>IFERROR(__xludf.DUMMYFUNCTION("""COMPUTED_VALUE"""),"Non-PII")</f>
        <v>Non-PII</v>
      </c>
      <c r="D611" s="258" t="str">
        <f>IFERROR(__xludf.DUMMYFUNCTION("""COMPUTED_VALUE"""),"Non-PII")</f>
        <v>Non-PII</v>
      </c>
      <c r="E611" s="258" t="str">
        <f>IFERROR(__xludf.DUMMYFUNCTION("""COMPUTED_VALUE"""),"Inferred probability of a subscriber's survival to the next 15 months")</f>
        <v>Inferred probability of a subscriber's survival to the next 15 months</v>
      </c>
      <c r="F611" s="258" t="str">
        <f>IFERROR(__xludf.DUMMYFUNCTION("""COMPUTED_VALUE"""),"Inferred")</f>
        <v>Inferred</v>
      </c>
      <c r="G611" s="258" t="str">
        <f>IFERROR(__xludf.DUMMYFUNCTION("""COMPUTED_VALUE"""),"numeric(21,2)")</f>
        <v>numeric(21,2)</v>
      </c>
      <c r="H611" s="258">
        <f>IFERROR(__xludf.DUMMYFUNCTION("""COMPUTED_VALUE"""),0.57)</f>
        <v>0.57</v>
      </c>
      <c r="I611" s="258" t="str">
        <f>IFERROR(__xludf.DUMMYFUNCTION("""COMPUTED_VALUE"""),"EDO-AA")</f>
        <v>EDO-AA</v>
      </c>
      <c r="J611" s="258" t="str">
        <f>IFERROR(__xludf.DUMMYFUNCTION("""COMPUTED_VALUE"""),"Monthly")</f>
        <v>Monthly</v>
      </c>
      <c r="K611" s="258" t="str">
        <f>IFERROR(__xludf.DUMMYFUNCTION("""COMPUTED_VALUE"""),"")</f>
        <v/>
      </c>
      <c r="L611" s="258" t="str">
        <f>IFERROR(__xludf.DUMMYFUNCTION("""COMPUTED_VALUE"""),"GHP, GHP-PREPAID, TM")</f>
        <v>GHP, GHP-PREPAID, TM</v>
      </c>
      <c r="M611" s="258" t="str">
        <f>IFERROR(__xludf.DUMMYFUNCTION("""COMPUTED_VALUE"""),"Consumer")</f>
        <v>Consumer</v>
      </c>
      <c r="N611" s="258" t="str">
        <f>IFERROR(__xludf.DUMMYFUNCTION("""COMPUTED_VALUE"""),"revenue")</f>
        <v>revenue</v>
      </c>
      <c r="O611" s="258" t="str">
        <f>IFERROR(__xludf.DUMMYFUNCTION("""COMPUTED_VALUE"""),"revenue_profile")</f>
        <v>revenue_profile</v>
      </c>
      <c r="P611" s="258"/>
    </row>
    <row r="612">
      <c r="A612" s="257" t="str">
        <f>IFERROR(__xludf.DUMMYFUNCTION("""COMPUTED_VALUE"""),"clv_survival_mo16")</f>
        <v>clv_survival_mo16</v>
      </c>
      <c r="B612" s="258" t="str">
        <f>IFERROR(__xludf.DUMMYFUNCTION("""COMPUTED_VALUE"""),"Loyalty &amp; Retention")</f>
        <v>Loyalty &amp; Retention</v>
      </c>
      <c r="C612" s="258" t="str">
        <f>IFERROR(__xludf.DUMMYFUNCTION("""COMPUTED_VALUE"""),"Non-PII")</f>
        <v>Non-PII</v>
      </c>
      <c r="D612" s="258" t="str">
        <f>IFERROR(__xludf.DUMMYFUNCTION("""COMPUTED_VALUE"""),"Non-PII")</f>
        <v>Non-PII</v>
      </c>
      <c r="E612" s="258" t="str">
        <f>IFERROR(__xludf.DUMMYFUNCTION("""COMPUTED_VALUE"""),"Inferred probability of a subscriber's survival to the next 16 months")</f>
        <v>Inferred probability of a subscriber's survival to the next 16 months</v>
      </c>
      <c r="F612" s="258" t="str">
        <f>IFERROR(__xludf.DUMMYFUNCTION("""COMPUTED_VALUE"""),"Inferred")</f>
        <v>Inferred</v>
      </c>
      <c r="G612" s="258" t="str">
        <f>IFERROR(__xludf.DUMMYFUNCTION("""COMPUTED_VALUE"""),"numeric(21,2)")</f>
        <v>numeric(21,2)</v>
      </c>
      <c r="H612" s="258">
        <f>IFERROR(__xludf.DUMMYFUNCTION("""COMPUTED_VALUE"""),0.59)</f>
        <v>0.59</v>
      </c>
      <c r="I612" s="258" t="str">
        <f>IFERROR(__xludf.DUMMYFUNCTION("""COMPUTED_VALUE"""),"EDO-AA")</f>
        <v>EDO-AA</v>
      </c>
      <c r="J612" s="258" t="str">
        <f>IFERROR(__xludf.DUMMYFUNCTION("""COMPUTED_VALUE"""),"Monthly")</f>
        <v>Monthly</v>
      </c>
      <c r="K612" s="258" t="str">
        <f>IFERROR(__xludf.DUMMYFUNCTION("""COMPUTED_VALUE"""),"")</f>
        <v/>
      </c>
      <c r="L612" s="258" t="str">
        <f>IFERROR(__xludf.DUMMYFUNCTION("""COMPUTED_VALUE"""),"GHP, GHP-PREPAID, TM")</f>
        <v>GHP, GHP-PREPAID, TM</v>
      </c>
      <c r="M612" s="258" t="str">
        <f>IFERROR(__xludf.DUMMYFUNCTION("""COMPUTED_VALUE"""),"Consumer")</f>
        <v>Consumer</v>
      </c>
      <c r="N612" s="258" t="str">
        <f>IFERROR(__xludf.DUMMYFUNCTION("""COMPUTED_VALUE"""),"revenue")</f>
        <v>revenue</v>
      </c>
      <c r="O612" s="258" t="str">
        <f>IFERROR(__xludf.DUMMYFUNCTION("""COMPUTED_VALUE"""),"revenue_profile")</f>
        <v>revenue_profile</v>
      </c>
      <c r="P612" s="258"/>
    </row>
    <row r="613">
      <c r="A613" s="257" t="str">
        <f>IFERROR(__xludf.DUMMYFUNCTION("""COMPUTED_VALUE"""),"clv_survival_mo17")</f>
        <v>clv_survival_mo17</v>
      </c>
      <c r="B613" s="258" t="str">
        <f>IFERROR(__xludf.DUMMYFUNCTION("""COMPUTED_VALUE"""),"Loyalty &amp; Retention")</f>
        <v>Loyalty &amp; Retention</v>
      </c>
      <c r="C613" s="258" t="str">
        <f>IFERROR(__xludf.DUMMYFUNCTION("""COMPUTED_VALUE"""),"Non-PII")</f>
        <v>Non-PII</v>
      </c>
      <c r="D613" s="258" t="str">
        <f>IFERROR(__xludf.DUMMYFUNCTION("""COMPUTED_VALUE"""),"Non-PII")</f>
        <v>Non-PII</v>
      </c>
      <c r="E613" s="258" t="str">
        <f>IFERROR(__xludf.DUMMYFUNCTION("""COMPUTED_VALUE"""),"Inferred probability of a subscriber's survival to the next 17 months")</f>
        <v>Inferred probability of a subscriber's survival to the next 17 months</v>
      </c>
      <c r="F613" s="258" t="str">
        <f>IFERROR(__xludf.DUMMYFUNCTION("""COMPUTED_VALUE"""),"Inferred")</f>
        <v>Inferred</v>
      </c>
      <c r="G613" s="258" t="str">
        <f>IFERROR(__xludf.DUMMYFUNCTION("""COMPUTED_VALUE"""),"numeric(21,2)")</f>
        <v>numeric(21,2)</v>
      </c>
      <c r="H613" s="258">
        <f>IFERROR(__xludf.DUMMYFUNCTION("""COMPUTED_VALUE"""),0.6)</f>
        <v>0.6</v>
      </c>
      <c r="I613" s="258" t="str">
        <f>IFERROR(__xludf.DUMMYFUNCTION("""COMPUTED_VALUE"""),"EDO-AA")</f>
        <v>EDO-AA</v>
      </c>
      <c r="J613" s="258" t="str">
        <f>IFERROR(__xludf.DUMMYFUNCTION("""COMPUTED_VALUE"""),"Monthly")</f>
        <v>Monthly</v>
      </c>
      <c r="K613" s="258" t="str">
        <f>IFERROR(__xludf.DUMMYFUNCTION("""COMPUTED_VALUE"""),"")</f>
        <v/>
      </c>
      <c r="L613" s="258" t="str">
        <f>IFERROR(__xludf.DUMMYFUNCTION("""COMPUTED_VALUE"""),"GHP, GHP-PREPAID, TM")</f>
        <v>GHP, GHP-PREPAID, TM</v>
      </c>
      <c r="M613" s="258" t="str">
        <f>IFERROR(__xludf.DUMMYFUNCTION("""COMPUTED_VALUE"""),"Consumer")</f>
        <v>Consumer</v>
      </c>
      <c r="N613" s="258" t="str">
        <f>IFERROR(__xludf.DUMMYFUNCTION("""COMPUTED_VALUE"""),"revenue")</f>
        <v>revenue</v>
      </c>
      <c r="O613" s="258" t="str">
        <f>IFERROR(__xludf.DUMMYFUNCTION("""COMPUTED_VALUE"""),"revenue_profile")</f>
        <v>revenue_profile</v>
      </c>
      <c r="P613" s="258"/>
    </row>
    <row r="614">
      <c r="A614" s="257" t="str">
        <f>IFERROR(__xludf.DUMMYFUNCTION("""COMPUTED_VALUE"""),"clv_survival_mo18")</f>
        <v>clv_survival_mo18</v>
      </c>
      <c r="B614" s="258" t="str">
        <f>IFERROR(__xludf.DUMMYFUNCTION("""COMPUTED_VALUE"""),"Loyalty &amp; Retention")</f>
        <v>Loyalty &amp; Retention</v>
      </c>
      <c r="C614" s="258" t="str">
        <f>IFERROR(__xludf.DUMMYFUNCTION("""COMPUTED_VALUE"""),"Non-PII")</f>
        <v>Non-PII</v>
      </c>
      <c r="D614" s="258" t="str">
        <f>IFERROR(__xludf.DUMMYFUNCTION("""COMPUTED_VALUE"""),"Non-PII")</f>
        <v>Non-PII</v>
      </c>
      <c r="E614" s="258" t="str">
        <f>IFERROR(__xludf.DUMMYFUNCTION("""COMPUTED_VALUE"""),"Inferred probability of a subscriber's survival to the next 18 months")</f>
        <v>Inferred probability of a subscriber's survival to the next 18 months</v>
      </c>
      <c r="F614" s="258" t="str">
        <f>IFERROR(__xludf.DUMMYFUNCTION("""COMPUTED_VALUE"""),"Inferred")</f>
        <v>Inferred</v>
      </c>
      <c r="G614" s="258" t="str">
        <f>IFERROR(__xludf.DUMMYFUNCTION("""COMPUTED_VALUE"""),"numeric(21,2)")</f>
        <v>numeric(21,2)</v>
      </c>
      <c r="H614" s="258">
        <f>IFERROR(__xludf.DUMMYFUNCTION("""COMPUTED_VALUE"""),0.6)</f>
        <v>0.6</v>
      </c>
      <c r="I614" s="258" t="str">
        <f>IFERROR(__xludf.DUMMYFUNCTION("""COMPUTED_VALUE"""),"EDO-AA")</f>
        <v>EDO-AA</v>
      </c>
      <c r="J614" s="258" t="str">
        <f>IFERROR(__xludf.DUMMYFUNCTION("""COMPUTED_VALUE"""),"Monthly")</f>
        <v>Monthly</v>
      </c>
      <c r="K614" s="258" t="str">
        <f>IFERROR(__xludf.DUMMYFUNCTION("""COMPUTED_VALUE"""),"")</f>
        <v/>
      </c>
      <c r="L614" s="258" t="str">
        <f>IFERROR(__xludf.DUMMYFUNCTION("""COMPUTED_VALUE"""),"GHP, GHP-PREPAID, TM")</f>
        <v>GHP, GHP-PREPAID, TM</v>
      </c>
      <c r="M614" s="258" t="str">
        <f>IFERROR(__xludf.DUMMYFUNCTION("""COMPUTED_VALUE"""),"Consumer")</f>
        <v>Consumer</v>
      </c>
      <c r="N614" s="258" t="str">
        <f>IFERROR(__xludf.DUMMYFUNCTION("""COMPUTED_VALUE"""),"revenue")</f>
        <v>revenue</v>
      </c>
      <c r="O614" s="258" t="str">
        <f>IFERROR(__xludf.DUMMYFUNCTION("""COMPUTED_VALUE"""),"revenue_profile")</f>
        <v>revenue_profile</v>
      </c>
      <c r="P614" s="258"/>
    </row>
    <row r="615">
      <c r="A615" s="257" t="str">
        <f>IFERROR(__xludf.DUMMYFUNCTION("""COMPUTED_VALUE"""),"clv_survival_mo19")</f>
        <v>clv_survival_mo19</v>
      </c>
      <c r="B615" s="258" t="str">
        <f>IFERROR(__xludf.DUMMYFUNCTION("""COMPUTED_VALUE"""),"Loyalty &amp; Retention")</f>
        <v>Loyalty &amp; Retention</v>
      </c>
      <c r="C615" s="258" t="str">
        <f>IFERROR(__xludf.DUMMYFUNCTION("""COMPUTED_VALUE"""),"Non-PII")</f>
        <v>Non-PII</v>
      </c>
      <c r="D615" s="258" t="str">
        <f>IFERROR(__xludf.DUMMYFUNCTION("""COMPUTED_VALUE"""),"Non-PII")</f>
        <v>Non-PII</v>
      </c>
      <c r="E615" s="258" t="str">
        <f>IFERROR(__xludf.DUMMYFUNCTION("""COMPUTED_VALUE"""),"Inferred probability of a subscriber's survival to the next 19 months")</f>
        <v>Inferred probability of a subscriber's survival to the next 19 months</v>
      </c>
      <c r="F615" s="258" t="str">
        <f>IFERROR(__xludf.DUMMYFUNCTION("""COMPUTED_VALUE"""),"Inferred")</f>
        <v>Inferred</v>
      </c>
      <c r="G615" s="258" t="str">
        <f>IFERROR(__xludf.DUMMYFUNCTION("""COMPUTED_VALUE"""),"numeric(21,2)")</f>
        <v>numeric(21,2)</v>
      </c>
      <c r="H615" s="258">
        <f>IFERROR(__xludf.DUMMYFUNCTION("""COMPUTED_VALUE"""),0.61)</f>
        <v>0.61</v>
      </c>
      <c r="I615" s="258" t="str">
        <f>IFERROR(__xludf.DUMMYFUNCTION("""COMPUTED_VALUE"""),"EDO-AA")</f>
        <v>EDO-AA</v>
      </c>
      <c r="J615" s="258" t="str">
        <f>IFERROR(__xludf.DUMMYFUNCTION("""COMPUTED_VALUE"""),"Monthly")</f>
        <v>Monthly</v>
      </c>
      <c r="K615" s="258" t="str">
        <f>IFERROR(__xludf.DUMMYFUNCTION("""COMPUTED_VALUE"""),"")</f>
        <v/>
      </c>
      <c r="L615" s="258" t="str">
        <f>IFERROR(__xludf.DUMMYFUNCTION("""COMPUTED_VALUE"""),"GHP, GHP-PREPAID, TM")</f>
        <v>GHP, GHP-PREPAID, TM</v>
      </c>
      <c r="M615" s="258" t="str">
        <f>IFERROR(__xludf.DUMMYFUNCTION("""COMPUTED_VALUE"""),"Consumer")</f>
        <v>Consumer</v>
      </c>
      <c r="N615" s="258" t="str">
        <f>IFERROR(__xludf.DUMMYFUNCTION("""COMPUTED_VALUE"""),"revenue")</f>
        <v>revenue</v>
      </c>
      <c r="O615" s="258" t="str">
        <f>IFERROR(__xludf.DUMMYFUNCTION("""COMPUTED_VALUE"""),"revenue_profile")</f>
        <v>revenue_profile</v>
      </c>
      <c r="P615" s="258"/>
    </row>
    <row r="616">
      <c r="A616" s="257" t="str">
        <f>IFERROR(__xludf.DUMMYFUNCTION("""COMPUTED_VALUE"""),"clv_survival_mo20")</f>
        <v>clv_survival_mo20</v>
      </c>
      <c r="B616" s="258" t="str">
        <f>IFERROR(__xludf.DUMMYFUNCTION("""COMPUTED_VALUE"""),"Loyalty &amp; Retention")</f>
        <v>Loyalty &amp; Retention</v>
      </c>
      <c r="C616" s="258" t="str">
        <f>IFERROR(__xludf.DUMMYFUNCTION("""COMPUTED_VALUE"""),"Non-PII")</f>
        <v>Non-PII</v>
      </c>
      <c r="D616" s="258" t="str">
        <f>IFERROR(__xludf.DUMMYFUNCTION("""COMPUTED_VALUE"""),"Non-PII")</f>
        <v>Non-PII</v>
      </c>
      <c r="E616" s="258" t="str">
        <f>IFERROR(__xludf.DUMMYFUNCTION("""COMPUTED_VALUE"""),"Inferred probability of a subscriber's survival to the next 20 months")</f>
        <v>Inferred probability of a subscriber's survival to the next 20 months</v>
      </c>
      <c r="F616" s="258" t="str">
        <f>IFERROR(__xludf.DUMMYFUNCTION("""COMPUTED_VALUE"""),"Inferred")</f>
        <v>Inferred</v>
      </c>
      <c r="G616" s="258" t="str">
        <f>IFERROR(__xludf.DUMMYFUNCTION("""COMPUTED_VALUE"""),"numeric(21,2)")</f>
        <v>numeric(21,2)</v>
      </c>
      <c r="H616" s="258">
        <f>IFERROR(__xludf.DUMMYFUNCTION("""COMPUTED_VALUE"""),0.62)</f>
        <v>0.62</v>
      </c>
      <c r="I616" s="258" t="str">
        <f>IFERROR(__xludf.DUMMYFUNCTION("""COMPUTED_VALUE"""),"EDO-AA")</f>
        <v>EDO-AA</v>
      </c>
      <c r="J616" s="258" t="str">
        <f>IFERROR(__xludf.DUMMYFUNCTION("""COMPUTED_VALUE"""),"Monthly")</f>
        <v>Monthly</v>
      </c>
      <c r="K616" s="258" t="str">
        <f>IFERROR(__xludf.DUMMYFUNCTION("""COMPUTED_VALUE"""),"")</f>
        <v/>
      </c>
      <c r="L616" s="258" t="str">
        <f>IFERROR(__xludf.DUMMYFUNCTION("""COMPUTED_VALUE"""),"GHP, GHP-PREPAID, TM")</f>
        <v>GHP, GHP-PREPAID, TM</v>
      </c>
      <c r="M616" s="258" t="str">
        <f>IFERROR(__xludf.DUMMYFUNCTION("""COMPUTED_VALUE"""),"Consumer")</f>
        <v>Consumer</v>
      </c>
      <c r="N616" s="258" t="str">
        <f>IFERROR(__xludf.DUMMYFUNCTION("""COMPUTED_VALUE"""),"revenue")</f>
        <v>revenue</v>
      </c>
      <c r="O616" s="258" t="str">
        <f>IFERROR(__xludf.DUMMYFUNCTION("""COMPUTED_VALUE"""),"revenue_profile")</f>
        <v>revenue_profile</v>
      </c>
      <c r="P616" s="258"/>
    </row>
    <row r="617">
      <c r="A617" s="257" t="str">
        <f>IFERROR(__xludf.DUMMYFUNCTION("""COMPUTED_VALUE"""),"clv_survival_mo21")</f>
        <v>clv_survival_mo21</v>
      </c>
      <c r="B617" s="258" t="str">
        <f>IFERROR(__xludf.DUMMYFUNCTION("""COMPUTED_VALUE"""),"Loyalty &amp; Retention")</f>
        <v>Loyalty &amp; Retention</v>
      </c>
      <c r="C617" s="258" t="str">
        <f>IFERROR(__xludf.DUMMYFUNCTION("""COMPUTED_VALUE"""),"Non-PII")</f>
        <v>Non-PII</v>
      </c>
      <c r="D617" s="258" t="str">
        <f>IFERROR(__xludf.DUMMYFUNCTION("""COMPUTED_VALUE"""),"Non-PII")</f>
        <v>Non-PII</v>
      </c>
      <c r="E617" s="258" t="str">
        <f>IFERROR(__xludf.DUMMYFUNCTION("""COMPUTED_VALUE"""),"Inferred probability of a subscriber's survival to the next 21 months")</f>
        <v>Inferred probability of a subscriber's survival to the next 21 months</v>
      </c>
      <c r="F617" s="258" t="str">
        <f>IFERROR(__xludf.DUMMYFUNCTION("""COMPUTED_VALUE"""),"Inferred")</f>
        <v>Inferred</v>
      </c>
      <c r="G617" s="258" t="str">
        <f>IFERROR(__xludf.DUMMYFUNCTION("""COMPUTED_VALUE"""),"numeric(21,2)")</f>
        <v>numeric(21,2)</v>
      </c>
      <c r="H617" s="258">
        <f>IFERROR(__xludf.DUMMYFUNCTION("""COMPUTED_VALUE"""),0.63)</f>
        <v>0.63</v>
      </c>
      <c r="I617" s="258" t="str">
        <f>IFERROR(__xludf.DUMMYFUNCTION("""COMPUTED_VALUE"""),"EDO-AA")</f>
        <v>EDO-AA</v>
      </c>
      <c r="J617" s="258" t="str">
        <f>IFERROR(__xludf.DUMMYFUNCTION("""COMPUTED_VALUE"""),"Monthly")</f>
        <v>Monthly</v>
      </c>
      <c r="K617" s="258" t="str">
        <f>IFERROR(__xludf.DUMMYFUNCTION("""COMPUTED_VALUE"""),"")</f>
        <v/>
      </c>
      <c r="L617" s="258" t="str">
        <f>IFERROR(__xludf.DUMMYFUNCTION("""COMPUTED_VALUE"""),"GHP, GHP-PREPAID, TM")</f>
        <v>GHP, GHP-PREPAID, TM</v>
      </c>
      <c r="M617" s="258" t="str">
        <f>IFERROR(__xludf.DUMMYFUNCTION("""COMPUTED_VALUE"""),"Consumer")</f>
        <v>Consumer</v>
      </c>
      <c r="N617" s="258" t="str">
        <f>IFERROR(__xludf.DUMMYFUNCTION("""COMPUTED_VALUE"""),"revenue")</f>
        <v>revenue</v>
      </c>
      <c r="O617" s="258" t="str">
        <f>IFERROR(__xludf.DUMMYFUNCTION("""COMPUTED_VALUE"""),"revenue_profile")</f>
        <v>revenue_profile</v>
      </c>
      <c r="P617" s="258"/>
    </row>
    <row r="618">
      <c r="A618" s="257" t="str">
        <f>IFERROR(__xludf.DUMMYFUNCTION("""COMPUTED_VALUE"""),"clv_survival_mo22")</f>
        <v>clv_survival_mo22</v>
      </c>
      <c r="B618" s="258" t="str">
        <f>IFERROR(__xludf.DUMMYFUNCTION("""COMPUTED_VALUE"""),"Loyalty &amp; Retention")</f>
        <v>Loyalty &amp; Retention</v>
      </c>
      <c r="C618" s="258" t="str">
        <f>IFERROR(__xludf.DUMMYFUNCTION("""COMPUTED_VALUE"""),"Non-PII")</f>
        <v>Non-PII</v>
      </c>
      <c r="D618" s="258" t="str">
        <f>IFERROR(__xludf.DUMMYFUNCTION("""COMPUTED_VALUE"""),"Non-PII")</f>
        <v>Non-PII</v>
      </c>
      <c r="E618" s="258" t="str">
        <f>IFERROR(__xludf.DUMMYFUNCTION("""COMPUTED_VALUE"""),"Inferred probability of a subscriber's survival to the next 22 months")</f>
        <v>Inferred probability of a subscriber's survival to the next 22 months</v>
      </c>
      <c r="F618" s="258" t="str">
        <f>IFERROR(__xludf.DUMMYFUNCTION("""COMPUTED_VALUE"""),"Inferred")</f>
        <v>Inferred</v>
      </c>
      <c r="G618" s="258" t="str">
        <f>IFERROR(__xludf.DUMMYFUNCTION("""COMPUTED_VALUE"""),"numeric(21,2)")</f>
        <v>numeric(21,2)</v>
      </c>
      <c r="H618" s="258">
        <f>IFERROR(__xludf.DUMMYFUNCTION("""COMPUTED_VALUE"""),0.65)</f>
        <v>0.65</v>
      </c>
      <c r="I618" s="258" t="str">
        <f>IFERROR(__xludf.DUMMYFUNCTION("""COMPUTED_VALUE"""),"EDO-AA")</f>
        <v>EDO-AA</v>
      </c>
      <c r="J618" s="258" t="str">
        <f>IFERROR(__xludf.DUMMYFUNCTION("""COMPUTED_VALUE"""),"Monthly")</f>
        <v>Monthly</v>
      </c>
      <c r="K618" s="258" t="str">
        <f>IFERROR(__xludf.DUMMYFUNCTION("""COMPUTED_VALUE"""),"")</f>
        <v/>
      </c>
      <c r="L618" s="258" t="str">
        <f>IFERROR(__xludf.DUMMYFUNCTION("""COMPUTED_VALUE"""),"GHP, GHP-PREPAID, TM")</f>
        <v>GHP, GHP-PREPAID, TM</v>
      </c>
      <c r="M618" s="258" t="str">
        <f>IFERROR(__xludf.DUMMYFUNCTION("""COMPUTED_VALUE"""),"Consumer")</f>
        <v>Consumer</v>
      </c>
      <c r="N618" s="258" t="str">
        <f>IFERROR(__xludf.DUMMYFUNCTION("""COMPUTED_VALUE"""),"revenue")</f>
        <v>revenue</v>
      </c>
      <c r="O618" s="258" t="str">
        <f>IFERROR(__xludf.DUMMYFUNCTION("""COMPUTED_VALUE"""),"revenue_profile")</f>
        <v>revenue_profile</v>
      </c>
      <c r="P618" s="258"/>
    </row>
    <row r="619">
      <c r="A619" s="257" t="str">
        <f>IFERROR(__xludf.DUMMYFUNCTION("""COMPUTED_VALUE"""),"clv_survival_mo23")</f>
        <v>clv_survival_mo23</v>
      </c>
      <c r="B619" s="258" t="str">
        <f>IFERROR(__xludf.DUMMYFUNCTION("""COMPUTED_VALUE"""),"Loyalty &amp; Retention")</f>
        <v>Loyalty &amp; Retention</v>
      </c>
      <c r="C619" s="258" t="str">
        <f>IFERROR(__xludf.DUMMYFUNCTION("""COMPUTED_VALUE"""),"Non-PII")</f>
        <v>Non-PII</v>
      </c>
      <c r="D619" s="258" t="str">
        <f>IFERROR(__xludf.DUMMYFUNCTION("""COMPUTED_VALUE"""),"Non-PII")</f>
        <v>Non-PII</v>
      </c>
      <c r="E619" s="258" t="str">
        <f>IFERROR(__xludf.DUMMYFUNCTION("""COMPUTED_VALUE"""),"Inferred probability of a subscriber's survival to the next 23 months")</f>
        <v>Inferred probability of a subscriber's survival to the next 23 months</v>
      </c>
      <c r="F619" s="258" t="str">
        <f>IFERROR(__xludf.DUMMYFUNCTION("""COMPUTED_VALUE"""),"Inferred")</f>
        <v>Inferred</v>
      </c>
      <c r="G619" s="258" t="str">
        <f>IFERROR(__xludf.DUMMYFUNCTION("""COMPUTED_VALUE"""),"numeric(21,2)")</f>
        <v>numeric(21,2)</v>
      </c>
      <c r="H619" s="258">
        <f>IFERROR(__xludf.DUMMYFUNCTION("""COMPUTED_VALUE"""),0.61)</f>
        <v>0.61</v>
      </c>
      <c r="I619" s="258" t="str">
        <f>IFERROR(__xludf.DUMMYFUNCTION("""COMPUTED_VALUE"""),"EDO-AA")</f>
        <v>EDO-AA</v>
      </c>
      <c r="J619" s="258" t="str">
        <f>IFERROR(__xludf.DUMMYFUNCTION("""COMPUTED_VALUE"""),"Monthly")</f>
        <v>Monthly</v>
      </c>
      <c r="K619" s="258" t="str">
        <f>IFERROR(__xludf.DUMMYFUNCTION("""COMPUTED_VALUE"""),"")</f>
        <v/>
      </c>
      <c r="L619" s="258" t="str">
        <f>IFERROR(__xludf.DUMMYFUNCTION("""COMPUTED_VALUE"""),"GHP, GHP-PREPAID, TM")</f>
        <v>GHP, GHP-PREPAID, TM</v>
      </c>
      <c r="M619" s="258" t="str">
        <f>IFERROR(__xludf.DUMMYFUNCTION("""COMPUTED_VALUE"""),"Consumer")</f>
        <v>Consumer</v>
      </c>
      <c r="N619" s="258" t="str">
        <f>IFERROR(__xludf.DUMMYFUNCTION("""COMPUTED_VALUE"""),"revenue")</f>
        <v>revenue</v>
      </c>
      <c r="O619" s="258" t="str">
        <f>IFERROR(__xludf.DUMMYFUNCTION("""COMPUTED_VALUE"""),"revenue_profile")</f>
        <v>revenue_profile</v>
      </c>
      <c r="P619" s="258"/>
    </row>
    <row r="620">
      <c r="A620" s="257" t="str">
        <f>IFERROR(__xludf.DUMMYFUNCTION("""COMPUTED_VALUE"""),"clv_survival_mo24")</f>
        <v>clv_survival_mo24</v>
      </c>
      <c r="B620" s="258" t="str">
        <f>IFERROR(__xludf.DUMMYFUNCTION("""COMPUTED_VALUE"""),"Loyalty &amp; Retention")</f>
        <v>Loyalty &amp; Retention</v>
      </c>
      <c r="C620" s="258" t="str">
        <f>IFERROR(__xludf.DUMMYFUNCTION("""COMPUTED_VALUE"""),"Non-PII")</f>
        <v>Non-PII</v>
      </c>
      <c r="D620" s="258" t="str">
        <f>IFERROR(__xludf.DUMMYFUNCTION("""COMPUTED_VALUE"""),"Non-PII")</f>
        <v>Non-PII</v>
      </c>
      <c r="E620" s="258" t="str">
        <f>IFERROR(__xludf.DUMMYFUNCTION("""COMPUTED_VALUE"""),"Inferred probability of a subscriber's survival to the next 24 months")</f>
        <v>Inferred probability of a subscriber's survival to the next 24 months</v>
      </c>
      <c r="F620" s="258" t="str">
        <f>IFERROR(__xludf.DUMMYFUNCTION("""COMPUTED_VALUE"""),"Inferred")</f>
        <v>Inferred</v>
      </c>
      <c r="G620" s="258" t="str">
        <f>IFERROR(__xludf.DUMMYFUNCTION("""COMPUTED_VALUE"""),"numeric(21,2)")</f>
        <v>numeric(21,2)</v>
      </c>
      <c r="H620" s="258">
        <f>IFERROR(__xludf.DUMMYFUNCTION("""COMPUTED_VALUE"""),0.65)</f>
        <v>0.65</v>
      </c>
      <c r="I620" s="258" t="str">
        <f>IFERROR(__xludf.DUMMYFUNCTION("""COMPUTED_VALUE"""),"EDO-AA")</f>
        <v>EDO-AA</v>
      </c>
      <c r="J620" s="258" t="str">
        <f>IFERROR(__xludf.DUMMYFUNCTION("""COMPUTED_VALUE"""),"Monthly")</f>
        <v>Monthly</v>
      </c>
      <c r="K620" s="258" t="str">
        <f>IFERROR(__xludf.DUMMYFUNCTION("""COMPUTED_VALUE"""),"")</f>
        <v/>
      </c>
      <c r="L620" s="258" t="str">
        <f>IFERROR(__xludf.DUMMYFUNCTION("""COMPUTED_VALUE"""),"GHP, GHP-PREPAID, TM")</f>
        <v>GHP, GHP-PREPAID, TM</v>
      </c>
      <c r="M620" s="258" t="str">
        <f>IFERROR(__xludf.DUMMYFUNCTION("""COMPUTED_VALUE"""),"Consumer")</f>
        <v>Consumer</v>
      </c>
      <c r="N620" s="258" t="str">
        <f>IFERROR(__xludf.DUMMYFUNCTION("""COMPUTED_VALUE"""),"revenue")</f>
        <v>revenue</v>
      </c>
      <c r="O620" s="258" t="str">
        <f>IFERROR(__xludf.DUMMYFUNCTION("""COMPUTED_VALUE"""),"revenue_profile")</f>
        <v>revenue_profile</v>
      </c>
      <c r="P620" s="258"/>
    </row>
    <row r="621">
      <c r="A621" s="257" t="str">
        <f>IFERROR(__xludf.DUMMYFUNCTION("""COMPUTED_VALUE"""),"basketball_fan_bucket")</f>
        <v>basketball_fan_bucket</v>
      </c>
      <c r="B621" s="258" t="str">
        <f>IFERROR(__xludf.DUMMYFUNCTION("""COMPUTED_VALUE"""),"Audience/Persona")</f>
        <v>Audience/Persona</v>
      </c>
      <c r="C621" s="258" t="str">
        <f>IFERROR(__xludf.DUMMYFUNCTION("""COMPUTED_VALUE"""),"Non-PII")</f>
        <v>Non-PII</v>
      </c>
      <c r="D621" s="258" t="str">
        <f>IFERROR(__xludf.DUMMYFUNCTION("""COMPUTED_VALUE"""),"Non-PII")</f>
        <v>Non-PII</v>
      </c>
      <c r="E621" s="258" t="str">
        <f>IFERROR(__xludf.DUMMYFUNCTION("""COMPUTED_VALUE"""),"Bucketing based on identified metric for the Basketball Fan profile
 Metric: Average Daily Hits in a Month
 Valid values:
 LOW: &lt;= 7 hits
 MID: &gt; 7 &amp; &lt;= 14 hits
 HIGH: &gt; 14 hits
 For wireline subscribers, only subscriptions within Metro Manila (includin"&amp;"g some areas in Rizal) and with DSL, VDSL and GPON technology value are covered.")</f>
        <v>Bucketing based on identified metric for the Basketball Fan profile
 Metric: Average Daily Hits in a Month
 Valid values:
 LOW: &lt;= 7 hits
 MID: &gt; 7 &amp; &lt;= 14 hits
 HIGH: &gt; 14 hits
 For wireline subscribers, only subscriptions within Metro Manila (including some areas in Rizal) and with DSL, VDSL and GPON technology value are covered.</v>
      </c>
      <c r="F621" s="258" t="str">
        <f>IFERROR(__xludf.DUMMYFUNCTION("""COMPUTED_VALUE"""),"Direct Pull")</f>
        <v>Direct Pull</v>
      </c>
      <c r="G621" s="258" t="str">
        <f>IFERROR(__xludf.DUMMYFUNCTION("""COMPUTED_VALUE"""),"varchar(1000)")</f>
        <v>varchar(1000)</v>
      </c>
      <c r="H621" s="258" t="str">
        <f>IFERROR(__xludf.DUMMYFUNCTION("""COMPUTED_VALUE"""),"HIGH")</f>
        <v>HIGH</v>
      </c>
      <c r="I621" s="258" t="str">
        <f>IFERROR(__xludf.DUMMYFUNCTION("""COMPUTED_VALUE"""),"EDO-UUP")</f>
        <v>EDO-UUP</v>
      </c>
      <c r="J621" s="258" t="str">
        <f>IFERROR(__xludf.DUMMYFUNCTION("""COMPUTED_VALUE"""),"Monthly")</f>
        <v>Monthly</v>
      </c>
      <c r="K621" s="258" t="str">
        <f>IFERROR(__xludf.DUMMYFUNCTION("""COMPUTED_VALUE"""),"")</f>
        <v/>
      </c>
      <c r="L621" s="258" t="str">
        <f>IFERROR(__xludf.DUMMYFUNCTION("""COMPUTED_VALUE"""),"GHP, GHP-PREPAID, TM, PW, GOMO, WIRELINE, BAYAN, GLOBE")</f>
        <v>GHP, GHP-PREPAID, TM, PW, GOMO, WIRELINE, BAYAN, GLOBE</v>
      </c>
      <c r="M621" s="258" t="str">
        <f>IFERROR(__xludf.DUMMYFUNCTION("""COMPUTED_VALUE"""),"Consumer, EG, SG, In house, IBG Traveler")</f>
        <v>Consumer, EG, SG, In house, IBG Traveler</v>
      </c>
      <c r="N621" s="258" t="str">
        <f>IFERROR(__xludf.DUMMYFUNCTION("""COMPUTED_VALUE"""),"interest")</f>
        <v>interest</v>
      </c>
      <c r="O621" s="258" t="str">
        <f>IFERROR(__xludf.DUMMYFUNCTION("""COMPUTED_VALUE"""),"network_profile")</f>
        <v>network_profile</v>
      </c>
      <c r="P621" s="258"/>
    </row>
    <row r="622">
      <c r="A622" s="257" t="str">
        <f>IFERROR(__xludf.DUMMYFUNCTION("""COMPUTED_VALUE"""),"basketball_fan_details")</f>
        <v>basketball_fan_details</v>
      </c>
      <c r="B622" s="258" t="str">
        <f>IFERROR(__xludf.DUMMYFUNCTION("""COMPUTED_VALUE"""),"Audience/Persona")</f>
        <v>Audience/Persona</v>
      </c>
      <c r="C622" s="258" t="str">
        <f>IFERROR(__xludf.DUMMYFUNCTION("""COMPUTED_VALUE"""),"Non-PII")</f>
        <v>Non-PII</v>
      </c>
      <c r="D622" s="258" t="str">
        <f>IFERROR(__xludf.DUMMYFUNCTION("""COMPUTED_VALUE"""),"Non-PII")</f>
        <v>Non-PII</v>
      </c>
      <c r="E622" s="258" t="str">
        <f>IFERROR(__xludf.DUMMYFUNCTION("""COMPUTED_VALUE"""),"Metric used and value for the Basketball Fan profile
 For wireline subscribers, only subscriptions within Metro Manila (including some areas in Rizal) and with DSL, VDSL and GPON technology value are covered.")</f>
        <v>Metric used and value for the Basketball Fan profile
 For wireline subscribers, only subscriptions within Metro Manila (including some areas in Rizal) and with DSL, VDSL and GPON technology value are covered.</v>
      </c>
      <c r="F622" s="258" t="str">
        <f>IFERROR(__xludf.DUMMYFUNCTION("""COMPUTED_VALUE"""),"Derived")</f>
        <v>Derived</v>
      </c>
      <c r="G622" s="258" t="str">
        <f>IFERROR(__xludf.DUMMYFUNCTION("""COMPUTED_VALUE"""),"varchar(1000)")</f>
        <v>varchar(1000)</v>
      </c>
      <c r="H622" s="258" t="str">
        <f>IFERROR(__xludf.DUMMYFUNCTION("""COMPUTED_VALUE"""),"{""Average Daily Hits in a Month: 1""}")</f>
        <v>{"Average Daily Hits in a Month: 1"}</v>
      </c>
      <c r="I622" s="258" t="str">
        <f>IFERROR(__xludf.DUMMYFUNCTION("""COMPUTED_VALUE"""),"EDO-UUP")</f>
        <v>EDO-UUP</v>
      </c>
      <c r="J622" s="258" t="str">
        <f>IFERROR(__xludf.DUMMYFUNCTION("""COMPUTED_VALUE"""),"Monthly")</f>
        <v>Monthly</v>
      </c>
      <c r="K622" s="258" t="str">
        <f>IFERROR(__xludf.DUMMYFUNCTION("""COMPUTED_VALUE"""),"")</f>
        <v/>
      </c>
      <c r="L622" s="258" t="str">
        <f>IFERROR(__xludf.DUMMYFUNCTION("""COMPUTED_VALUE"""),"GHP, GHP-PREPAID, TM, PW, GOMO, WIRELINE, BAYAN, GLOBE")</f>
        <v>GHP, GHP-PREPAID, TM, PW, GOMO, WIRELINE, BAYAN, GLOBE</v>
      </c>
      <c r="M622" s="258" t="str">
        <f>IFERROR(__xludf.DUMMYFUNCTION("""COMPUTED_VALUE"""),"Consumer, EG, SG, In house, IBG Traveler")</f>
        <v>Consumer, EG, SG, In house, IBG Traveler</v>
      </c>
      <c r="N622" s="258" t="str">
        <f>IFERROR(__xludf.DUMMYFUNCTION("""COMPUTED_VALUE"""),"interest")</f>
        <v>interest</v>
      </c>
      <c r="O622" s="258" t="str">
        <f>IFERROR(__xludf.DUMMYFUNCTION("""COMPUTED_VALUE"""),"network_profile")</f>
        <v>network_profile</v>
      </c>
      <c r="P622" s="258"/>
    </row>
    <row r="623">
      <c r="A623" s="257" t="str">
        <f>IFERROR(__xludf.DUMMYFUNCTION("""COMPUTED_VALUE"""),"basketball_fan_indicator")</f>
        <v>basketball_fan_indicator</v>
      </c>
      <c r="B623" s="258" t="str">
        <f>IFERROR(__xludf.DUMMYFUNCTION("""COMPUTED_VALUE"""),"Audience/Persona")</f>
        <v>Audience/Persona</v>
      </c>
      <c r="C623" s="258" t="str">
        <f>IFERROR(__xludf.DUMMYFUNCTION("""COMPUTED_VALUE"""),"Non-PII")</f>
        <v>Non-PII</v>
      </c>
      <c r="D623" s="258" t="str">
        <f>IFERROR(__xludf.DUMMYFUNCTION("""COMPUTED_VALUE"""),"Non-PII")</f>
        <v>Non-PII</v>
      </c>
      <c r="E623" s="258" t="str">
        <f>IFERROR(__xludf.DUMMYFUNCTION("""COMPUTED_VALUE"""),"Indicator if a subscriber accesses basketball-related apps and sites such as nba, pba, fiba
 For wireline subscribers, only subscriptions within Metro Manila (including some areas in Rizal) and with DSL, VDSL and GPON technology value are covered.")</f>
        <v>Indicator if a subscriber accesses basketball-related apps and sites such as nba, pba, fiba
 For wireline subscribers, only subscriptions within Metro Manila (including some areas in Rizal) and with DSL, VDSL and GPON technology value are covered.</v>
      </c>
      <c r="F623" s="258" t="str">
        <f>IFERROR(__xludf.DUMMYFUNCTION("""COMPUTED_VALUE"""),"Derived")</f>
        <v>Derived</v>
      </c>
      <c r="G623" s="258" t="str">
        <f>IFERROR(__xludf.DUMMYFUNCTION("""COMPUTED_VALUE"""),"boolean")</f>
        <v>boolean</v>
      </c>
      <c r="H623" s="258" t="b">
        <f>IFERROR(__xludf.DUMMYFUNCTION("""COMPUTED_VALUE"""),TRUE)</f>
        <v>1</v>
      </c>
      <c r="I623" s="258" t="str">
        <f>IFERROR(__xludf.DUMMYFUNCTION("""COMPUTED_VALUE"""),"EDO-UUP")</f>
        <v>EDO-UUP</v>
      </c>
      <c r="J623" s="258" t="str">
        <f>IFERROR(__xludf.DUMMYFUNCTION("""COMPUTED_VALUE"""),"Monthly")</f>
        <v>Monthly</v>
      </c>
      <c r="K623" s="258" t="str">
        <f>IFERROR(__xludf.DUMMYFUNCTION("""COMPUTED_VALUE"""),"")</f>
        <v/>
      </c>
      <c r="L623" s="258" t="str">
        <f>IFERROR(__xludf.DUMMYFUNCTION("""COMPUTED_VALUE"""),"GHP, GHP-PREPAID, TM, PW, GOMO, WIRELINE, BAYAN, GLOBE")</f>
        <v>GHP, GHP-PREPAID, TM, PW, GOMO, WIRELINE, BAYAN, GLOBE</v>
      </c>
      <c r="M623" s="258" t="str">
        <f>IFERROR(__xludf.DUMMYFUNCTION("""COMPUTED_VALUE"""),"Consumer, EG, SG, In house, IBG Traveler")</f>
        <v>Consumer, EG, SG, In house, IBG Traveler</v>
      </c>
      <c r="N623" s="258" t="str">
        <f>IFERROR(__xludf.DUMMYFUNCTION("""COMPUTED_VALUE"""),"interest")</f>
        <v>interest</v>
      </c>
      <c r="O623" s="258" t="str">
        <f>IFERROR(__xludf.DUMMYFUNCTION("""COMPUTED_VALUE"""),"network_profile")</f>
        <v>network_profile</v>
      </c>
      <c r="P623" s="258"/>
    </row>
    <row r="624">
      <c r="A624" s="257" t="str">
        <f>IFERROR(__xludf.DUMMYFUNCTION("""COMPUTED_VALUE"""),"basketball_fan_top_apps")</f>
        <v>basketball_fan_top_apps</v>
      </c>
      <c r="B624" s="258" t="str">
        <f>IFERROR(__xludf.DUMMYFUNCTION("""COMPUTED_VALUE"""),"Audience/Persona")</f>
        <v>Audience/Persona</v>
      </c>
      <c r="C624" s="258" t="str">
        <f>IFERROR(__xludf.DUMMYFUNCTION("""COMPUTED_VALUE"""),"Non-PII")</f>
        <v>Non-PII</v>
      </c>
      <c r="D624" s="258" t="str">
        <f>IFERROR(__xludf.DUMMYFUNCTION("""COMPUTED_VALUE"""),"Non-PII")</f>
        <v>Non-PII</v>
      </c>
      <c r="E624" s="258" t="str">
        <f>IFERROR(__xludf.DUMMYFUNCTION("""COMPUTED_VALUE"""),"Top 1 app/site by data burn, total hits and active days in a month categorized under the Basketball Fan profile
 For wireline subscribers, only subscriptions within Metro Manila (including some areas in Rizal) and with DSL, VDSL and GPON technology valu"&amp;"e are covered.")</f>
        <v>Top 1 app/site by data burn, total hits and active days in a month categorized under the Basketball Fan profile
 For wireline subscribers, only subscriptions within Metro Manila (including some areas in Rizal) and with DSL, VDSL and GPON technology value are covered.</v>
      </c>
      <c r="F624" s="258" t="str">
        <f>IFERROR(__xludf.DUMMYFUNCTION("""COMPUTED_VALUE"""),"Derived")</f>
        <v>Derived</v>
      </c>
      <c r="G624" s="258" t="str">
        <f>IFERROR(__xludf.DUMMYFUNCTION("""COMPUTED_VALUE"""),"varchar(1000)")</f>
        <v>varchar(1000)</v>
      </c>
      <c r="H624" s="258" t="str">
        <f>IFERROR(__xludf.DUMMYFUNCTION("""COMPUTED_VALUE"""),"pba")</f>
        <v>pba</v>
      </c>
      <c r="I624" s="258" t="str">
        <f>IFERROR(__xludf.DUMMYFUNCTION("""COMPUTED_VALUE"""),"EDO-UUP")</f>
        <v>EDO-UUP</v>
      </c>
      <c r="J624" s="258" t="str">
        <f>IFERROR(__xludf.DUMMYFUNCTION("""COMPUTED_VALUE"""),"Monthly")</f>
        <v>Monthly</v>
      </c>
      <c r="K624" s="258" t="str">
        <f>IFERROR(__xludf.DUMMYFUNCTION("""COMPUTED_VALUE"""),"")</f>
        <v/>
      </c>
      <c r="L624" s="258" t="str">
        <f>IFERROR(__xludf.DUMMYFUNCTION("""COMPUTED_VALUE"""),"GHP, GHP-PREPAID, TM, PW, GOMO, WIRELINE, BAYAN, GLOBE")</f>
        <v>GHP, GHP-PREPAID, TM, PW, GOMO, WIRELINE, BAYAN, GLOBE</v>
      </c>
      <c r="M624" s="258" t="str">
        <f>IFERROR(__xludf.DUMMYFUNCTION("""COMPUTED_VALUE"""),"Consumer, EG, SG, In house, IBG Traveler")</f>
        <v>Consumer, EG, SG, In house, IBG Traveler</v>
      </c>
      <c r="N624" s="258" t="str">
        <f>IFERROR(__xludf.DUMMYFUNCTION("""COMPUTED_VALUE"""),"interest")</f>
        <v>interest</v>
      </c>
      <c r="O624" s="258" t="str">
        <f>IFERROR(__xludf.DUMMYFUNCTION("""COMPUTED_VALUE"""),"network_profile")</f>
        <v>network_profile</v>
      </c>
      <c r="P624" s="258"/>
    </row>
    <row r="625">
      <c r="A625" s="257" t="str">
        <f>IFERROR(__xludf.DUMMYFUNCTION("""COMPUTED_VALUE"""),"car_dealer_caller_bucket")</f>
        <v>car_dealer_caller_bucket</v>
      </c>
      <c r="B625" s="258" t="str">
        <f>IFERROR(__xludf.DUMMYFUNCTION("""COMPUTED_VALUE"""),"Audience/Persona")</f>
        <v>Audience/Persona</v>
      </c>
      <c r="C625" s="258" t="str">
        <f>IFERROR(__xludf.DUMMYFUNCTION("""COMPUTED_VALUE"""),"Non-PII")</f>
        <v>Non-PII</v>
      </c>
      <c r="D625" s="258" t="str">
        <f>IFERROR(__xludf.DUMMYFUNCTION("""COMPUTED_VALUE"""),"Non-PII")</f>
        <v>Non-PII</v>
      </c>
      <c r="E625" s="258" t="str">
        <f>IFERROR(__xludf.DUMMYFUNCTION("""COMPUTED_VALUE"""),"Bucketing based on the identified metric for the Car Dealer Caller profile
  Metric: Total Hits in a Month
  Valid values:
  Wireless
  LOW: &lt;= 2
  MID: &gt; 2 &amp; &lt;= 5
  HIGH: &gt; 5")</f>
        <v>Bucketing based on the identified metric for the Car Dealer Caller profile
  Metric: Total Hits in a Month
  Valid values:
  Wireless
  LOW: &lt;= 2
  MID: &gt; 2 &amp; &lt;= 5
  HIGH: &gt; 5</v>
      </c>
      <c r="F625" s="258" t="str">
        <f>IFERROR(__xludf.DUMMYFUNCTION("""COMPUTED_VALUE"""),"Direct Pull")</f>
        <v>Direct Pull</v>
      </c>
      <c r="G625" s="258" t="str">
        <f>IFERROR(__xludf.DUMMYFUNCTION("""COMPUTED_VALUE"""),"varchar(1000)")</f>
        <v>varchar(1000)</v>
      </c>
      <c r="H625" s="258" t="str">
        <f>IFERROR(__xludf.DUMMYFUNCTION("""COMPUTED_VALUE"""),"HIGH")</f>
        <v>HIGH</v>
      </c>
      <c r="I625" s="258" t="str">
        <f>IFERROR(__xludf.DUMMYFUNCTION("""COMPUTED_VALUE"""),"EDO-UUP")</f>
        <v>EDO-UUP</v>
      </c>
      <c r="J625" s="258" t="str">
        <f>IFERROR(__xludf.DUMMYFUNCTION("""COMPUTED_VALUE"""),"Monthly")</f>
        <v>Monthly</v>
      </c>
      <c r="K625" s="258" t="str">
        <f>IFERROR(__xludf.DUMMYFUNCTION("""COMPUTED_VALUE"""),"")</f>
        <v/>
      </c>
      <c r="L625" s="258" t="str">
        <f>IFERROR(__xludf.DUMMYFUNCTION("""COMPUTED_VALUE"""),"GHP, GHP-PREPAID, TM")</f>
        <v>GHP, GHP-PREPAID, TM</v>
      </c>
      <c r="M625" s="258" t="str">
        <f>IFERROR(__xludf.DUMMYFUNCTION("""COMPUTED_VALUE"""),"Consumer, EG, SG, In house, IBG Traveler")</f>
        <v>Consumer, EG, SG, In house, IBG Traveler</v>
      </c>
      <c r="N625" s="258" t="str">
        <f>IFERROR(__xludf.DUMMYFUNCTION("""COMPUTED_VALUE"""),"interest")</f>
        <v>interest</v>
      </c>
      <c r="O625" s="258" t="str">
        <f>IFERROR(__xludf.DUMMYFUNCTION("""COMPUTED_VALUE"""),"network_profile")</f>
        <v>network_profile</v>
      </c>
      <c r="P625" s="258"/>
    </row>
    <row r="626">
      <c r="A626" s="257" t="str">
        <f>IFERROR(__xludf.DUMMYFUNCTION("""COMPUTED_VALUE"""),"car_dealer_caller_details")</f>
        <v>car_dealer_caller_details</v>
      </c>
      <c r="B626" s="258" t="str">
        <f>IFERROR(__xludf.DUMMYFUNCTION("""COMPUTED_VALUE"""),"Audience/Persona")</f>
        <v>Audience/Persona</v>
      </c>
      <c r="C626" s="258" t="str">
        <f>IFERROR(__xludf.DUMMYFUNCTION("""COMPUTED_VALUE"""),"Non-PII")</f>
        <v>Non-PII</v>
      </c>
      <c r="D626" s="258" t="str">
        <f>IFERROR(__xludf.DUMMYFUNCTION("""COMPUTED_VALUE"""),"Non-PII")</f>
        <v>Non-PII</v>
      </c>
      <c r="E626" s="258" t="str">
        <f>IFERROR(__xludf.DUMMYFUNCTION("""COMPUTED_VALUE"""),"Metric used and value for the Car Dealer Caller profile")</f>
        <v>Metric used and value for the Car Dealer Caller profile</v>
      </c>
      <c r="F626" s="258" t="str">
        <f>IFERROR(__xludf.DUMMYFUNCTION("""COMPUTED_VALUE"""),"Derived")</f>
        <v>Derived</v>
      </c>
      <c r="G626" s="258" t="str">
        <f>IFERROR(__xludf.DUMMYFUNCTION("""COMPUTED_VALUE"""),"varchar(1000)")</f>
        <v>varchar(1000)</v>
      </c>
      <c r="H626" s="258" t="str">
        <f>IFERROR(__xludf.DUMMYFUNCTION("""COMPUTED_VALUE"""),"{""Average Daily Hits in a Month: 1""}")</f>
        <v>{"Average Daily Hits in a Month: 1"}</v>
      </c>
      <c r="I626" s="258" t="str">
        <f>IFERROR(__xludf.DUMMYFUNCTION("""COMPUTED_VALUE"""),"EDO-UUP")</f>
        <v>EDO-UUP</v>
      </c>
      <c r="J626" s="258" t="str">
        <f>IFERROR(__xludf.DUMMYFUNCTION("""COMPUTED_VALUE"""),"Monthly")</f>
        <v>Monthly</v>
      </c>
      <c r="K626" s="258" t="str">
        <f>IFERROR(__xludf.DUMMYFUNCTION("""COMPUTED_VALUE"""),"")</f>
        <v/>
      </c>
      <c r="L626" s="258" t="str">
        <f>IFERROR(__xludf.DUMMYFUNCTION("""COMPUTED_VALUE"""),"GHP, GHP-PREPAID, TM")</f>
        <v>GHP, GHP-PREPAID, TM</v>
      </c>
      <c r="M626" s="258" t="str">
        <f>IFERROR(__xludf.DUMMYFUNCTION("""COMPUTED_VALUE"""),"Consumer, EG, SG, In house, IBG Traveler")</f>
        <v>Consumer, EG, SG, In house, IBG Traveler</v>
      </c>
      <c r="N626" s="258" t="str">
        <f>IFERROR(__xludf.DUMMYFUNCTION("""COMPUTED_VALUE"""),"interest")</f>
        <v>interest</v>
      </c>
      <c r="O626" s="258" t="str">
        <f>IFERROR(__xludf.DUMMYFUNCTION("""COMPUTED_VALUE"""),"network_profile")</f>
        <v>network_profile</v>
      </c>
      <c r="P626" s="258"/>
    </row>
    <row r="627">
      <c r="A627" s="257" t="str">
        <f>IFERROR(__xludf.DUMMYFUNCTION("""COMPUTED_VALUE"""),"car_dealer_caller_indicator")</f>
        <v>car_dealer_caller_indicator</v>
      </c>
      <c r="B627" s="258" t="str">
        <f>IFERROR(__xludf.DUMMYFUNCTION("""COMPUTED_VALUE"""),"Audience/Persona")</f>
        <v>Audience/Persona</v>
      </c>
      <c r="C627" s="258" t="str">
        <f>IFERROR(__xludf.DUMMYFUNCTION("""COMPUTED_VALUE"""),"Non-PII")</f>
        <v>Non-PII</v>
      </c>
      <c r="D627" s="258" t="str">
        <f>IFERROR(__xludf.DUMMYFUNCTION("""COMPUTED_VALUE"""),"Non-PII")</f>
        <v>Non-PII</v>
      </c>
      <c r="E627" s="258" t="str">
        <f>IFERROR(__xludf.DUMMYFUNCTION("""COMPUTED_VALUE"""),"Indicator if a subscriber calls whitelisted car dealer numbers such as aeonauto, ford, honda")</f>
        <v>Indicator if a subscriber calls whitelisted car dealer numbers such as aeonauto, ford, honda</v>
      </c>
      <c r="F627" s="258" t="str">
        <f>IFERROR(__xludf.DUMMYFUNCTION("""COMPUTED_VALUE"""),"Derived")</f>
        <v>Derived</v>
      </c>
      <c r="G627" s="258" t="str">
        <f>IFERROR(__xludf.DUMMYFUNCTION("""COMPUTED_VALUE"""),"boolean")</f>
        <v>boolean</v>
      </c>
      <c r="H627" s="258" t="b">
        <f>IFERROR(__xludf.DUMMYFUNCTION("""COMPUTED_VALUE"""),TRUE)</f>
        <v>1</v>
      </c>
      <c r="I627" s="258" t="str">
        <f>IFERROR(__xludf.DUMMYFUNCTION("""COMPUTED_VALUE"""),"EDO-UUP")</f>
        <v>EDO-UUP</v>
      </c>
      <c r="J627" s="258" t="str">
        <f>IFERROR(__xludf.DUMMYFUNCTION("""COMPUTED_VALUE"""),"Monthly")</f>
        <v>Monthly</v>
      </c>
      <c r="K627" s="258" t="str">
        <f>IFERROR(__xludf.DUMMYFUNCTION("""COMPUTED_VALUE"""),"")</f>
        <v/>
      </c>
      <c r="L627" s="258" t="str">
        <f>IFERROR(__xludf.DUMMYFUNCTION("""COMPUTED_VALUE"""),"GHP, GHP-PREPAID, TM")</f>
        <v>GHP, GHP-PREPAID, TM</v>
      </c>
      <c r="M627" s="258" t="str">
        <f>IFERROR(__xludf.DUMMYFUNCTION("""COMPUTED_VALUE"""),"Consumer, EG, SG, In house, IBG Traveler")</f>
        <v>Consumer, EG, SG, In house, IBG Traveler</v>
      </c>
      <c r="N627" s="258" t="str">
        <f>IFERROR(__xludf.DUMMYFUNCTION("""COMPUTED_VALUE"""),"interest")</f>
        <v>interest</v>
      </c>
      <c r="O627" s="258" t="str">
        <f>IFERROR(__xludf.DUMMYFUNCTION("""COMPUTED_VALUE"""),"network_profile")</f>
        <v>network_profile</v>
      </c>
      <c r="P627" s="258"/>
    </row>
    <row r="628">
      <c r="A628" s="257" t="str">
        <f>IFERROR(__xludf.DUMMYFUNCTION("""COMPUTED_VALUE"""),"car_enthusiast_bucket")</f>
        <v>car_enthusiast_bucket</v>
      </c>
      <c r="B628" s="258" t="str">
        <f>IFERROR(__xludf.DUMMYFUNCTION("""COMPUTED_VALUE"""),"Audience/Persona")</f>
        <v>Audience/Persona</v>
      </c>
      <c r="C628" s="258" t="str">
        <f>IFERROR(__xludf.DUMMYFUNCTION("""COMPUTED_VALUE"""),"Non-PII")</f>
        <v>Non-PII</v>
      </c>
      <c r="D628" s="258" t="str">
        <f>IFERROR(__xludf.DUMMYFUNCTION("""COMPUTED_VALUE"""),"Non-PII")</f>
        <v>Non-PII</v>
      </c>
      <c r="E628" s="258" t="str">
        <f>IFERROR(__xludf.DUMMYFUNCTION("""COMPUTED_VALUE"""),"Bucketing based on identified metric for Car Enthusiast profile
 Metric: Total Hits in a Month
 Valid values:
 LOW: &lt;= 10 hits
 MID: &gt; 10 &amp; &lt;= 20 hits
 HIGH: &gt; 20 hits
 For wireline subscribers, only subscriptions within Metro Manila (including some are"&amp;"as in Rizal) and with DSL, VDSL and GPON technology value are covered.")</f>
        <v>Bucketing based on identified metric for Car Enthusiast profile
 Metric: Total Hits in a Month
 Valid values:
 LOW: &lt;= 10 hits
 MID: &gt; 10 &amp; &lt;= 20 hits
 HIGH: &gt; 20 hits
 For wireline subscribers, only subscriptions within Metro Manila (including some areas in Rizal) and with DSL, VDSL and GPON technology value are covered.</v>
      </c>
      <c r="F628" s="258" t="str">
        <f>IFERROR(__xludf.DUMMYFUNCTION("""COMPUTED_VALUE"""),"Direct Pull")</f>
        <v>Direct Pull</v>
      </c>
      <c r="G628" s="258" t="str">
        <f>IFERROR(__xludf.DUMMYFUNCTION("""COMPUTED_VALUE"""),"varchar(1000)")</f>
        <v>varchar(1000)</v>
      </c>
      <c r="H628" s="258" t="str">
        <f>IFERROR(__xludf.DUMMYFUNCTION("""COMPUTED_VALUE"""),"HIGH")</f>
        <v>HIGH</v>
      </c>
      <c r="I628" s="258" t="str">
        <f>IFERROR(__xludf.DUMMYFUNCTION("""COMPUTED_VALUE"""),"EDO-UUP")</f>
        <v>EDO-UUP</v>
      </c>
      <c r="J628" s="258" t="str">
        <f>IFERROR(__xludf.DUMMYFUNCTION("""COMPUTED_VALUE"""),"Monthly")</f>
        <v>Monthly</v>
      </c>
      <c r="K628" s="258" t="str">
        <f>IFERROR(__xludf.DUMMYFUNCTION("""COMPUTED_VALUE"""),"")</f>
        <v/>
      </c>
      <c r="L628" s="258" t="str">
        <f>IFERROR(__xludf.DUMMYFUNCTION("""COMPUTED_VALUE"""),"GHP, GHP-PREPAID, TM, PW, GOMO, WIRELINE, BAYAN, GLOBE")</f>
        <v>GHP, GHP-PREPAID, TM, PW, GOMO, WIRELINE, BAYAN, GLOBE</v>
      </c>
      <c r="M628" s="258" t="str">
        <f>IFERROR(__xludf.DUMMYFUNCTION("""COMPUTED_VALUE"""),"Consumer, EG, SG, In house, IBG Traveler")</f>
        <v>Consumer, EG, SG, In house, IBG Traveler</v>
      </c>
      <c r="N628" s="258" t="str">
        <f>IFERROR(__xludf.DUMMYFUNCTION("""COMPUTED_VALUE"""),"interest")</f>
        <v>interest</v>
      </c>
      <c r="O628" s="258" t="str">
        <f>IFERROR(__xludf.DUMMYFUNCTION("""COMPUTED_VALUE"""),"network_profile")</f>
        <v>network_profile</v>
      </c>
      <c r="P628" s="258"/>
    </row>
    <row r="629">
      <c r="A629" s="257" t="str">
        <f>IFERROR(__xludf.DUMMYFUNCTION("""COMPUTED_VALUE"""),"car_enthusiast_details")</f>
        <v>car_enthusiast_details</v>
      </c>
      <c r="B629" s="258" t="str">
        <f>IFERROR(__xludf.DUMMYFUNCTION("""COMPUTED_VALUE"""),"Audience/Persona")</f>
        <v>Audience/Persona</v>
      </c>
      <c r="C629" s="258" t="str">
        <f>IFERROR(__xludf.DUMMYFUNCTION("""COMPUTED_VALUE"""),"Non-PII")</f>
        <v>Non-PII</v>
      </c>
      <c r="D629" s="258" t="str">
        <f>IFERROR(__xludf.DUMMYFUNCTION("""COMPUTED_VALUE"""),"Non-PII")</f>
        <v>Non-PII</v>
      </c>
      <c r="E629" s="258" t="str">
        <f>IFERROR(__xludf.DUMMYFUNCTION("""COMPUTED_VALUE"""),"Metric used and value for the Car Enthusiast profile
 For wireline subscribers, only subscriptions within Metro Manila (including some areas in Rizal) and with DSL, VDSL and GPON technology value are covered.")</f>
        <v>Metric used and value for the Car Enthusiast profile
 For wireline subscribers, only subscriptions within Metro Manila (including some areas in Rizal) and with DSL, VDSL and GPON technology value are covered.</v>
      </c>
      <c r="F629" s="258" t="str">
        <f>IFERROR(__xludf.DUMMYFUNCTION("""COMPUTED_VALUE"""),"Derived")</f>
        <v>Derived</v>
      </c>
      <c r="G629" s="258" t="str">
        <f>IFERROR(__xludf.DUMMYFUNCTION("""COMPUTED_VALUE"""),"varchar(1000)")</f>
        <v>varchar(1000)</v>
      </c>
      <c r="H629" s="258" t="str">
        <f>IFERROR(__xludf.DUMMYFUNCTION("""COMPUTED_VALUE"""),"{""Average Daily Hits in a Month: 1""}")</f>
        <v>{"Average Daily Hits in a Month: 1"}</v>
      </c>
      <c r="I629" s="258" t="str">
        <f>IFERROR(__xludf.DUMMYFUNCTION("""COMPUTED_VALUE"""),"EDO-UUP")</f>
        <v>EDO-UUP</v>
      </c>
      <c r="J629" s="258" t="str">
        <f>IFERROR(__xludf.DUMMYFUNCTION("""COMPUTED_VALUE"""),"Monthly")</f>
        <v>Monthly</v>
      </c>
      <c r="K629" s="258" t="str">
        <f>IFERROR(__xludf.DUMMYFUNCTION("""COMPUTED_VALUE"""),"")</f>
        <v/>
      </c>
      <c r="L629" s="258" t="str">
        <f>IFERROR(__xludf.DUMMYFUNCTION("""COMPUTED_VALUE"""),"GHP, GHP-PREPAID, TM, PW, GOMO, WIRELINE, BAYAN, GLOBE")</f>
        <v>GHP, GHP-PREPAID, TM, PW, GOMO, WIRELINE, BAYAN, GLOBE</v>
      </c>
      <c r="M629" s="258" t="str">
        <f>IFERROR(__xludf.DUMMYFUNCTION("""COMPUTED_VALUE"""),"Consumer, EG, SG, In house, IBG Traveler")</f>
        <v>Consumer, EG, SG, In house, IBG Traveler</v>
      </c>
      <c r="N629" s="258" t="str">
        <f>IFERROR(__xludf.DUMMYFUNCTION("""COMPUTED_VALUE"""),"interest")</f>
        <v>interest</v>
      </c>
      <c r="O629" s="258" t="str">
        <f>IFERROR(__xludf.DUMMYFUNCTION("""COMPUTED_VALUE"""),"network_profile")</f>
        <v>network_profile</v>
      </c>
      <c r="P629" s="258"/>
    </row>
    <row r="630">
      <c r="A630" s="257" t="str">
        <f>IFERROR(__xludf.DUMMYFUNCTION("""COMPUTED_VALUE"""),"car_enthusiast_indicator")</f>
        <v>car_enthusiast_indicator</v>
      </c>
      <c r="B630" s="258" t="str">
        <f>IFERROR(__xludf.DUMMYFUNCTION("""COMPUTED_VALUE"""),"Audience/Persona")</f>
        <v>Audience/Persona</v>
      </c>
      <c r="C630" s="258" t="str">
        <f>IFERROR(__xludf.DUMMYFUNCTION("""COMPUTED_VALUE"""),"Non-PII")</f>
        <v>Non-PII</v>
      </c>
      <c r="D630" s="258" t="str">
        <f>IFERROR(__xludf.DUMMYFUNCTION("""COMPUTED_VALUE"""),"Non-PII")</f>
        <v>Non-PII</v>
      </c>
      <c r="E630" s="258" t="str">
        <f>IFERROR(__xludf.DUMMYFUNCTION("""COMPUTED_VALUE"""),"Indicator if a subscriber visits car-related apps or websites such as formula1, autoline, carguide_ph
 For wireline subscribers, only subscriptions within Metro Manila (including some areas in Rizal) and with DSL, VDSL and GPON technology value are cove"&amp;"red.")</f>
        <v>Indicator if a subscriber visits car-related apps or websites such as formula1, autoline, carguide_ph
 For wireline subscribers, only subscriptions within Metro Manila (including some areas in Rizal) and with DSL, VDSL and GPON technology value are covered.</v>
      </c>
      <c r="F630" s="258" t="str">
        <f>IFERROR(__xludf.DUMMYFUNCTION("""COMPUTED_VALUE"""),"Derived")</f>
        <v>Derived</v>
      </c>
      <c r="G630" s="258" t="str">
        <f>IFERROR(__xludf.DUMMYFUNCTION("""COMPUTED_VALUE"""),"boolean")</f>
        <v>boolean</v>
      </c>
      <c r="H630" s="258" t="b">
        <f>IFERROR(__xludf.DUMMYFUNCTION("""COMPUTED_VALUE"""),TRUE)</f>
        <v>1</v>
      </c>
      <c r="I630" s="258" t="str">
        <f>IFERROR(__xludf.DUMMYFUNCTION("""COMPUTED_VALUE"""),"EDO-UUP")</f>
        <v>EDO-UUP</v>
      </c>
      <c r="J630" s="258" t="str">
        <f>IFERROR(__xludf.DUMMYFUNCTION("""COMPUTED_VALUE"""),"Monthly")</f>
        <v>Monthly</v>
      </c>
      <c r="K630" s="258" t="str">
        <f>IFERROR(__xludf.DUMMYFUNCTION("""COMPUTED_VALUE"""),"")</f>
        <v/>
      </c>
      <c r="L630" s="258" t="str">
        <f>IFERROR(__xludf.DUMMYFUNCTION("""COMPUTED_VALUE"""),"GHP, GHP-PREPAID, TM, PW, GOMO, WIRELINE, BAYAN, GLOBE")</f>
        <v>GHP, GHP-PREPAID, TM, PW, GOMO, WIRELINE, BAYAN, GLOBE</v>
      </c>
      <c r="M630" s="258" t="str">
        <f>IFERROR(__xludf.DUMMYFUNCTION("""COMPUTED_VALUE"""),"Consumer, EG, SG, In house, IBG Traveler")</f>
        <v>Consumer, EG, SG, In house, IBG Traveler</v>
      </c>
      <c r="N630" s="258" t="str">
        <f>IFERROR(__xludf.DUMMYFUNCTION("""COMPUTED_VALUE"""),"interest")</f>
        <v>interest</v>
      </c>
      <c r="O630" s="258" t="str">
        <f>IFERROR(__xludf.DUMMYFUNCTION("""COMPUTED_VALUE"""),"network_profile")</f>
        <v>network_profile</v>
      </c>
      <c r="P630" s="258"/>
    </row>
    <row r="631">
      <c r="A631" s="257" t="str">
        <f>IFERROR(__xludf.DUMMYFUNCTION("""COMPUTED_VALUE"""),"car_enthusiast_top_apps")</f>
        <v>car_enthusiast_top_apps</v>
      </c>
      <c r="B631" s="258" t="str">
        <f>IFERROR(__xludf.DUMMYFUNCTION("""COMPUTED_VALUE"""),"Audience/Persona")</f>
        <v>Audience/Persona</v>
      </c>
      <c r="C631" s="258" t="str">
        <f>IFERROR(__xludf.DUMMYFUNCTION("""COMPUTED_VALUE"""),"Non-PII")</f>
        <v>Non-PII</v>
      </c>
      <c r="D631" s="258" t="str">
        <f>IFERROR(__xludf.DUMMYFUNCTION("""COMPUTED_VALUE"""),"Non-PII")</f>
        <v>Non-PII</v>
      </c>
      <c r="E631" s="258" t="str">
        <f>IFERROR(__xludf.DUMMYFUNCTION("""COMPUTED_VALUE"""),"Top 1 app/site by data burn, total hits and active days in a month categorized under the Car Enthusiast profile
 For wireline subscribers, only subscriptions within Metro Manila (including some areas in Rizal) and with DSL, VDSL and GPON technology valu"&amp;"e are covered.")</f>
        <v>Top 1 app/site by data burn, total hits and active days in a month categorized under the Car Enthusiast profile
 For wireline subscribers, only subscriptions within Metro Manila (including some areas in Rizal) and with DSL, VDSL and GPON technology value are covered.</v>
      </c>
      <c r="F631" s="258" t="str">
        <f>IFERROR(__xludf.DUMMYFUNCTION("""COMPUTED_VALUE"""),"Derived")</f>
        <v>Derived</v>
      </c>
      <c r="G631" s="258" t="str">
        <f>IFERROR(__xludf.DUMMYFUNCTION("""COMPUTED_VALUE"""),"varchar(1000)")</f>
        <v>varchar(1000)</v>
      </c>
      <c r="H631" s="258" t="str">
        <f>IFERROR(__xludf.DUMMYFUNCTION("""COMPUTED_VALUE"""),"topgear")</f>
        <v>topgear</v>
      </c>
      <c r="I631" s="258" t="str">
        <f>IFERROR(__xludf.DUMMYFUNCTION("""COMPUTED_VALUE"""),"EDO-UUP")</f>
        <v>EDO-UUP</v>
      </c>
      <c r="J631" s="258" t="str">
        <f>IFERROR(__xludf.DUMMYFUNCTION("""COMPUTED_VALUE"""),"Monthly")</f>
        <v>Monthly</v>
      </c>
      <c r="K631" s="258" t="str">
        <f>IFERROR(__xludf.DUMMYFUNCTION("""COMPUTED_VALUE"""),"")</f>
        <v/>
      </c>
      <c r="L631" s="258" t="str">
        <f>IFERROR(__xludf.DUMMYFUNCTION("""COMPUTED_VALUE"""),"GHP, GHP-PREPAID, TM, PW, GOMO, WIRELINE, BAYAN, GLOBE")</f>
        <v>GHP, GHP-PREPAID, TM, PW, GOMO, WIRELINE, BAYAN, GLOBE</v>
      </c>
      <c r="M631" s="258" t="str">
        <f>IFERROR(__xludf.DUMMYFUNCTION("""COMPUTED_VALUE"""),"Consumer, EG, SG, In house, IBG Traveler")</f>
        <v>Consumer, EG, SG, In house, IBG Traveler</v>
      </c>
      <c r="N631" s="258" t="str">
        <f>IFERROR(__xludf.DUMMYFUNCTION("""COMPUTED_VALUE"""),"interest")</f>
        <v>interest</v>
      </c>
      <c r="O631" s="258" t="str">
        <f>IFERROR(__xludf.DUMMYFUNCTION("""COMPUTED_VALUE"""),"network_profile")</f>
        <v>network_profile</v>
      </c>
      <c r="P631" s="258"/>
    </row>
    <row r="632">
      <c r="A632" s="257" t="str">
        <f>IFERROR(__xludf.DUMMYFUNCTION("""COMPUTED_VALUE"""),"dating_around_bucket")</f>
        <v>dating_around_bucket</v>
      </c>
      <c r="B632" s="258" t="str">
        <f>IFERROR(__xludf.DUMMYFUNCTION("""COMPUTED_VALUE"""),"Audience/Persona")</f>
        <v>Audience/Persona</v>
      </c>
      <c r="C632" s="258" t="str">
        <f>IFERROR(__xludf.DUMMYFUNCTION("""COMPUTED_VALUE"""),"Non-PII")</f>
        <v>Non-PII</v>
      </c>
      <c r="D632" s="258" t="str">
        <f>IFERROR(__xludf.DUMMYFUNCTION("""COMPUTED_VALUE"""),"Non-PII")</f>
        <v>Non-PII</v>
      </c>
      <c r="E632" s="258" t="str">
        <f>IFERROR(__xludf.DUMMYFUNCTION("""COMPUTED_VALUE"""),"Bucketing based on identified metric for Dating Around profile
 Metric: Average Daily Data Burn in Megabytes in a Month
 Valid values:
 LOW: &lt;= 4.1 MB
 MID: &gt; 4.1 MB &amp; &lt;= 8.9 MB
 HIGH: &gt; 8.9 MB
 For wireline subscribers, only subscriptions within Metro "&amp;"Manila (including some areas in Rizal) and with DSL, VDSL and GPON technology value are covered.")</f>
        <v>Bucketing based on identified metric for Dating Around profile
 Metric: Average Daily Data Burn in Megabytes in a Month
 Valid values:
 LOW: &lt;= 4.1 MB
 MID: &gt; 4.1 MB &amp; &lt;= 8.9 MB
 HIGH: &gt; 8.9 MB
 For wireline subscribers, only subscriptions within Metro Manila (including some areas in Rizal) and with DSL, VDSL and GPON technology value are covered.</v>
      </c>
      <c r="F632" s="258" t="str">
        <f>IFERROR(__xludf.DUMMYFUNCTION("""COMPUTED_VALUE"""),"Direct Pull")</f>
        <v>Direct Pull</v>
      </c>
      <c r="G632" s="258" t="str">
        <f>IFERROR(__xludf.DUMMYFUNCTION("""COMPUTED_VALUE"""),"varchar(1000)")</f>
        <v>varchar(1000)</v>
      </c>
      <c r="H632" s="258" t="str">
        <f>IFERROR(__xludf.DUMMYFUNCTION("""COMPUTED_VALUE"""),"HIGH")</f>
        <v>HIGH</v>
      </c>
      <c r="I632" s="258" t="str">
        <f>IFERROR(__xludf.DUMMYFUNCTION("""COMPUTED_VALUE"""),"EDO-UUP")</f>
        <v>EDO-UUP</v>
      </c>
      <c r="J632" s="258" t="str">
        <f>IFERROR(__xludf.DUMMYFUNCTION("""COMPUTED_VALUE"""),"Monthly")</f>
        <v>Monthly</v>
      </c>
      <c r="K632" s="258" t="str">
        <f>IFERROR(__xludf.DUMMYFUNCTION("""COMPUTED_VALUE"""),"")</f>
        <v/>
      </c>
      <c r="L632" s="258" t="str">
        <f>IFERROR(__xludf.DUMMYFUNCTION("""COMPUTED_VALUE"""),"GHP, GHP-PREPAID, TM, PW, GOMO, WIRELINE, BAYAN, GLOBE")</f>
        <v>GHP, GHP-PREPAID, TM, PW, GOMO, WIRELINE, BAYAN, GLOBE</v>
      </c>
      <c r="M632" s="258" t="str">
        <f>IFERROR(__xludf.DUMMYFUNCTION("""COMPUTED_VALUE"""),"Consumer, EG, SG, In house, IBG Traveler")</f>
        <v>Consumer, EG, SG, In house, IBG Traveler</v>
      </c>
      <c r="N632" s="258" t="str">
        <f>IFERROR(__xludf.DUMMYFUNCTION("""COMPUTED_VALUE"""),"interest")</f>
        <v>interest</v>
      </c>
      <c r="O632" s="258" t="str">
        <f>IFERROR(__xludf.DUMMYFUNCTION("""COMPUTED_VALUE"""),"network_profile")</f>
        <v>network_profile</v>
      </c>
      <c r="P632" s="258"/>
    </row>
    <row r="633">
      <c r="A633" s="257" t="str">
        <f>IFERROR(__xludf.DUMMYFUNCTION("""COMPUTED_VALUE"""),"dating_around_details")</f>
        <v>dating_around_details</v>
      </c>
      <c r="B633" s="258" t="str">
        <f>IFERROR(__xludf.DUMMYFUNCTION("""COMPUTED_VALUE"""),"Audience/Persona")</f>
        <v>Audience/Persona</v>
      </c>
      <c r="C633" s="258" t="str">
        <f>IFERROR(__xludf.DUMMYFUNCTION("""COMPUTED_VALUE"""),"Non-PII")</f>
        <v>Non-PII</v>
      </c>
      <c r="D633" s="258" t="str">
        <f>IFERROR(__xludf.DUMMYFUNCTION("""COMPUTED_VALUE"""),"Non-PII")</f>
        <v>Non-PII</v>
      </c>
      <c r="E633" s="258" t="str">
        <f>IFERROR(__xludf.DUMMYFUNCTION("""COMPUTED_VALUE"""),"Metric used and value for the Dating Around profile
 For wireline subscribers, only subscriptions within Metro Manila (including some areas in Rizal) and with DSL, VDSL and GPON technology value are covered.")</f>
        <v>Metric used and value for the Dating Around profile
 For wireline subscribers, only subscriptions within Metro Manila (including some areas in Rizal) and with DSL, VDSL and GPON technology value are covered.</v>
      </c>
      <c r="F633" s="258" t="str">
        <f>IFERROR(__xludf.DUMMYFUNCTION("""COMPUTED_VALUE"""),"Derived")</f>
        <v>Derived</v>
      </c>
      <c r="G633" s="258" t="str">
        <f>IFERROR(__xludf.DUMMYFUNCTION("""COMPUTED_VALUE"""),"varchar(1000)")</f>
        <v>varchar(1000)</v>
      </c>
      <c r="H633" s="258" t="str">
        <f>IFERROR(__xludf.DUMMYFUNCTION("""COMPUTED_VALUE"""),"{""Average Daily Hits in a Month: 1""}")</f>
        <v>{"Average Daily Hits in a Month: 1"}</v>
      </c>
      <c r="I633" s="258" t="str">
        <f>IFERROR(__xludf.DUMMYFUNCTION("""COMPUTED_VALUE"""),"EDO-UUP")</f>
        <v>EDO-UUP</v>
      </c>
      <c r="J633" s="258" t="str">
        <f>IFERROR(__xludf.DUMMYFUNCTION("""COMPUTED_VALUE"""),"Monthly")</f>
        <v>Monthly</v>
      </c>
      <c r="K633" s="258" t="str">
        <f>IFERROR(__xludf.DUMMYFUNCTION("""COMPUTED_VALUE"""),"")</f>
        <v/>
      </c>
      <c r="L633" s="258" t="str">
        <f>IFERROR(__xludf.DUMMYFUNCTION("""COMPUTED_VALUE"""),"GHP, GHP-PREPAID, TM, PW, GOMO, WIRELINE, BAYAN, GLOBE")</f>
        <v>GHP, GHP-PREPAID, TM, PW, GOMO, WIRELINE, BAYAN, GLOBE</v>
      </c>
      <c r="M633" s="258" t="str">
        <f>IFERROR(__xludf.DUMMYFUNCTION("""COMPUTED_VALUE"""),"Consumer, EG, SG, In house, IBG Traveler")</f>
        <v>Consumer, EG, SG, In house, IBG Traveler</v>
      </c>
      <c r="N633" s="258" t="str">
        <f>IFERROR(__xludf.DUMMYFUNCTION("""COMPUTED_VALUE"""),"interest")</f>
        <v>interest</v>
      </c>
      <c r="O633" s="258" t="str">
        <f>IFERROR(__xludf.DUMMYFUNCTION("""COMPUTED_VALUE"""),"network_profile")</f>
        <v>network_profile</v>
      </c>
      <c r="P633" s="258"/>
    </row>
    <row r="634">
      <c r="A634" s="257" t="str">
        <f>IFERROR(__xludf.DUMMYFUNCTION("""COMPUTED_VALUE"""),"dating_around_indicator")</f>
        <v>dating_around_indicator</v>
      </c>
      <c r="B634" s="258" t="str">
        <f>IFERROR(__xludf.DUMMYFUNCTION("""COMPUTED_VALUE"""),"Audience/Persona")</f>
        <v>Audience/Persona</v>
      </c>
      <c r="C634" s="258" t="str">
        <f>IFERROR(__xludf.DUMMYFUNCTION("""COMPUTED_VALUE"""),"Non-PII")</f>
        <v>Non-PII</v>
      </c>
      <c r="D634" s="258" t="str">
        <f>IFERROR(__xludf.DUMMYFUNCTION("""COMPUTED_VALUE"""),"Non-PII")</f>
        <v>Non-PII</v>
      </c>
      <c r="E634" s="258" t="str">
        <f>IFERROR(__xludf.DUMMYFUNCTION("""COMPUTED_VALUE"""),"Indicator if a subscriber accesses dating apps such as bumble, grindr, tinder
 For wireline subscribers, only subscriptions within Metro Manila (including some areas in Rizal) and with DSL, VDSL and GPON technology value are covered.")</f>
        <v>Indicator if a subscriber accesses dating apps such as bumble, grindr, tinder
 For wireline subscribers, only subscriptions within Metro Manila (including some areas in Rizal) and with DSL, VDSL and GPON technology value are covered.</v>
      </c>
      <c r="F634" s="258" t="str">
        <f>IFERROR(__xludf.DUMMYFUNCTION("""COMPUTED_VALUE"""),"Derived")</f>
        <v>Derived</v>
      </c>
      <c r="G634" s="258" t="str">
        <f>IFERROR(__xludf.DUMMYFUNCTION("""COMPUTED_VALUE"""),"boolean")</f>
        <v>boolean</v>
      </c>
      <c r="H634" s="258" t="b">
        <f>IFERROR(__xludf.DUMMYFUNCTION("""COMPUTED_VALUE"""),TRUE)</f>
        <v>1</v>
      </c>
      <c r="I634" s="258" t="str">
        <f>IFERROR(__xludf.DUMMYFUNCTION("""COMPUTED_VALUE"""),"EDO-UUP")</f>
        <v>EDO-UUP</v>
      </c>
      <c r="J634" s="258" t="str">
        <f>IFERROR(__xludf.DUMMYFUNCTION("""COMPUTED_VALUE"""),"Monthly")</f>
        <v>Monthly</v>
      </c>
      <c r="K634" s="258" t="str">
        <f>IFERROR(__xludf.DUMMYFUNCTION("""COMPUTED_VALUE"""),"")</f>
        <v/>
      </c>
      <c r="L634" s="258" t="str">
        <f>IFERROR(__xludf.DUMMYFUNCTION("""COMPUTED_VALUE"""),"GHP, GHP-PREPAID, TM, PW, GOMO, WIRELINE, BAYAN, GLOBE")</f>
        <v>GHP, GHP-PREPAID, TM, PW, GOMO, WIRELINE, BAYAN, GLOBE</v>
      </c>
      <c r="M634" s="258" t="str">
        <f>IFERROR(__xludf.DUMMYFUNCTION("""COMPUTED_VALUE"""),"Consumer, EG, SG, In house, IBG Traveler")</f>
        <v>Consumer, EG, SG, In house, IBG Traveler</v>
      </c>
      <c r="N634" s="258" t="str">
        <f>IFERROR(__xludf.DUMMYFUNCTION("""COMPUTED_VALUE"""),"interest")</f>
        <v>interest</v>
      </c>
      <c r="O634" s="258" t="str">
        <f>IFERROR(__xludf.DUMMYFUNCTION("""COMPUTED_VALUE"""),"network_profile")</f>
        <v>network_profile</v>
      </c>
      <c r="P634" s="258"/>
    </row>
    <row r="635">
      <c r="A635" s="257" t="str">
        <f>IFERROR(__xludf.DUMMYFUNCTION("""COMPUTED_VALUE"""),"dating_around_top_apps")</f>
        <v>dating_around_top_apps</v>
      </c>
      <c r="B635" s="258" t="str">
        <f>IFERROR(__xludf.DUMMYFUNCTION("""COMPUTED_VALUE"""),"Audience/Persona")</f>
        <v>Audience/Persona</v>
      </c>
      <c r="C635" s="258" t="str">
        <f>IFERROR(__xludf.DUMMYFUNCTION("""COMPUTED_VALUE"""),"Non-PII")</f>
        <v>Non-PII</v>
      </c>
      <c r="D635" s="258" t="str">
        <f>IFERROR(__xludf.DUMMYFUNCTION("""COMPUTED_VALUE"""),"Non-PII")</f>
        <v>Non-PII</v>
      </c>
      <c r="E635" s="258" t="str">
        <f>IFERROR(__xludf.DUMMYFUNCTION("""COMPUTED_VALUE"""),"Top 1 app/site by data burn, total hits and active days in a month categorized under the Dating Around profile
 For wireline subscribers, only subscriptions within Metro Manila (including some areas in Rizal) and with DSL, VDSL and GPON technology value"&amp;" are covered.")</f>
        <v>Top 1 app/site by data burn, total hits and active days in a month categorized under the Dating Around profile
 For wireline subscribers, only subscriptions within Metro Manila (including some areas in Rizal) and with DSL, VDSL and GPON technology value are covered.</v>
      </c>
      <c r="F635" s="258" t="str">
        <f>IFERROR(__xludf.DUMMYFUNCTION("""COMPUTED_VALUE"""),"Derived")</f>
        <v>Derived</v>
      </c>
      <c r="G635" s="258" t="str">
        <f>IFERROR(__xludf.DUMMYFUNCTION("""COMPUTED_VALUE"""),"varchar(1000)")</f>
        <v>varchar(1000)</v>
      </c>
      <c r="H635" s="258" t="str">
        <f>IFERROR(__xludf.DUMMYFUNCTION("""COMPUTED_VALUE"""),"tinder")</f>
        <v>tinder</v>
      </c>
      <c r="I635" s="258" t="str">
        <f>IFERROR(__xludf.DUMMYFUNCTION("""COMPUTED_VALUE"""),"EDO-UUP")</f>
        <v>EDO-UUP</v>
      </c>
      <c r="J635" s="258" t="str">
        <f>IFERROR(__xludf.DUMMYFUNCTION("""COMPUTED_VALUE"""),"Monthly")</f>
        <v>Monthly</v>
      </c>
      <c r="K635" s="258" t="str">
        <f>IFERROR(__xludf.DUMMYFUNCTION("""COMPUTED_VALUE"""),"")</f>
        <v/>
      </c>
      <c r="L635" s="258" t="str">
        <f>IFERROR(__xludf.DUMMYFUNCTION("""COMPUTED_VALUE"""),"GHP, GHP-PREPAID, TM, PW, GOMO, WIRELINE, BAYAN, GLOBE")</f>
        <v>GHP, GHP-PREPAID, TM, PW, GOMO, WIRELINE, BAYAN, GLOBE</v>
      </c>
      <c r="M635" s="258" t="str">
        <f>IFERROR(__xludf.DUMMYFUNCTION("""COMPUTED_VALUE"""),"Consumer, EG, SG, In house, IBG Traveler")</f>
        <v>Consumer, EG, SG, In house, IBG Traveler</v>
      </c>
      <c r="N635" s="258" t="str">
        <f>IFERROR(__xludf.DUMMYFUNCTION("""COMPUTED_VALUE"""),"interest")</f>
        <v>interest</v>
      </c>
      <c r="O635" s="258" t="str">
        <f>IFERROR(__xludf.DUMMYFUNCTION("""COMPUTED_VALUE"""),"network_profile")</f>
        <v>network_profile</v>
      </c>
      <c r="P635" s="258"/>
    </row>
    <row r="636">
      <c r="A636" s="257" t="str">
        <f>IFERROR(__xludf.DUMMYFUNCTION("""COMPUTED_VALUE"""),"insurance_caller_bucket")</f>
        <v>insurance_caller_bucket</v>
      </c>
      <c r="B636" s="258" t="str">
        <f>IFERROR(__xludf.DUMMYFUNCTION("""COMPUTED_VALUE"""),"Audience/Persona")</f>
        <v>Audience/Persona</v>
      </c>
      <c r="C636" s="258" t="str">
        <f>IFERROR(__xludf.DUMMYFUNCTION("""COMPUTED_VALUE"""),"Non-PII")</f>
        <v>Non-PII</v>
      </c>
      <c r="D636" s="258" t="str">
        <f>IFERROR(__xludf.DUMMYFUNCTION("""COMPUTED_VALUE"""),"Non-PII")</f>
        <v>Non-PII</v>
      </c>
      <c r="E636" s="258" t="str">
        <f>IFERROR(__xludf.DUMMYFUNCTION("""COMPUTED_VALUE"""),"Bucketing based on the identified metric for the Insurance Hotline Caller profile
  Metric: Total Hits in a Month
  Valid values:
  Wireless
  LOW: &lt;= 2
  MID: &gt; 2 &amp; &lt;= 5
  HIGH: &gt; 5")</f>
        <v>Bucketing based on the identified metric for the Insurance Hotline Caller profile
  Metric: Total Hits in a Month
  Valid values:
  Wireless
  LOW: &lt;= 2
  MID: &gt; 2 &amp; &lt;= 5
  HIGH: &gt; 5</v>
      </c>
      <c r="F636" s="258" t="str">
        <f>IFERROR(__xludf.DUMMYFUNCTION("""COMPUTED_VALUE"""),"Direct Pull")</f>
        <v>Direct Pull</v>
      </c>
      <c r="G636" s="258" t="str">
        <f>IFERROR(__xludf.DUMMYFUNCTION("""COMPUTED_VALUE"""),"varchar(1000)")</f>
        <v>varchar(1000)</v>
      </c>
      <c r="H636" s="258" t="str">
        <f>IFERROR(__xludf.DUMMYFUNCTION("""COMPUTED_VALUE"""),"HIGH")</f>
        <v>HIGH</v>
      </c>
      <c r="I636" s="258" t="str">
        <f>IFERROR(__xludf.DUMMYFUNCTION("""COMPUTED_VALUE"""),"EDO-UUP")</f>
        <v>EDO-UUP</v>
      </c>
      <c r="J636" s="258" t="str">
        <f>IFERROR(__xludf.DUMMYFUNCTION("""COMPUTED_VALUE"""),"Monthly")</f>
        <v>Monthly</v>
      </c>
      <c r="K636" s="258" t="str">
        <f>IFERROR(__xludf.DUMMYFUNCTION("""COMPUTED_VALUE"""),"")</f>
        <v/>
      </c>
      <c r="L636" s="258" t="str">
        <f>IFERROR(__xludf.DUMMYFUNCTION("""COMPUTED_VALUE"""),"GHP, GHP-PREPAID, TM")</f>
        <v>GHP, GHP-PREPAID, TM</v>
      </c>
      <c r="M636" s="258" t="str">
        <f>IFERROR(__xludf.DUMMYFUNCTION("""COMPUTED_VALUE"""),"Consumer, EG, SG, In house, IBG Traveler")</f>
        <v>Consumer, EG, SG, In house, IBG Traveler</v>
      </c>
      <c r="N636" s="258" t="str">
        <f>IFERROR(__xludf.DUMMYFUNCTION("""COMPUTED_VALUE"""),"interest")</f>
        <v>interest</v>
      </c>
      <c r="O636" s="258" t="str">
        <f>IFERROR(__xludf.DUMMYFUNCTION("""COMPUTED_VALUE"""),"network_profile")</f>
        <v>network_profile</v>
      </c>
      <c r="P636" s="258"/>
    </row>
    <row r="637">
      <c r="A637" s="257" t="str">
        <f>IFERROR(__xludf.DUMMYFUNCTION("""COMPUTED_VALUE"""),"insurance_caller_details")</f>
        <v>insurance_caller_details</v>
      </c>
      <c r="B637" s="258" t="str">
        <f>IFERROR(__xludf.DUMMYFUNCTION("""COMPUTED_VALUE"""),"Audience/Persona")</f>
        <v>Audience/Persona</v>
      </c>
      <c r="C637" s="258" t="str">
        <f>IFERROR(__xludf.DUMMYFUNCTION("""COMPUTED_VALUE"""),"Non-PII")</f>
        <v>Non-PII</v>
      </c>
      <c r="D637" s="258" t="str">
        <f>IFERROR(__xludf.DUMMYFUNCTION("""COMPUTED_VALUE"""),"Non-PII")</f>
        <v>Non-PII</v>
      </c>
      <c r="E637" s="258" t="str">
        <f>IFERROR(__xludf.DUMMYFUNCTION("""COMPUTED_VALUE"""),"Metric used and value for the Insurance Hotline Caller profile")</f>
        <v>Metric used and value for the Insurance Hotline Caller profile</v>
      </c>
      <c r="F637" s="258" t="str">
        <f>IFERROR(__xludf.DUMMYFUNCTION("""COMPUTED_VALUE"""),"Derived")</f>
        <v>Derived</v>
      </c>
      <c r="G637" s="258" t="str">
        <f>IFERROR(__xludf.DUMMYFUNCTION("""COMPUTED_VALUE"""),"varchar(1000)")</f>
        <v>varchar(1000)</v>
      </c>
      <c r="H637" s="258" t="str">
        <f>IFERROR(__xludf.DUMMYFUNCTION("""COMPUTED_VALUE"""),"{""Average Daily Hits in a Month: 1""}")</f>
        <v>{"Average Daily Hits in a Month: 1"}</v>
      </c>
      <c r="I637" s="258" t="str">
        <f>IFERROR(__xludf.DUMMYFUNCTION("""COMPUTED_VALUE"""),"EDO-UUP")</f>
        <v>EDO-UUP</v>
      </c>
      <c r="J637" s="258" t="str">
        <f>IFERROR(__xludf.DUMMYFUNCTION("""COMPUTED_VALUE"""),"Monthly")</f>
        <v>Monthly</v>
      </c>
      <c r="K637" s="258" t="str">
        <f>IFERROR(__xludf.DUMMYFUNCTION("""COMPUTED_VALUE"""),"")</f>
        <v/>
      </c>
      <c r="L637" s="258" t="str">
        <f>IFERROR(__xludf.DUMMYFUNCTION("""COMPUTED_VALUE"""),"GHP, GHP-PREPAID, TM")</f>
        <v>GHP, GHP-PREPAID, TM</v>
      </c>
      <c r="M637" s="258" t="str">
        <f>IFERROR(__xludf.DUMMYFUNCTION("""COMPUTED_VALUE"""),"Consumer, EG, SG, In house, IBG Traveler")</f>
        <v>Consumer, EG, SG, In house, IBG Traveler</v>
      </c>
      <c r="N637" s="258" t="str">
        <f>IFERROR(__xludf.DUMMYFUNCTION("""COMPUTED_VALUE"""),"interest")</f>
        <v>interest</v>
      </c>
      <c r="O637" s="258" t="str">
        <f>IFERROR(__xludf.DUMMYFUNCTION("""COMPUTED_VALUE"""),"network_profile")</f>
        <v>network_profile</v>
      </c>
      <c r="P637" s="258"/>
    </row>
    <row r="638">
      <c r="A638" s="257" t="str">
        <f>IFERROR(__xludf.DUMMYFUNCTION("""COMPUTED_VALUE"""),"insurance_caller_indicator")</f>
        <v>insurance_caller_indicator</v>
      </c>
      <c r="B638" s="258" t="str">
        <f>IFERROR(__xludf.DUMMYFUNCTION("""COMPUTED_VALUE"""),"Audience/Persona")</f>
        <v>Audience/Persona</v>
      </c>
      <c r="C638" s="258" t="str">
        <f>IFERROR(__xludf.DUMMYFUNCTION("""COMPUTED_VALUE"""),"Non-PII")</f>
        <v>Non-PII</v>
      </c>
      <c r="D638" s="258" t="str">
        <f>IFERROR(__xludf.DUMMYFUNCTION("""COMPUTED_VALUE"""),"Non-PII")</f>
        <v>Non-PII</v>
      </c>
      <c r="E638" s="258" t="str">
        <f>IFERROR(__xludf.DUMMYFUNCTION("""COMPUTED_VALUE"""),"Indicator if a subscriber receives SMS from insurance numbers such as axaphil, bdo_insure, bpi_ms")</f>
        <v>Indicator if a subscriber receives SMS from insurance numbers such as axaphil, bdo_insure, bpi_ms</v>
      </c>
      <c r="F638" s="258" t="str">
        <f>IFERROR(__xludf.DUMMYFUNCTION("""COMPUTED_VALUE"""),"Derived")</f>
        <v>Derived</v>
      </c>
      <c r="G638" s="258" t="str">
        <f>IFERROR(__xludf.DUMMYFUNCTION("""COMPUTED_VALUE"""),"boolean")</f>
        <v>boolean</v>
      </c>
      <c r="H638" s="258" t="b">
        <f>IFERROR(__xludf.DUMMYFUNCTION("""COMPUTED_VALUE"""),TRUE)</f>
        <v>1</v>
      </c>
      <c r="I638" s="258" t="str">
        <f>IFERROR(__xludf.DUMMYFUNCTION("""COMPUTED_VALUE"""),"EDO-UUP")</f>
        <v>EDO-UUP</v>
      </c>
      <c r="J638" s="258" t="str">
        <f>IFERROR(__xludf.DUMMYFUNCTION("""COMPUTED_VALUE"""),"Monthly")</f>
        <v>Monthly</v>
      </c>
      <c r="K638" s="258" t="str">
        <f>IFERROR(__xludf.DUMMYFUNCTION("""COMPUTED_VALUE"""),"")</f>
        <v/>
      </c>
      <c r="L638" s="258" t="str">
        <f>IFERROR(__xludf.DUMMYFUNCTION("""COMPUTED_VALUE"""),"GHP, GHP-PREPAID, TM")</f>
        <v>GHP, GHP-PREPAID, TM</v>
      </c>
      <c r="M638" s="258" t="str">
        <f>IFERROR(__xludf.DUMMYFUNCTION("""COMPUTED_VALUE"""),"Consumer, EG, SG, In house, IBG Traveler")</f>
        <v>Consumer, EG, SG, In house, IBG Traveler</v>
      </c>
      <c r="N638" s="258" t="str">
        <f>IFERROR(__xludf.DUMMYFUNCTION("""COMPUTED_VALUE"""),"interest")</f>
        <v>interest</v>
      </c>
      <c r="O638" s="258" t="str">
        <f>IFERROR(__xludf.DUMMYFUNCTION("""COMPUTED_VALUE"""),"network_profile")</f>
        <v>network_profile</v>
      </c>
      <c r="P638" s="258"/>
    </row>
    <row r="639">
      <c r="A639" s="257" t="str">
        <f>IFERROR(__xludf.DUMMYFUNCTION("""COMPUTED_VALUE"""),"insurance_caller_mode")</f>
        <v>insurance_caller_mode</v>
      </c>
      <c r="B639" s="258" t="str">
        <f>IFERROR(__xludf.DUMMYFUNCTION("""COMPUTED_VALUE"""),"Audience/Persona")</f>
        <v>Audience/Persona</v>
      </c>
      <c r="C639" s="258" t="str">
        <f>IFERROR(__xludf.DUMMYFUNCTION("""COMPUTED_VALUE"""),"Non-PII")</f>
        <v>Non-PII</v>
      </c>
      <c r="D639" s="258" t="str">
        <f>IFERROR(__xludf.DUMMYFUNCTION("""COMPUTED_VALUE"""),"Non-PII")</f>
        <v>Non-PII</v>
      </c>
      <c r="E639" s="258" t="str">
        <f>IFERROR(__xludf.DUMMYFUNCTION("""COMPUTED_VALUE"""),"Top 1 tag by Total Hits in a Month categorized under the Insurance Hotline Caller profile")</f>
        <v>Top 1 tag by Total Hits in a Month categorized under the Insurance Hotline Caller profile</v>
      </c>
      <c r="F639" s="258" t="str">
        <f>IFERROR(__xludf.DUMMYFUNCTION("""COMPUTED_VALUE"""),"Derived")</f>
        <v>Derived</v>
      </c>
      <c r="G639" s="258" t="str">
        <f>IFERROR(__xludf.DUMMYFUNCTION("""COMPUTED_VALUE"""),"varchar(1000)")</f>
        <v>varchar(1000)</v>
      </c>
      <c r="H639" s="258" t="str">
        <f>IFERROR(__xludf.DUMMYFUNCTION("""COMPUTED_VALUE"""),"gcash_insure")</f>
        <v>gcash_insure</v>
      </c>
      <c r="I639" s="258" t="str">
        <f>IFERROR(__xludf.DUMMYFUNCTION("""COMPUTED_VALUE"""),"EDO-UUP")</f>
        <v>EDO-UUP</v>
      </c>
      <c r="J639" s="258" t="str">
        <f>IFERROR(__xludf.DUMMYFUNCTION("""COMPUTED_VALUE"""),"Monthly")</f>
        <v>Monthly</v>
      </c>
      <c r="K639" s="258" t="str">
        <f>IFERROR(__xludf.DUMMYFUNCTION("""COMPUTED_VALUE"""),"")</f>
        <v/>
      </c>
      <c r="L639" s="258" t="str">
        <f>IFERROR(__xludf.DUMMYFUNCTION("""COMPUTED_VALUE"""),"GHP, GHP-PREPAID, TM")</f>
        <v>GHP, GHP-PREPAID, TM</v>
      </c>
      <c r="M639" s="258" t="str">
        <f>IFERROR(__xludf.DUMMYFUNCTION("""COMPUTED_VALUE"""),"Consumer, EG, SG, In house, IBG Traveler")</f>
        <v>Consumer, EG, SG, In house, IBG Traveler</v>
      </c>
      <c r="N639" s="258" t="str">
        <f>IFERROR(__xludf.DUMMYFUNCTION("""COMPUTED_VALUE"""),"interest")</f>
        <v>interest</v>
      </c>
      <c r="O639" s="258" t="str">
        <f>IFERROR(__xludf.DUMMYFUNCTION("""COMPUTED_VALUE"""),"network_profile")</f>
        <v>network_profile</v>
      </c>
      <c r="P639" s="258"/>
    </row>
    <row r="640">
      <c r="A640" s="257" t="str">
        <f>IFERROR(__xludf.DUMMYFUNCTION("""COMPUTED_VALUE"""),"liquor_lover_bucket")</f>
        <v>liquor_lover_bucket</v>
      </c>
      <c r="B640" s="258" t="str">
        <f>IFERROR(__xludf.DUMMYFUNCTION("""COMPUTED_VALUE"""),"Audience/Persona")</f>
        <v>Audience/Persona</v>
      </c>
      <c r="C640" s="258" t="str">
        <f>IFERROR(__xludf.DUMMYFUNCTION("""COMPUTED_VALUE"""),"Non-PII")</f>
        <v>Non-PII</v>
      </c>
      <c r="D640" s="258" t="str">
        <f>IFERROR(__xludf.DUMMYFUNCTION("""COMPUTED_VALUE"""),"Non-PII")</f>
        <v>Non-PII</v>
      </c>
      <c r="E640" s="258" t="str">
        <f>IFERROR(__xludf.DUMMYFUNCTION("""COMPUTED_VALUE"""),"Bucketing based on identified metric for Liquor Lover profile
 Metric: Total Hits in a Month
 Valid values:
 LOW: &lt;= 2 hits
 MID: &gt; 2 &amp; &lt;= 5 hits
 HIGH: &gt; 5 hits
 For wireline subscribers, only subscriptions within Metro Manila (including some areas in "&amp;"Rizal) and with DSL, VDSL and GPON technology value are covered.")</f>
        <v>Bucketing based on identified metric for Liquor Lover profile
 Metric: Total Hits in a Month
 Valid values:
 LOW: &lt;= 2 hits
 MID: &gt; 2 &amp; &lt;= 5 hits
 HIGH: &gt; 5 hits
 For wireline subscribers, only subscriptions within Metro Manila (including some areas in Rizal) and with DSL, VDSL and GPON technology value are covered.</v>
      </c>
      <c r="F640" s="258" t="str">
        <f>IFERROR(__xludf.DUMMYFUNCTION("""COMPUTED_VALUE"""),"Direct Pull")</f>
        <v>Direct Pull</v>
      </c>
      <c r="G640" s="258" t="str">
        <f>IFERROR(__xludf.DUMMYFUNCTION("""COMPUTED_VALUE"""),"varchar(1000)")</f>
        <v>varchar(1000)</v>
      </c>
      <c r="H640" s="258" t="str">
        <f>IFERROR(__xludf.DUMMYFUNCTION("""COMPUTED_VALUE"""),"HIGH")</f>
        <v>HIGH</v>
      </c>
      <c r="I640" s="258" t="str">
        <f>IFERROR(__xludf.DUMMYFUNCTION("""COMPUTED_VALUE"""),"EDO-UUP")</f>
        <v>EDO-UUP</v>
      </c>
      <c r="J640" s="258" t="str">
        <f>IFERROR(__xludf.DUMMYFUNCTION("""COMPUTED_VALUE"""),"Monthly")</f>
        <v>Monthly</v>
      </c>
      <c r="K640" s="258" t="str">
        <f>IFERROR(__xludf.DUMMYFUNCTION("""COMPUTED_VALUE"""),"")</f>
        <v/>
      </c>
      <c r="L640" s="258" t="str">
        <f>IFERROR(__xludf.DUMMYFUNCTION("""COMPUTED_VALUE"""),"GHP, GHP-PREPAID, TM, PW, GOMO, WIRELINE, BAYAN, GLOBE")</f>
        <v>GHP, GHP-PREPAID, TM, PW, GOMO, WIRELINE, BAYAN, GLOBE</v>
      </c>
      <c r="M640" s="258" t="str">
        <f>IFERROR(__xludf.DUMMYFUNCTION("""COMPUTED_VALUE"""),"Consumer, EG, SG, In house, IBG Traveler")</f>
        <v>Consumer, EG, SG, In house, IBG Traveler</v>
      </c>
      <c r="N640" s="258" t="str">
        <f>IFERROR(__xludf.DUMMYFUNCTION("""COMPUTED_VALUE"""),"interest")</f>
        <v>interest</v>
      </c>
      <c r="O640" s="258" t="str">
        <f>IFERROR(__xludf.DUMMYFUNCTION("""COMPUTED_VALUE"""),"network_profile")</f>
        <v>network_profile</v>
      </c>
      <c r="P640" s="258"/>
    </row>
    <row r="641">
      <c r="A641" s="257" t="str">
        <f>IFERROR(__xludf.DUMMYFUNCTION("""COMPUTED_VALUE"""),"liquor_lover_details")</f>
        <v>liquor_lover_details</v>
      </c>
      <c r="B641" s="258" t="str">
        <f>IFERROR(__xludf.DUMMYFUNCTION("""COMPUTED_VALUE"""),"Audience/Persona")</f>
        <v>Audience/Persona</v>
      </c>
      <c r="C641" s="258" t="str">
        <f>IFERROR(__xludf.DUMMYFUNCTION("""COMPUTED_VALUE"""),"Non-PII")</f>
        <v>Non-PII</v>
      </c>
      <c r="D641" s="258" t="str">
        <f>IFERROR(__xludf.DUMMYFUNCTION("""COMPUTED_VALUE"""),"Non-PII")</f>
        <v>Non-PII</v>
      </c>
      <c r="E641" s="258" t="str">
        <f>IFERROR(__xludf.DUMMYFUNCTION("""COMPUTED_VALUE"""),"Metric used and value for the Liquor Lover profile
 For wireline subscribers, only subscriptions within Metro Manila (including some areas in Rizal) and with DSL, VDSL and GPON technology value are covered.")</f>
        <v>Metric used and value for the Liquor Lover profile
 For wireline subscribers, only subscriptions within Metro Manila (including some areas in Rizal) and with DSL, VDSL and GPON technology value are covered.</v>
      </c>
      <c r="F641" s="258" t="str">
        <f>IFERROR(__xludf.DUMMYFUNCTION("""COMPUTED_VALUE"""),"Derived")</f>
        <v>Derived</v>
      </c>
      <c r="G641" s="258" t="str">
        <f>IFERROR(__xludf.DUMMYFUNCTION("""COMPUTED_VALUE"""),"varchar(1000)")</f>
        <v>varchar(1000)</v>
      </c>
      <c r="H641" s="258" t="str">
        <f>IFERROR(__xludf.DUMMYFUNCTION("""COMPUTED_VALUE"""),"{""Average Daily Hits in a Month: 1""}")</f>
        <v>{"Average Daily Hits in a Month: 1"}</v>
      </c>
      <c r="I641" s="258" t="str">
        <f>IFERROR(__xludf.DUMMYFUNCTION("""COMPUTED_VALUE"""),"EDO-UUP")</f>
        <v>EDO-UUP</v>
      </c>
      <c r="J641" s="258" t="str">
        <f>IFERROR(__xludf.DUMMYFUNCTION("""COMPUTED_VALUE"""),"Monthly")</f>
        <v>Monthly</v>
      </c>
      <c r="K641" s="258" t="str">
        <f>IFERROR(__xludf.DUMMYFUNCTION("""COMPUTED_VALUE"""),"")</f>
        <v/>
      </c>
      <c r="L641" s="258" t="str">
        <f>IFERROR(__xludf.DUMMYFUNCTION("""COMPUTED_VALUE"""),"GHP, GHP-PREPAID, TM, PW, GOMO, WIRELINE, BAYAN, GLOBE")</f>
        <v>GHP, GHP-PREPAID, TM, PW, GOMO, WIRELINE, BAYAN, GLOBE</v>
      </c>
      <c r="M641" s="258" t="str">
        <f>IFERROR(__xludf.DUMMYFUNCTION("""COMPUTED_VALUE"""),"Consumer, EG, SG, In house, IBG Traveler")</f>
        <v>Consumer, EG, SG, In house, IBG Traveler</v>
      </c>
      <c r="N641" s="258" t="str">
        <f>IFERROR(__xludf.DUMMYFUNCTION("""COMPUTED_VALUE"""),"interest")</f>
        <v>interest</v>
      </c>
      <c r="O641" s="258" t="str">
        <f>IFERROR(__xludf.DUMMYFUNCTION("""COMPUTED_VALUE"""),"network_profile")</f>
        <v>network_profile</v>
      </c>
      <c r="P641" s="258"/>
    </row>
    <row r="642">
      <c r="A642" s="257" t="str">
        <f>IFERROR(__xludf.DUMMYFUNCTION("""COMPUTED_VALUE"""),"liquor_lover_indicator")</f>
        <v>liquor_lover_indicator</v>
      </c>
      <c r="B642" s="258" t="str">
        <f>IFERROR(__xludf.DUMMYFUNCTION("""COMPUTED_VALUE"""),"Audience/Persona")</f>
        <v>Audience/Persona</v>
      </c>
      <c r="C642" s="258" t="str">
        <f>IFERROR(__xludf.DUMMYFUNCTION("""COMPUTED_VALUE"""),"Non-PII")</f>
        <v>Non-PII</v>
      </c>
      <c r="D642" s="258" t="str">
        <f>IFERROR(__xludf.DUMMYFUNCTION("""COMPUTED_VALUE"""),"Non-PII")</f>
        <v>Non-PII</v>
      </c>
      <c r="E642" s="258" t="str">
        <f>IFERROR(__xludf.DUMMYFUNCTION("""COMPUTED_VALUE"""),"Indicator if a subscriber visits online liquor stores such as alak, boozy, boozeshop
 For wireline subscribers, only subscriptions within Metro Manila (including some areas in Rizal) and with DSL, VDSL and GPON technology value are covered.")</f>
        <v>Indicator if a subscriber visits online liquor stores such as alak, boozy, boozeshop
 For wireline subscribers, only subscriptions within Metro Manila (including some areas in Rizal) and with DSL, VDSL and GPON technology value are covered.</v>
      </c>
      <c r="F642" s="258" t="str">
        <f>IFERROR(__xludf.DUMMYFUNCTION("""COMPUTED_VALUE"""),"Derived")</f>
        <v>Derived</v>
      </c>
      <c r="G642" s="258" t="str">
        <f>IFERROR(__xludf.DUMMYFUNCTION("""COMPUTED_VALUE"""),"boolean")</f>
        <v>boolean</v>
      </c>
      <c r="H642" s="258" t="b">
        <f>IFERROR(__xludf.DUMMYFUNCTION("""COMPUTED_VALUE"""),TRUE)</f>
        <v>1</v>
      </c>
      <c r="I642" s="258" t="str">
        <f>IFERROR(__xludf.DUMMYFUNCTION("""COMPUTED_VALUE"""),"EDO-UUP")</f>
        <v>EDO-UUP</v>
      </c>
      <c r="J642" s="258" t="str">
        <f>IFERROR(__xludf.DUMMYFUNCTION("""COMPUTED_VALUE"""),"Monthly")</f>
        <v>Monthly</v>
      </c>
      <c r="K642" s="258" t="str">
        <f>IFERROR(__xludf.DUMMYFUNCTION("""COMPUTED_VALUE"""),"")</f>
        <v/>
      </c>
      <c r="L642" s="258" t="str">
        <f>IFERROR(__xludf.DUMMYFUNCTION("""COMPUTED_VALUE"""),"GHP, GHP-PREPAID, TM, PW, GOMO, WIRELINE, BAYAN, GLOBE")</f>
        <v>GHP, GHP-PREPAID, TM, PW, GOMO, WIRELINE, BAYAN, GLOBE</v>
      </c>
      <c r="M642" s="258" t="str">
        <f>IFERROR(__xludf.DUMMYFUNCTION("""COMPUTED_VALUE"""),"Consumer, EG, SG, In house, IBG Traveler")</f>
        <v>Consumer, EG, SG, In house, IBG Traveler</v>
      </c>
      <c r="N642" s="258" t="str">
        <f>IFERROR(__xludf.DUMMYFUNCTION("""COMPUTED_VALUE"""),"interest")</f>
        <v>interest</v>
      </c>
      <c r="O642" s="258" t="str">
        <f>IFERROR(__xludf.DUMMYFUNCTION("""COMPUTED_VALUE"""),"network_profile")</f>
        <v>network_profile</v>
      </c>
      <c r="P642" s="258"/>
    </row>
    <row r="643">
      <c r="A643" s="257" t="str">
        <f>IFERROR(__xludf.DUMMYFUNCTION("""COMPUTED_VALUE"""),"liquor_lover_top_apps")</f>
        <v>liquor_lover_top_apps</v>
      </c>
      <c r="B643" s="258" t="str">
        <f>IFERROR(__xludf.DUMMYFUNCTION("""COMPUTED_VALUE"""),"Audience/Persona")</f>
        <v>Audience/Persona</v>
      </c>
      <c r="C643" s="258" t="str">
        <f>IFERROR(__xludf.DUMMYFUNCTION("""COMPUTED_VALUE"""),"Non-PII")</f>
        <v>Non-PII</v>
      </c>
      <c r="D643" s="258" t="str">
        <f>IFERROR(__xludf.DUMMYFUNCTION("""COMPUTED_VALUE"""),"Non-PII")</f>
        <v>Non-PII</v>
      </c>
      <c r="E643" s="258" t="str">
        <f>IFERROR(__xludf.DUMMYFUNCTION("""COMPUTED_VALUE"""),"Top 1 app/site by data burn, total hits and active days in a month categorized under the Liquor Lover profile
 For wireline subscribers, only subscriptions within Metro Manila (including some areas in Rizal) and with DSL, VDSL and GPON technology value "&amp;"are covered.")</f>
        <v>Top 1 app/site by data burn, total hits and active days in a month categorized under the Liquor Lover profile
 For wireline subscribers, only subscriptions within Metro Manila (including some areas in Rizal) and with DSL, VDSL and GPON technology value are covered.</v>
      </c>
      <c r="F643" s="258" t="str">
        <f>IFERROR(__xludf.DUMMYFUNCTION("""COMPUTED_VALUE"""),"Derived")</f>
        <v>Derived</v>
      </c>
      <c r="G643" s="258" t="str">
        <f>IFERROR(__xludf.DUMMYFUNCTION("""COMPUTED_VALUE"""),"varchar(1000)")</f>
        <v>varchar(1000)</v>
      </c>
      <c r="H643" s="258" t="str">
        <f>IFERROR(__xludf.DUMMYFUNCTION("""COMPUTED_VALUE"""),"alak")</f>
        <v>alak</v>
      </c>
      <c r="I643" s="258" t="str">
        <f>IFERROR(__xludf.DUMMYFUNCTION("""COMPUTED_VALUE"""),"EDO-UUP")</f>
        <v>EDO-UUP</v>
      </c>
      <c r="J643" s="258" t="str">
        <f>IFERROR(__xludf.DUMMYFUNCTION("""COMPUTED_VALUE"""),"Monthly")</f>
        <v>Monthly</v>
      </c>
      <c r="K643" s="258" t="str">
        <f>IFERROR(__xludf.DUMMYFUNCTION("""COMPUTED_VALUE"""),"")</f>
        <v/>
      </c>
      <c r="L643" s="258" t="str">
        <f>IFERROR(__xludf.DUMMYFUNCTION("""COMPUTED_VALUE"""),"GHP, GHP-PREPAID, TM, PW, GOMO, WIRELINE, BAYAN, GLOBE")</f>
        <v>GHP, GHP-PREPAID, TM, PW, GOMO, WIRELINE, BAYAN, GLOBE</v>
      </c>
      <c r="M643" s="258" t="str">
        <f>IFERROR(__xludf.DUMMYFUNCTION("""COMPUTED_VALUE"""),"Consumer, EG, SG, In house, IBG Traveler")</f>
        <v>Consumer, EG, SG, In house, IBG Traveler</v>
      </c>
      <c r="N643" s="258" t="str">
        <f>IFERROR(__xludf.DUMMYFUNCTION("""COMPUTED_VALUE"""),"interest")</f>
        <v>interest</v>
      </c>
      <c r="O643" s="258" t="str">
        <f>IFERROR(__xludf.DUMMYFUNCTION("""COMPUTED_VALUE"""),"network_profile")</f>
        <v>network_profile</v>
      </c>
      <c r="P643" s="258"/>
    </row>
    <row r="644">
      <c r="A644" s="257" t="str">
        <f>IFERROR(__xludf.DUMMYFUNCTION("""COMPUTED_VALUE"""),"online_freelancer_bucket")</f>
        <v>online_freelancer_bucket</v>
      </c>
      <c r="B644" s="258" t="str">
        <f>IFERROR(__xludf.DUMMYFUNCTION("""COMPUTED_VALUE"""),"Audience/Persona")</f>
        <v>Audience/Persona</v>
      </c>
      <c r="C644" s="258" t="str">
        <f>IFERROR(__xludf.DUMMYFUNCTION("""COMPUTED_VALUE"""),"Non-PII")</f>
        <v>Non-PII</v>
      </c>
      <c r="D644" s="258" t="str">
        <f>IFERROR(__xludf.DUMMYFUNCTION("""COMPUTED_VALUE"""),"Non-PII")</f>
        <v>Non-PII</v>
      </c>
      <c r="E644" s="258" t="str">
        <f>IFERROR(__xludf.DUMMYFUNCTION("""COMPUTED_VALUE"""),"Bucketing based on identified metric for Online Freelancer profile
 Metric: Total Hits in a Month
 Valid values:
 LOW: &lt;= 5 hits
 MID: &gt; 5 &amp; &lt;= 15 hits
 HIGH: &gt; 15 hits
 For wireline subscribers, only subscriptions within Metro Manila (including some ar"&amp;"eas in Rizal) and with DSL, VDSL and GPON technology value are covered.")</f>
        <v>Bucketing based on identified metric for Online Freelancer profile
 Metric: Total Hits in a Month
 Valid values:
 LOW: &lt;= 5 hits
 MID: &gt; 5 &amp; &lt;= 15 hits
 HIGH: &gt; 15 hits
 For wireline subscribers, only subscriptions within Metro Manila (including some areas in Rizal) and with DSL, VDSL and GPON technology value are covered.</v>
      </c>
      <c r="F644" s="258" t="str">
        <f>IFERROR(__xludf.DUMMYFUNCTION("""COMPUTED_VALUE"""),"Direct Pull")</f>
        <v>Direct Pull</v>
      </c>
      <c r="G644" s="258" t="str">
        <f>IFERROR(__xludf.DUMMYFUNCTION("""COMPUTED_VALUE"""),"varchar(1000)")</f>
        <v>varchar(1000)</v>
      </c>
      <c r="H644" s="258" t="str">
        <f>IFERROR(__xludf.DUMMYFUNCTION("""COMPUTED_VALUE"""),"HIGH")</f>
        <v>HIGH</v>
      </c>
      <c r="I644" s="258" t="str">
        <f>IFERROR(__xludf.DUMMYFUNCTION("""COMPUTED_VALUE"""),"EDO-UUP")</f>
        <v>EDO-UUP</v>
      </c>
      <c r="J644" s="258" t="str">
        <f>IFERROR(__xludf.DUMMYFUNCTION("""COMPUTED_VALUE"""),"Monthly")</f>
        <v>Monthly</v>
      </c>
      <c r="K644" s="258" t="str">
        <f>IFERROR(__xludf.DUMMYFUNCTION("""COMPUTED_VALUE"""),"")</f>
        <v/>
      </c>
      <c r="L644" s="258" t="str">
        <f>IFERROR(__xludf.DUMMYFUNCTION("""COMPUTED_VALUE"""),"GHP, GHP-PREPAID, TM, PW, GOMO, WIRELINE, BAYAN, GLOBE")</f>
        <v>GHP, GHP-PREPAID, TM, PW, GOMO, WIRELINE, BAYAN, GLOBE</v>
      </c>
      <c r="M644" s="258" t="str">
        <f>IFERROR(__xludf.DUMMYFUNCTION("""COMPUTED_VALUE"""),"Consumer, EG, SG, In house, IBG Traveler")</f>
        <v>Consumer, EG, SG, In house, IBG Traveler</v>
      </c>
      <c r="N644" s="258" t="str">
        <f>IFERROR(__xludf.DUMMYFUNCTION("""COMPUTED_VALUE"""),"interest")</f>
        <v>interest</v>
      </c>
      <c r="O644" s="258" t="str">
        <f>IFERROR(__xludf.DUMMYFUNCTION("""COMPUTED_VALUE"""),"network_profile")</f>
        <v>network_profile</v>
      </c>
      <c r="P644" s="258"/>
    </row>
    <row r="645">
      <c r="A645" s="257" t="str">
        <f>IFERROR(__xludf.DUMMYFUNCTION("""COMPUTED_VALUE"""),"online_freelancer_details")</f>
        <v>online_freelancer_details</v>
      </c>
      <c r="B645" s="258" t="str">
        <f>IFERROR(__xludf.DUMMYFUNCTION("""COMPUTED_VALUE"""),"Audience/Persona")</f>
        <v>Audience/Persona</v>
      </c>
      <c r="C645" s="258" t="str">
        <f>IFERROR(__xludf.DUMMYFUNCTION("""COMPUTED_VALUE"""),"Non-PII")</f>
        <v>Non-PII</v>
      </c>
      <c r="D645" s="258" t="str">
        <f>IFERROR(__xludf.DUMMYFUNCTION("""COMPUTED_VALUE"""),"Non-PII")</f>
        <v>Non-PII</v>
      </c>
      <c r="E645" s="258" t="str">
        <f>IFERROR(__xludf.DUMMYFUNCTION("""COMPUTED_VALUE"""),"Metric used and value for the Online Freelancer profile
 For wireline subscribers, only subscriptions within Metro Manila (including some areas in Rizal) and with DSL, VDSL and GPON technology value are covered.")</f>
        <v>Metric used and value for the Online Freelancer profile
 For wireline subscribers, only subscriptions within Metro Manila (including some areas in Rizal) and with DSL, VDSL and GPON technology value are covered.</v>
      </c>
      <c r="F645" s="258" t="str">
        <f>IFERROR(__xludf.DUMMYFUNCTION("""COMPUTED_VALUE"""),"Derived")</f>
        <v>Derived</v>
      </c>
      <c r="G645" s="258" t="str">
        <f>IFERROR(__xludf.DUMMYFUNCTION("""COMPUTED_VALUE"""),"varchar(1000)")</f>
        <v>varchar(1000)</v>
      </c>
      <c r="H645" s="258" t="str">
        <f>IFERROR(__xludf.DUMMYFUNCTION("""COMPUTED_VALUE"""),"{""Average Daily Hits in a Month: 1""}")</f>
        <v>{"Average Daily Hits in a Month: 1"}</v>
      </c>
      <c r="I645" s="258" t="str">
        <f>IFERROR(__xludf.DUMMYFUNCTION("""COMPUTED_VALUE"""),"EDO-UUP")</f>
        <v>EDO-UUP</v>
      </c>
      <c r="J645" s="258" t="str">
        <f>IFERROR(__xludf.DUMMYFUNCTION("""COMPUTED_VALUE"""),"Monthly")</f>
        <v>Monthly</v>
      </c>
      <c r="K645" s="258" t="str">
        <f>IFERROR(__xludf.DUMMYFUNCTION("""COMPUTED_VALUE"""),"")</f>
        <v/>
      </c>
      <c r="L645" s="258" t="str">
        <f>IFERROR(__xludf.DUMMYFUNCTION("""COMPUTED_VALUE"""),"GHP, GHP-PREPAID, TM, PW, GOMO, WIRELINE, BAYAN, GLOBE")</f>
        <v>GHP, GHP-PREPAID, TM, PW, GOMO, WIRELINE, BAYAN, GLOBE</v>
      </c>
      <c r="M645" s="258" t="str">
        <f>IFERROR(__xludf.DUMMYFUNCTION("""COMPUTED_VALUE"""),"Consumer, EG, SG, In house, IBG Traveler")</f>
        <v>Consumer, EG, SG, In house, IBG Traveler</v>
      </c>
      <c r="N645" s="258" t="str">
        <f>IFERROR(__xludf.DUMMYFUNCTION("""COMPUTED_VALUE"""),"interest")</f>
        <v>interest</v>
      </c>
      <c r="O645" s="258" t="str">
        <f>IFERROR(__xludf.DUMMYFUNCTION("""COMPUTED_VALUE"""),"network_profile")</f>
        <v>network_profile</v>
      </c>
      <c r="P645" s="258"/>
    </row>
    <row r="646">
      <c r="A646" s="257" t="str">
        <f>IFERROR(__xludf.DUMMYFUNCTION("""COMPUTED_VALUE"""),"online_freelancer_indicator")</f>
        <v>online_freelancer_indicator</v>
      </c>
      <c r="B646" s="258" t="str">
        <f>IFERROR(__xludf.DUMMYFUNCTION("""COMPUTED_VALUE"""),"Audience/Persona")</f>
        <v>Audience/Persona</v>
      </c>
      <c r="C646" s="258" t="str">
        <f>IFERROR(__xludf.DUMMYFUNCTION("""COMPUTED_VALUE"""),"Non-PII")</f>
        <v>Non-PII</v>
      </c>
      <c r="D646" s="258" t="str">
        <f>IFERROR(__xludf.DUMMYFUNCTION("""COMPUTED_VALUE"""),"Non-PII")</f>
        <v>Non-PII</v>
      </c>
      <c r="E646" s="258" t="str">
        <f>IFERROR(__xludf.DUMMYFUNCTION("""COMPUTED_VALUE"""),"Indicator if a subscriber visits freelancing websites or apps such as fiverr, golance, 199jobs
 For wireline subscribers, only subscriptions within Metro Manila (including some areas in Rizal) and with DSL, VDSL and GPON technology value are covered.")</f>
        <v>Indicator if a subscriber visits freelancing websites or apps such as fiverr, golance, 199jobs
 For wireline subscribers, only subscriptions within Metro Manila (including some areas in Rizal) and with DSL, VDSL and GPON technology value are covered.</v>
      </c>
      <c r="F646" s="258" t="str">
        <f>IFERROR(__xludf.DUMMYFUNCTION("""COMPUTED_VALUE"""),"Derived")</f>
        <v>Derived</v>
      </c>
      <c r="G646" s="258" t="str">
        <f>IFERROR(__xludf.DUMMYFUNCTION("""COMPUTED_VALUE"""),"boolean")</f>
        <v>boolean</v>
      </c>
      <c r="H646" s="258" t="b">
        <f>IFERROR(__xludf.DUMMYFUNCTION("""COMPUTED_VALUE"""),TRUE)</f>
        <v>1</v>
      </c>
      <c r="I646" s="258" t="str">
        <f>IFERROR(__xludf.DUMMYFUNCTION("""COMPUTED_VALUE"""),"EDO-UUP")</f>
        <v>EDO-UUP</v>
      </c>
      <c r="J646" s="258" t="str">
        <f>IFERROR(__xludf.DUMMYFUNCTION("""COMPUTED_VALUE"""),"Monthly")</f>
        <v>Monthly</v>
      </c>
      <c r="K646" s="258" t="str">
        <f>IFERROR(__xludf.DUMMYFUNCTION("""COMPUTED_VALUE"""),"")</f>
        <v/>
      </c>
      <c r="L646" s="258" t="str">
        <f>IFERROR(__xludf.DUMMYFUNCTION("""COMPUTED_VALUE"""),"GHP, GHP-PREPAID, TM, PW, GOMO, WIRELINE, BAYAN, GLOBE")</f>
        <v>GHP, GHP-PREPAID, TM, PW, GOMO, WIRELINE, BAYAN, GLOBE</v>
      </c>
      <c r="M646" s="258" t="str">
        <f>IFERROR(__xludf.DUMMYFUNCTION("""COMPUTED_VALUE"""),"Consumer, EG, SG, In house, IBG Traveler")</f>
        <v>Consumer, EG, SG, In house, IBG Traveler</v>
      </c>
      <c r="N646" s="258" t="str">
        <f>IFERROR(__xludf.DUMMYFUNCTION("""COMPUTED_VALUE"""),"interest")</f>
        <v>interest</v>
      </c>
      <c r="O646" s="258" t="str">
        <f>IFERROR(__xludf.DUMMYFUNCTION("""COMPUTED_VALUE"""),"network_profile")</f>
        <v>network_profile</v>
      </c>
      <c r="P646" s="258"/>
    </row>
    <row r="647">
      <c r="A647" s="257" t="str">
        <f>IFERROR(__xludf.DUMMYFUNCTION("""COMPUTED_VALUE"""),"online_freelancer_top_apps")</f>
        <v>online_freelancer_top_apps</v>
      </c>
      <c r="B647" s="258" t="str">
        <f>IFERROR(__xludf.DUMMYFUNCTION("""COMPUTED_VALUE"""),"Audience/Persona")</f>
        <v>Audience/Persona</v>
      </c>
      <c r="C647" s="258" t="str">
        <f>IFERROR(__xludf.DUMMYFUNCTION("""COMPUTED_VALUE"""),"Non-PII")</f>
        <v>Non-PII</v>
      </c>
      <c r="D647" s="258" t="str">
        <f>IFERROR(__xludf.DUMMYFUNCTION("""COMPUTED_VALUE"""),"Non-PII")</f>
        <v>Non-PII</v>
      </c>
      <c r="E647" s="258" t="str">
        <f>IFERROR(__xludf.DUMMYFUNCTION("""COMPUTED_VALUE"""),"Top 1 app/site by data burn, total hits and active days in a month categorized under the Online Freelancer profile
 For wireline subscribers, only subscriptions within Metro Manila (including some areas in Rizal) and with DSL, VDSL and GPON technology v"&amp;"alue are covered.")</f>
        <v>Top 1 app/site by data burn, total hits and active days in a month categorized under the Online Freelancer profile
 For wireline subscribers, only subscriptions within Metro Manila (including some areas in Rizal) and with DSL, VDSL and GPON technology value are covered.</v>
      </c>
      <c r="F647" s="258" t="str">
        <f>IFERROR(__xludf.DUMMYFUNCTION("""COMPUTED_VALUE"""),"Derived")</f>
        <v>Derived</v>
      </c>
      <c r="G647" s="258" t="str">
        <f>IFERROR(__xludf.DUMMYFUNCTION("""COMPUTED_VALUE"""),"varchar(1000)")</f>
        <v>varchar(1000)</v>
      </c>
      <c r="H647" s="258" t="str">
        <f>IFERROR(__xludf.DUMMYFUNCTION("""COMPUTED_VALUE"""),"rarejob")</f>
        <v>rarejob</v>
      </c>
      <c r="I647" s="258" t="str">
        <f>IFERROR(__xludf.DUMMYFUNCTION("""COMPUTED_VALUE"""),"EDO-UUP")</f>
        <v>EDO-UUP</v>
      </c>
      <c r="J647" s="258" t="str">
        <f>IFERROR(__xludf.DUMMYFUNCTION("""COMPUTED_VALUE"""),"Monthly")</f>
        <v>Monthly</v>
      </c>
      <c r="K647" s="258" t="str">
        <f>IFERROR(__xludf.DUMMYFUNCTION("""COMPUTED_VALUE"""),"")</f>
        <v/>
      </c>
      <c r="L647" s="258" t="str">
        <f>IFERROR(__xludf.DUMMYFUNCTION("""COMPUTED_VALUE"""),"GHP, GHP-PREPAID, TM, PW, GOMO, WIRELINE, BAYAN, GLOBE")</f>
        <v>GHP, GHP-PREPAID, TM, PW, GOMO, WIRELINE, BAYAN, GLOBE</v>
      </c>
      <c r="M647" s="258" t="str">
        <f>IFERROR(__xludf.DUMMYFUNCTION("""COMPUTED_VALUE"""),"Consumer, EG, SG, In house, IBG Traveler")</f>
        <v>Consumer, EG, SG, In house, IBG Traveler</v>
      </c>
      <c r="N647" s="258" t="str">
        <f>IFERROR(__xludf.DUMMYFUNCTION("""COMPUTED_VALUE"""),"interest")</f>
        <v>interest</v>
      </c>
      <c r="O647" s="258" t="str">
        <f>IFERROR(__xludf.DUMMYFUNCTION("""COMPUTED_VALUE"""),"network_profile")</f>
        <v>network_profile</v>
      </c>
      <c r="P647" s="258"/>
    </row>
    <row r="648">
      <c r="A648" s="257" t="str">
        <f>IFERROR(__xludf.DUMMYFUNCTION("""COMPUTED_VALUE"""),"thrifty_nanay_bucket")</f>
        <v>thrifty_nanay_bucket</v>
      </c>
      <c r="B648" s="258" t="str">
        <f>IFERROR(__xludf.DUMMYFUNCTION("""COMPUTED_VALUE"""),"Audience/Persona")</f>
        <v>Audience/Persona</v>
      </c>
      <c r="C648" s="258" t="str">
        <f>IFERROR(__xludf.DUMMYFUNCTION("""COMPUTED_VALUE"""),"Non-PII")</f>
        <v>Non-PII</v>
      </c>
      <c r="D648" s="258" t="str">
        <f>IFERROR(__xludf.DUMMYFUNCTION("""COMPUTED_VALUE"""),"Non-PII")</f>
        <v>Non-PII</v>
      </c>
      <c r="E648" s="258" t="str">
        <f>IFERROR(__xludf.DUMMYFUNCTION("""COMPUTED_VALUE"""),"Bucketing based on the identified metric for the Thrifty Nanay profile
  Metric: Total Active Cards in a Month
  Valid values:
  Wireless
  LOW: &lt;= 1
  MID: &gt; 1 &amp; &lt;= 3
  HIGH: &gt; 3")</f>
        <v>Bucketing based on the identified metric for the Thrifty Nanay profile
  Metric: Total Active Cards in a Month
  Valid values:
  Wireless
  LOW: &lt;= 1
  MID: &gt; 1 &amp; &lt;= 3
  HIGH: &gt; 3</v>
      </c>
      <c r="F648" s="258" t="str">
        <f>IFERROR(__xludf.DUMMYFUNCTION("""COMPUTED_VALUE"""),"Direct Pull")</f>
        <v>Direct Pull</v>
      </c>
      <c r="G648" s="258" t="str">
        <f>IFERROR(__xludf.DUMMYFUNCTION("""COMPUTED_VALUE"""),"varchar(1000)")</f>
        <v>varchar(1000)</v>
      </c>
      <c r="H648" s="258" t="str">
        <f>IFERROR(__xludf.DUMMYFUNCTION("""COMPUTED_VALUE"""),"HIGH")</f>
        <v>HIGH</v>
      </c>
      <c r="I648" s="258" t="str">
        <f>IFERROR(__xludf.DUMMYFUNCTION("""COMPUTED_VALUE"""),"EDO-UUP")</f>
        <v>EDO-UUP</v>
      </c>
      <c r="J648" s="258" t="str">
        <f>IFERROR(__xludf.DUMMYFUNCTION("""COMPUTED_VALUE"""),"Monthly")</f>
        <v>Monthly</v>
      </c>
      <c r="K648" s="258" t="str">
        <f>IFERROR(__xludf.DUMMYFUNCTION("""COMPUTED_VALUE"""),"")</f>
        <v/>
      </c>
      <c r="L648" s="258" t="str">
        <f>IFERROR(__xludf.DUMMYFUNCTION("""COMPUTED_VALUE"""),"GHP, GHP-PREPAID, TM, PW")</f>
        <v>GHP, GHP-PREPAID, TM, PW</v>
      </c>
      <c r="M648" s="258" t="str">
        <f>IFERROR(__xludf.DUMMYFUNCTION("""COMPUTED_VALUE"""),"Consumer, EG, SG, In house, IBG Traveler")</f>
        <v>Consumer, EG, SG, In house, IBG Traveler</v>
      </c>
      <c r="N648" s="258" t="str">
        <f>IFERROR(__xludf.DUMMYFUNCTION("""COMPUTED_VALUE"""),"interest")</f>
        <v>interest</v>
      </c>
      <c r="O648" s="258" t="str">
        <f>IFERROR(__xludf.DUMMYFUNCTION("""COMPUTED_VALUE"""),"network_profile")</f>
        <v>network_profile</v>
      </c>
      <c r="P648" s="258"/>
    </row>
    <row r="649">
      <c r="A649" s="257" t="str">
        <f>IFERROR(__xludf.DUMMYFUNCTION("""COMPUTED_VALUE"""),"thrifty_nanay_details")</f>
        <v>thrifty_nanay_details</v>
      </c>
      <c r="B649" s="258" t="str">
        <f>IFERROR(__xludf.DUMMYFUNCTION("""COMPUTED_VALUE"""),"Audience/Persona")</f>
        <v>Audience/Persona</v>
      </c>
      <c r="C649" s="258" t="str">
        <f>IFERROR(__xludf.DUMMYFUNCTION("""COMPUTED_VALUE"""),"Non-PII")</f>
        <v>Non-PII</v>
      </c>
      <c r="D649" s="258" t="str">
        <f>IFERROR(__xludf.DUMMYFUNCTION("""COMPUTED_VALUE"""),"Non-PII")</f>
        <v>Non-PII</v>
      </c>
      <c r="E649" s="258" t="str">
        <f>IFERROR(__xludf.DUMMYFUNCTION("""COMPUTED_VALUE"""),"Metric used and value for the Thrifty Nanay profile")</f>
        <v>Metric used and value for the Thrifty Nanay profile</v>
      </c>
      <c r="F649" s="258" t="str">
        <f>IFERROR(__xludf.DUMMYFUNCTION("""COMPUTED_VALUE"""),"Derived")</f>
        <v>Derived</v>
      </c>
      <c r="G649" s="258" t="str">
        <f>IFERROR(__xludf.DUMMYFUNCTION("""COMPUTED_VALUE"""),"varchar(1000)")</f>
        <v>varchar(1000)</v>
      </c>
      <c r="H649" s="258" t="str">
        <f>IFERROR(__xludf.DUMMYFUNCTION("""COMPUTED_VALUE"""),"{""Average Daily Hits in a Month: 1""}")</f>
        <v>{"Average Daily Hits in a Month: 1"}</v>
      </c>
      <c r="I649" s="258" t="str">
        <f>IFERROR(__xludf.DUMMYFUNCTION("""COMPUTED_VALUE"""),"EDO-UUP")</f>
        <v>EDO-UUP</v>
      </c>
      <c r="J649" s="258" t="str">
        <f>IFERROR(__xludf.DUMMYFUNCTION("""COMPUTED_VALUE"""),"Monthly")</f>
        <v>Monthly</v>
      </c>
      <c r="K649" s="258" t="str">
        <f>IFERROR(__xludf.DUMMYFUNCTION("""COMPUTED_VALUE"""),"")</f>
        <v/>
      </c>
      <c r="L649" s="258" t="str">
        <f>IFERROR(__xludf.DUMMYFUNCTION("""COMPUTED_VALUE"""),"GHP, GHP-PREPAID, TM, PW")</f>
        <v>GHP, GHP-PREPAID, TM, PW</v>
      </c>
      <c r="M649" s="258" t="str">
        <f>IFERROR(__xludf.DUMMYFUNCTION("""COMPUTED_VALUE"""),"Consumer, EG, SG, In house, IBG Traveler")</f>
        <v>Consumer, EG, SG, In house, IBG Traveler</v>
      </c>
      <c r="N649" s="258" t="str">
        <f>IFERROR(__xludf.DUMMYFUNCTION("""COMPUTED_VALUE"""),"interest")</f>
        <v>interest</v>
      </c>
      <c r="O649" s="258" t="str">
        <f>IFERROR(__xludf.DUMMYFUNCTION("""COMPUTED_VALUE"""),"network_profile")</f>
        <v>network_profile</v>
      </c>
      <c r="P649" s="258"/>
    </row>
    <row r="650">
      <c r="A650" s="257" t="str">
        <f>IFERROR(__xludf.DUMMYFUNCTION("""COMPUTED_VALUE"""),"thrifty_nanay_indicator")</f>
        <v>thrifty_nanay_indicator</v>
      </c>
      <c r="B650" s="258" t="str">
        <f>IFERROR(__xludf.DUMMYFUNCTION("""COMPUTED_VALUE"""),"Audience/Persona")</f>
        <v>Audience/Persona</v>
      </c>
      <c r="C650" s="258" t="str">
        <f>IFERROR(__xludf.DUMMYFUNCTION("""COMPUTED_VALUE"""),"Non-PII")</f>
        <v>Non-PII</v>
      </c>
      <c r="D650" s="258" t="str">
        <f>IFERROR(__xludf.DUMMYFUNCTION("""COMPUTED_VALUE"""),"Non-PII")</f>
        <v>Non-PII</v>
      </c>
      <c r="E650" s="258" t="str">
        <f>IFERROR(__xludf.DUMMYFUNCTION("""COMPUTED_VALUE"""),"Indicator if a subscriber has a membership to stores based on SMS transactions with numbers such as puregold, robrewards, smac")</f>
        <v>Indicator if a subscriber has a membership to stores based on SMS transactions with numbers such as puregold, robrewards, smac</v>
      </c>
      <c r="F650" s="258" t="str">
        <f>IFERROR(__xludf.DUMMYFUNCTION("""COMPUTED_VALUE"""),"Derived")</f>
        <v>Derived</v>
      </c>
      <c r="G650" s="258" t="str">
        <f>IFERROR(__xludf.DUMMYFUNCTION("""COMPUTED_VALUE"""),"boolean")</f>
        <v>boolean</v>
      </c>
      <c r="H650" s="258" t="b">
        <f>IFERROR(__xludf.DUMMYFUNCTION("""COMPUTED_VALUE"""),TRUE)</f>
        <v>1</v>
      </c>
      <c r="I650" s="258" t="str">
        <f>IFERROR(__xludf.DUMMYFUNCTION("""COMPUTED_VALUE"""),"EDO-UUP")</f>
        <v>EDO-UUP</v>
      </c>
      <c r="J650" s="258" t="str">
        <f>IFERROR(__xludf.DUMMYFUNCTION("""COMPUTED_VALUE"""),"Monthly")</f>
        <v>Monthly</v>
      </c>
      <c r="K650" s="258" t="str">
        <f>IFERROR(__xludf.DUMMYFUNCTION("""COMPUTED_VALUE"""),"")</f>
        <v/>
      </c>
      <c r="L650" s="258" t="str">
        <f>IFERROR(__xludf.DUMMYFUNCTION("""COMPUTED_VALUE"""),"GHP, GHP-PREPAID, TM, PW")</f>
        <v>GHP, GHP-PREPAID, TM, PW</v>
      </c>
      <c r="M650" s="258" t="str">
        <f>IFERROR(__xludf.DUMMYFUNCTION("""COMPUTED_VALUE"""),"Consumer, EG, SG, In house, IBG Traveler")</f>
        <v>Consumer, EG, SG, In house, IBG Traveler</v>
      </c>
      <c r="N650" s="258" t="str">
        <f>IFERROR(__xludf.DUMMYFUNCTION("""COMPUTED_VALUE"""),"interest")</f>
        <v>interest</v>
      </c>
      <c r="O650" s="258" t="str">
        <f>IFERROR(__xludf.DUMMYFUNCTION("""COMPUTED_VALUE"""),"network_profile")</f>
        <v>network_profile</v>
      </c>
      <c r="P650" s="258"/>
    </row>
    <row r="651">
      <c r="A651" s="257" t="str">
        <f>IFERROR(__xludf.DUMMYFUNCTION("""COMPUTED_VALUE"""),"thrifty_nanay_mode")</f>
        <v>thrifty_nanay_mode</v>
      </c>
      <c r="B651" s="258" t="str">
        <f>IFERROR(__xludf.DUMMYFUNCTION("""COMPUTED_VALUE"""),"Audience/Persona")</f>
        <v>Audience/Persona</v>
      </c>
      <c r="C651" s="258" t="str">
        <f>IFERROR(__xludf.DUMMYFUNCTION("""COMPUTED_VALUE"""),"Non-PII")</f>
        <v>Non-PII</v>
      </c>
      <c r="D651" s="258" t="str">
        <f>IFERROR(__xludf.DUMMYFUNCTION("""COMPUTED_VALUE"""),"Non-PII")</f>
        <v>Non-PII</v>
      </c>
      <c r="E651" s="258" t="str">
        <f>IFERROR(__xludf.DUMMYFUNCTION("""COMPUTED_VALUE"""),"Top 1 tag by Total Active Cards in a Month categorized under the Thrifty Nanay profile")</f>
        <v>Top 1 tag by Total Active Cards in a Month categorized under the Thrifty Nanay profile</v>
      </c>
      <c r="F651" s="258" t="str">
        <f>IFERROR(__xludf.DUMMYFUNCTION("""COMPUTED_VALUE"""),"Derived")</f>
        <v>Derived</v>
      </c>
      <c r="G651" s="258" t="str">
        <f>IFERROR(__xludf.DUMMYFUNCTION("""COMPUTED_VALUE"""),"varchar(1000)")</f>
        <v>varchar(1000)</v>
      </c>
      <c r="H651" s="258" t="str">
        <f>IFERROR(__xludf.DUMMYFUNCTION("""COMPUTED_VALUE"""),"robrewards")</f>
        <v>robrewards</v>
      </c>
      <c r="I651" s="258" t="str">
        <f>IFERROR(__xludf.DUMMYFUNCTION("""COMPUTED_VALUE"""),"EDO-UUP")</f>
        <v>EDO-UUP</v>
      </c>
      <c r="J651" s="258" t="str">
        <f>IFERROR(__xludf.DUMMYFUNCTION("""COMPUTED_VALUE"""),"Monthly")</f>
        <v>Monthly</v>
      </c>
      <c r="K651" s="258" t="str">
        <f>IFERROR(__xludf.DUMMYFUNCTION("""COMPUTED_VALUE"""),"")</f>
        <v/>
      </c>
      <c r="L651" s="258" t="str">
        <f>IFERROR(__xludf.DUMMYFUNCTION("""COMPUTED_VALUE"""),"GHP, GHP-PREPAID, TM, PW")</f>
        <v>GHP, GHP-PREPAID, TM, PW</v>
      </c>
      <c r="M651" s="258" t="str">
        <f>IFERROR(__xludf.DUMMYFUNCTION("""COMPUTED_VALUE"""),"Consumer, EG, SG, In house, IBG Traveler")</f>
        <v>Consumer, EG, SG, In house, IBG Traveler</v>
      </c>
      <c r="N651" s="258" t="str">
        <f>IFERROR(__xludf.DUMMYFUNCTION("""COMPUTED_VALUE"""),"interest")</f>
        <v>interest</v>
      </c>
      <c r="O651" s="258" t="str">
        <f>IFERROR(__xludf.DUMMYFUNCTION("""COMPUTED_VALUE"""),"network_profile")</f>
        <v>network_profile</v>
      </c>
      <c r="P651" s="258"/>
    </row>
    <row r="652">
      <c r="A652" s="257" t="str">
        <f>IFERROR(__xludf.DUMMYFUNCTION("""COMPUTED_VALUE"""),"health_conscious_indicator")</f>
        <v>health_conscious_indicator</v>
      </c>
      <c r="B652" s="258" t="str">
        <f>IFERROR(__xludf.DUMMYFUNCTION("""COMPUTED_VALUE"""),"Audience/Persona")</f>
        <v>Audience/Persona</v>
      </c>
      <c r="C652" s="258" t="str">
        <f>IFERROR(__xludf.DUMMYFUNCTION("""COMPUTED_VALUE"""),"Non-PII")</f>
        <v>Non-PII</v>
      </c>
      <c r="D652" s="258" t="str">
        <f>IFERROR(__xludf.DUMMYFUNCTION("""COMPUTED_VALUE"""),"Non-PII")</f>
        <v>Non-PII</v>
      </c>
      <c r="E652" s="258" t="str">
        <f>IFERROR(__xludf.DUMMYFUNCTION("""COMPUTED_VALUE"""),"Indicator if a subscriber visits websites or apps focused on health such as all_keto, fresh_produce, green_grocer
 For wireline subscribers, only subscriptions within Metro Manila (including some areas in Rizal) and with DSL, VDSL and GPON technology va"&amp;"lue are covered.")</f>
        <v>Indicator if a subscriber visits websites or apps focused on health such as all_keto, fresh_produce, green_grocer
 For wireline subscribers, only subscriptions within Metro Manila (including some areas in Rizal) and with DSL, VDSL and GPON technology value are covered.</v>
      </c>
      <c r="F652" s="258" t="str">
        <f>IFERROR(__xludf.DUMMYFUNCTION("""COMPUTED_VALUE"""),"Derived")</f>
        <v>Derived</v>
      </c>
      <c r="G652" s="258" t="str">
        <f>IFERROR(__xludf.DUMMYFUNCTION("""COMPUTED_VALUE"""),"boolean")</f>
        <v>boolean</v>
      </c>
      <c r="H652" s="258" t="b">
        <f>IFERROR(__xludf.DUMMYFUNCTION("""COMPUTED_VALUE"""),TRUE)</f>
        <v>1</v>
      </c>
      <c r="I652" s="258" t="str">
        <f>IFERROR(__xludf.DUMMYFUNCTION("""COMPUTED_VALUE"""),"EDO-UUP")</f>
        <v>EDO-UUP</v>
      </c>
      <c r="J652" s="258" t="str">
        <f>IFERROR(__xludf.DUMMYFUNCTION("""COMPUTED_VALUE"""),"Monthly")</f>
        <v>Monthly</v>
      </c>
      <c r="K652" s="258" t="str">
        <f>IFERROR(__xludf.DUMMYFUNCTION("""COMPUTED_VALUE"""),"")</f>
        <v/>
      </c>
      <c r="L652" s="258" t="str">
        <f>IFERROR(__xludf.DUMMYFUNCTION("""COMPUTED_VALUE"""),"GHP, GHP-PREPAID, TM, PW, GOMO, WIRELINE, BAYAN, GLOBE")</f>
        <v>GHP, GHP-PREPAID, TM, PW, GOMO, WIRELINE, BAYAN, GLOBE</v>
      </c>
      <c r="M652" s="258" t="str">
        <f>IFERROR(__xludf.DUMMYFUNCTION("""COMPUTED_VALUE"""),"Consumer, EG, SG, In house, IBG Traveler")</f>
        <v>Consumer, EG, SG, In house, IBG Traveler</v>
      </c>
      <c r="N652" s="258" t="str">
        <f>IFERROR(__xludf.DUMMYFUNCTION("""COMPUTED_VALUE"""),"interest")</f>
        <v>interest</v>
      </c>
      <c r="O652" s="258" t="str">
        <f>IFERROR(__xludf.DUMMYFUNCTION("""COMPUTED_VALUE"""),"network_profile")</f>
        <v>network_profile</v>
      </c>
      <c r="P652" s="258"/>
    </row>
    <row r="653">
      <c r="A653" s="257" t="str">
        <f>IFERROR(__xludf.DUMMYFUNCTION("""COMPUTED_VALUE"""),"health_conscious_bucket")</f>
        <v>health_conscious_bucket</v>
      </c>
      <c r="B653" s="258" t="str">
        <f>IFERROR(__xludf.DUMMYFUNCTION("""COMPUTED_VALUE"""),"Audience/Persona")</f>
        <v>Audience/Persona</v>
      </c>
      <c r="C653" s="258" t="str">
        <f>IFERROR(__xludf.DUMMYFUNCTION("""COMPUTED_VALUE"""),"Non-PII")</f>
        <v>Non-PII</v>
      </c>
      <c r="D653" s="258" t="str">
        <f>IFERROR(__xludf.DUMMYFUNCTION("""COMPUTED_VALUE"""),"Non-PII")</f>
        <v>Non-PII</v>
      </c>
      <c r="E653" s="258" t="str">
        <f>IFERROR(__xludf.DUMMYFUNCTION("""COMPUTED_VALUE"""),"Bucketing based on identified metric for Health Conscious profile
 Metric: Total Hits in a Month
 Valid values:
 LOW: &lt;= 3 hits
 MID: &gt; 3 &amp; &lt;= 6 hits
 HIGH: &gt; 6 hits
 For wireline subscribers, only subscriptions within Metro Manila (including some areas"&amp;" in Rizal) and with DSL, VDSL and GPON technology value are covered.")</f>
        <v>Bucketing based on identified metric for Health Conscious profile
 Metric: Total Hits in a Month
 Valid values:
 LOW: &lt;= 3 hits
 MID: &gt; 3 &amp; &lt;= 6 hits
 HIGH: &gt; 6 hits
 For wireline subscribers, only subscriptions within Metro Manila (including some areas in Rizal) and with DSL, VDSL and GPON technology value are covered.</v>
      </c>
      <c r="F653" s="258" t="str">
        <f>IFERROR(__xludf.DUMMYFUNCTION("""COMPUTED_VALUE"""),"Direct Pull")</f>
        <v>Direct Pull</v>
      </c>
      <c r="G653" s="258" t="str">
        <f>IFERROR(__xludf.DUMMYFUNCTION("""COMPUTED_VALUE"""),"varchar(1000)")</f>
        <v>varchar(1000)</v>
      </c>
      <c r="H653" s="258" t="str">
        <f>IFERROR(__xludf.DUMMYFUNCTION("""COMPUTED_VALUE"""),"MID")</f>
        <v>MID</v>
      </c>
      <c r="I653" s="258" t="str">
        <f>IFERROR(__xludf.DUMMYFUNCTION("""COMPUTED_VALUE"""),"EDO-UUP")</f>
        <v>EDO-UUP</v>
      </c>
      <c r="J653" s="258" t="str">
        <f>IFERROR(__xludf.DUMMYFUNCTION("""COMPUTED_VALUE"""),"Monthly")</f>
        <v>Monthly</v>
      </c>
      <c r="K653" s="258" t="str">
        <f>IFERROR(__xludf.DUMMYFUNCTION("""COMPUTED_VALUE"""),"")</f>
        <v/>
      </c>
      <c r="L653" s="258" t="str">
        <f>IFERROR(__xludf.DUMMYFUNCTION("""COMPUTED_VALUE"""),"GHP, GHP-PREPAID, TM, PW, GOMO, WIRELINE, BAYAN, GLOBE")</f>
        <v>GHP, GHP-PREPAID, TM, PW, GOMO, WIRELINE, BAYAN, GLOBE</v>
      </c>
      <c r="M653" s="258" t="str">
        <f>IFERROR(__xludf.DUMMYFUNCTION("""COMPUTED_VALUE"""),"Consumer, EG, SG, In house, IBG Traveler")</f>
        <v>Consumer, EG, SG, In house, IBG Traveler</v>
      </c>
      <c r="N653" s="258" t="str">
        <f>IFERROR(__xludf.DUMMYFUNCTION("""COMPUTED_VALUE"""),"interest")</f>
        <v>interest</v>
      </c>
      <c r="O653" s="258" t="str">
        <f>IFERROR(__xludf.DUMMYFUNCTION("""COMPUTED_VALUE"""),"network_profile")</f>
        <v>network_profile</v>
      </c>
      <c r="P653" s="258"/>
    </row>
    <row r="654">
      <c r="A654" s="257" t="str">
        <f>IFERROR(__xludf.DUMMYFUNCTION("""COMPUTED_VALUE"""),"health_conscious_details")</f>
        <v>health_conscious_details</v>
      </c>
      <c r="B654" s="258" t="str">
        <f>IFERROR(__xludf.DUMMYFUNCTION("""COMPUTED_VALUE"""),"Audience/Persona")</f>
        <v>Audience/Persona</v>
      </c>
      <c r="C654" s="258" t="str">
        <f>IFERROR(__xludf.DUMMYFUNCTION("""COMPUTED_VALUE"""),"Non-PII")</f>
        <v>Non-PII</v>
      </c>
      <c r="D654" s="258" t="str">
        <f>IFERROR(__xludf.DUMMYFUNCTION("""COMPUTED_VALUE"""),"Non-PII")</f>
        <v>Non-PII</v>
      </c>
      <c r="E654" s="258" t="str">
        <f>IFERROR(__xludf.DUMMYFUNCTION("""COMPUTED_VALUE"""),"Metric used and value for the Health Conscious profile
 For wireline subscribers, only subscriptions within Metro Manila (including some areas in Rizal) and with DSL, VDSL and GPON technology value are covered.")</f>
        <v>Metric used and value for the Health Conscious profile
 For wireline subscribers, only subscriptions within Metro Manila (including some areas in Rizal) and with DSL, VDSL and GPON technology value are covered.</v>
      </c>
      <c r="F654" s="258" t="str">
        <f>IFERROR(__xludf.DUMMYFUNCTION("""COMPUTED_VALUE"""),"Derived")</f>
        <v>Derived</v>
      </c>
      <c r="G654" s="258" t="str">
        <f>IFERROR(__xludf.DUMMYFUNCTION("""COMPUTED_VALUE"""),"varchar(1000)")</f>
        <v>varchar(1000)</v>
      </c>
      <c r="H654" s="258" t="str">
        <f>IFERROR(__xludf.DUMMYFUNCTION("""COMPUTED_VALUE"""),"{""Total Hits in a Month"": 6.0}")</f>
        <v>{"Total Hits in a Month": 6.0}</v>
      </c>
      <c r="I654" s="258" t="str">
        <f>IFERROR(__xludf.DUMMYFUNCTION("""COMPUTED_VALUE"""),"EDO-UUP")</f>
        <v>EDO-UUP</v>
      </c>
      <c r="J654" s="258" t="str">
        <f>IFERROR(__xludf.DUMMYFUNCTION("""COMPUTED_VALUE"""),"Monthly")</f>
        <v>Monthly</v>
      </c>
      <c r="K654" s="258" t="str">
        <f>IFERROR(__xludf.DUMMYFUNCTION("""COMPUTED_VALUE"""),"")</f>
        <v/>
      </c>
      <c r="L654" s="258" t="str">
        <f>IFERROR(__xludf.DUMMYFUNCTION("""COMPUTED_VALUE"""),"GHP, GHP-PREPAID, TM, PW, GOMO, WIRELINE, BAYAN, GLOBE")</f>
        <v>GHP, GHP-PREPAID, TM, PW, GOMO, WIRELINE, BAYAN, GLOBE</v>
      </c>
      <c r="M654" s="258" t="str">
        <f>IFERROR(__xludf.DUMMYFUNCTION("""COMPUTED_VALUE"""),"Consumer, EG, SG, In house, IBG Traveler")</f>
        <v>Consumer, EG, SG, In house, IBG Traveler</v>
      </c>
      <c r="N654" s="258" t="str">
        <f>IFERROR(__xludf.DUMMYFUNCTION("""COMPUTED_VALUE"""),"interest")</f>
        <v>interest</v>
      </c>
      <c r="O654" s="258" t="str">
        <f>IFERROR(__xludf.DUMMYFUNCTION("""COMPUTED_VALUE"""),"network_profile")</f>
        <v>network_profile</v>
      </c>
      <c r="P654" s="258"/>
    </row>
    <row r="655">
      <c r="A655" s="257" t="str">
        <f>IFERROR(__xludf.DUMMYFUNCTION("""COMPUTED_VALUE"""),"health_conscious_top_apps")</f>
        <v>health_conscious_top_apps</v>
      </c>
      <c r="B655" s="258" t="str">
        <f>IFERROR(__xludf.DUMMYFUNCTION("""COMPUTED_VALUE"""),"Audience/Persona")</f>
        <v>Audience/Persona</v>
      </c>
      <c r="C655" s="258" t="str">
        <f>IFERROR(__xludf.DUMMYFUNCTION("""COMPUTED_VALUE"""),"Non-PII")</f>
        <v>Non-PII</v>
      </c>
      <c r="D655" s="258" t="str">
        <f>IFERROR(__xludf.DUMMYFUNCTION("""COMPUTED_VALUE"""),"Non-PII")</f>
        <v>Non-PII</v>
      </c>
      <c r="E655" s="258" t="str">
        <f>IFERROR(__xludf.DUMMYFUNCTION("""COMPUTED_VALUE"""),"Top 1 app/site by data burn, total hits and active days in a month categorized under the Health Conscious profile
 For wireline subscribers, only subscriptions within Metro Manila (including some areas in Rizal) and with DSL, VDSL and GPON technology va"&amp;"lue are covered.")</f>
        <v>Top 1 app/site by data burn, total hits and active days in a month categorized under the Health Conscious profile
 For wireline subscribers, only subscriptions within Metro Manila (including some areas in Rizal) and with DSL, VDSL and GPON technology value are covered.</v>
      </c>
      <c r="F655" s="258" t="str">
        <f>IFERROR(__xludf.DUMMYFUNCTION("""COMPUTED_VALUE"""),"Derived")</f>
        <v>Derived</v>
      </c>
      <c r="G655" s="258" t="str">
        <f>IFERROR(__xludf.DUMMYFUNCTION("""COMPUTED_VALUE"""),"varchar(1000)")</f>
        <v>varchar(1000)</v>
      </c>
      <c r="H655" s="258" t="str">
        <f>IFERROR(__xludf.DUMMYFUNCTION("""COMPUTED_VALUE"""),"my_fitness_pal")</f>
        <v>my_fitness_pal</v>
      </c>
      <c r="I655" s="258" t="str">
        <f>IFERROR(__xludf.DUMMYFUNCTION("""COMPUTED_VALUE"""),"EDO-UUP")</f>
        <v>EDO-UUP</v>
      </c>
      <c r="J655" s="258" t="str">
        <f>IFERROR(__xludf.DUMMYFUNCTION("""COMPUTED_VALUE"""),"Monthly")</f>
        <v>Monthly</v>
      </c>
      <c r="K655" s="258" t="str">
        <f>IFERROR(__xludf.DUMMYFUNCTION("""COMPUTED_VALUE"""),"")</f>
        <v/>
      </c>
      <c r="L655" s="258" t="str">
        <f>IFERROR(__xludf.DUMMYFUNCTION("""COMPUTED_VALUE"""),"GHP, GHP-PREPAID, TM, PW, GOMO, WIRELINE, BAYAN, GLOBE")</f>
        <v>GHP, GHP-PREPAID, TM, PW, GOMO, WIRELINE, BAYAN, GLOBE</v>
      </c>
      <c r="M655" s="258" t="str">
        <f>IFERROR(__xludf.DUMMYFUNCTION("""COMPUTED_VALUE"""),"Consumer, EG, SG, In house, IBG Traveler")</f>
        <v>Consumer, EG, SG, In house, IBG Traveler</v>
      </c>
      <c r="N655" s="258" t="str">
        <f>IFERROR(__xludf.DUMMYFUNCTION("""COMPUTED_VALUE"""),"interest")</f>
        <v>interest</v>
      </c>
      <c r="O655" s="258" t="str">
        <f>IFERROR(__xludf.DUMMYFUNCTION("""COMPUTED_VALUE"""),"network_profile")</f>
        <v>network_profile</v>
      </c>
      <c r="P655" s="258"/>
    </row>
    <row r="656">
      <c r="A656" s="257" t="str">
        <f>IFERROR(__xludf.DUMMYFUNCTION("""COMPUTED_VALUE"""),"book_worm_indicator")</f>
        <v>book_worm_indicator</v>
      </c>
      <c r="B656" s="258" t="str">
        <f>IFERROR(__xludf.DUMMYFUNCTION("""COMPUTED_VALUE"""),"Audience/Persona")</f>
        <v>Audience/Persona</v>
      </c>
      <c r="C656" s="258" t="str">
        <f>IFERROR(__xludf.DUMMYFUNCTION("""COMPUTED_VALUE"""),"Non-PII")</f>
        <v>Non-PII</v>
      </c>
      <c r="D656" s="258" t="str">
        <f>IFERROR(__xludf.DUMMYFUNCTION("""COMPUTED_VALUE"""),"Non-PII")</f>
        <v>Non-PII</v>
      </c>
      <c r="E656" s="258" t="str">
        <f>IFERROR(__xludf.DUMMYFUNCTION("""COMPUTED_VALUE"""),"Indicator if a subscriber visits online bookstores such as fully_booked, avalon, anvil_publishing
 For wireline subscribers, only subscriptions within Metro Manila (including some areas in Rizal) and with DSL, VDSL and GPON technology value are covered.")</f>
        <v>Indicator if a subscriber visits online bookstores such as fully_booked, avalon, anvil_publishing
 For wireline subscribers, only subscriptions within Metro Manila (including some areas in Rizal) and with DSL, VDSL and GPON technology value are covered.</v>
      </c>
      <c r="F656" s="258" t="str">
        <f>IFERROR(__xludf.DUMMYFUNCTION("""COMPUTED_VALUE"""),"Derived")</f>
        <v>Derived</v>
      </c>
      <c r="G656" s="258" t="str">
        <f>IFERROR(__xludf.DUMMYFUNCTION("""COMPUTED_VALUE"""),"boolean")</f>
        <v>boolean</v>
      </c>
      <c r="H656" s="258" t="b">
        <f>IFERROR(__xludf.DUMMYFUNCTION("""COMPUTED_VALUE"""),TRUE)</f>
        <v>1</v>
      </c>
      <c r="I656" s="258" t="str">
        <f>IFERROR(__xludf.DUMMYFUNCTION("""COMPUTED_VALUE"""),"EDO-UUP")</f>
        <v>EDO-UUP</v>
      </c>
      <c r="J656" s="258" t="str">
        <f>IFERROR(__xludf.DUMMYFUNCTION("""COMPUTED_VALUE"""),"Monthly")</f>
        <v>Monthly</v>
      </c>
      <c r="K656" s="258" t="str">
        <f>IFERROR(__xludf.DUMMYFUNCTION("""COMPUTED_VALUE"""),"")</f>
        <v/>
      </c>
      <c r="L656" s="258" t="str">
        <f>IFERROR(__xludf.DUMMYFUNCTION("""COMPUTED_VALUE"""),"GHP, GHP-PREPAID, TM, PW, GOMO, WIRELINE, BAYAN, GLOBE")</f>
        <v>GHP, GHP-PREPAID, TM, PW, GOMO, WIRELINE, BAYAN, GLOBE</v>
      </c>
      <c r="M656" s="258" t="str">
        <f>IFERROR(__xludf.DUMMYFUNCTION("""COMPUTED_VALUE"""),"Consumer, EG, SG, In house, IBG Traveler")</f>
        <v>Consumer, EG, SG, In house, IBG Traveler</v>
      </c>
      <c r="N656" s="258" t="str">
        <f>IFERROR(__xludf.DUMMYFUNCTION("""COMPUTED_VALUE"""),"interest")</f>
        <v>interest</v>
      </c>
      <c r="O656" s="258" t="str">
        <f>IFERROR(__xludf.DUMMYFUNCTION("""COMPUTED_VALUE"""),"network_profile")</f>
        <v>network_profile</v>
      </c>
      <c r="P656" s="258"/>
    </row>
    <row r="657">
      <c r="A657" s="257" t="str">
        <f>IFERROR(__xludf.DUMMYFUNCTION("""COMPUTED_VALUE"""),"book_worm_bucket")</f>
        <v>book_worm_bucket</v>
      </c>
      <c r="B657" s="258" t="str">
        <f>IFERROR(__xludf.DUMMYFUNCTION("""COMPUTED_VALUE"""),"Audience/Persona")</f>
        <v>Audience/Persona</v>
      </c>
      <c r="C657" s="258" t="str">
        <f>IFERROR(__xludf.DUMMYFUNCTION("""COMPUTED_VALUE"""),"Non-PII")</f>
        <v>Non-PII</v>
      </c>
      <c r="D657" s="258" t="str">
        <f>IFERROR(__xludf.DUMMYFUNCTION("""COMPUTED_VALUE"""),"Non-PII")</f>
        <v>Non-PII</v>
      </c>
      <c r="E657" s="258" t="str">
        <f>IFERROR(__xludf.DUMMYFUNCTION("""COMPUTED_VALUE"""),"Bucketing based on identified metric for Book Worm profile
 Metric: Total Hits in a Month
 Valid values:
 LOW: &lt;= 2 hits
 MID: &gt; 2 &amp; &lt;= 4 hits
 HIGH: &gt; 4 hits
 For wireline subscribers, only subscriptions within Metro Manila (including some areas in Riz"&amp;"al) and with DSL, VDSL and GPON technology value are covered.")</f>
        <v>Bucketing based on identified metric for Book Worm profile
 Metric: Total Hits in a Month
 Valid values:
 LOW: &lt;= 2 hits
 MID: &gt; 2 &amp; &lt;= 4 hits
 HIGH: &gt; 4 hits
 For wireline subscribers, only subscriptions within Metro Manila (including some areas in Rizal) and with DSL, VDSL and GPON technology value are covered.</v>
      </c>
      <c r="F657" s="258" t="str">
        <f>IFERROR(__xludf.DUMMYFUNCTION("""COMPUTED_VALUE"""),"Direct Pull")</f>
        <v>Direct Pull</v>
      </c>
      <c r="G657" s="258" t="str">
        <f>IFERROR(__xludf.DUMMYFUNCTION("""COMPUTED_VALUE"""),"varchar(1000)")</f>
        <v>varchar(1000)</v>
      </c>
      <c r="H657" s="258" t="str">
        <f>IFERROR(__xludf.DUMMYFUNCTION("""COMPUTED_VALUE"""),"LOW")</f>
        <v>LOW</v>
      </c>
      <c r="I657" s="258" t="str">
        <f>IFERROR(__xludf.DUMMYFUNCTION("""COMPUTED_VALUE"""),"EDO-UUP")</f>
        <v>EDO-UUP</v>
      </c>
      <c r="J657" s="258" t="str">
        <f>IFERROR(__xludf.DUMMYFUNCTION("""COMPUTED_VALUE"""),"Monthly")</f>
        <v>Monthly</v>
      </c>
      <c r="K657" s="258" t="str">
        <f>IFERROR(__xludf.DUMMYFUNCTION("""COMPUTED_VALUE"""),"")</f>
        <v/>
      </c>
      <c r="L657" s="258" t="str">
        <f>IFERROR(__xludf.DUMMYFUNCTION("""COMPUTED_VALUE"""),"GHP, GHP-PREPAID, TM, PW, GOMO, WIRELINE, BAYAN, GLOBE")</f>
        <v>GHP, GHP-PREPAID, TM, PW, GOMO, WIRELINE, BAYAN, GLOBE</v>
      </c>
      <c r="M657" s="258" t="str">
        <f>IFERROR(__xludf.DUMMYFUNCTION("""COMPUTED_VALUE"""),"Consumer, EG, SG, In house, IBG Traveler")</f>
        <v>Consumer, EG, SG, In house, IBG Traveler</v>
      </c>
      <c r="N657" s="258" t="str">
        <f>IFERROR(__xludf.DUMMYFUNCTION("""COMPUTED_VALUE"""),"interest")</f>
        <v>interest</v>
      </c>
      <c r="O657" s="258" t="str">
        <f>IFERROR(__xludf.DUMMYFUNCTION("""COMPUTED_VALUE"""),"network_profile")</f>
        <v>network_profile</v>
      </c>
      <c r="P657" s="258"/>
    </row>
    <row r="658">
      <c r="A658" s="257" t="str">
        <f>IFERROR(__xludf.DUMMYFUNCTION("""COMPUTED_VALUE"""),"book_worm_details")</f>
        <v>book_worm_details</v>
      </c>
      <c r="B658" s="258" t="str">
        <f>IFERROR(__xludf.DUMMYFUNCTION("""COMPUTED_VALUE"""),"Audience/Persona")</f>
        <v>Audience/Persona</v>
      </c>
      <c r="C658" s="258" t="str">
        <f>IFERROR(__xludf.DUMMYFUNCTION("""COMPUTED_VALUE"""),"Non-PII")</f>
        <v>Non-PII</v>
      </c>
      <c r="D658" s="258" t="str">
        <f>IFERROR(__xludf.DUMMYFUNCTION("""COMPUTED_VALUE"""),"Non-PII")</f>
        <v>Non-PII</v>
      </c>
      <c r="E658" s="258" t="str">
        <f>IFERROR(__xludf.DUMMYFUNCTION("""COMPUTED_VALUE"""),"Metric used and value for the Book Worm profile
 For wireline subscribers, only subscriptions within Metro Manila (including some areas in Rizal) and with DSL, VDSL and GPON technology value are covered.")</f>
        <v>Metric used and value for the Book Worm profile
 For wireline subscribers, only subscriptions within Metro Manila (including some areas in Rizal) and with DSL, VDSL and GPON technology value are covered.</v>
      </c>
      <c r="F658" s="258" t="str">
        <f>IFERROR(__xludf.DUMMYFUNCTION("""COMPUTED_VALUE"""),"Derived")</f>
        <v>Derived</v>
      </c>
      <c r="G658" s="258" t="str">
        <f>IFERROR(__xludf.DUMMYFUNCTION("""COMPUTED_VALUE"""),"varchar(1000)")</f>
        <v>varchar(1000)</v>
      </c>
      <c r="H658" s="258" t="str">
        <f>IFERROR(__xludf.DUMMYFUNCTION("""COMPUTED_VALUE"""),"{""Total Hits in a Month"": 1.0}")</f>
        <v>{"Total Hits in a Month": 1.0}</v>
      </c>
      <c r="I658" s="258" t="str">
        <f>IFERROR(__xludf.DUMMYFUNCTION("""COMPUTED_VALUE"""),"EDO-UUP")</f>
        <v>EDO-UUP</v>
      </c>
      <c r="J658" s="258" t="str">
        <f>IFERROR(__xludf.DUMMYFUNCTION("""COMPUTED_VALUE"""),"Monthly")</f>
        <v>Monthly</v>
      </c>
      <c r="K658" s="258" t="str">
        <f>IFERROR(__xludf.DUMMYFUNCTION("""COMPUTED_VALUE"""),"")</f>
        <v/>
      </c>
      <c r="L658" s="258" t="str">
        <f>IFERROR(__xludf.DUMMYFUNCTION("""COMPUTED_VALUE"""),"GHP, GHP-PREPAID, TM, PW, GOMO, WIRELINE, BAYAN, GLOBE")</f>
        <v>GHP, GHP-PREPAID, TM, PW, GOMO, WIRELINE, BAYAN, GLOBE</v>
      </c>
      <c r="M658" s="258" t="str">
        <f>IFERROR(__xludf.DUMMYFUNCTION("""COMPUTED_VALUE"""),"Consumer, EG, SG, In house, IBG Traveler")</f>
        <v>Consumer, EG, SG, In house, IBG Traveler</v>
      </c>
      <c r="N658" s="258" t="str">
        <f>IFERROR(__xludf.DUMMYFUNCTION("""COMPUTED_VALUE"""),"interest")</f>
        <v>interest</v>
      </c>
      <c r="O658" s="258" t="str">
        <f>IFERROR(__xludf.DUMMYFUNCTION("""COMPUTED_VALUE"""),"network_profile")</f>
        <v>network_profile</v>
      </c>
      <c r="P658" s="258"/>
    </row>
    <row r="659">
      <c r="A659" s="257" t="str">
        <f>IFERROR(__xludf.DUMMYFUNCTION("""COMPUTED_VALUE"""),"book_worm_top_apps")</f>
        <v>book_worm_top_apps</v>
      </c>
      <c r="B659" s="258" t="str">
        <f>IFERROR(__xludf.DUMMYFUNCTION("""COMPUTED_VALUE"""),"Audience/Persona")</f>
        <v>Audience/Persona</v>
      </c>
      <c r="C659" s="258" t="str">
        <f>IFERROR(__xludf.DUMMYFUNCTION("""COMPUTED_VALUE"""),"Non-PII")</f>
        <v>Non-PII</v>
      </c>
      <c r="D659" s="258" t="str">
        <f>IFERROR(__xludf.DUMMYFUNCTION("""COMPUTED_VALUE"""),"Non-PII")</f>
        <v>Non-PII</v>
      </c>
      <c r="E659" s="258" t="str">
        <f>IFERROR(__xludf.DUMMYFUNCTION("""COMPUTED_VALUE"""),"Top 1 app/site by data burn, total hits and active days in a month categorized under the Book Worm profile
 For wireline subscribers, only subscriptions within Metro Manila (including some areas in Rizal) and with DSL, VDSL and GPON technology value are"&amp;" covered.")</f>
        <v>Top 1 app/site by data burn, total hits and active days in a month categorized under the Book Worm profile
 For wireline subscribers, only subscriptions within Metro Manila (including some areas in Rizal) and with DSL, VDSL and GPON technology value are covered.</v>
      </c>
      <c r="F659" s="258" t="str">
        <f>IFERROR(__xludf.DUMMYFUNCTION("""COMPUTED_VALUE"""),"Derived")</f>
        <v>Derived</v>
      </c>
      <c r="G659" s="258" t="str">
        <f>IFERROR(__xludf.DUMMYFUNCTION("""COMPUTED_VALUE"""),"varchar(1000)")</f>
        <v>varchar(1000)</v>
      </c>
      <c r="H659" s="258" t="str">
        <f>IFERROR(__xludf.DUMMYFUNCTION("""COMPUTED_VALUE"""),"national_bookstore")</f>
        <v>national_bookstore</v>
      </c>
      <c r="I659" s="258" t="str">
        <f>IFERROR(__xludf.DUMMYFUNCTION("""COMPUTED_VALUE"""),"EDO-UUP")</f>
        <v>EDO-UUP</v>
      </c>
      <c r="J659" s="258" t="str">
        <f>IFERROR(__xludf.DUMMYFUNCTION("""COMPUTED_VALUE"""),"Monthly")</f>
        <v>Monthly</v>
      </c>
      <c r="K659" s="258" t="str">
        <f>IFERROR(__xludf.DUMMYFUNCTION("""COMPUTED_VALUE"""),"")</f>
        <v/>
      </c>
      <c r="L659" s="258" t="str">
        <f>IFERROR(__xludf.DUMMYFUNCTION("""COMPUTED_VALUE"""),"GHP, GHP-PREPAID, TM, PW, GOMO, WIRELINE, BAYAN, GLOBE")</f>
        <v>GHP, GHP-PREPAID, TM, PW, GOMO, WIRELINE, BAYAN, GLOBE</v>
      </c>
      <c r="M659" s="258" t="str">
        <f>IFERROR(__xludf.DUMMYFUNCTION("""COMPUTED_VALUE"""),"Consumer, EG, SG, In house, IBG Traveler")</f>
        <v>Consumer, EG, SG, In house, IBG Traveler</v>
      </c>
      <c r="N659" s="258" t="str">
        <f>IFERROR(__xludf.DUMMYFUNCTION("""COMPUTED_VALUE"""),"interest")</f>
        <v>interest</v>
      </c>
      <c r="O659" s="258" t="str">
        <f>IFERROR(__xludf.DUMMYFUNCTION("""COMPUTED_VALUE"""),"network_profile")</f>
        <v>network_profile</v>
      </c>
      <c r="P659" s="258"/>
    </row>
    <row r="660">
      <c r="A660" s="257" t="str">
        <f>IFERROR(__xludf.DUMMYFUNCTION("""COMPUTED_VALUE"""),"network_monthly_top_1_voice_location_region_code")</f>
        <v>network_monthly_top_1_voice_location_region_code</v>
      </c>
      <c r="B660" s="258" t="str">
        <f>IFERROR(__xludf.DUMMYFUNCTION("""COMPUTED_VALUE"""),"Customer PII")</f>
        <v>Customer PII</v>
      </c>
      <c r="C660" s="258" t="str">
        <f>IFERROR(__xludf.DUMMYFUNCTION("""COMPUTED_VALUE"""),"Non-PII")</f>
        <v>Non-PII</v>
      </c>
      <c r="D660" s="258" t="str">
        <f>IFERROR(__xludf.DUMMYFUNCTION("""COMPUTED_VALUE"""),"Non-PII")</f>
        <v>Non-PII</v>
      </c>
      <c r="E660" s="258" t="str">
        <f>IFERROR(__xludf.DUMMYFUNCTION("""COMPUTED_VALUE"""),"Top 1 region PSGC code of the subscriber based on call/voice usages in 1 month")</f>
        <v>Top 1 region PSGC code of the subscriber based on call/voice usages in 1 month</v>
      </c>
      <c r="F660" s="258" t="str">
        <f>IFERROR(__xludf.DUMMYFUNCTION("""COMPUTED_VALUE"""),"Direct Pull")</f>
        <v>Direct Pull</v>
      </c>
      <c r="G660" s="258" t="str">
        <f>IFERROR(__xludf.DUMMYFUNCTION("""COMPUTED_VALUE"""),"varchar(1000)")</f>
        <v>varchar(1000)</v>
      </c>
      <c r="H660" s="258">
        <f>IFERROR(__xludf.DUMMYFUNCTION("""COMPUTED_VALUE"""),3.0E7)</f>
        <v>30000000</v>
      </c>
      <c r="I660" s="258" t="str">
        <f>IFERROR(__xludf.DUMMYFUNCTION("""COMPUTED_VALUE"""),"FVT CRM Hoarding")</f>
        <v>FVT CRM Hoarding</v>
      </c>
      <c r="J660" s="258" t="str">
        <f>IFERROR(__xludf.DUMMYFUNCTION("""COMPUTED_VALUE"""),"Monthly")</f>
        <v>Monthly</v>
      </c>
      <c r="K660" s="258" t="str">
        <f>IFERROR(__xludf.DUMMYFUNCTION("""COMPUTED_VALUE"""),"")</f>
        <v/>
      </c>
      <c r="L660" s="258" t="str">
        <f>IFERROR(__xludf.DUMMYFUNCTION("""COMPUTED_VALUE"""),"GHP, GHP-PREPAID, TM, PW, GOMO, WIRELINE")</f>
        <v>GHP, GHP-PREPAID, TM, PW, GOMO, WIRELINE</v>
      </c>
      <c r="M660" s="258" t="str">
        <f>IFERROR(__xludf.DUMMYFUNCTION("""COMPUTED_VALUE"""),"Consumer, EG, SG, In house, IBG Traveler")</f>
        <v>Consumer, EG, SG, In house, IBG Traveler</v>
      </c>
      <c r="N660" s="258" t="str">
        <f>IFERROR(__xludf.DUMMYFUNCTION("""COMPUTED_VALUE"""),"network")</f>
        <v>network</v>
      </c>
      <c r="O660" s="258" t="str">
        <f>IFERROR(__xludf.DUMMYFUNCTION("""COMPUTED_VALUE"""),"network_profile")</f>
        <v>network_profile</v>
      </c>
      <c r="P660" s="258"/>
    </row>
    <row r="661">
      <c r="A661" s="257" t="str">
        <f>IFERROR(__xludf.DUMMYFUNCTION("""COMPUTED_VALUE"""),"network_monthly_top_1_voice_location_province_code")</f>
        <v>network_monthly_top_1_voice_location_province_code</v>
      </c>
      <c r="B661" s="258" t="str">
        <f>IFERROR(__xludf.DUMMYFUNCTION("""COMPUTED_VALUE"""),"Customer PII")</f>
        <v>Customer PII</v>
      </c>
      <c r="C661" s="258" t="str">
        <f>IFERROR(__xludf.DUMMYFUNCTION("""COMPUTED_VALUE"""),"Non-PII")</f>
        <v>Non-PII</v>
      </c>
      <c r="D661" s="258" t="str">
        <f>IFERROR(__xludf.DUMMYFUNCTION("""COMPUTED_VALUE"""),"Non-PII")</f>
        <v>Non-PII</v>
      </c>
      <c r="E661" s="258" t="str">
        <f>IFERROR(__xludf.DUMMYFUNCTION("""COMPUTED_VALUE"""),"Top 1 province PSGC code of the subscriber based on call/voice usages in 1 month")</f>
        <v>Top 1 province PSGC code of the subscriber based on call/voice usages in 1 month</v>
      </c>
      <c r="F661" s="258" t="str">
        <f>IFERROR(__xludf.DUMMYFUNCTION("""COMPUTED_VALUE"""),"Direct Pull")</f>
        <v>Direct Pull</v>
      </c>
      <c r="G661" s="258" t="str">
        <f>IFERROR(__xludf.DUMMYFUNCTION("""COMPUTED_VALUE"""),"varchar(1000)")</f>
        <v>varchar(1000)</v>
      </c>
      <c r="H661" s="258">
        <f>IFERROR(__xludf.DUMMYFUNCTION("""COMPUTED_VALUE"""),3.49E7)</f>
        <v>34900000</v>
      </c>
      <c r="I661" s="258" t="str">
        <f>IFERROR(__xludf.DUMMYFUNCTION("""COMPUTED_VALUE"""),"FVT CRM Hoarding")</f>
        <v>FVT CRM Hoarding</v>
      </c>
      <c r="J661" s="258" t="str">
        <f>IFERROR(__xludf.DUMMYFUNCTION("""COMPUTED_VALUE"""),"Monthly")</f>
        <v>Monthly</v>
      </c>
      <c r="K661" s="258" t="str">
        <f>IFERROR(__xludf.DUMMYFUNCTION("""COMPUTED_VALUE"""),"")</f>
        <v/>
      </c>
      <c r="L661" s="258" t="str">
        <f>IFERROR(__xludf.DUMMYFUNCTION("""COMPUTED_VALUE"""),"GHP, GHP-PREPAID, TM, PW, GOMO, WIRELINE")</f>
        <v>GHP, GHP-PREPAID, TM, PW, GOMO, WIRELINE</v>
      </c>
      <c r="M661" s="258" t="str">
        <f>IFERROR(__xludf.DUMMYFUNCTION("""COMPUTED_VALUE"""),"Consumer, EG, SG, In house, IBG Traveler")</f>
        <v>Consumer, EG, SG, In house, IBG Traveler</v>
      </c>
      <c r="N661" s="258" t="str">
        <f>IFERROR(__xludf.DUMMYFUNCTION("""COMPUTED_VALUE"""),"network")</f>
        <v>network</v>
      </c>
      <c r="O661" s="258" t="str">
        <f>IFERROR(__xludf.DUMMYFUNCTION("""COMPUTED_VALUE"""),"network_profile")</f>
        <v>network_profile</v>
      </c>
      <c r="P661" s="258"/>
    </row>
    <row r="662">
      <c r="A662" s="257" t="str">
        <f>IFERROR(__xludf.DUMMYFUNCTION("""COMPUTED_VALUE"""),"network_monthly_top_1_voice_location_town_code")</f>
        <v>network_monthly_top_1_voice_location_town_code</v>
      </c>
      <c r="B662" s="258" t="str">
        <f>IFERROR(__xludf.DUMMYFUNCTION("""COMPUTED_VALUE"""),"Customer PII")</f>
        <v>Customer PII</v>
      </c>
      <c r="C662" s="258" t="str">
        <f>IFERROR(__xludf.DUMMYFUNCTION("""COMPUTED_VALUE"""),"Non-PII")</f>
        <v>Non-PII</v>
      </c>
      <c r="D662" s="258" t="str">
        <f>IFERROR(__xludf.DUMMYFUNCTION("""COMPUTED_VALUE"""),"Non-PII")</f>
        <v>Non-PII</v>
      </c>
      <c r="E662" s="258" t="str">
        <f>IFERROR(__xludf.DUMMYFUNCTION("""COMPUTED_VALUE"""),"Top 1 town PSGC code of the subscriber based on call/voice usages in 1 month")</f>
        <v>Top 1 town PSGC code of the subscriber based on call/voice usages in 1 month</v>
      </c>
      <c r="F662" s="258" t="str">
        <f>IFERROR(__xludf.DUMMYFUNCTION("""COMPUTED_VALUE"""),"Direct Pull")</f>
        <v>Direct Pull</v>
      </c>
      <c r="G662" s="258" t="str">
        <f>IFERROR(__xludf.DUMMYFUNCTION("""COMPUTED_VALUE"""),"varchar(1000)")</f>
        <v>varchar(1000)</v>
      </c>
      <c r="H662" s="258">
        <f>IFERROR(__xludf.DUMMYFUNCTION("""COMPUTED_VALUE"""),1.38E8)</f>
        <v>138000000</v>
      </c>
      <c r="I662" s="258" t="str">
        <f>IFERROR(__xludf.DUMMYFUNCTION("""COMPUTED_VALUE"""),"FVT CRM Hoarding")</f>
        <v>FVT CRM Hoarding</v>
      </c>
      <c r="J662" s="258" t="str">
        <f>IFERROR(__xludf.DUMMYFUNCTION("""COMPUTED_VALUE"""),"Monthly")</f>
        <v>Monthly</v>
      </c>
      <c r="K662" s="258" t="str">
        <f>IFERROR(__xludf.DUMMYFUNCTION("""COMPUTED_VALUE"""),"")</f>
        <v/>
      </c>
      <c r="L662" s="258" t="str">
        <f>IFERROR(__xludf.DUMMYFUNCTION("""COMPUTED_VALUE"""),"GHP, GHP-PREPAID, TM, PW, GOMO, WIRELINE")</f>
        <v>GHP, GHP-PREPAID, TM, PW, GOMO, WIRELINE</v>
      </c>
      <c r="M662" s="258" t="str">
        <f>IFERROR(__xludf.DUMMYFUNCTION("""COMPUTED_VALUE"""),"Consumer, EG, SG, In house, IBG Traveler")</f>
        <v>Consumer, EG, SG, In house, IBG Traveler</v>
      </c>
      <c r="N662" s="258" t="str">
        <f>IFERROR(__xludf.DUMMYFUNCTION("""COMPUTED_VALUE"""),"network")</f>
        <v>network</v>
      </c>
      <c r="O662" s="258" t="str">
        <f>IFERROR(__xludf.DUMMYFUNCTION("""COMPUTED_VALUE"""),"network_profile")</f>
        <v>network_profile</v>
      </c>
      <c r="P662" s="258"/>
    </row>
    <row r="663">
      <c r="A663" s="257" t="str">
        <f>IFERROR(__xludf.DUMMYFUNCTION("""COMPUTED_VALUE"""),"network_monthly_top_1_voice_location_barangay_code")</f>
        <v>network_monthly_top_1_voice_location_barangay_code</v>
      </c>
      <c r="B663" s="258" t="str">
        <f>IFERROR(__xludf.DUMMYFUNCTION("""COMPUTED_VALUE"""),"Customer PII")</f>
        <v>Customer PII</v>
      </c>
      <c r="C663" s="258" t="str">
        <f>IFERROR(__xludf.DUMMYFUNCTION("""COMPUTED_VALUE"""),"Non-PII")</f>
        <v>Non-PII</v>
      </c>
      <c r="D663" s="258" t="str">
        <f>IFERROR(__xludf.DUMMYFUNCTION("""COMPUTED_VALUE"""),"Non-PII")</f>
        <v>Non-PII</v>
      </c>
      <c r="E663" s="258" t="str">
        <f>IFERROR(__xludf.DUMMYFUNCTION("""COMPUTED_VALUE"""),"Top 1 barangay PSGC code of the subscriber based on call/voice usages in 1 month")</f>
        <v>Top 1 barangay PSGC code of the subscriber based on call/voice usages in 1 month</v>
      </c>
      <c r="F663" s="258" t="str">
        <f>IFERROR(__xludf.DUMMYFUNCTION("""COMPUTED_VALUE"""),"Direct Pull")</f>
        <v>Direct Pull</v>
      </c>
      <c r="G663" s="258" t="str">
        <f>IFERROR(__xludf.DUMMYFUNCTION("""COMPUTED_VALUE"""),"varchar(1000)")</f>
        <v>varchar(1000)</v>
      </c>
      <c r="H663" s="258">
        <f>IFERROR(__xludf.DUMMYFUNCTION("""COMPUTED_VALUE"""),1.12E8)</f>
        <v>112000000</v>
      </c>
      <c r="I663" s="258" t="str">
        <f>IFERROR(__xludf.DUMMYFUNCTION("""COMPUTED_VALUE"""),"FVT CRM Hoarding")</f>
        <v>FVT CRM Hoarding</v>
      </c>
      <c r="J663" s="258" t="str">
        <f>IFERROR(__xludf.DUMMYFUNCTION("""COMPUTED_VALUE"""),"Monthly")</f>
        <v>Monthly</v>
      </c>
      <c r="K663" s="258" t="str">
        <f>IFERROR(__xludf.DUMMYFUNCTION("""COMPUTED_VALUE"""),"")</f>
        <v/>
      </c>
      <c r="L663" s="258" t="str">
        <f>IFERROR(__xludf.DUMMYFUNCTION("""COMPUTED_VALUE"""),"GHP, GHP-PREPAID, TM, PW, GOMO, WIRELINE")</f>
        <v>GHP, GHP-PREPAID, TM, PW, GOMO, WIRELINE</v>
      </c>
      <c r="M663" s="258" t="str">
        <f>IFERROR(__xludf.DUMMYFUNCTION("""COMPUTED_VALUE"""),"Consumer, EG, SG, In house, IBG Traveler")</f>
        <v>Consumer, EG, SG, In house, IBG Traveler</v>
      </c>
      <c r="N663" s="258" t="str">
        <f>IFERROR(__xludf.DUMMYFUNCTION("""COMPUTED_VALUE"""),"network")</f>
        <v>network</v>
      </c>
      <c r="O663" s="258" t="str">
        <f>IFERROR(__xludf.DUMMYFUNCTION("""COMPUTED_VALUE"""),"network_profile")</f>
        <v>network_profile</v>
      </c>
      <c r="P663" s="258"/>
    </row>
    <row r="664">
      <c r="A664" s="257" t="str">
        <f>IFERROR(__xludf.DUMMYFUNCTION("""COMPUTED_VALUE"""),"network_monthly_top_1_sms_location_region_code")</f>
        <v>network_monthly_top_1_sms_location_region_code</v>
      </c>
      <c r="B664" s="258" t="str">
        <f>IFERROR(__xludf.DUMMYFUNCTION("""COMPUTED_VALUE"""),"Customer PII")</f>
        <v>Customer PII</v>
      </c>
      <c r="C664" s="258" t="str">
        <f>IFERROR(__xludf.DUMMYFUNCTION("""COMPUTED_VALUE"""),"Non-PII")</f>
        <v>Non-PII</v>
      </c>
      <c r="D664" s="258" t="str">
        <f>IFERROR(__xludf.DUMMYFUNCTION("""COMPUTED_VALUE"""),"Non-PII")</f>
        <v>Non-PII</v>
      </c>
      <c r="E664" s="258" t="str">
        <f>IFERROR(__xludf.DUMMYFUNCTION("""COMPUTED_VALUE"""),"Top 1 region PSGC code of the subscriber based on SMS usages in 1 month")</f>
        <v>Top 1 region PSGC code of the subscriber based on SMS usages in 1 month</v>
      </c>
      <c r="F664" s="258" t="str">
        <f>IFERROR(__xludf.DUMMYFUNCTION("""COMPUTED_VALUE"""),"Direct Pull")</f>
        <v>Direct Pull</v>
      </c>
      <c r="G664" s="258" t="str">
        <f>IFERROR(__xludf.DUMMYFUNCTION("""COMPUTED_VALUE"""),"varchar(1000)")</f>
        <v>varchar(1000)</v>
      </c>
      <c r="H664" s="258">
        <f>IFERROR(__xludf.DUMMYFUNCTION("""COMPUTED_VALUE"""),1.1E8)</f>
        <v>110000000</v>
      </c>
      <c r="I664" s="258" t="str">
        <f>IFERROR(__xludf.DUMMYFUNCTION("""COMPUTED_VALUE"""),"FVT CRM Hoarding")</f>
        <v>FVT CRM Hoarding</v>
      </c>
      <c r="J664" s="258" t="str">
        <f>IFERROR(__xludf.DUMMYFUNCTION("""COMPUTED_VALUE"""),"Monthly")</f>
        <v>Monthly</v>
      </c>
      <c r="K664" s="258" t="str">
        <f>IFERROR(__xludf.DUMMYFUNCTION("""COMPUTED_VALUE"""),"")</f>
        <v/>
      </c>
      <c r="L664" s="258" t="str">
        <f>IFERROR(__xludf.DUMMYFUNCTION("""COMPUTED_VALUE"""),"GHP, GHP-PREPAID, TM, PW, GOMO, WIRELINE")</f>
        <v>GHP, GHP-PREPAID, TM, PW, GOMO, WIRELINE</v>
      </c>
      <c r="M664" s="258" t="str">
        <f>IFERROR(__xludf.DUMMYFUNCTION("""COMPUTED_VALUE"""),"Consumer, EG, SG, In house, IBG Traveler")</f>
        <v>Consumer, EG, SG, In house, IBG Traveler</v>
      </c>
      <c r="N664" s="258" t="str">
        <f>IFERROR(__xludf.DUMMYFUNCTION("""COMPUTED_VALUE"""),"network")</f>
        <v>network</v>
      </c>
      <c r="O664" s="258" t="str">
        <f>IFERROR(__xludf.DUMMYFUNCTION("""COMPUTED_VALUE"""),"network_profile")</f>
        <v>network_profile</v>
      </c>
      <c r="P664" s="258"/>
    </row>
    <row r="665">
      <c r="A665" s="257" t="str">
        <f>IFERROR(__xludf.DUMMYFUNCTION("""COMPUTED_VALUE"""),"network_monthly_top_1_sms_location_province_code")</f>
        <v>network_monthly_top_1_sms_location_province_code</v>
      </c>
      <c r="B665" s="258" t="str">
        <f>IFERROR(__xludf.DUMMYFUNCTION("""COMPUTED_VALUE"""),"Customer PII")</f>
        <v>Customer PII</v>
      </c>
      <c r="C665" s="258" t="str">
        <f>IFERROR(__xludf.DUMMYFUNCTION("""COMPUTED_VALUE"""),"Non-PII")</f>
        <v>Non-PII</v>
      </c>
      <c r="D665" s="258" t="str">
        <f>IFERROR(__xludf.DUMMYFUNCTION("""COMPUTED_VALUE"""),"Non-PII")</f>
        <v>Non-PII</v>
      </c>
      <c r="E665" s="258" t="str">
        <f>IFERROR(__xludf.DUMMYFUNCTION("""COMPUTED_VALUE"""),"Top 1 province PSGC code of the subscriber based on SMS usages in 1 month")</f>
        <v>Top 1 province PSGC code of the subscriber based on SMS usages in 1 month</v>
      </c>
      <c r="F665" s="258" t="str">
        <f>IFERROR(__xludf.DUMMYFUNCTION("""COMPUTED_VALUE"""),"Direct Pull")</f>
        <v>Direct Pull</v>
      </c>
      <c r="G665" s="258" t="str">
        <f>IFERROR(__xludf.DUMMYFUNCTION("""COMPUTED_VALUE"""),"varchar(1000)")</f>
        <v>varchar(1000)</v>
      </c>
      <c r="H665" s="258">
        <f>IFERROR(__xludf.DUMMYFUNCTION("""COMPUTED_VALUE"""),1.12E8)</f>
        <v>112000000</v>
      </c>
      <c r="I665" s="258" t="str">
        <f>IFERROR(__xludf.DUMMYFUNCTION("""COMPUTED_VALUE"""),"FVT CRM Hoarding")</f>
        <v>FVT CRM Hoarding</v>
      </c>
      <c r="J665" s="258" t="str">
        <f>IFERROR(__xludf.DUMMYFUNCTION("""COMPUTED_VALUE"""),"Monthly")</f>
        <v>Monthly</v>
      </c>
      <c r="K665" s="258" t="str">
        <f>IFERROR(__xludf.DUMMYFUNCTION("""COMPUTED_VALUE"""),"")</f>
        <v/>
      </c>
      <c r="L665" s="258" t="str">
        <f>IFERROR(__xludf.DUMMYFUNCTION("""COMPUTED_VALUE"""),"GHP, GHP-PREPAID, TM, PW, GOMO, WIRELINE")</f>
        <v>GHP, GHP-PREPAID, TM, PW, GOMO, WIRELINE</v>
      </c>
      <c r="M665" s="258" t="str">
        <f>IFERROR(__xludf.DUMMYFUNCTION("""COMPUTED_VALUE"""),"Consumer, EG, SG, In house, IBG Traveler")</f>
        <v>Consumer, EG, SG, In house, IBG Traveler</v>
      </c>
      <c r="N665" s="258" t="str">
        <f>IFERROR(__xludf.DUMMYFUNCTION("""COMPUTED_VALUE"""),"network")</f>
        <v>network</v>
      </c>
      <c r="O665" s="258" t="str">
        <f>IFERROR(__xludf.DUMMYFUNCTION("""COMPUTED_VALUE"""),"network_profile")</f>
        <v>network_profile</v>
      </c>
      <c r="P665" s="258"/>
    </row>
    <row r="666">
      <c r="A666" s="257" t="str">
        <f>IFERROR(__xludf.DUMMYFUNCTION("""COMPUTED_VALUE"""),"network_monthly_top_1_sms_location_town_code")</f>
        <v>network_monthly_top_1_sms_location_town_code</v>
      </c>
      <c r="B666" s="258" t="str">
        <f>IFERROR(__xludf.DUMMYFUNCTION("""COMPUTED_VALUE"""),"Customer PII")</f>
        <v>Customer PII</v>
      </c>
      <c r="C666" s="258" t="str">
        <f>IFERROR(__xludf.DUMMYFUNCTION("""COMPUTED_VALUE"""),"Non-PII")</f>
        <v>Non-PII</v>
      </c>
      <c r="D666" s="258" t="str">
        <f>IFERROR(__xludf.DUMMYFUNCTION("""COMPUTED_VALUE"""),"Non-PII")</f>
        <v>Non-PII</v>
      </c>
      <c r="E666" s="258" t="str">
        <f>IFERROR(__xludf.DUMMYFUNCTION("""COMPUTED_VALUE"""),"Top 1 town PSGC code of the subscriber based on SMS usages in 1 month")</f>
        <v>Top 1 town PSGC code of the subscriber based on SMS usages in 1 month</v>
      </c>
      <c r="F666" s="258" t="str">
        <f>IFERROR(__xludf.DUMMYFUNCTION("""COMPUTED_VALUE"""),"Direct Pull")</f>
        <v>Direct Pull</v>
      </c>
      <c r="G666" s="258" t="str">
        <f>IFERROR(__xludf.DUMMYFUNCTION("""COMPUTED_VALUE"""),"varchar(1000)")</f>
        <v>varchar(1000)</v>
      </c>
      <c r="H666" s="258">
        <f>IFERROR(__xludf.DUMMYFUNCTION("""COMPUTED_VALUE"""),1.12E8)</f>
        <v>112000000</v>
      </c>
      <c r="I666" s="258" t="str">
        <f>IFERROR(__xludf.DUMMYFUNCTION("""COMPUTED_VALUE"""),"FVT CRM Hoarding")</f>
        <v>FVT CRM Hoarding</v>
      </c>
      <c r="J666" s="258" t="str">
        <f>IFERROR(__xludf.DUMMYFUNCTION("""COMPUTED_VALUE"""),"Monthly")</f>
        <v>Monthly</v>
      </c>
      <c r="K666" s="258" t="str">
        <f>IFERROR(__xludf.DUMMYFUNCTION("""COMPUTED_VALUE"""),"")</f>
        <v/>
      </c>
      <c r="L666" s="258" t="str">
        <f>IFERROR(__xludf.DUMMYFUNCTION("""COMPUTED_VALUE"""),"GHP, GHP-PREPAID, TM, PW, GOMO, WIRELINE")</f>
        <v>GHP, GHP-PREPAID, TM, PW, GOMO, WIRELINE</v>
      </c>
      <c r="M666" s="258" t="str">
        <f>IFERROR(__xludf.DUMMYFUNCTION("""COMPUTED_VALUE"""),"Consumer, EG, SG, In house, IBG Traveler")</f>
        <v>Consumer, EG, SG, In house, IBG Traveler</v>
      </c>
      <c r="N666" s="258" t="str">
        <f>IFERROR(__xludf.DUMMYFUNCTION("""COMPUTED_VALUE"""),"network")</f>
        <v>network</v>
      </c>
      <c r="O666" s="258" t="str">
        <f>IFERROR(__xludf.DUMMYFUNCTION("""COMPUTED_VALUE"""),"network_profile")</f>
        <v>network_profile</v>
      </c>
      <c r="P666" s="258"/>
    </row>
    <row r="667">
      <c r="A667" s="257" t="str">
        <f>IFERROR(__xludf.DUMMYFUNCTION("""COMPUTED_VALUE"""),"network_monthly_top_1_sms_location_barangay_code")</f>
        <v>network_monthly_top_1_sms_location_barangay_code</v>
      </c>
      <c r="B667" s="258" t="str">
        <f>IFERROR(__xludf.DUMMYFUNCTION("""COMPUTED_VALUE"""),"Customer PII")</f>
        <v>Customer PII</v>
      </c>
      <c r="C667" s="258" t="str">
        <f>IFERROR(__xludf.DUMMYFUNCTION("""COMPUTED_VALUE"""),"Non-PII")</f>
        <v>Non-PII</v>
      </c>
      <c r="D667" s="258" t="str">
        <f>IFERROR(__xludf.DUMMYFUNCTION("""COMPUTED_VALUE"""),"Non-PII")</f>
        <v>Non-PII</v>
      </c>
      <c r="E667" s="258" t="str">
        <f>IFERROR(__xludf.DUMMYFUNCTION("""COMPUTED_VALUE"""),"Top 1 barangay PSGC code of the subscriber based on SMS usages in 1 month")</f>
        <v>Top 1 barangay PSGC code of the subscriber based on SMS usages in 1 month</v>
      </c>
      <c r="F667" s="258" t="str">
        <f>IFERROR(__xludf.DUMMYFUNCTION("""COMPUTED_VALUE"""),"Direct Pull")</f>
        <v>Direct Pull</v>
      </c>
      <c r="G667" s="258" t="str">
        <f>IFERROR(__xludf.DUMMYFUNCTION("""COMPUTED_VALUE"""),"varchar(1000)")</f>
        <v>varchar(1000)</v>
      </c>
      <c r="H667" s="258">
        <f>IFERROR(__xludf.DUMMYFUNCTION("""COMPUTED_VALUE"""),1.12E8)</f>
        <v>112000000</v>
      </c>
      <c r="I667" s="258" t="str">
        <f>IFERROR(__xludf.DUMMYFUNCTION("""COMPUTED_VALUE"""),"FVT CRM Hoarding")</f>
        <v>FVT CRM Hoarding</v>
      </c>
      <c r="J667" s="258" t="str">
        <f>IFERROR(__xludf.DUMMYFUNCTION("""COMPUTED_VALUE"""),"Monthly")</f>
        <v>Monthly</v>
      </c>
      <c r="K667" s="258" t="str">
        <f>IFERROR(__xludf.DUMMYFUNCTION("""COMPUTED_VALUE"""),"")</f>
        <v/>
      </c>
      <c r="L667" s="258" t="str">
        <f>IFERROR(__xludf.DUMMYFUNCTION("""COMPUTED_VALUE"""),"GHP, GHP-PREPAID, TM, PW, GOMO, WIRELINE")</f>
        <v>GHP, GHP-PREPAID, TM, PW, GOMO, WIRELINE</v>
      </c>
      <c r="M667" s="258" t="str">
        <f>IFERROR(__xludf.DUMMYFUNCTION("""COMPUTED_VALUE"""),"Consumer, EG, SG, In house, IBG Traveler")</f>
        <v>Consumer, EG, SG, In house, IBG Traveler</v>
      </c>
      <c r="N667" s="258" t="str">
        <f>IFERROR(__xludf.DUMMYFUNCTION("""COMPUTED_VALUE"""),"network")</f>
        <v>network</v>
      </c>
      <c r="O667" s="258" t="str">
        <f>IFERROR(__xludf.DUMMYFUNCTION("""COMPUTED_VALUE"""),"network_profile")</f>
        <v>network_profile</v>
      </c>
      <c r="P667" s="258"/>
    </row>
    <row r="668">
      <c r="A668" s="257" t="str">
        <f>IFERROR(__xludf.DUMMYFUNCTION("""COMPUTED_VALUE"""),"network_monthly_top_1_data_location_region_code")</f>
        <v>network_monthly_top_1_data_location_region_code</v>
      </c>
      <c r="B668" s="258" t="str">
        <f>IFERROR(__xludf.DUMMYFUNCTION("""COMPUTED_VALUE"""),"Customer PII")</f>
        <v>Customer PII</v>
      </c>
      <c r="C668" s="258" t="str">
        <f>IFERROR(__xludf.DUMMYFUNCTION("""COMPUTED_VALUE"""),"Non-PII")</f>
        <v>Non-PII</v>
      </c>
      <c r="D668" s="258" t="str">
        <f>IFERROR(__xludf.DUMMYFUNCTION("""COMPUTED_VALUE"""),"Non-PII")</f>
        <v>Non-PII</v>
      </c>
      <c r="E668" s="258" t="str">
        <f>IFERROR(__xludf.DUMMYFUNCTION("""COMPUTED_VALUE"""),"Top 1 region PSGC code of the subscriber based on data usages in 1 month")</f>
        <v>Top 1 region PSGC code of the subscriber based on data usages in 1 month</v>
      </c>
      <c r="F668" s="258" t="str">
        <f>IFERROR(__xludf.DUMMYFUNCTION("""COMPUTED_VALUE"""),"Direct Pull")</f>
        <v>Direct Pull</v>
      </c>
      <c r="G668" s="258" t="str">
        <f>IFERROR(__xludf.DUMMYFUNCTION("""COMPUTED_VALUE"""),"varchar(1000)")</f>
        <v>varchar(1000)</v>
      </c>
      <c r="H668" s="258">
        <f>IFERROR(__xludf.DUMMYFUNCTION("""COMPUTED_VALUE"""),9.0E7)</f>
        <v>90000000</v>
      </c>
      <c r="I668" s="258" t="str">
        <f>IFERROR(__xludf.DUMMYFUNCTION("""COMPUTED_VALUE"""),"FVT CRM Hoarding")</f>
        <v>FVT CRM Hoarding</v>
      </c>
      <c r="J668" s="258" t="str">
        <f>IFERROR(__xludf.DUMMYFUNCTION("""COMPUTED_VALUE"""),"Monthly")</f>
        <v>Monthly</v>
      </c>
      <c r="K668" s="258" t="str">
        <f>IFERROR(__xludf.DUMMYFUNCTION("""COMPUTED_VALUE"""),"")</f>
        <v/>
      </c>
      <c r="L668" s="258" t="str">
        <f>IFERROR(__xludf.DUMMYFUNCTION("""COMPUTED_VALUE"""),"GHP, GHP-PREPAID, TM, PW, GOMO, WIRELINE")</f>
        <v>GHP, GHP-PREPAID, TM, PW, GOMO, WIRELINE</v>
      </c>
      <c r="M668" s="258" t="str">
        <f>IFERROR(__xludf.DUMMYFUNCTION("""COMPUTED_VALUE"""),"Consumer, EG, SG, In house, IBG Traveler")</f>
        <v>Consumer, EG, SG, In house, IBG Traveler</v>
      </c>
      <c r="N668" s="258" t="str">
        <f>IFERROR(__xludf.DUMMYFUNCTION("""COMPUTED_VALUE"""),"network")</f>
        <v>network</v>
      </c>
      <c r="O668" s="258" t="str">
        <f>IFERROR(__xludf.DUMMYFUNCTION("""COMPUTED_VALUE"""),"network_profile")</f>
        <v>network_profile</v>
      </c>
      <c r="P668" s="258"/>
    </row>
    <row r="669">
      <c r="A669" s="257" t="str">
        <f>IFERROR(__xludf.DUMMYFUNCTION("""COMPUTED_VALUE"""),"network_monthly_top_1_data_location_province_code")</f>
        <v>network_monthly_top_1_data_location_province_code</v>
      </c>
      <c r="B669" s="258" t="str">
        <f>IFERROR(__xludf.DUMMYFUNCTION("""COMPUTED_VALUE"""),"Customer PII")</f>
        <v>Customer PII</v>
      </c>
      <c r="C669" s="258" t="str">
        <f>IFERROR(__xludf.DUMMYFUNCTION("""COMPUTED_VALUE"""),"Non-PII")</f>
        <v>Non-PII</v>
      </c>
      <c r="D669" s="258" t="str">
        <f>IFERROR(__xludf.DUMMYFUNCTION("""COMPUTED_VALUE"""),"Non-PII")</f>
        <v>Non-PII</v>
      </c>
      <c r="E669" s="258" t="str">
        <f>IFERROR(__xludf.DUMMYFUNCTION("""COMPUTED_VALUE"""),"Top 1 province PSGC code of the subscriber based on data usages in 1 month")</f>
        <v>Top 1 province PSGC code of the subscriber based on data usages in 1 month</v>
      </c>
      <c r="F669" s="258" t="str">
        <f>IFERROR(__xludf.DUMMYFUNCTION("""COMPUTED_VALUE"""),"Direct Pull")</f>
        <v>Direct Pull</v>
      </c>
      <c r="G669" s="258" t="str">
        <f>IFERROR(__xludf.DUMMYFUNCTION("""COMPUTED_VALUE"""),"varchar(1000)")</f>
        <v>varchar(1000)</v>
      </c>
      <c r="H669" s="258">
        <f>IFERROR(__xludf.DUMMYFUNCTION("""COMPUTED_VALUE"""),9.83E7)</f>
        <v>98300000</v>
      </c>
      <c r="I669" s="258" t="str">
        <f>IFERROR(__xludf.DUMMYFUNCTION("""COMPUTED_VALUE"""),"FVT CRM Hoarding")</f>
        <v>FVT CRM Hoarding</v>
      </c>
      <c r="J669" s="258" t="str">
        <f>IFERROR(__xludf.DUMMYFUNCTION("""COMPUTED_VALUE"""),"Monthly")</f>
        <v>Monthly</v>
      </c>
      <c r="K669" s="258" t="str">
        <f>IFERROR(__xludf.DUMMYFUNCTION("""COMPUTED_VALUE"""),"")</f>
        <v/>
      </c>
      <c r="L669" s="258" t="str">
        <f>IFERROR(__xludf.DUMMYFUNCTION("""COMPUTED_VALUE"""),"GHP, GHP-PREPAID, TM, PW, GOMO, WIRELINE")</f>
        <v>GHP, GHP-PREPAID, TM, PW, GOMO, WIRELINE</v>
      </c>
      <c r="M669" s="258" t="str">
        <f>IFERROR(__xludf.DUMMYFUNCTION("""COMPUTED_VALUE"""),"Consumer, EG, SG, In house, IBG Traveler")</f>
        <v>Consumer, EG, SG, In house, IBG Traveler</v>
      </c>
      <c r="N669" s="258" t="str">
        <f>IFERROR(__xludf.DUMMYFUNCTION("""COMPUTED_VALUE"""),"network")</f>
        <v>network</v>
      </c>
      <c r="O669" s="258" t="str">
        <f>IFERROR(__xludf.DUMMYFUNCTION("""COMPUTED_VALUE"""),"network_profile")</f>
        <v>network_profile</v>
      </c>
      <c r="P669" s="258"/>
    </row>
    <row r="670">
      <c r="A670" s="257" t="str">
        <f>IFERROR(__xludf.DUMMYFUNCTION("""COMPUTED_VALUE"""),"network_monthly_top_1_data_location_town_code")</f>
        <v>network_monthly_top_1_data_location_town_code</v>
      </c>
      <c r="B670" s="258" t="str">
        <f>IFERROR(__xludf.DUMMYFUNCTION("""COMPUTED_VALUE"""),"Customer PII")</f>
        <v>Customer PII</v>
      </c>
      <c r="C670" s="258" t="str">
        <f>IFERROR(__xludf.DUMMYFUNCTION("""COMPUTED_VALUE"""),"Non-PII")</f>
        <v>Non-PII</v>
      </c>
      <c r="D670" s="258" t="str">
        <f>IFERROR(__xludf.DUMMYFUNCTION("""COMPUTED_VALUE"""),"Non-PII")</f>
        <v>Non-PII</v>
      </c>
      <c r="E670" s="258" t="str">
        <f>IFERROR(__xludf.DUMMYFUNCTION("""COMPUTED_VALUE"""),"Top 1 town PSGC code of the subscriber based on data usages in 1 month")</f>
        <v>Top 1 town PSGC code of the subscriber based on data usages in 1 month</v>
      </c>
      <c r="F670" s="258" t="str">
        <f>IFERROR(__xludf.DUMMYFUNCTION("""COMPUTED_VALUE"""),"Direct Pull")</f>
        <v>Direct Pull</v>
      </c>
      <c r="G670" s="258" t="str">
        <f>IFERROR(__xludf.DUMMYFUNCTION("""COMPUTED_VALUE"""),"varchar(1000)")</f>
        <v>varchar(1000)</v>
      </c>
      <c r="H670" s="258">
        <f>IFERROR(__xludf.DUMMYFUNCTION("""COMPUTED_VALUE"""),9.8304E7)</f>
        <v>98304000</v>
      </c>
      <c r="I670" s="258" t="str">
        <f>IFERROR(__xludf.DUMMYFUNCTION("""COMPUTED_VALUE"""),"FVT CRM Hoarding")</f>
        <v>FVT CRM Hoarding</v>
      </c>
      <c r="J670" s="258" t="str">
        <f>IFERROR(__xludf.DUMMYFUNCTION("""COMPUTED_VALUE"""),"Monthly")</f>
        <v>Monthly</v>
      </c>
      <c r="K670" s="258" t="str">
        <f>IFERROR(__xludf.DUMMYFUNCTION("""COMPUTED_VALUE"""),"")</f>
        <v/>
      </c>
      <c r="L670" s="258" t="str">
        <f>IFERROR(__xludf.DUMMYFUNCTION("""COMPUTED_VALUE"""),"GHP, GHP-PREPAID, TM, PW, GOMO, WIRELINE")</f>
        <v>GHP, GHP-PREPAID, TM, PW, GOMO, WIRELINE</v>
      </c>
      <c r="M670" s="258" t="str">
        <f>IFERROR(__xludf.DUMMYFUNCTION("""COMPUTED_VALUE"""),"Consumer, EG, SG, In house, IBG Traveler")</f>
        <v>Consumer, EG, SG, In house, IBG Traveler</v>
      </c>
      <c r="N670" s="258" t="str">
        <f>IFERROR(__xludf.DUMMYFUNCTION("""COMPUTED_VALUE"""),"network")</f>
        <v>network</v>
      </c>
      <c r="O670" s="258" t="str">
        <f>IFERROR(__xludf.DUMMYFUNCTION("""COMPUTED_VALUE"""),"network_profile")</f>
        <v>network_profile</v>
      </c>
      <c r="P670" s="258"/>
    </row>
    <row r="671">
      <c r="A671" s="257" t="str">
        <f>IFERROR(__xludf.DUMMYFUNCTION("""COMPUTED_VALUE"""),"network_monthly_top_1_data_location_barangay_code")</f>
        <v>network_monthly_top_1_data_location_barangay_code</v>
      </c>
      <c r="B671" s="258" t="str">
        <f>IFERROR(__xludf.DUMMYFUNCTION("""COMPUTED_VALUE"""),"Customer PII")</f>
        <v>Customer PII</v>
      </c>
      <c r="C671" s="258" t="str">
        <f>IFERROR(__xludf.DUMMYFUNCTION("""COMPUTED_VALUE"""),"Non-PII")</f>
        <v>Non-PII</v>
      </c>
      <c r="D671" s="258" t="str">
        <f>IFERROR(__xludf.DUMMYFUNCTION("""COMPUTED_VALUE"""),"Non-PII")</f>
        <v>Non-PII</v>
      </c>
      <c r="E671" s="258" t="str">
        <f>IFERROR(__xludf.DUMMYFUNCTION("""COMPUTED_VALUE"""),"Top 1 barangay PSGC code of the subscriber based on data usages in 1 month")</f>
        <v>Top 1 barangay PSGC code of the subscriber based on data usages in 1 month</v>
      </c>
      <c r="F671" s="258" t="str">
        <f>IFERROR(__xludf.DUMMYFUNCTION("""COMPUTED_VALUE"""),"Direct Pull")</f>
        <v>Direct Pull</v>
      </c>
      <c r="G671" s="258" t="str">
        <f>IFERROR(__xludf.DUMMYFUNCTION("""COMPUTED_VALUE"""),"varchar(1000)")</f>
        <v>varchar(1000)</v>
      </c>
      <c r="H671" s="258">
        <f>IFERROR(__xludf.DUMMYFUNCTION("""COMPUTED_VALUE"""),9.8304012E7)</f>
        <v>98304012</v>
      </c>
      <c r="I671" s="258" t="str">
        <f>IFERROR(__xludf.DUMMYFUNCTION("""COMPUTED_VALUE"""),"FVT CRM Hoarding")</f>
        <v>FVT CRM Hoarding</v>
      </c>
      <c r="J671" s="258" t="str">
        <f>IFERROR(__xludf.DUMMYFUNCTION("""COMPUTED_VALUE"""),"Monthly")</f>
        <v>Monthly</v>
      </c>
      <c r="K671" s="258" t="str">
        <f>IFERROR(__xludf.DUMMYFUNCTION("""COMPUTED_VALUE"""),"")</f>
        <v/>
      </c>
      <c r="L671" s="258" t="str">
        <f>IFERROR(__xludf.DUMMYFUNCTION("""COMPUTED_VALUE"""),"GHP, GHP-PREPAID, TM, PW, GOMO, WIRELINE")</f>
        <v>GHP, GHP-PREPAID, TM, PW, GOMO, WIRELINE</v>
      </c>
      <c r="M671" s="258" t="str">
        <f>IFERROR(__xludf.DUMMYFUNCTION("""COMPUTED_VALUE"""),"Consumer, EG, SG, In house, IBG Traveler")</f>
        <v>Consumer, EG, SG, In house, IBG Traveler</v>
      </c>
      <c r="N671" s="258" t="str">
        <f>IFERROR(__xludf.DUMMYFUNCTION("""COMPUTED_VALUE"""),"network")</f>
        <v>network</v>
      </c>
      <c r="O671" s="258" t="str">
        <f>IFERROR(__xludf.DUMMYFUNCTION("""COMPUTED_VALUE"""),"network_profile")</f>
        <v>network_profile</v>
      </c>
      <c r="P671" s="258"/>
    </row>
    <row r="672">
      <c r="A672" s="257" t="str">
        <f>IFERROR(__xludf.DUMMYFUNCTION("""COMPUTED_VALUE"""),"network_monthly_top_1_location_region")</f>
        <v>network_monthly_top_1_location_region</v>
      </c>
      <c r="B672" s="258" t="str">
        <f>IFERROR(__xludf.DUMMYFUNCTION("""COMPUTED_VALUE"""),"Customer PII")</f>
        <v>Customer PII</v>
      </c>
      <c r="C672" s="258" t="str">
        <f>IFERROR(__xludf.DUMMYFUNCTION("""COMPUTED_VALUE"""),"Non-PII")</f>
        <v>Non-PII</v>
      </c>
      <c r="D672" s="258" t="str">
        <f>IFERROR(__xludf.DUMMYFUNCTION("""COMPUTED_VALUE"""),"Non-PII")</f>
        <v>Non-PII</v>
      </c>
      <c r="E672" s="258" t="str">
        <f>IFERROR(__xludf.DUMMYFUNCTION("""COMPUTED_VALUE"""),"Top 1 region of the subscriber based on call/voice, SMS and data usages in 1 month")</f>
        <v>Top 1 region of the subscriber based on call/voice, SMS and data usages in 1 month</v>
      </c>
      <c r="F672" s="258" t="str">
        <f>IFERROR(__xludf.DUMMYFUNCTION("""COMPUTED_VALUE"""),"Direct Pull")</f>
        <v>Direct Pull</v>
      </c>
      <c r="G672" s="258" t="str">
        <f>IFERROR(__xludf.DUMMYFUNCTION("""COMPUTED_VALUE"""),"varchar(1000)")</f>
        <v>varchar(1000)</v>
      </c>
      <c r="H672" s="258" t="str">
        <f>IFERROR(__xludf.DUMMYFUNCTION("""COMPUTED_VALUE"""),"NATIONAL CAPITAL REGION (NCR)")</f>
        <v>NATIONAL CAPITAL REGION (NCR)</v>
      </c>
      <c r="I672" s="258" t="str">
        <f>IFERROR(__xludf.DUMMYFUNCTION("""COMPUTED_VALUE"""),"FVT CRM Hoarding")</f>
        <v>FVT CRM Hoarding</v>
      </c>
      <c r="J672" s="258" t="str">
        <f>IFERROR(__xludf.DUMMYFUNCTION("""COMPUTED_VALUE"""),"Monthly")</f>
        <v>Monthly</v>
      </c>
      <c r="K672" s="258" t="str">
        <f>IFERROR(__xludf.DUMMYFUNCTION("""COMPUTED_VALUE"""),"mo-1")</f>
        <v>mo-1</v>
      </c>
      <c r="L672" s="258" t="str">
        <f>IFERROR(__xludf.DUMMYFUNCTION("""COMPUTED_VALUE"""),"GHP, GHP-PREPAID, TM, PW, GOMO, WIRELINE")</f>
        <v>GHP, GHP-PREPAID, TM, PW, GOMO, WIRELINE</v>
      </c>
      <c r="M672" s="258" t="str">
        <f>IFERROR(__xludf.DUMMYFUNCTION("""COMPUTED_VALUE"""),"Consumer, EG, SG, In house, IBG Traveler")</f>
        <v>Consumer, EG, SG, In house, IBG Traveler</v>
      </c>
      <c r="N672" s="258" t="str">
        <f>IFERROR(__xludf.DUMMYFUNCTION("""COMPUTED_VALUE"""),"network")</f>
        <v>network</v>
      </c>
      <c r="O672" s="258" t="str">
        <f>IFERROR(__xludf.DUMMYFUNCTION("""COMPUTED_VALUE"""),"network_profile")</f>
        <v>network_profile</v>
      </c>
      <c r="P672" s="258"/>
    </row>
    <row r="673">
      <c r="A673" s="257" t="str">
        <f>IFERROR(__xludf.DUMMYFUNCTION("""COMPUTED_VALUE"""),"network_monthly_top_1_location_region_code")</f>
        <v>network_monthly_top_1_location_region_code</v>
      </c>
      <c r="B673" s="258" t="str">
        <f>IFERROR(__xludf.DUMMYFUNCTION("""COMPUTED_VALUE"""),"Customer PII")</f>
        <v>Customer PII</v>
      </c>
      <c r="C673" s="258" t="str">
        <f>IFERROR(__xludf.DUMMYFUNCTION("""COMPUTED_VALUE"""),"Non-PII")</f>
        <v>Non-PII</v>
      </c>
      <c r="D673" s="258" t="str">
        <f>IFERROR(__xludf.DUMMYFUNCTION("""COMPUTED_VALUE"""),"Non-PII")</f>
        <v>Non-PII</v>
      </c>
      <c r="E673" s="258" t="str">
        <f>IFERROR(__xludf.DUMMYFUNCTION("""COMPUTED_VALUE"""),"Top 1 region PSGC code of the subscriber based on call/voice, SMS and data usages in 1 month")</f>
        <v>Top 1 region PSGC code of the subscriber based on call/voice, SMS and data usages in 1 month</v>
      </c>
      <c r="F673" s="258" t="str">
        <f>IFERROR(__xludf.DUMMYFUNCTION("""COMPUTED_VALUE"""),"Direct Pull")</f>
        <v>Direct Pull</v>
      </c>
      <c r="G673" s="258" t="str">
        <f>IFERROR(__xludf.DUMMYFUNCTION("""COMPUTED_VALUE"""),"varchar(1000)")</f>
        <v>varchar(1000)</v>
      </c>
      <c r="H673" s="258">
        <f>IFERROR(__xludf.DUMMYFUNCTION("""COMPUTED_VALUE"""),1.3E8)</f>
        <v>130000000</v>
      </c>
      <c r="I673" s="258" t="str">
        <f>IFERROR(__xludf.DUMMYFUNCTION("""COMPUTED_VALUE"""),"FVT CRM Hoarding")</f>
        <v>FVT CRM Hoarding</v>
      </c>
      <c r="J673" s="258" t="str">
        <f>IFERROR(__xludf.DUMMYFUNCTION("""COMPUTED_VALUE"""),"Monthly")</f>
        <v>Monthly</v>
      </c>
      <c r="K673" s="258" t="str">
        <f>IFERROR(__xludf.DUMMYFUNCTION("""COMPUTED_VALUE"""),"mo-1")</f>
        <v>mo-1</v>
      </c>
      <c r="L673" s="258" t="str">
        <f>IFERROR(__xludf.DUMMYFUNCTION("""COMPUTED_VALUE"""),"GHP, GHP-PREPAID, TM, PW, GOMO, WIRELINE")</f>
        <v>GHP, GHP-PREPAID, TM, PW, GOMO, WIRELINE</v>
      </c>
      <c r="M673" s="258" t="str">
        <f>IFERROR(__xludf.DUMMYFUNCTION("""COMPUTED_VALUE"""),"Consumer, EG, SG, In house, IBG Traveler")</f>
        <v>Consumer, EG, SG, In house, IBG Traveler</v>
      </c>
      <c r="N673" s="258" t="str">
        <f>IFERROR(__xludf.DUMMYFUNCTION("""COMPUTED_VALUE"""),"network")</f>
        <v>network</v>
      </c>
      <c r="O673" s="258" t="str">
        <f>IFERROR(__xludf.DUMMYFUNCTION("""COMPUTED_VALUE"""),"network_profile")</f>
        <v>network_profile</v>
      </c>
      <c r="P673" s="258"/>
    </row>
    <row r="674">
      <c r="A674" s="257" t="str">
        <f>IFERROR(__xludf.DUMMYFUNCTION("""COMPUTED_VALUE"""),"network_monthly_top_1_location_province")</f>
        <v>network_monthly_top_1_location_province</v>
      </c>
      <c r="B674" s="258" t="str">
        <f>IFERROR(__xludf.DUMMYFUNCTION("""COMPUTED_VALUE"""),"Customer PII")</f>
        <v>Customer PII</v>
      </c>
      <c r="C674" s="258" t="str">
        <f>IFERROR(__xludf.DUMMYFUNCTION("""COMPUTED_VALUE"""),"Non-PII")</f>
        <v>Non-PII</v>
      </c>
      <c r="D674" s="258" t="str">
        <f>IFERROR(__xludf.DUMMYFUNCTION("""COMPUTED_VALUE"""),"Non-PII")</f>
        <v>Non-PII</v>
      </c>
      <c r="E674" s="258" t="str">
        <f>IFERROR(__xludf.DUMMYFUNCTION("""COMPUTED_VALUE"""),"Top 1 province of the subscriber based on call/voice, SMS and data usages in 1 month")</f>
        <v>Top 1 province of the subscriber based on call/voice, SMS and data usages in 1 month</v>
      </c>
      <c r="F674" s="258" t="str">
        <f>IFERROR(__xludf.DUMMYFUNCTION("""COMPUTED_VALUE"""),"Direct Pull")</f>
        <v>Direct Pull</v>
      </c>
      <c r="G674" s="258" t="str">
        <f>IFERROR(__xludf.DUMMYFUNCTION("""COMPUTED_VALUE"""),"varchar(1000)")</f>
        <v>varchar(1000)</v>
      </c>
      <c r="H674" s="258" t="str">
        <f>IFERROR(__xludf.DUMMYFUNCTION("""COMPUTED_VALUE"""),"NCR, FOURTH DISTRICT (Not a Province)")</f>
        <v>NCR, FOURTH DISTRICT (Not a Province)</v>
      </c>
      <c r="I674" s="258" t="str">
        <f>IFERROR(__xludf.DUMMYFUNCTION("""COMPUTED_VALUE"""),"FVT CRM Hoarding")</f>
        <v>FVT CRM Hoarding</v>
      </c>
      <c r="J674" s="258" t="str">
        <f>IFERROR(__xludf.DUMMYFUNCTION("""COMPUTED_VALUE"""),"Monthly")</f>
        <v>Monthly</v>
      </c>
      <c r="K674" s="258" t="str">
        <f>IFERROR(__xludf.DUMMYFUNCTION("""COMPUTED_VALUE"""),"mo-1")</f>
        <v>mo-1</v>
      </c>
      <c r="L674" s="258" t="str">
        <f>IFERROR(__xludf.DUMMYFUNCTION("""COMPUTED_VALUE"""),"GHP, GHP-PREPAID, TM, PW, GOMO, WIRELINE")</f>
        <v>GHP, GHP-PREPAID, TM, PW, GOMO, WIRELINE</v>
      </c>
      <c r="M674" s="258" t="str">
        <f>IFERROR(__xludf.DUMMYFUNCTION("""COMPUTED_VALUE"""),"Consumer, EG, SG, In house, IBG Traveler")</f>
        <v>Consumer, EG, SG, In house, IBG Traveler</v>
      </c>
      <c r="N674" s="258" t="str">
        <f>IFERROR(__xludf.DUMMYFUNCTION("""COMPUTED_VALUE"""),"network")</f>
        <v>network</v>
      </c>
      <c r="O674" s="258" t="str">
        <f>IFERROR(__xludf.DUMMYFUNCTION("""COMPUTED_VALUE"""),"network_profile")</f>
        <v>network_profile</v>
      </c>
      <c r="P674" s="258"/>
    </row>
    <row r="675">
      <c r="A675" s="257" t="str">
        <f>IFERROR(__xludf.DUMMYFUNCTION("""COMPUTED_VALUE"""),"network_monthly_top_1_location_province_code")</f>
        <v>network_monthly_top_1_location_province_code</v>
      </c>
      <c r="B675" s="258" t="str">
        <f>IFERROR(__xludf.DUMMYFUNCTION("""COMPUTED_VALUE"""),"Customer PII")</f>
        <v>Customer PII</v>
      </c>
      <c r="C675" s="258" t="str">
        <f>IFERROR(__xludf.DUMMYFUNCTION("""COMPUTED_VALUE"""),"Non-PII")</f>
        <v>Non-PII</v>
      </c>
      <c r="D675" s="258" t="str">
        <f>IFERROR(__xludf.DUMMYFUNCTION("""COMPUTED_VALUE"""),"Non-PII")</f>
        <v>Non-PII</v>
      </c>
      <c r="E675" s="258" t="str">
        <f>IFERROR(__xludf.DUMMYFUNCTION("""COMPUTED_VALUE"""),"Top 1 province PSGC code of the subscriber based on call/voice, SMS and data usages in 1 month")</f>
        <v>Top 1 province PSGC code of the subscriber based on call/voice, SMS and data usages in 1 month</v>
      </c>
      <c r="F675" s="258" t="str">
        <f>IFERROR(__xludf.DUMMYFUNCTION("""COMPUTED_VALUE"""),"Direct Pull")</f>
        <v>Direct Pull</v>
      </c>
      <c r="G675" s="258" t="str">
        <f>IFERROR(__xludf.DUMMYFUNCTION("""COMPUTED_VALUE"""),"varchar(1000)")</f>
        <v>varchar(1000)</v>
      </c>
      <c r="H675" s="258">
        <f>IFERROR(__xludf.DUMMYFUNCTION("""COMPUTED_VALUE"""),1.38E8)</f>
        <v>138000000</v>
      </c>
      <c r="I675" s="258" t="str">
        <f>IFERROR(__xludf.DUMMYFUNCTION("""COMPUTED_VALUE"""),"FVT CRM Hoarding")</f>
        <v>FVT CRM Hoarding</v>
      </c>
      <c r="J675" s="258" t="str">
        <f>IFERROR(__xludf.DUMMYFUNCTION("""COMPUTED_VALUE"""),"Monthly")</f>
        <v>Monthly</v>
      </c>
      <c r="K675" s="258" t="str">
        <f>IFERROR(__xludf.DUMMYFUNCTION("""COMPUTED_VALUE"""),"mo-1")</f>
        <v>mo-1</v>
      </c>
      <c r="L675" s="258" t="str">
        <f>IFERROR(__xludf.DUMMYFUNCTION("""COMPUTED_VALUE"""),"GHP, GHP-PREPAID, TM, PW, GOMO, WIRELINE")</f>
        <v>GHP, GHP-PREPAID, TM, PW, GOMO, WIRELINE</v>
      </c>
      <c r="M675" s="258" t="str">
        <f>IFERROR(__xludf.DUMMYFUNCTION("""COMPUTED_VALUE"""),"Consumer, EG, SG, In house, IBG Traveler")</f>
        <v>Consumer, EG, SG, In house, IBG Traveler</v>
      </c>
      <c r="N675" s="258" t="str">
        <f>IFERROR(__xludf.DUMMYFUNCTION("""COMPUTED_VALUE"""),"network")</f>
        <v>network</v>
      </c>
      <c r="O675" s="258" t="str">
        <f>IFERROR(__xludf.DUMMYFUNCTION("""COMPUTED_VALUE"""),"network_profile")</f>
        <v>network_profile</v>
      </c>
      <c r="P675" s="258"/>
    </row>
    <row r="676">
      <c r="A676" s="257" t="str">
        <f>IFERROR(__xludf.DUMMYFUNCTION("""COMPUTED_VALUE"""),"network_monthly_top_1_location_town")</f>
        <v>network_monthly_top_1_location_town</v>
      </c>
      <c r="B676" s="258" t="str">
        <f>IFERROR(__xludf.DUMMYFUNCTION("""COMPUTED_VALUE"""),"Customer PII")</f>
        <v>Customer PII</v>
      </c>
      <c r="C676" s="258" t="str">
        <f>IFERROR(__xludf.DUMMYFUNCTION("""COMPUTED_VALUE"""),"Non-PII")</f>
        <v>Non-PII</v>
      </c>
      <c r="D676" s="258" t="str">
        <f>IFERROR(__xludf.DUMMYFUNCTION("""COMPUTED_VALUE"""),"Non-PII")</f>
        <v>Non-PII</v>
      </c>
      <c r="E676" s="258" t="str">
        <f>IFERROR(__xludf.DUMMYFUNCTION("""COMPUTED_VALUE"""),"Top 1 town of the subscriber based on call/voice, SMS and data usages in 1 month")</f>
        <v>Top 1 town of the subscriber based on call/voice, SMS and data usages in 1 month</v>
      </c>
      <c r="F676" s="258" t="str">
        <f>IFERROR(__xludf.DUMMYFUNCTION("""COMPUTED_VALUE"""),"Direct Pull")</f>
        <v>Direct Pull</v>
      </c>
      <c r="G676" s="258" t="str">
        <f>IFERROR(__xludf.DUMMYFUNCTION("""COMPUTED_VALUE"""),"varchar(1000)")</f>
        <v>varchar(1000)</v>
      </c>
      <c r="H676" s="258" t="str">
        <f>IFERROR(__xludf.DUMMYFUNCTION("""COMPUTED_VALUE"""),"CITY OF MUNTINLUPA")</f>
        <v>CITY OF MUNTINLUPA</v>
      </c>
      <c r="I676" s="258" t="str">
        <f>IFERROR(__xludf.DUMMYFUNCTION("""COMPUTED_VALUE"""),"FVT CRM Hoarding")</f>
        <v>FVT CRM Hoarding</v>
      </c>
      <c r="J676" s="258" t="str">
        <f>IFERROR(__xludf.DUMMYFUNCTION("""COMPUTED_VALUE"""),"Monthly")</f>
        <v>Monthly</v>
      </c>
      <c r="K676" s="258" t="str">
        <f>IFERROR(__xludf.DUMMYFUNCTION("""COMPUTED_VALUE"""),"mo-1")</f>
        <v>mo-1</v>
      </c>
      <c r="L676" s="258" t="str">
        <f>IFERROR(__xludf.DUMMYFUNCTION("""COMPUTED_VALUE"""),"GHP, GHP-PREPAID, TM, PW, GOMO, WIRELINE")</f>
        <v>GHP, GHP-PREPAID, TM, PW, GOMO, WIRELINE</v>
      </c>
      <c r="M676" s="258" t="str">
        <f>IFERROR(__xludf.DUMMYFUNCTION("""COMPUTED_VALUE"""),"Consumer, EG, SG, In house, IBG Traveler")</f>
        <v>Consumer, EG, SG, In house, IBG Traveler</v>
      </c>
      <c r="N676" s="258" t="str">
        <f>IFERROR(__xludf.DUMMYFUNCTION("""COMPUTED_VALUE"""),"network")</f>
        <v>network</v>
      </c>
      <c r="O676" s="258" t="str">
        <f>IFERROR(__xludf.DUMMYFUNCTION("""COMPUTED_VALUE"""),"network_profile")</f>
        <v>network_profile</v>
      </c>
      <c r="P676" s="258"/>
    </row>
    <row r="677">
      <c r="A677" s="257" t="str">
        <f>IFERROR(__xludf.DUMMYFUNCTION("""COMPUTED_VALUE"""),"network_monthly_top_1_location_town_code")</f>
        <v>network_monthly_top_1_location_town_code</v>
      </c>
      <c r="B677" s="258" t="str">
        <f>IFERROR(__xludf.DUMMYFUNCTION("""COMPUTED_VALUE"""),"Customer PII")</f>
        <v>Customer PII</v>
      </c>
      <c r="C677" s="258" t="str">
        <f>IFERROR(__xludf.DUMMYFUNCTION("""COMPUTED_VALUE"""),"Non-PII")</f>
        <v>Non-PII</v>
      </c>
      <c r="D677" s="258" t="str">
        <f>IFERROR(__xludf.DUMMYFUNCTION("""COMPUTED_VALUE"""),"Non-PII")</f>
        <v>Non-PII</v>
      </c>
      <c r="E677" s="258" t="str">
        <f>IFERROR(__xludf.DUMMYFUNCTION("""COMPUTED_VALUE"""),"Top 1 town PSGC code of the subscriber based on call/voice, SMS and data usages in 1 month")</f>
        <v>Top 1 town PSGC code of the subscriber based on call/voice, SMS and data usages in 1 month</v>
      </c>
      <c r="F677" s="258" t="str">
        <f>IFERROR(__xludf.DUMMYFUNCTION("""COMPUTED_VALUE"""),"Direct Pull")</f>
        <v>Direct Pull</v>
      </c>
      <c r="G677" s="258" t="str">
        <f>IFERROR(__xludf.DUMMYFUNCTION("""COMPUTED_VALUE"""),"varchar(1000)")</f>
        <v>varchar(1000)</v>
      </c>
      <c r="H677" s="258">
        <f>IFERROR(__xludf.DUMMYFUNCTION("""COMPUTED_VALUE"""),1.38E8)</f>
        <v>138000000</v>
      </c>
      <c r="I677" s="258" t="str">
        <f>IFERROR(__xludf.DUMMYFUNCTION("""COMPUTED_VALUE"""),"FVT CRM Hoarding")</f>
        <v>FVT CRM Hoarding</v>
      </c>
      <c r="J677" s="258" t="str">
        <f>IFERROR(__xludf.DUMMYFUNCTION("""COMPUTED_VALUE"""),"Monthly")</f>
        <v>Monthly</v>
      </c>
      <c r="K677" s="258" t="str">
        <f>IFERROR(__xludf.DUMMYFUNCTION("""COMPUTED_VALUE"""),"mo-1")</f>
        <v>mo-1</v>
      </c>
      <c r="L677" s="258" t="str">
        <f>IFERROR(__xludf.DUMMYFUNCTION("""COMPUTED_VALUE"""),"GHP, GHP-PREPAID, TM, PW, GOMO, WIRELINE")</f>
        <v>GHP, GHP-PREPAID, TM, PW, GOMO, WIRELINE</v>
      </c>
      <c r="M677" s="258" t="str">
        <f>IFERROR(__xludf.DUMMYFUNCTION("""COMPUTED_VALUE"""),"Consumer, EG, SG, In house, IBG Traveler")</f>
        <v>Consumer, EG, SG, In house, IBG Traveler</v>
      </c>
      <c r="N677" s="258" t="str">
        <f>IFERROR(__xludf.DUMMYFUNCTION("""COMPUTED_VALUE"""),"network")</f>
        <v>network</v>
      </c>
      <c r="O677" s="258" t="str">
        <f>IFERROR(__xludf.DUMMYFUNCTION("""COMPUTED_VALUE"""),"network_profile")</f>
        <v>network_profile</v>
      </c>
      <c r="P677" s="258"/>
    </row>
    <row r="678">
      <c r="A678" s="257" t="str">
        <f>IFERROR(__xludf.DUMMYFUNCTION("""COMPUTED_VALUE"""),"network_monthly_top_1_location_barangay")</f>
        <v>network_monthly_top_1_location_barangay</v>
      </c>
      <c r="B678" s="258" t="str">
        <f>IFERROR(__xludf.DUMMYFUNCTION("""COMPUTED_VALUE"""),"Customer PII")</f>
        <v>Customer PII</v>
      </c>
      <c r="C678" s="258" t="str">
        <f>IFERROR(__xludf.DUMMYFUNCTION("""COMPUTED_VALUE"""),"Non-PII")</f>
        <v>Non-PII</v>
      </c>
      <c r="D678" s="258" t="str">
        <f>IFERROR(__xludf.DUMMYFUNCTION("""COMPUTED_VALUE"""),"Non-PII")</f>
        <v>Non-PII</v>
      </c>
      <c r="E678" s="258" t="str">
        <f>IFERROR(__xludf.DUMMYFUNCTION("""COMPUTED_VALUE"""),"Top 1 barangay of the subscriber based on call/voice, SMS and data usages in 1 month")</f>
        <v>Top 1 barangay of the subscriber based on call/voice, SMS and data usages in 1 month</v>
      </c>
      <c r="F678" s="258" t="str">
        <f>IFERROR(__xludf.DUMMYFUNCTION("""COMPUTED_VALUE"""),"Direct Pull")</f>
        <v>Direct Pull</v>
      </c>
      <c r="G678" s="258" t="str">
        <f>IFERROR(__xludf.DUMMYFUNCTION("""COMPUTED_VALUE"""),"varchar(1000)")</f>
        <v>varchar(1000)</v>
      </c>
      <c r="H678" s="258" t="str">
        <f>IFERROR(__xludf.DUMMYFUNCTION("""COMPUTED_VALUE"""),"Alabang")</f>
        <v>Alabang</v>
      </c>
      <c r="I678" s="258" t="str">
        <f>IFERROR(__xludf.DUMMYFUNCTION("""COMPUTED_VALUE"""),"FVT CRM Hoarding")</f>
        <v>FVT CRM Hoarding</v>
      </c>
      <c r="J678" s="258" t="str">
        <f>IFERROR(__xludf.DUMMYFUNCTION("""COMPUTED_VALUE"""),"Monthly")</f>
        <v>Monthly</v>
      </c>
      <c r="K678" s="258" t="str">
        <f>IFERROR(__xludf.DUMMYFUNCTION("""COMPUTED_VALUE"""),"")</f>
        <v/>
      </c>
      <c r="L678" s="258" t="str">
        <f>IFERROR(__xludf.DUMMYFUNCTION("""COMPUTED_VALUE"""),"GHP, GHP-PREPAID, TM, PW, GOMO, WIRELINE")</f>
        <v>GHP, GHP-PREPAID, TM, PW, GOMO, WIRELINE</v>
      </c>
      <c r="M678" s="258" t="str">
        <f>IFERROR(__xludf.DUMMYFUNCTION("""COMPUTED_VALUE"""),"Consumer, EG, SG, In house, IBG Traveler")</f>
        <v>Consumer, EG, SG, In house, IBG Traveler</v>
      </c>
      <c r="N678" s="258" t="str">
        <f>IFERROR(__xludf.DUMMYFUNCTION("""COMPUTED_VALUE"""),"network")</f>
        <v>network</v>
      </c>
      <c r="O678" s="258" t="str">
        <f>IFERROR(__xludf.DUMMYFUNCTION("""COMPUTED_VALUE"""),"network_profile")</f>
        <v>network_profile</v>
      </c>
      <c r="P678" s="258"/>
    </row>
    <row r="679">
      <c r="A679" s="257" t="str">
        <f>IFERROR(__xludf.DUMMYFUNCTION("""COMPUTED_VALUE"""),"network_monthly_top_1_location_barangay_code")</f>
        <v>network_monthly_top_1_location_barangay_code</v>
      </c>
      <c r="B679" s="258" t="str">
        <f>IFERROR(__xludf.DUMMYFUNCTION("""COMPUTED_VALUE"""),"Customer PII")</f>
        <v>Customer PII</v>
      </c>
      <c r="C679" s="258" t="str">
        <f>IFERROR(__xludf.DUMMYFUNCTION("""COMPUTED_VALUE"""),"Non-PII")</f>
        <v>Non-PII</v>
      </c>
      <c r="D679" s="258" t="str">
        <f>IFERROR(__xludf.DUMMYFUNCTION("""COMPUTED_VALUE"""),"Non-PII")</f>
        <v>Non-PII</v>
      </c>
      <c r="E679" s="258" t="str">
        <f>IFERROR(__xludf.DUMMYFUNCTION("""COMPUTED_VALUE"""),"Top 1 barangay PSGC code of the subscriber based on call/voice, SMS and data usages in 1 month")</f>
        <v>Top 1 barangay PSGC code of the subscriber based on call/voice, SMS and data usages in 1 month</v>
      </c>
      <c r="F679" s="258" t="str">
        <f>IFERROR(__xludf.DUMMYFUNCTION("""COMPUTED_VALUE"""),"Direct Pull")</f>
        <v>Direct Pull</v>
      </c>
      <c r="G679" s="258" t="str">
        <f>IFERROR(__xludf.DUMMYFUNCTION("""COMPUTED_VALUE"""),"varchar(1000)")</f>
        <v>varchar(1000)</v>
      </c>
      <c r="H679" s="258">
        <f>IFERROR(__xludf.DUMMYFUNCTION("""COMPUTED_VALUE"""),1.38E8)</f>
        <v>138000000</v>
      </c>
      <c r="I679" s="258" t="str">
        <f>IFERROR(__xludf.DUMMYFUNCTION("""COMPUTED_VALUE"""),"FVT CRM Hoarding")</f>
        <v>FVT CRM Hoarding</v>
      </c>
      <c r="J679" s="258" t="str">
        <f>IFERROR(__xludf.DUMMYFUNCTION("""COMPUTED_VALUE"""),"Monthly")</f>
        <v>Monthly</v>
      </c>
      <c r="K679" s="258" t="str">
        <f>IFERROR(__xludf.DUMMYFUNCTION("""COMPUTED_VALUE"""),"")</f>
        <v/>
      </c>
      <c r="L679" s="258" t="str">
        <f>IFERROR(__xludf.DUMMYFUNCTION("""COMPUTED_VALUE"""),"GHP, GHP-PREPAID, TM, PW, GOMO, WIRELINE")</f>
        <v>GHP, GHP-PREPAID, TM, PW, GOMO, WIRELINE</v>
      </c>
      <c r="M679" s="258" t="str">
        <f>IFERROR(__xludf.DUMMYFUNCTION("""COMPUTED_VALUE"""),"Consumer, EG, SG, In house, IBG Traveler")</f>
        <v>Consumer, EG, SG, In house, IBG Traveler</v>
      </c>
      <c r="N679" s="258" t="str">
        <f>IFERROR(__xludf.DUMMYFUNCTION("""COMPUTED_VALUE"""),"network")</f>
        <v>network</v>
      </c>
      <c r="O679" s="258" t="str">
        <f>IFERROR(__xludf.DUMMYFUNCTION("""COMPUTED_VALUE"""),"network_profile")</f>
        <v>network_profile</v>
      </c>
      <c r="P679" s="258"/>
    </row>
    <row r="680">
      <c r="A680" s="257" t="str">
        <f>IFERROR(__xludf.DUMMYFUNCTION("""COMPUTED_VALUE"""),"cell_site_name")</f>
        <v>cell_site_name</v>
      </c>
      <c r="B680" s="258" t="str">
        <f>IFERROR(__xludf.DUMMYFUNCTION("""COMPUTED_VALUE"""),"Globe ID")</f>
        <v>Globe ID</v>
      </c>
      <c r="C680" s="258" t="str">
        <f>IFERROR(__xludf.DUMMYFUNCTION("""COMPUTED_VALUE"""),"Non-PII")</f>
        <v>Non-PII</v>
      </c>
      <c r="D680" s="258" t="str">
        <f>IFERROR(__xludf.DUMMYFUNCTION("""COMPUTED_VALUE"""),"Non-PII")</f>
        <v>Non-PII</v>
      </c>
      <c r="E680" s="258" t="str">
        <f>IFERROR(__xludf.DUMMYFUNCTION("""COMPUTED_VALUE"""),"Sitename regardless of the Radio Access Technology (RAT) type commisioned")</f>
        <v>Sitename regardless of the Radio Access Technology (RAT) type commisioned</v>
      </c>
      <c r="F680" s="258" t="str">
        <f>IFERROR(__xludf.DUMMYFUNCTION("""COMPUTED_VALUE"""),"Direct Pull")</f>
        <v>Direct Pull</v>
      </c>
      <c r="G680" s="258" t="str">
        <f>IFERROR(__xludf.DUMMYFUNCTION("""COMPUTED_VALUE"""),"varchar(1000)")</f>
        <v>varchar(1000)</v>
      </c>
      <c r="H680" s="258" t="str">
        <f>IFERROR(__xludf.DUMMYFUNCTION("""COMPUTED_VALUE"""),"SNNICOLAS")</f>
        <v>SNNICOLAS</v>
      </c>
      <c r="I680" s="258" t="str">
        <f>IFERROR(__xludf.DUMMYFUNCTION("""COMPUTED_VALUE"""),"DSP")</f>
        <v>DSP</v>
      </c>
      <c r="J680" s="258" t="str">
        <f>IFERROR(__xludf.DUMMYFUNCTION("""COMPUTED_VALUE"""),"Daily")</f>
        <v>Daily</v>
      </c>
      <c r="K680" s="258" t="str">
        <f>IFERROR(__xludf.DUMMYFUNCTION("""COMPUTED_VALUE"""),"")</f>
        <v/>
      </c>
      <c r="L680" s="258" t="str">
        <f>IFERROR(__xludf.DUMMYFUNCTION("""COMPUTED_VALUE"""),"WIRELINE, BAYAN, GLOBE")</f>
        <v>WIRELINE, BAYAN, GLOBE</v>
      </c>
      <c r="M680" s="258" t="str">
        <f>IFERROR(__xludf.DUMMYFUNCTION("""COMPUTED_VALUE"""),"Consumer, EG, SG")</f>
        <v>Consumer, EG, SG</v>
      </c>
      <c r="N680" s="258" t="str">
        <f>IFERROR(__xludf.DUMMYFUNCTION("""COMPUTED_VALUE"""),"network")</f>
        <v>network</v>
      </c>
      <c r="O680" s="258" t="str">
        <f>IFERROR(__xludf.DUMMYFUNCTION("""COMPUTED_VALUE"""),"network_profile")</f>
        <v>network_profile</v>
      </c>
      <c r="P680" s="258"/>
    </row>
    <row r="681">
      <c r="A681" s="257" t="str">
        <f>IFERROR(__xludf.DUMMYFUNCTION("""COMPUTED_VALUE"""),"network_element_name")</f>
        <v>network_element_name</v>
      </c>
      <c r="B681" s="258" t="str">
        <f>IFERROR(__xludf.DUMMYFUNCTION("""COMPUTED_VALUE"""),"Globe ID")</f>
        <v>Globe ID</v>
      </c>
      <c r="C681" s="258" t="str">
        <f>IFERROR(__xludf.DUMMYFUNCTION("""COMPUTED_VALUE"""),"Non-PII")</f>
        <v>Non-PII</v>
      </c>
      <c r="D681" s="258" t="str">
        <f>IFERROR(__xludf.DUMMYFUNCTION("""COMPUTED_VALUE"""),"Non-PII")</f>
        <v>Non-PII</v>
      </c>
      <c r="E681" s="258" t="str">
        <f>IFERROR(__xludf.DUMMYFUNCTION("""COMPUTED_VALUE"""),"Logically identifies the Radio Access Technology (RAT) type commisioned in the site")</f>
        <v>Logically identifies the Radio Access Technology (RAT) type commisioned in the site</v>
      </c>
      <c r="F681" s="258" t="str">
        <f>IFERROR(__xludf.DUMMYFUNCTION("""COMPUTED_VALUE"""),"Derived")</f>
        <v>Derived</v>
      </c>
      <c r="G681" s="258" t="str">
        <f>IFERROR(__xludf.DUMMYFUNCTION("""COMPUTED_VALUE"""),"varchar(1000)")</f>
        <v>varchar(1000)</v>
      </c>
      <c r="H681" s="258" t="str">
        <f>IFERROR(__xludf.DUMMYFUNCTION("""COMPUTED_VALUE"""),"SNNICOLASFHLKW")</f>
        <v>SNNICOLASFHLKW</v>
      </c>
      <c r="I681" s="258" t="str">
        <f>IFERROR(__xludf.DUMMYFUNCTION("""COMPUTED_VALUE"""),"DSP")</f>
        <v>DSP</v>
      </c>
      <c r="J681" s="258" t="str">
        <f>IFERROR(__xludf.DUMMYFUNCTION("""COMPUTED_VALUE"""),"Daily")</f>
        <v>Daily</v>
      </c>
      <c r="K681" s="258" t="str">
        <f>IFERROR(__xludf.DUMMYFUNCTION("""COMPUTED_VALUE"""),"")</f>
        <v/>
      </c>
      <c r="L681" s="258" t="str">
        <f>IFERROR(__xludf.DUMMYFUNCTION("""COMPUTED_VALUE"""),"WIRELINE, BAYAN, GLOBE")</f>
        <v>WIRELINE, BAYAN, GLOBE</v>
      </c>
      <c r="M681" s="258" t="str">
        <f>IFERROR(__xludf.DUMMYFUNCTION("""COMPUTED_VALUE"""),"Consumer, EG, SG")</f>
        <v>Consumer, EG, SG</v>
      </c>
      <c r="N681" s="258" t="str">
        <f>IFERROR(__xludf.DUMMYFUNCTION("""COMPUTED_VALUE"""),"network")</f>
        <v>network</v>
      </c>
      <c r="O681" s="258" t="str">
        <f>IFERROR(__xludf.DUMMYFUNCTION("""COMPUTED_VALUE"""),"network_profile")</f>
        <v>network_profile</v>
      </c>
      <c r="P681" s="258"/>
    </row>
    <row r="682">
      <c r="A682" s="257" t="str">
        <f>IFERROR(__xludf.DUMMYFUNCTION("""COMPUTED_VALUE"""),"4g_upgrade_indicator")</f>
        <v>4g_upgrade_indicator</v>
      </c>
      <c r="B682" s="258" t="str">
        <f>IFERROR(__xludf.DUMMYFUNCTION("""COMPUTED_VALUE"""),"Behavioral")</f>
        <v>Behavioral</v>
      </c>
      <c r="C682" s="258" t="str">
        <f>IFERROR(__xludf.DUMMYFUNCTION("""COMPUTED_VALUE"""),"Non-PII")</f>
        <v>Non-PII</v>
      </c>
      <c r="D682" s="258" t="str">
        <f>IFERROR(__xludf.DUMMYFUNCTION("""COMPUTED_VALUE"""),"Non-PII")</f>
        <v>Non-PII</v>
      </c>
      <c r="E682" s="258" t="str">
        <f>IFERROR(__xludf.DUMMYFUNCTION("""COMPUTED_VALUE"""),"Indicator if the subscriber SIM card is upgraded to 4G.")</f>
        <v>Indicator if the subscriber SIM card is upgraded to 4G.</v>
      </c>
      <c r="F682" s="258" t="str">
        <f>IFERROR(__xludf.DUMMYFUNCTION("""COMPUTED_VALUE"""),"Derived")</f>
        <v>Derived</v>
      </c>
      <c r="G682" s="258" t="str">
        <f>IFERROR(__xludf.DUMMYFUNCTION("""COMPUTED_VALUE"""),"boolean")</f>
        <v>boolean</v>
      </c>
      <c r="H682" s="258" t="b">
        <f>IFERROR(__xludf.DUMMYFUNCTION("""COMPUTED_VALUE"""),TRUE)</f>
        <v>1</v>
      </c>
      <c r="I682" s="258" t="str">
        <f>IFERROR(__xludf.DUMMYFUNCTION("""COMPUTED_VALUE"""),"CMB")</f>
        <v>CMB</v>
      </c>
      <c r="J682" s="258" t="str">
        <f>IFERROR(__xludf.DUMMYFUNCTION("""COMPUTED_VALUE"""),"Daily")</f>
        <v>Daily</v>
      </c>
      <c r="K682" s="258" t="str">
        <f>IFERROR(__xludf.DUMMYFUNCTION("""COMPUTED_VALUE"""),"")</f>
        <v/>
      </c>
      <c r="L682" s="258" t="str">
        <f>IFERROR(__xludf.DUMMYFUNCTION("""COMPUTED_VALUE"""),"GHP, GHP-PREPAID, TM")</f>
        <v>GHP, GHP-PREPAID, TM</v>
      </c>
      <c r="M682" s="258" t="str">
        <f>IFERROR(__xludf.DUMMYFUNCTION("""COMPUTED_VALUE"""),"Consumer, EG, SG, In house, IBG Traveler")</f>
        <v>Consumer, EG, SG, In house, IBG Traveler</v>
      </c>
      <c r="N682" s="258" t="str">
        <f>IFERROR(__xludf.DUMMYFUNCTION("""COMPUTED_VALUE"""),"customer")</f>
        <v>customer</v>
      </c>
      <c r="O682" s="258" t="str">
        <f>IFERROR(__xludf.DUMMYFUNCTION("""COMPUTED_VALUE"""),"customer_profile")</f>
        <v>customer_profile</v>
      </c>
      <c r="P682" s="258"/>
    </row>
    <row r="683">
      <c r="A683" s="257" t="str">
        <f>IFERROR(__xludf.DUMMYFUNCTION("""COMPUTED_VALUE"""),"4g_upgrade_effectivity_date")</f>
        <v>4g_upgrade_effectivity_date</v>
      </c>
      <c r="B683" s="258" t="str">
        <f>IFERROR(__xludf.DUMMYFUNCTION("""COMPUTED_VALUE"""),"Behavioral")</f>
        <v>Behavioral</v>
      </c>
      <c r="C683" s="258" t="str">
        <f>IFERROR(__xludf.DUMMYFUNCTION("""COMPUTED_VALUE"""),"Non-PII")</f>
        <v>Non-PII</v>
      </c>
      <c r="D683" s="258" t="str">
        <f>IFERROR(__xludf.DUMMYFUNCTION("""COMPUTED_VALUE"""),"Non-PII")</f>
        <v>Non-PII</v>
      </c>
      <c r="E683" s="258" t="str">
        <f>IFERROR(__xludf.DUMMYFUNCTION("""COMPUTED_VALUE"""),"Date as to when the subscriber has upgraded to 4G type of SIM card.")</f>
        <v>Date as to when the subscriber has upgraded to 4G type of SIM card.</v>
      </c>
      <c r="F683" s="258" t="str">
        <f>IFERROR(__xludf.DUMMYFUNCTION("""COMPUTED_VALUE"""),"Derived")</f>
        <v>Derived</v>
      </c>
      <c r="G683" s="258" t="str">
        <f>IFERROR(__xludf.DUMMYFUNCTION("""COMPUTED_VALUE"""),"timestamp")</f>
        <v>timestamp</v>
      </c>
      <c r="H683" s="258">
        <f>IFERROR(__xludf.DUMMYFUNCTION("""COMPUTED_VALUE"""),43705.0)</f>
        <v>43705</v>
      </c>
      <c r="I683" s="258" t="str">
        <f>IFERROR(__xludf.DUMMYFUNCTION("""COMPUTED_VALUE"""),"CMB")</f>
        <v>CMB</v>
      </c>
      <c r="J683" s="258" t="str">
        <f>IFERROR(__xludf.DUMMYFUNCTION("""COMPUTED_VALUE"""),"Daily")</f>
        <v>Daily</v>
      </c>
      <c r="K683" s="258" t="str">
        <f>IFERROR(__xludf.DUMMYFUNCTION("""COMPUTED_VALUE"""),"")</f>
        <v/>
      </c>
      <c r="L683" s="258" t="str">
        <f>IFERROR(__xludf.DUMMYFUNCTION("""COMPUTED_VALUE"""),"GHP, GHP-PREPAID, TM")</f>
        <v>GHP, GHP-PREPAID, TM</v>
      </c>
      <c r="M683" s="258" t="str">
        <f>IFERROR(__xludf.DUMMYFUNCTION("""COMPUTED_VALUE"""),"Consumer, EG, SG, In house, IBG Traveler")</f>
        <v>Consumer, EG, SG, In house, IBG Traveler</v>
      </c>
      <c r="N683" s="258" t="str">
        <f>IFERROR(__xludf.DUMMYFUNCTION("""COMPUTED_VALUE"""),"customer")</f>
        <v>customer</v>
      </c>
      <c r="O683" s="258" t="str">
        <f>IFERROR(__xludf.DUMMYFUNCTION("""COMPUTED_VALUE"""),"customer_profile")</f>
        <v>customer_profile</v>
      </c>
      <c r="P683" s="258"/>
    </row>
    <row r="684">
      <c r="A684" s="257" t="str">
        <f>IFERROR(__xludf.DUMMYFUNCTION("""COMPUTED_VALUE"""),"availment_no_poc_count_past_90days")</f>
        <v>availment_no_poc_count_past_90days</v>
      </c>
      <c r="B684" s="258" t="str">
        <f>IFERROR(__xludf.DUMMYFUNCTION("""COMPUTED_VALUE"""),"Behavioral")</f>
        <v>Behavioral</v>
      </c>
      <c r="C684" s="258" t="str">
        <f>IFERROR(__xludf.DUMMYFUNCTION("""COMPUTED_VALUE"""),"Non-PII")</f>
        <v>Non-PII</v>
      </c>
      <c r="D684" s="258" t="str">
        <f>IFERROR(__xludf.DUMMYFUNCTION("""COMPUTED_VALUE"""),"Non-PII")</f>
        <v>Non-PII</v>
      </c>
      <c r="E684" s="258" t="str">
        <f>IFERROR(__xludf.DUMMYFUNCTION("""COMPUTED_VALUE"""),"Total promo transactions with Gyro transactions for the last 90 days excluding POC promos")</f>
        <v>Total promo transactions with Gyro transactions for the last 90 days excluding POC promos</v>
      </c>
      <c r="F684" s="258" t="str">
        <f>IFERROR(__xludf.DUMMYFUNCTION("""COMPUTED_VALUE"""),"Derived")</f>
        <v>Derived</v>
      </c>
      <c r="G684" s="258" t="str">
        <f>IFERROR(__xludf.DUMMYFUNCTION("""COMPUTED_VALUE"""),"integer")</f>
        <v>integer</v>
      </c>
      <c r="H684" s="258">
        <f>IFERROR(__xludf.DUMMYFUNCTION("""COMPUTED_VALUE"""),5.0)</f>
        <v>5</v>
      </c>
      <c r="I684" s="258" t="str">
        <f>IFERROR(__xludf.DUMMYFUNCTION("""COMPUTED_VALUE"""),"FVT")</f>
        <v>FVT</v>
      </c>
      <c r="J684" s="258" t="str">
        <f>IFERROR(__xludf.DUMMYFUNCTION("""COMPUTED_VALUE"""),"Daily")</f>
        <v>Daily</v>
      </c>
      <c r="K684" s="258" t="str">
        <f>IFERROR(__xludf.DUMMYFUNCTION("""COMPUTED_VALUE"""),"")</f>
        <v/>
      </c>
      <c r="L684" s="258" t="str">
        <f>IFERROR(__xludf.DUMMYFUNCTION("""COMPUTED_VALUE"""),"GHP-PREPAID, TM, PW")</f>
        <v>GHP-PREPAID, TM, PW</v>
      </c>
      <c r="M684" s="258" t="str">
        <f>IFERROR(__xludf.DUMMYFUNCTION("""COMPUTED_VALUE"""),"Consumer, EG, SG, IBG Traveler")</f>
        <v>Consumer, EG, SG, IBG Traveler</v>
      </c>
      <c r="N684" s="258" t="str">
        <f>IFERROR(__xludf.DUMMYFUNCTION("""COMPUTED_VALUE"""),"availment")</f>
        <v>availment</v>
      </c>
      <c r="O684" s="258" t="str">
        <f>IFERROR(__xludf.DUMMYFUNCTION("""COMPUTED_VALUE"""),"availment_profile")</f>
        <v>availment_profile</v>
      </c>
      <c r="P684" s="258"/>
    </row>
    <row r="685">
      <c r="A685" s="257" t="str">
        <f>IFERROR(__xludf.DUMMYFUNCTION("""COMPUTED_VALUE"""),"availment_no_poc_total_promo_amount_90days")</f>
        <v>availment_no_poc_total_promo_amount_90days</v>
      </c>
      <c r="B685" s="258" t="str">
        <f>IFERROR(__xludf.DUMMYFUNCTION("""COMPUTED_VALUE"""),"Behavioral")</f>
        <v>Behavioral</v>
      </c>
      <c r="C685" s="258" t="str">
        <f>IFERROR(__xludf.DUMMYFUNCTION("""COMPUTED_VALUE"""),"Non-PII")</f>
        <v>Non-PII</v>
      </c>
      <c r="D685" s="258" t="str">
        <f>IFERROR(__xludf.DUMMYFUNCTION("""COMPUTED_VALUE"""),"Non-PII")</f>
        <v>Non-PII</v>
      </c>
      <c r="E685" s="258" t="str">
        <f>IFERROR(__xludf.DUMMYFUNCTION("""COMPUTED_VALUE"""),"Total promo amount with Gyro transactions for the last 90 days excluding POC promos")</f>
        <v>Total promo amount with Gyro transactions for the last 90 days excluding POC promos</v>
      </c>
      <c r="F685" s="258" t="str">
        <f>IFERROR(__xludf.DUMMYFUNCTION("""COMPUTED_VALUE"""),"Derived")</f>
        <v>Derived</v>
      </c>
      <c r="G685" s="258" t="str">
        <f>IFERROR(__xludf.DUMMYFUNCTION("""COMPUTED_VALUE"""),"numeric(21,2)")</f>
        <v>numeric(21,2)</v>
      </c>
      <c r="H685" s="258">
        <f>IFERROR(__xludf.DUMMYFUNCTION("""COMPUTED_VALUE"""),500.0)</f>
        <v>500</v>
      </c>
      <c r="I685" s="258" t="str">
        <f>IFERROR(__xludf.DUMMYFUNCTION("""COMPUTED_VALUE"""),"FVT")</f>
        <v>FVT</v>
      </c>
      <c r="J685" s="258" t="str">
        <f>IFERROR(__xludf.DUMMYFUNCTION("""COMPUTED_VALUE"""),"Daily")</f>
        <v>Daily</v>
      </c>
      <c r="K685" s="258" t="str">
        <f>IFERROR(__xludf.DUMMYFUNCTION("""COMPUTED_VALUE"""),"")</f>
        <v/>
      </c>
      <c r="L685" s="258" t="str">
        <f>IFERROR(__xludf.DUMMYFUNCTION("""COMPUTED_VALUE"""),"GHP-PREPAID, TM, PW")</f>
        <v>GHP-PREPAID, TM, PW</v>
      </c>
      <c r="M685" s="258" t="str">
        <f>IFERROR(__xludf.DUMMYFUNCTION("""COMPUTED_VALUE"""),"Consumer, EG, SG, IBG Traveler")</f>
        <v>Consumer, EG, SG, IBG Traveler</v>
      </c>
      <c r="N685" s="258" t="str">
        <f>IFERROR(__xludf.DUMMYFUNCTION("""COMPUTED_VALUE"""),"availment")</f>
        <v>availment</v>
      </c>
      <c r="O685" s="258" t="str">
        <f>IFERROR(__xludf.DUMMYFUNCTION("""COMPUTED_VALUE"""),"availment_profile")</f>
        <v>availment_profile</v>
      </c>
      <c r="P685" s="258"/>
    </row>
    <row r="686">
      <c r="A686" s="257" t="str">
        <f>IFERROR(__xludf.DUMMYFUNCTION("""COMPUTED_VALUE"""),"job_hunter_indicator")</f>
        <v>job_hunter_indicator</v>
      </c>
      <c r="B686" s="258" t="str">
        <f>IFERROR(__xludf.DUMMYFUNCTION("""COMPUTED_VALUE"""),"Audience/Persona")</f>
        <v>Audience/Persona</v>
      </c>
      <c r="C686" s="258" t="str">
        <f>IFERROR(__xludf.DUMMYFUNCTION("""COMPUTED_VALUE"""),"Non-PII")</f>
        <v>Non-PII</v>
      </c>
      <c r="D686" s="258" t="str">
        <f>IFERROR(__xludf.DUMMYFUNCTION("""COMPUTED_VALUE"""),"Non-PII")</f>
        <v>Non-PII</v>
      </c>
      <c r="E686" s="258" t="str">
        <f>IFERROR(__xludf.DUMMYFUNCTION("""COMPUTED_VALUE"""),"Indicator if a subscriber visits employment websites or applications like jobstreet, kalibrr, monster
 For wireline subscribers, only subscriptions within Metro Manila (including some areas in Rizal) and with DSL, VDSL and GPON technology value are cove"&amp;"red.")</f>
        <v>Indicator if a subscriber visits employment websites or applications like jobstreet, kalibrr, monster
 For wireline subscribers, only subscriptions within Metro Manila (including some areas in Rizal) and with DSL, VDSL and GPON technology value are covered.</v>
      </c>
      <c r="F686" s="258" t="str">
        <f>IFERROR(__xludf.DUMMYFUNCTION("""COMPUTED_VALUE"""),"Derived")</f>
        <v>Derived</v>
      </c>
      <c r="G686" s="258" t="str">
        <f>IFERROR(__xludf.DUMMYFUNCTION("""COMPUTED_VALUE"""),"boolean")</f>
        <v>boolean</v>
      </c>
      <c r="H686" s="258" t="b">
        <f>IFERROR(__xludf.DUMMYFUNCTION("""COMPUTED_VALUE"""),TRUE)</f>
        <v>1</v>
      </c>
      <c r="I686" s="258" t="str">
        <f>IFERROR(__xludf.DUMMYFUNCTION("""COMPUTED_VALUE"""),"EDO-UUP")</f>
        <v>EDO-UUP</v>
      </c>
      <c r="J686" s="258" t="str">
        <f>IFERROR(__xludf.DUMMYFUNCTION("""COMPUTED_VALUE"""),"Monthly")</f>
        <v>Monthly</v>
      </c>
      <c r="K686" s="258" t="str">
        <f>IFERROR(__xludf.DUMMYFUNCTION("""COMPUTED_VALUE"""),"")</f>
        <v/>
      </c>
      <c r="L686" s="258" t="str">
        <f>IFERROR(__xludf.DUMMYFUNCTION("""COMPUTED_VALUE"""),"GHP, GHP-PREPAID, TM, PW, GOMO, WIRELINE, BAYAN, GLOBE")</f>
        <v>GHP, GHP-PREPAID, TM, PW, GOMO, WIRELINE, BAYAN, GLOBE</v>
      </c>
      <c r="M686" s="258" t="str">
        <f>IFERROR(__xludf.DUMMYFUNCTION("""COMPUTED_VALUE"""),"Consumer, EG, SG, In house, IBG Traveler")</f>
        <v>Consumer, EG, SG, In house, IBG Traveler</v>
      </c>
      <c r="N686" s="258" t="str">
        <f>IFERROR(__xludf.DUMMYFUNCTION("""COMPUTED_VALUE"""),"interest")</f>
        <v>interest</v>
      </c>
      <c r="O686" s="258" t="str">
        <f>IFERROR(__xludf.DUMMYFUNCTION("""COMPUTED_VALUE"""),"network_profile")</f>
        <v>network_profile</v>
      </c>
      <c r="P686" s="258"/>
    </row>
    <row r="687">
      <c r="A687" s="257" t="str">
        <f>IFERROR(__xludf.DUMMYFUNCTION("""COMPUTED_VALUE"""),"job_hunter_bucket")</f>
        <v>job_hunter_bucket</v>
      </c>
      <c r="B687" s="258" t="str">
        <f>IFERROR(__xludf.DUMMYFUNCTION("""COMPUTED_VALUE"""),"Audience/Persona")</f>
        <v>Audience/Persona</v>
      </c>
      <c r="C687" s="258" t="str">
        <f>IFERROR(__xludf.DUMMYFUNCTION("""COMPUTED_VALUE"""),"Non-PII")</f>
        <v>Non-PII</v>
      </c>
      <c r="D687" s="258" t="str">
        <f>IFERROR(__xludf.DUMMYFUNCTION("""COMPUTED_VALUE"""),"Non-PII")</f>
        <v>Non-PII</v>
      </c>
      <c r="E687" s="258" t="str">
        <f>IFERROR(__xludf.DUMMYFUNCTION("""COMPUTED_VALUE"""),"Bucketing based on identified metric
 Metric: Total Hits in a Month
 Valid values:
 LOW: = 1 hits
 MID: &gt;= 2 hits &amp; &lt;=5
 HIGH: &gt;5 hits
 For wireline subscribers, only subscriptions within Metro Manila (including some areas in Rizal) and with DSL, VDSL a"&amp;"nd GPON technology value are covered.")</f>
        <v>Bucketing based on identified metric
 Metric: Total Hits in a Month
 Valid values:
 LOW: = 1 hits
 MID: &gt;= 2 hits &amp; &lt;=5
 HIGH: &gt;5 hits
 For wireline subscribers, only subscriptions within Metro Manila (including some areas in Rizal) and with DSL, VDSL and GPON technology value are covered.</v>
      </c>
      <c r="F687" s="258" t="str">
        <f>IFERROR(__xludf.DUMMYFUNCTION("""COMPUTED_VALUE"""),"Direct Pull")</f>
        <v>Direct Pull</v>
      </c>
      <c r="G687" s="258" t="str">
        <f>IFERROR(__xludf.DUMMYFUNCTION("""COMPUTED_VALUE"""),"varchar(1000)")</f>
        <v>varchar(1000)</v>
      </c>
      <c r="H687" s="258" t="str">
        <f>IFERROR(__xludf.DUMMYFUNCTION("""COMPUTED_VALUE"""),"HIGH")</f>
        <v>HIGH</v>
      </c>
      <c r="I687" s="258" t="str">
        <f>IFERROR(__xludf.DUMMYFUNCTION("""COMPUTED_VALUE"""),"EDO-UUP")</f>
        <v>EDO-UUP</v>
      </c>
      <c r="J687" s="258" t="str">
        <f>IFERROR(__xludf.DUMMYFUNCTION("""COMPUTED_VALUE"""),"Monthly")</f>
        <v>Monthly</v>
      </c>
      <c r="K687" s="258" t="str">
        <f>IFERROR(__xludf.DUMMYFUNCTION("""COMPUTED_VALUE"""),"")</f>
        <v/>
      </c>
      <c r="L687" s="258" t="str">
        <f>IFERROR(__xludf.DUMMYFUNCTION("""COMPUTED_VALUE"""),"GHP, GHP-PREPAID, TM, PW, GOMO, WIRELINE, BAYAN, GLOBE")</f>
        <v>GHP, GHP-PREPAID, TM, PW, GOMO, WIRELINE, BAYAN, GLOBE</v>
      </c>
      <c r="M687" s="258" t="str">
        <f>IFERROR(__xludf.DUMMYFUNCTION("""COMPUTED_VALUE"""),"Consumer, EG, SG, In house, IBG Traveler")</f>
        <v>Consumer, EG, SG, In house, IBG Traveler</v>
      </c>
      <c r="N687" s="258" t="str">
        <f>IFERROR(__xludf.DUMMYFUNCTION("""COMPUTED_VALUE"""),"interest")</f>
        <v>interest</v>
      </c>
      <c r="O687" s="258" t="str">
        <f>IFERROR(__xludf.DUMMYFUNCTION("""COMPUTED_VALUE"""),"network_profile")</f>
        <v>network_profile</v>
      </c>
      <c r="P687" s="258"/>
    </row>
    <row r="688">
      <c r="A688" s="257" t="str">
        <f>IFERROR(__xludf.DUMMYFUNCTION("""COMPUTED_VALUE"""),"job_hunter_details")</f>
        <v>job_hunter_details</v>
      </c>
      <c r="B688" s="258" t="str">
        <f>IFERROR(__xludf.DUMMYFUNCTION("""COMPUTED_VALUE"""),"Audience/Persona")</f>
        <v>Audience/Persona</v>
      </c>
      <c r="C688" s="258" t="str">
        <f>IFERROR(__xludf.DUMMYFUNCTION("""COMPUTED_VALUE"""),"Non-PII")</f>
        <v>Non-PII</v>
      </c>
      <c r="D688" s="258" t="str">
        <f>IFERROR(__xludf.DUMMYFUNCTION("""COMPUTED_VALUE"""),"Non-PII")</f>
        <v>Non-PII</v>
      </c>
      <c r="E688" s="258" t="str">
        <f>IFERROR(__xludf.DUMMYFUNCTION("""COMPUTED_VALUE"""),"Metric used and value for Job Hunter profile
 For wireline subscribers, only subscriptions within Metro Manila (including some areas in Rizal) and with DSL, VDSL and GPON technology value are covered.")</f>
        <v>Metric used and value for Job Hunter profile
 For wireline subscribers, only subscriptions within Metro Manila (including some areas in Rizal) and with DSL, VDSL and GPON technology value are covered.</v>
      </c>
      <c r="F688" s="258" t="str">
        <f>IFERROR(__xludf.DUMMYFUNCTION("""COMPUTED_VALUE"""),"Derived")</f>
        <v>Derived</v>
      </c>
      <c r="G688" s="258" t="str">
        <f>IFERROR(__xludf.DUMMYFUNCTION("""COMPUTED_VALUE"""),"varchar(1000)")</f>
        <v>varchar(1000)</v>
      </c>
      <c r="H688" s="258" t="str">
        <f>IFERROR(__xludf.DUMMYFUNCTION("""COMPUTED_VALUE"""),"{""Total Hits in a Month"": 78}")</f>
        <v>{"Total Hits in a Month": 78}</v>
      </c>
      <c r="I688" s="258" t="str">
        <f>IFERROR(__xludf.DUMMYFUNCTION("""COMPUTED_VALUE"""),"EDO-UUP")</f>
        <v>EDO-UUP</v>
      </c>
      <c r="J688" s="258" t="str">
        <f>IFERROR(__xludf.DUMMYFUNCTION("""COMPUTED_VALUE"""),"Monthly")</f>
        <v>Monthly</v>
      </c>
      <c r="K688" s="258" t="str">
        <f>IFERROR(__xludf.DUMMYFUNCTION("""COMPUTED_VALUE"""),"")</f>
        <v/>
      </c>
      <c r="L688" s="258" t="str">
        <f>IFERROR(__xludf.DUMMYFUNCTION("""COMPUTED_VALUE"""),"GHP, GHP-PREPAID, TM, PW, GOMO, WIRELINE, BAYAN, GLOBE")</f>
        <v>GHP, GHP-PREPAID, TM, PW, GOMO, WIRELINE, BAYAN, GLOBE</v>
      </c>
      <c r="M688" s="258" t="str">
        <f>IFERROR(__xludf.DUMMYFUNCTION("""COMPUTED_VALUE"""),"Consumer, EG, SG, In house, IBG Traveler")</f>
        <v>Consumer, EG, SG, In house, IBG Traveler</v>
      </c>
      <c r="N688" s="258" t="str">
        <f>IFERROR(__xludf.DUMMYFUNCTION("""COMPUTED_VALUE"""),"interest")</f>
        <v>interest</v>
      </c>
      <c r="O688" s="258" t="str">
        <f>IFERROR(__xludf.DUMMYFUNCTION("""COMPUTED_VALUE"""),"network_profile")</f>
        <v>network_profile</v>
      </c>
      <c r="P688" s="258"/>
    </row>
    <row r="689">
      <c r="A689" s="257" t="str">
        <f>IFERROR(__xludf.DUMMYFUNCTION("""COMPUTED_VALUE"""),"job_hunter_top_apps")</f>
        <v>job_hunter_top_apps</v>
      </c>
      <c r="B689" s="258" t="str">
        <f>IFERROR(__xludf.DUMMYFUNCTION("""COMPUTED_VALUE"""),"Audience/Persona")</f>
        <v>Audience/Persona</v>
      </c>
      <c r="C689" s="258" t="str">
        <f>IFERROR(__xludf.DUMMYFUNCTION("""COMPUTED_VALUE"""),"Non-PII")</f>
        <v>Non-PII</v>
      </c>
      <c r="D689" s="258" t="str">
        <f>IFERROR(__xludf.DUMMYFUNCTION("""COMPUTED_VALUE"""),"Non-PII")</f>
        <v>Non-PII</v>
      </c>
      <c r="E689" s="258" t="str">
        <f>IFERROR(__xludf.DUMMYFUNCTION("""COMPUTED_VALUE"""),"Top 1 app/site by data burn and hits categorized under the Job Hunter profile
 For wireline subscribers, only subscriptions within Metro Manila (including some areas in Rizal) and with DSL, VDSL and GPON technology value are covered.")</f>
        <v>Top 1 app/site by data burn and hits categorized under the Job Hunter profile
 For wireline subscribers, only subscriptions within Metro Manila (including some areas in Rizal) and with DSL, VDSL and GPON technology value are covered.</v>
      </c>
      <c r="F689" s="258" t="str">
        <f>IFERROR(__xludf.DUMMYFUNCTION("""COMPUTED_VALUE"""),"Derived")</f>
        <v>Derived</v>
      </c>
      <c r="G689" s="258" t="str">
        <f>IFERROR(__xludf.DUMMYFUNCTION("""COMPUTED_VALUE"""),"varchar(1000)")</f>
        <v>varchar(1000)</v>
      </c>
      <c r="H689" s="258" t="str">
        <f>IFERROR(__xludf.DUMMYFUNCTION("""COMPUTED_VALUE"""),"jobstreet")</f>
        <v>jobstreet</v>
      </c>
      <c r="I689" s="258" t="str">
        <f>IFERROR(__xludf.DUMMYFUNCTION("""COMPUTED_VALUE"""),"EDO-UUP")</f>
        <v>EDO-UUP</v>
      </c>
      <c r="J689" s="258" t="str">
        <f>IFERROR(__xludf.DUMMYFUNCTION("""COMPUTED_VALUE"""),"Monthly")</f>
        <v>Monthly</v>
      </c>
      <c r="K689" s="258" t="str">
        <f>IFERROR(__xludf.DUMMYFUNCTION("""COMPUTED_VALUE"""),"")</f>
        <v/>
      </c>
      <c r="L689" s="258" t="str">
        <f>IFERROR(__xludf.DUMMYFUNCTION("""COMPUTED_VALUE"""),"GHP, GHP-PREPAID, TM, PW, GOMO, WIRELINE, BAYAN, GLOBE")</f>
        <v>GHP, GHP-PREPAID, TM, PW, GOMO, WIRELINE, BAYAN, GLOBE</v>
      </c>
      <c r="M689" s="258" t="str">
        <f>IFERROR(__xludf.DUMMYFUNCTION("""COMPUTED_VALUE"""),"Consumer, EG, SG, In house, IBG Traveler")</f>
        <v>Consumer, EG, SG, In house, IBG Traveler</v>
      </c>
      <c r="N689" s="258" t="str">
        <f>IFERROR(__xludf.DUMMYFUNCTION("""COMPUTED_VALUE"""),"interest")</f>
        <v>interest</v>
      </c>
      <c r="O689" s="258" t="str">
        <f>IFERROR(__xludf.DUMMYFUNCTION("""COMPUTED_VALUE"""),"network_profile")</f>
        <v>network_profile</v>
      </c>
      <c r="P689" s="258"/>
    </row>
    <row r="690">
      <c r="A690" s="257" t="str">
        <f>IFERROR(__xludf.DUMMYFUNCTION("""COMPUTED_VALUE"""),"avg_daily_dl_speed_3g_90days")</f>
        <v>avg_daily_dl_speed_3g_90days</v>
      </c>
      <c r="B690" s="258" t="str">
        <f>IFERROR(__xludf.DUMMYFUNCTION("""COMPUTED_VALUE"""),"Behavioral")</f>
        <v>Behavioral</v>
      </c>
      <c r="C690" s="258" t="str">
        <f>IFERROR(__xludf.DUMMYFUNCTION("""COMPUTED_VALUE"""),"Non-PII")</f>
        <v>Non-PII</v>
      </c>
      <c r="D690" s="258" t="str">
        <f>IFERROR(__xludf.DUMMYFUNCTION("""COMPUTED_VALUE"""),"Non-PII")</f>
        <v>Non-PII</v>
      </c>
      <c r="E690" s="258" t="str">
        <f>IFERROR(__xludf.DUMMYFUNCTION("""COMPUTED_VALUE"""),"Average maximum daily 3G speed (bytes per second) for the last 90 days")</f>
        <v>Average maximum daily 3G speed (bytes per second) for the last 90 days</v>
      </c>
      <c r="F690" s="258" t="str">
        <f>IFERROR(__xludf.DUMMYFUNCTION("""COMPUTED_VALUE"""),"Derived")</f>
        <v>Derived</v>
      </c>
      <c r="G690" s="258" t="str">
        <f>IFERROR(__xludf.DUMMYFUNCTION("""COMPUTED_VALUE"""),"numeric(21,2)")</f>
        <v>numeric(21,2)</v>
      </c>
      <c r="H690" s="258">
        <f>IFERROR(__xludf.DUMMYFUNCTION("""COMPUTED_VALUE"""),0.17)</f>
        <v>0.17</v>
      </c>
      <c r="I690" s="258" t="str">
        <f>IFERROR(__xludf.DUMMYFUNCTION("""COMPUTED_VALUE"""),"FVT")</f>
        <v>FVT</v>
      </c>
      <c r="J690" s="258" t="str">
        <f>IFERROR(__xludf.DUMMYFUNCTION("""COMPUTED_VALUE"""),"Daily")</f>
        <v>Daily</v>
      </c>
      <c r="K690" s="258" t="str">
        <f>IFERROR(__xludf.DUMMYFUNCTION("""COMPUTED_VALUE"""),"")</f>
        <v/>
      </c>
      <c r="L690" s="258" t="str">
        <f>IFERROR(__xludf.DUMMYFUNCTION("""COMPUTED_VALUE"""),"GHP, GHP-PREPAID, TM, PW, GOMO")</f>
        <v>GHP, GHP-PREPAID, TM, PW, GOMO</v>
      </c>
      <c r="M690" s="258" t="str">
        <f>IFERROR(__xludf.DUMMYFUNCTION("""COMPUTED_VALUE"""),"Consumer, EG, SG, In house, IBG Traveler")</f>
        <v>Consumer, EG, SG, In house, IBG Traveler</v>
      </c>
      <c r="N690" s="258" t="str">
        <f>IFERROR(__xludf.DUMMYFUNCTION("""COMPUTED_VALUE"""),"usage")</f>
        <v>usage</v>
      </c>
      <c r="O690" s="258" t="str">
        <f>IFERROR(__xludf.DUMMYFUNCTION("""COMPUTED_VALUE"""),"usage_profile")</f>
        <v>usage_profile</v>
      </c>
      <c r="P690" s="258"/>
    </row>
    <row r="691">
      <c r="A691" s="257" t="str">
        <f>IFERROR(__xludf.DUMMYFUNCTION("""COMPUTED_VALUE"""),"avg_daily_dl_speed_lte_90days")</f>
        <v>avg_daily_dl_speed_lte_90days</v>
      </c>
      <c r="B691" s="258" t="str">
        <f>IFERROR(__xludf.DUMMYFUNCTION("""COMPUTED_VALUE"""),"Behavioral")</f>
        <v>Behavioral</v>
      </c>
      <c r="C691" s="258" t="str">
        <f>IFERROR(__xludf.DUMMYFUNCTION("""COMPUTED_VALUE"""),"Non-PII")</f>
        <v>Non-PII</v>
      </c>
      <c r="D691" s="258" t="str">
        <f>IFERROR(__xludf.DUMMYFUNCTION("""COMPUTED_VALUE"""),"Non-PII")</f>
        <v>Non-PII</v>
      </c>
      <c r="E691" s="258" t="str">
        <f>IFERROR(__xludf.DUMMYFUNCTION("""COMPUTED_VALUE"""),"Average maximum daily LTE speed (bytes per second) for the last 90 days")</f>
        <v>Average maximum daily LTE speed (bytes per second) for the last 90 days</v>
      </c>
      <c r="F691" s="258" t="str">
        <f>IFERROR(__xludf.DUMMYFUNCTION("""COMPUTED_VALUE"""),"Derived")</f>
        <v>Derived</v>
      </c>
      <c r="G691" s="258" t="str">
        <f>IFERROR(__xludf.DUMMYFUNCTION("""COMPUTED_VALUE"""),"numeric(21,2)")</f>
        <v>numeric(21,2)</v>
      </c>
      <c r="H691" s="258">
        <f>IFERROR(__xludf.DUMMYFUNCTION("""COMPUTED_VALUE"""),0.13)</f>
        <v>0.13</v>
      </c>
      <c r="I691" s="258" t="str">
        <f>IFERROR(__xludf.DUMMYFUNCTION("""COMPUTED_VALUE"""),"FVT")</f>
        <v>FVT</v>
      </c>
      <c r="J691" s="258" t="str">
        <f>IFERROR(__xludf.DUMMYFUNCTION("""COMPUTED_VALUE"""),"Daily")</f>
        <v>Daily</v>
      </c>
      <c r="K691" s="258" t="str">
        <f>IFERROR(__xludf.DUMMYFUNCTION("""COMPUTED_VALUE"""),"")</f>
        <v/>
      </c>
      <c r="L691" s="258" t="str">
        <f>IFERROR(__xludf.DUMMYFUNCTION("""COMPUTED_VALUE"""),"GHP, GHP-PREPAID, TM, PW, GOMO")</f>
        <v>GHP, GHP-PREPAID, TM, PW, GOMO</v>
      </c>
      <c r="M691" s="258" t="str">
        <f>IFERROR(__xludf.DUMMYFUNCTION("""COMPUTED_VALUE"""),"Consumer, EG, SG, In house, IBG Traveler")</f>
        <v>Consumer, EG, SG, In house, IBG Traveler</v>
      </c>
      <c r="N691" s="258" t="str">
        <f>IFERROR(__xludf.DUMMYFUNCTION("""COMPUTED_VALUE"""),"usage")</f>
        <v>usage</v>
      </c>
      <c r="O691" s="258" t="str">
        <f>IFERROR(__xludf.DUMMYFUNCTION("""COMPUTED_VALUE"""),"usage_profile")</f>
        <v>usage_profile</v>
      </c>
      <c r="P691" s="258"/>
    </row>
    <row r="692">
      <c r="A692" s="257" t="str">
        <f>IFERROR(__xludf.DUMMYFUNCTION("""COMPUTED_VALUE"""),"avg_daily_latency_speed_3g_90days")</f>
        <v>avg_daily_latency_speed_3g_90days</v>
      </c>
      <c r="B692" s="258" t="str">
        <f>IFERROR(__xludf.DUMMYFUNCTION("""COMPUTED_VALUE"""),"Behavioral")</f>
        <v>Behavioral</v>
      </c>
      <c r="C692" s="258" t="str">
        <f>IFERROR(__xludf.DUMMYFUNCTION("""COMPUTED_VALUE"""),"Non-PII")</f>
        <v>Non-PII</v>
      </c>
      <c r="D692" s="258" t="str">
        <f>IFERROR(__xludf.DUMMYFUNCTION("""COMPUTED_VALUE"""),"Non-PII")</f>
        <v>Non-PII</v>
      </c>
      <c r="E692" s="258" t="str">
        <f>IFERROR(__xludf.DUMMYFUNCTION("""COMPUTED_VALUE"""),"Average maximum daily 3G type latency (in second) for the last 90 days")</f>
        <v>Average maximum daily 3G type latency (in second) for the last 90 days</v>
      </c>
      <c r="F692" s="258" t="str">
        <f>IFERROR(__xludf.DUMMYFUNCTION("""COMPUTED_VALUE"""),"Derived")</f>
        <v>Derived</v>
      </c>
      <c r="G692" s="258" t="str">
        <f>IFERROR(__xludf.DUMMYFUNCTION("""COMPUTED_VALUE"""),"numeric(21,2)")</f>
        <v>numeric(21,2)</v>
      </c>
      <c r="H692" s="258">
        <f>IFERROR(__xludf.DUMMYFUNCTION("""COMPUTED_VALUE"""),83.36)</f>
        <v>83.36</v>
      </c>
      <c r="I692" s="258" t="str">
        <f>IFERROR(__xludf.DUMMYFUNCTION("""COMPUTED_VALUE"""),"FVT")</f>
        <v>FVT</v>
      </c>
      <c r="J692" s="258" t="str">
        <f>IFERROR(__xludf.DUMMYFUNCTION("""COMPUTED_VALUE"""),"Daily")</f>
        <v>Daily</v>
      </c>
      <c r="K692" s="258" t="str">
        <f>IFERROR(__xludf.DUMMYFUNCTION("""COMPUTED_VALUE"""),"")</f>
        <v/>
      </c>
      <c r="L692" s="258" t="str">
        <f>IFERROR(__xludf.DUMMYFUNCTION("""COMPUTED_VALUE"""),"GHP, GHP-PREPAID, TM, PW, GOMO")</f>
        <v>GHP, GHP-PREPAID, TM, PW, GOMO</v>
      </c>
      <c r="M692" s="258" t="str">
        <f>IFERROR(__xludf.DUMMYFUNCTION("""COMPUTED_VALUE"""),"Consumer, EG, SG, In house, IBG Traveler")</f>
        <v>Consumer, EG, SG, In house, IBG Traveler</v>
      </c>
      <c r="N692" s="258" t="str">
        <f>IFERROR(__xludf.DUMMYFUNCTION("""COMPUTED_VALUE"""),"usage")</f>
        <v>usage</v>
      </c>
      <c r="O692" s="258" t="str">
        <f>IFERROR(__xludf.DUMMYFUNCTION("""COMPUTED_VALUE"""),"usage_profile")</f>
        <v>usage_profile</v>
      </c>
      <c r="P692" s="258"/>
    </row>
    <row r="693">
      <c r="A693" s="257" t="str">
        <f>IFERROR(__xludf.DUMMYFUNCTION("""COMPUTED_VALUE"""),"avg_daily_latency_speed_lte_90days")</f>
        <v>avg_daily_latency_speed_lte_90days</v>
      </c>
      <c r="B693" s="258" t="str">
        <f>IFERROR(__xludf.DUMMYFUNCTION("""COMPUTED_VALUE"""),"Behavioral")</f>
        <v>Behavioral</v>
      </c>
      <c r="C693" s="258" t="str">
        <f>IFERROR(__xludf.DUMMYFUNCTION("""COMPUTED_VALUE"""),"Non-PII")</f>
        <v>Non-PII</v>
      </c>
      <c r="D693" s="258" t="str">
        <f>IFERROR(__xludf.DUMMYFUNCTION("""COMPUTED_VALUE"""),"Non-PII")</f>
        <v>Non-PII</v>
      </c>
      <c r="E693" s="258" t="str">
        <f>IFERROR(__xludf.DUMMYFUNCTION("""COMPUTED_VALUE"""),"Average maximum daily LTE type latency (in second) for the last 90 days")</f>
        <v>Average maximum daily LTE type latency (in second) for the last 90 days</v>
      </c>
      <c r="F693" s="258" t="str">
        <f>IFERROR(__xludf.DUMMYFUNCTION("""COMPUTED_VALUE"""),"Derived")</f>
        <v>Derived</v>
      </c>
      <c r="G693" s="258" t="str">
        <f>IFERROR(__xludf.DUMMYFUNCTION("""COMPUTED_VALUE"""),"numeric(21,2)")</f>
        <v>numeric(21,2)</v>
      </c>
      <c r="H693" s="258">
        <f>IFERROR(__xludf.DUMMYFUNCTION("""COMPUTED_VALUE"""),23.61)</f>
        <v>23.61</v>
      </c>
      <c r="I693" s="258" t="str">
        <f>IFERROR(__xludf.DUMMYFUNCTION("""COMPUTED_VALUE"""),"FVT")</f>
        <v>FVT</v>
      </c>
      <c r="J693" s="258" t="str">
        <f>IFERROR(__xludf.DUMMYFUNCTION("""COMPUTED_VALUE"""),"Daily")</f>
        <v>Daily</v>
      </c>
      <c r="K693" s="258" t="str">
        <f>IFERROR(__xludf.DUMMYFUNCTION("""COMPUTED_VALUE"""),"")</f>
        <v/>
      </c>
      <c r="L693" s="258" t="str">
        <f>IFERROR(__xludf.DUMMYFUNCTION("""COMPUTED_VALUE"""),"GHP, GHP-PREPAID, TM, PW, GOMO")</f>
        <v>GHP, GHP-PREPAID, TM, PW, GOMO</v>
      </c>
      <c r="M693" s="258" t="str">
        <f>IFERROR(__xludf.DUMMYFUNCTION("""COMPUTED_VALUE"""),"Consumer, EG, SG, In house, IBG Traveler")</f>
        <v>Consumer, EG, SG, In house, IBG Traveler</v>
      </c>
      <c r="N693" s="258" t="str">
        <f>IFERROR(__xludf.DUMMYFUNCTION("""COMPUTED_VALUE"""),"usage")</f>
        <v>usage</v>
      </c>
      <c r="O693" s="258" t="str">
        <f>IFERROR(__xludf.DUMMYFUNCTION("""COMPUTED_VALUE"""),"usage_profile")</f>
        <v>usage_profile</v>
      </c>
      <c r="P693" s="258"/>
    </row>
    <row r="694">
      <c r="A694" s="257" t="str">
        <f>IFERROR(__xludf.DUMMYFUNCTION("""COMPUTED_VALUE"""),"availment_mode_promo_amount_90days")</f>
        <v>availment_mode_promo_amount_90days</v>
      </c>
      <c r="B694" s="258" t="str">
        <f>IFERROR(__xludf.DUMMYFUNCTION("""COMPUTED_VALUE"""),"Campaign History")</f>
        <v>Campaign History</v>
      </c>
      <c r="C694" s="258" t="str">
        <f>IFERROR(__xludf.DUMMYFUNCTION("""COMPUTED_VALUE"""),"Non-PII")</f>
        <v>Non-PII</v>
      </c>
      <c r="D694" s="258" t="str">
        <f>IFERROR(__xludf.DUMMYFUNCTION("""COMPUTED_VALUE"""),"Non-PII")</f>
        <v>Non-PII</v>
      </c>
      <c r="E694" s="258" t="str">
        <f>IFERROR(__xludf.DUMMYFUNCTION("""COMPUTED_VALUE"""),"Most frequent amount of promo or top-up promo (GYRO) availed by subscriber for the past 90 days.")</f>
        <v>Most frequent amount of promo or top-up promo (GYRO) availed by subscriber for the past 90 days.</v>
      </c>
      <c r="F694" s="258" t="str">
        <f>IFERROR(__xludf.DUMMYFUNCTION("""COMPUTED_VALUE"""),"Derived")</f>
        <v>Derived</v>
      </c>
      <c r="G694" s="258" t="str">
        <f>IFERROR(__xludf.DUMMYFUNCTION("""COMPUTED_VALUE"""),"integer")</f>
        <v>integer</v>
      </c>
      <c r="H694" s="258">
        <f>IFERROR(__xludf.DUMMYFUNCTION("""COMPUTED_VALUE"""),500.0)</f>
        <v>500</v>
      </c>
      <c r="I694" s="258" t="str">
        <f>IFERROR(__xludf.DUMMYFUNCTION("""COMPUTED_VALUE"""),"MSH FVT")</f>
        <v>MSH FVT</v>
      </c>
      <c r="J694" s="258" t="str">
        <f>IFERROR(__xludf.DUMMYFUNCTION("""COMPUTED_VALUE"""),"Daily")</f>
        <v>Daily</v>
      </c>
      <c r="K694" s="258" t="str">
        <f>IFERROR(__xludf.DUMMYFUNCTION("""COMPUTED_VALUE"""),"")</f>
        <v/>
      </c>
      <c r="L694" s="258" t="str">
        <f>IFERROR(__xludf.DUMMYFUNCTION("""COMPUTED_VALUE"""),"GHP-PREPAID, TM, PW")</f>
        <v>GHP-PREPAID, TM, PW</v>
      </c>
      <c r="M694" s="258" t="str">
        <f>IFERROR(__xludf.DUMMYFUNCTION("""COMPUTED_VALUE"""),"Consumer, EG, SG, IBG Traveler")</f>
        <v>Consumer, EG, SG, IBG Traveler</v>
      </c>
      <c r="N694" s="258" t="str">
        <f>IFERROR(__xludf.DUMMYFUNCTION("""COMPUTED_VALUE"""),"availment")</f>
        <v>availment</v>
      </c>
      <c r="O694" s="258" t="str">
        <f>IFERROR(__xludf.DUMMYFUNCTION("""COMPUTED_VALUE"""),"availment_profile")</f>
        <v>availment_profile</v>
      </c>
      <c r="P694" s="258"/>
    </row>
    <row r="695">
      <c r="A695" s="257" t="str">
        <f>IFERROR(__xludf.DUMMYFUNCTION("""COMPUTED_VALUE"""),"prepaid_spending_past_30days")</f>
        <v>prepaid_spending_past_30days</v>
      </c>
      <c r="B695" s="258" t="str">
        <f>IFERROR(__xludf.DUMMYFUNCTION("""COMPUTED_VALUE"""),"Behavioral")</f>
        <v>Behavioral</v>
      </c>
      <c r="C695" s="258" t="str">
        <f>IFERROR(__xludf.DUMMYFUNCTION("""COMPUTED_VALUE"""),"Non-PII")</f>
        <v>Non-PII</v>
      </c>
      <c r="D695" s="258" t="str">
        <f>IFERROR(__xludf.DUMMYFUNCTION("""COMPUTED_VALUE"""),"Non-PII")</f>
        <v>Non-PII</v>
      </c>
      <c r="E695" s="258" t="str">
        <f>IFERROR(__xludf.DUMMYFUNCTION("""COMPUTED_VALUE"""),"Total Spending amount for past 90 days which covers either of the following promo registrations, ppu or topup a promo.")</f>
        <v>Total Spending amount for past 90 days which covers either of the following promo registrations, ppu or topup a promo.</v>
      </c>
      <c r="F695" s="258" t="str">
        <f>IFERROR(__xludf.DUMMYFUNCTION("""COMPUTED_VALUE"""),"Derived")</f>
        <v>Derived</v>
      </c>
      <c r="G695" s="258" t="str">
        <f>IFERROR(__xludf.DUMMYFUNCTION("""COMPUTED_VALUE"""),"integer")</f>
        <v>integer</v>
      </c>
      <c r="H695" s="258">
        <f>IFERROR(__xludf.DUMMYFUNCTION("""COMPUTED_VALUE"""),100.0)</f>
        <v>100</v>
      </c>
      <c r="I695" s="258" t="str">
        <f>IFERROR(__xludf.DUMMYFUNCTION("""COMPUTED_VALUE"""),"CRM FVT")</f>
        <v>CRM FVT</v>
      </c>
      <c r="J695" s="258" t="str">
        <f>IFERROR(__xludf.DUMMYFUNCTION("""COMPUTED_VALUE"""),"Daily")</f>
        <v>Daily</v>
      </c>
      <c r="K695" s="258" t="str">
        <f>IFERROR(__xludf.DUMMYFUNCTION("""COMPUTED_VALUE"""),"")</f>
        <v/>
      </c>
      <c r="L695" s="258" t="str">
        <f>IFERROR(__xludf.DUMMYFUNCTION("""COMPUTED_VALUE"""),"GHP-PREPAID, TM, PW")</f>
        <v>GHP-PREPAID, TM, PW</v>
      </c>
      <c r="M695" s="258" t="str">
        <f>IFERROR(__xludf.DUMMYFUNCTION("""COMPUTED_VALUE"""),"Consumer, EG, SG, IBG Traveler")</f>
        <v>Consumer, EG, SG, IBG Traveler</v>
      </c>
      <c r="N695" s="258" t="str">
        <f>IFERROR(__xludf.DUMMYFUNCTION("""COMPUTED_VALUE"""),"revenue")</f>
        <v>revenue</v>
      </c>
      <c r="O695" s="258" t="str">
        <f>IFERROR(__xludf.DUMMYFUNCTION("""COMPUTED_VALUE"""),"revenue_profile")</f>
        <v>revenue_profile</v>
      </c>
      <c r="P695" s="258"/>
    </row>
    <row r="696">
      <c r="A696" s="257" t="str">
        <f>IFERROR(__xludf.DUMMYFUNCTION("""COMPUTED_VALUE"""),"prepaid_spending_arpu_past_90days")</f>
        <v>prepaid_spending_arpu_past_90days</v>
      </c>
      <c r="B696" s="258" t="str">
        <f>IFERROR(__xludf.DUMMYFUNCTION("""COMPUTED_VALUE"""),"Behavioral")</f>
        <v>Behavioral</v>
      </c>
      <c r="C696" s="258" t="str">
        <f>IFERROR(__xludf.DUMMYFUNCTION("""COMPUTED_VALUE"""),"Non-PII")</f>
        <v>Non-PII</v>
      </c>
      <c r="D696" s="258" t="str">
        <f>IFERROR(__xludf.DUMMYFUNCTION("""COMPUTED_VALUE"""),"Non-PII")</f>
        <v>Non-PII</v>
      </c>
      <c r="E696" s="258" t="str">
        <f>IFERROR(__xludf.DUMMYFUNCTION("""COMPUTED_VALUE"""),"Prepaid Spending Average Reload Per User for past 90 days coverage (day-120 to day-31) which covers either of the following promo registrations, ppu or topup a promo.")</f>
        <v>Prepaid Spending Average Reload Per User for past 90 days coverage (day-120 to day-31) which covers either of the following promo registrations, ppu or topup a promo.</v>
      </c>
      <c r="F696" s="258" t="str">
        <f>IFERROR(__xludf.DUMMYFUNCTION("""COMPUTED_VALUE"""),"Derived")</f>
        <v>Derived</v>
      </c>
      <c r="G696" s="258" t="str">
        <f>IFERROR(__xludf.DUMMYFUNCTION("""COMPUTED_VALUE"""),"numeric(21,2)")</f>
        <v>numeric(21,2)</v>
      </c>
      <c r="H696" s="258">
        <f>IFERROR(__xludf.DUMMYFUNCTION("""COMPUTED_VALUE"""),132.67)</f>
        <v>132.67</v>
      </c>
      <c r="I696" s="258" t="str">
        <f>IFERROR(__xludf.DUMMYFUNCTION("""COMPUTED_VALUE"""),"CRM FVT")</f>
        <v>CRM FVT</v>
      </c>
      <c r="J696" s="258" t="str">
        <f>IFERROR(__xludf.DUMMYFUNCTION("""COMPUTED_VALUE"""),"Daily")</f>
        <v>Daily</v>
      </c>
      <c r="K696" s="258" t="str">
        <f>IFERROR(__xludf.DUMMYFUNCTION("""COMPUTED_VALUE"""),"")</f>
        <v/>
      </c>
      <c r="L696" s="258" t="str">
        <f>IFERROR(__xludf.DUMMYFUNCTION("""COMPUTED_VALUE"""),"GHP-PREPAID, TM, PW")</f>
        <v>GHP-PREPAID, TM, PW</v>
      </c>
      <c r="M696" s="258" t="str">
        <f>IFERROR(__xludf.DUMMYFUNCTION("""COMPUTED_VALUE"""),"Consumer, EG, SG, IBG Traveler")</f>
        <v>Consumer, EG, SG, IBG Traveler</v>
      </c>
      <c r="N696" s="258" t="str">
        <f>IFERROR(__xludf.DUMMYFUNCTION("""COMPUTED_VALUE"""),"revenue")</f>
        <v>revenue</v>
      </c>
      <c r="O696" s="258" t="str">
        <f>IFERROR(__xludf.DUMMYFUNCTION("""COMPUTED_VALUE"""),"revenue_profile")</f>
        <v>revenue_profile</v>
      </c>
      <c r="P696" s="258"/>
    </row>
    <row r="697">
      <c r="A697" s="257" t="str">
        <f>IFERROR(__xludf.DUMMYFUNCTION("""COMPUTED_VALUE"""),"postpaid_rightsizing_plan_name")</f>
        <v>postpaid_rightsizing_plan_name</v>
      </c>
      <c r="B697" s="258" t="str">
        <f>IFERROR(__xludf.DUMMYFUNCTION("""COMPUTED_VALUE"""),"Profitability")</f>
        <v>Profitability</v>
      </c>
      <c r="C697" s="258" t="str">
        <f>IFERROR(__xludf.DUMMYFUNCTION("""COMPUTED_VALUE"""),"Non-PII")</f>
        <v>Non-PII</v>
      </c>
      <c r="D697" s="258" t="str">
        <f>IFERROR(__xludf.DUMMYFUNCTION("""COMPUTED_VALUE"""),"Non-PII")</f>
        <v>Non-PII</v>
      </c>
      <c r="E697" s="258" t="str">
        <f>IFERROR(__xludf.DUMMYFUNCTION("""COMPUTED_VALUE"""),"Postpaid rightsizing recommended plan (GPLAN) based on usages data.")</f>
        <v>Postpaid rightsizing recommended plan (GPLAN) based on usages data.</v>
      </c>
      <c r="F697" s="258" t="str">
        <f>IFERROR(__xludf.DUMMYFUNCTION("""COMPUTED_VALUE"""),"Inferred")</f>
        <v>Inferred</v>
      </c>
      <c r="G697" s="258" t="str">
        <f>IFERROR(__xludf.DUMMYFUNCTION("""COMPUTED_VALUE"""),"varchar(1000)")</f>
        <v>varchar(1000)</v>
      </c>
      <c r="H697" s="258" t="str">
        <f>IFERROR(__xludf.DUMMYFUNCTION("""COMPUTED_VALUE"""),"GPlan 1999")</f>
        <v>GPlan 1999</v>
      </c>
      <c r="I697" s="258" t="str">
        <f>IFERROR(__xludf.DUMMYFUNCTION("""COMPUTED_VALUE"""),"EDO-AA")</f>
        <v>EDO-AA</v>
      </c>
      <c r="J697" s="258" t="str">
        <f>IFERROR(__xludf.DUMMYFUNCTION("""COMPUTED_VALUE"""),"Every 15th of the month")</f>
        <v>Every 15th of the month</v>
      </c>
      <c r="K697" s="258" t="str">
        <f>IFERROR(__xludf.DUMMYFUNCTION("""COMPUTED_VALUE"""),"")</f>
        <v/>
      </c>
      <c r="L697" s="258" t="str">
        <f>IFERROR(__xludf.DUMMYFUNCTION("""COMPUTED_VALUE"""),"GHP")</f>
        <v>GHP</v>
      </c>
      <c r="M697" s="258" t="str">
        <f>IFERROR(__xludf.DUMMYFUNCTION("""COMPUTED_VALUE"""),"Consumer")</f>
        <v>Consumer</v>
      </c>
      <c r="N697" s="258" t="str">
        <f>IFERROR(__xludf.DUMMYFUNCTION("""COMPUTED_VALUE"""),"product")</f>
        <v>product</v>
      </c>
      <c r="O697" s="258" t="str">
        <f>IFERROR(__xludf.DUMMYFUNCTION("""COMPUTED_VALUE"""),"product_profile")</f>
        <v>product_profile</v>
      </c>
      <c r="P697" s="258"/>
    </row>
    <row r="698">
      <c r="A698" s="257" t="str">
        <f>IFERROR(__xludf.DUMMYFUNCTION("""COMPUTED_VALUE"""),"postpaid_rightsizing_plan_id")</f>
        <v>postpaid_rightsizing_plan_id</v>
      </c>
      <c r="B698" s="258" t="str">
        <f>IFERROR(__xludf.DUMMYFUNCTION("""COMPUTED_VALUE"""),"Profitability")</f>
        <v>Profitability</v>
      </c>
      <c r="C698" s="258" t="str">
        <f>IFERROR(__xludf.DUMMYFUNCTION("""COMPUTED_VALUE"""),"Non-PII")</f>
        <v>Non-PII</v>
      </c>
      <c r="D698" s="258" t="str">
        <f>IFERROR(__xludf.DUMMYFUNCTION("""COMPUTED_VALUE"""),"Non-PII")</f>
        <v>Non-PII</v>
      </c>
      <c r="E698" s="258" t="str">
        <f>IFERROR(__xludf.DUMMYFUNCTION("""COMPUTED_VALUE"""),"Postpaid rightsizing recommended plan's ID based on usages data.")</f>
        <v>Postpaid rightsizing recommended plan's ID based on usages data.</v>
      </c>
      <c r="F698" s="258" t="str">
        <f>IFERROR(__xludf.DUMMYFUNCTION("""COMPUTED_VALUE"""),"Inferred")</f>
        <v>Inferred</v>
      </c>
      <c r="G698" s="258" t="str">
        <f>IFERROR(__xludf.DUMMYFUNCTION("""COMPUTED_VALUE"""),"varchar(1000)")</f>
        <v>varchar(1000)</v>
      </c>
      <c r="H698" s="258">
        <f>IFERROR(__xludf.DUMMYFUNCTION("""COMPUTED_VALUE"""),1.9044417E7)</f>
        <v>19044417</v>
      </c>
      <c r="I698" s="258" t="str">
        <f>IFERROR(__xludf.DUMMYFUNCTION("""COMPUTED_VALUE"""),"EDO-AA")</f>
        <v>EDO-AA</v>
      </c>
      <c r="J698" s="258" t="str">
        <f>IFERROR(__xludf.DUMMYFUNCTION("""COMPUTED_VALUE"""),"Every 15th of the month")</f>
        <v>Every 15th of the month</v>
      </c>
      <c r="K698" s="258" t="str">
        <f>IFERROR(__xludf.DUMMYFUNCTION("""COMPUTED_VALUE"""),"")</f>
        <v/>
      </c>
      <c r="L698" s="258" t="str">
        <f>IFERROR(__xludf.DUMMYFUNCTION("""COMPUTED_VALUE"""),"GHP")</f>
        <v>GHP</v>
      </c>
      <c r="M698" s="258" t="str">
        <f>IFERROR(__xludf.DUMMYFUNCTION("""COMPUTED_VALUE"""),"Consumer")</f>
        <v>Consumer</v>
      </c>
      <c r="N698" s="258" t="str">
        <f>IFERROR(__xludf.DUMMYFUNCTION("""COMPUTED_VALUE"""),"product")</f>
        <v>product</v>
      </c>
      <c r="O698" s="258" t="str">
        <f>IFERROR(__xludf.DUMMYFUNCTION("""COMPUTED_VALUE"""),"product_profile")</f>
        <v>product_profile</v>
      </c>
      <c r="P698" s="258"/>
    </row>
    <row r="699">
      <c r="A699" s="257" t="str">
        <f>IFERROR(__xludf.DUMMYFUNCTION("""COMPUTED_VALUE"""),"postpaid_rightsizing_plan_msf")</f>
        <v>postpaid_rightsizing_plan_msf</v>
      </c>
      <c r="B699" s="258" t="str">
        <f>IFERROR(__xludf.DUMMYFUNCTION("""COMPUTED_VALUE"""),"Profitability")</f>
        <v>Profitability</v>
      </c>
      <c r="C699" s="258" t="str">
        <f>IFERROR(__xludf.DUMMYFUNCTION("""COMPUTED_VALUE"""),"Non-PII")</f>
        <v>Non-PII</v>
      </c>
      <c r="D699" s="258" t="str">
        <f>IFERROR(__xludf.DUMMYFUNCTION("""COMPUTED_VALUE"""),"Non-PII")</f>
        <v>Non-PII</v>
      </c>
      <c r="E699" s="258" t="str">
        <f>IFERROR(__xludf.DUMMYFUNCTION("""COMPUTED_VALUE"""),"Postpaid rightsizing recommended plan's MSF based on usages data.")</f>
        <v>Postpaid rightsizing recommended plan's MSF based on usages data.</v>
      </c>
      <c r="F699" s="258" t="str">
        <f>IFERROR(__xludf.DUMMYFUNCTION("""COMPUTED_VALUE"""),"Inferred")</f>
        <v>Inferred</v>
      </c>
      <c r="G699" s="258" t="str">
        <f>IFERROR(__xludf.DUMMYFUNCTION("""COMPUTED_VALUE"""),"integer")</f>
        <v>integer</v>
      </c>
      <c r="H699" s="258">
        <f>IFERROR(__xludf.DUMMYFUNCTION("""COMPUTED_VALUE"""),1499.0)</f>
        <v>1499</v>
      </c>
      <c r="I699" s="258" t="str">
        <f>IFERROR(__xludf.DUMMYFUNCTION("""COMPUTED_VALUE"""),"EDO-AA")</f>
        <v>EDO-AA</v>
      </c>
      <c r="J699" s="258" t="str">
        <f>IFERROR(__xludf.DUMMYFUNCTION("""COMPUTED_VALUE"""),"Every 15th of the month")</f>
        <v>Every 15th of the month</v>
      </c>
      <c r="K699" s="258" t="str">
        <f>IFERROR(__xludf.DUMMYFUNCTION("""COMPUTED_VALUE"""),"")</f>
        <v/>
      </c>
      <c r="L699" s="258" t="str">
        <f>IFERROR(__xludf.DUMMYFUNCTION("""COMPUTED_VALUE"""),"GHP")</f>
        <v>GHP</v>
      </c>
      <c r="M699" s="258" t="str">
        <f>IFERROR(__xludf.DUMMYFUNCTION("""COMPUTED_VALUE"""),"Consumer")</f>
        <v>Consumer</v>
      </c>
      <c r="N699" s="258" t="str">
        <f>IFERROR(__xludf.DUMMYFUNCTION("""COMPUTED_VALUE"""),"product")</f>
        <v>product</v>
      </c>
      <c r="O699" s="258" t="str">
        <f>IFERROR(__xludf.DUMMYFUNCTION("""COMPUTED_VALUE"""),"product_profile")</f>
        <v>product_profile</v>
      </c>
      <c r="P699" s="258"/>
    </row>
    <row r="700">
      <c r="A700" s="257" t="str">
        <f>IFERROR(__xludf.DUMMYFUNCTION("""COMPUTED_VALUE"""),"postpaid_rightsizing_tag")</f>
        <v>postpaid_rightsizing_tag</v>
      </c>
      <c r="B700" s="258" t="str">
        <f>IFERROR(__xludf.DUMMYFUNCTION("""COMPUTED_VALUE"""),"Profitability")</f>
        <v>Profitability</v>
      </c>
      <c r="C700" s="258" t="str">
        <f>IFERROR(__xludf.DUMMYFUNCTION("""COMPUTED_VALUE"""),"Non-PII")</f>
        <v>Non-PII</v>
      </c>
      <c r="D700" s="258" t="str">
        <f>IFERROR(__xludf.DUMMYFUNCTION("""COMPUTED_VALUE"""),"Non-PII")</f>
        <v>Non-PII</v>
      </c>
      <c r="E700" s="258" t="str">
        <f>IFERROR(__xludf.DUMMYFUNCTION("""COMPUTED_VALUE"""),"Postpaid rightsizing recommendations based on usages data.
  Valid values:
  maintain
  upgrade
  downgrade")</f>
        <v>Postpaid rightsizing recommendations based on usages data.
  Valid values:
  maintain
  upgrade
  downgrade</v>
      </c>
      <c r="F700" s="258" t="str">
        <f>IFERROR(__xludf.DUMMYFUNCTION("""COMPUTED_VALUE"""),"Inferred")</f>
        <v>Inferred</v>
      </c>
      <c r="G700" s="258" t="str">
        <f>IFERROR(__xludf.DUMMYFUNCTION("""COMPUTED_VALUE"""),"varchar(1000)")</f>
        <v>varchar(1000)</v>
      </c>
      <c r="H700" s="258" t="str">
        <f>IFERROR(__xludf.DUMMYFUNCTION("""COMPUTED_VALUE"""),"maintain")</f>
        <v>maintain</v>
      </c>
      <c r="I700" s="258" t="str">
        <f>IFERROR(__xludf.DUMMYFUNCTION("""COMPUTED_VALUE"""),"EDO-AA")</f>
        <v>EDO-AA</v>
      </c>
      <c r="J700" s="258" t="str">
        <f>IFERROR(__xludf.DUMMYFUNCTION("""COMPUTED_VALUE"""),"Every 15th of the month")</f>
        <v>Every 15th of the month</v>
      </c>
      <c r="K700" s="258" t="str">
        <f>IFERROR(__xludf.DUMMYFUNCTION("""COMPUTED_VALUE"""),"")</f>
        <v/>
      </c>
      <c r="L700" s="258" t="str">
        <f>IFERROR(__xludf.DUMMYFUNCTION("""COMPUTED_VALUE"""),"GHP")</f>
        <v>GHP</v>
      </c>
      <c r="M700" s="258" t="str">
        <f>IFERROR(__xludf.DUMMYFUNCTION("""COMPUTED_VALUE"""),"Consumer")</f>
        <v>Consumer</v>
      </c>
      <c r="N700" s="258" t="str">
        <f>IFERROR(__xludf.DUMMYFUNCTION("""COMPUTED_VALUE"""),"product")</f>
        <v>product</v>
      </c>
      <c r="O700" s="258" t="str">
        <f>IFERROR(__xludf.DUMMYFUNCTION("""COMPUTED_VALUE"""),"product_profile")</f>
        <v>product_profile</v>
      </c>
      <c r="P700" s="258"/>
    </row>
    <row r="701">
      <c r="A701" s="257" t="str">
        <f>IFERROR(__xludf.DUMMYFUNCTION("""COMPUTED_VALUE"""),"postpaid_rightsizing_plan_data")</f>
        <v>postpaid_rightsizing_plan_data</v>
      </c>
      <c r="B701" s="258" t="str">
        <f>IFERROR(__xludf.DUMMYFUNCTION("""COMPUTED_VALUE"""),"Profitability")</f>
        <v>Profitability</v>
      </c>
      <c r="C701" s="258" t="str">
        <f>IFERROR(__xludf.DUMMYFUNCTION("""COMPUTED_VALUE"""),"Non-PII")</f>
        <v>Non-PII</v>
      </c>
      <c r="D701" s="258" t="str">
        <f>IFERROR(__xludf.DUMMYFUNCTION("""COMPUTED_VALUE"""),"Non-PII")</f>
        <v>Non-PII</v>
      </c>
      <c r="E701" s="258" t="str">
        <f>IFERROR(__xludf.DUMMYFUNCTION("""COMPUTED_VALUE"""),"Postpaid rightsizing recommended plan's data allocation in GB based on usages data.")</f>
        <v>Postpaid rightsizing recommended plan's data allocation in GB based on usages data.</v>
      </c>
      <c r="F701" s="258" t="str">
        <f>IFERROR(__xludf.DUMMYFUNCTION("""COMPUTED_VALUE"""),"Inferred")</f>
        <v>Inferred</v>
      </c>
      <c r="G701" s="258" t="str">
        <f>IFERROR(__xludf.DUMMYFUNCTION("""COMPUTED_VALUE"""),"integer")</f>
        <v>integer</v>
      </c>
      <c r="H701" s="258">
        <f>IFERROR(__xludf.DUMMYFUNCTION("""COMPUTED_VALUE"""),15.0)</f>
        <v>15</v>
      </c>
      <c r="I701" s="258" t="str">
        <f>IFERROR(__xludf.DUMMYFUNCTION("""COMPUTED_VALUE"""),"EDO-AA")</f>
        <v>EDO-AA</v>
      </c>
      <c r="J701" s="258" t="str">
        <f>IFERROR(__xludf.DUMMYFUNCTION("""COMPUTED_VALUE"""),"Every 15th of the month")</f>
        <v>Every 15th of the month</v>
      </c>
      <c r="K701" s="258" t="str">
        <f>IFERROR(__xludf.DUMMYFUNCTION("""COMPUTED_VALUE"""),"")</f>
        <v/>
      </c>
      <c r="L701" s="258" t="str">
        <f>IFERROR(__xludf.DUMMYFUNCTION("""COMPUTED_VALUE"""),"GHP")</f>
        <v>GHP</v>
      </c>
      <c r="M701" s="258" t="str">
        <f>IFERROR(__xludf.DUMMYFUNCTION("""COMPUTED_VALUE"""),"Consumer")</f>
        <v>Consumer</v>
      </c>
      <c r="N701" s="258" t="str">
        <f>IFERROR(__xludf.DUMMYFUNCTION("""COMPUTED_VALUE"""),"product")</f>
        <v>product</v>
      </c>
      <c r="O701" s="258" t="str">
        <f>IFERROR(__xludf.DUMMYFUNCTION("""COMPUTED_VALUE"""),"product_profile")</f>
        <v>product_profile</v>
      </c>
      <c r="P701" s="258"/>
    </row>
    <row r="702">
      <c r="A702" s="257" t="str">
        <f>IFERROR(__xludf.DUMMYFUNCTION("""COMPUTED_VALUE"""),"postpaid_rightsizing_max_bill_90days")</f>
        <v>postpaid_rightsizing_max_bill_90days</v>
      </c>
      <c r="B702" s="258" t="str">
        <f>IFERROR(__xludf.DUMMYFUNCTION("""COMPUTED_VALUE"""),"Profitability")</f>
        <v>Profitability</v>
      </c>
      <c r="C702" s="258" t="str">
        <f>IFERROR(__xludf.DUMMYFUNCTION("""COMPUTED_VALUE"""),"Non-PII")</f>
        <v>Non-PII</v>
      </c>
      <c r="D702" s="258" t="str">
        <f>IFERROR(__xludf.DUMMYFUNCTION("""COMPUTED_VALUE"""),"Non-PII")</f>
        <v>Non-PII</v>
      </c>
      <c r="E702" s="258" t="str">
        <f>IFERROR(__xludf.DUMMYFUNCTION("""COMPUTED_VALUE"""),"Maximum recent bill over the last 90 days based on usages data that is used as the basis of the model.")</f>
        <v>Maximum recent bill over the last 90 days based on usages data that is used as the basis of the model.</v>
      </c>
      <c r="F702" s="258" t="str">
        <f>IFERROR(__xludf.DUMMYFUNCTION("""COMPUTED_VALUE"""),"Inferred")</f>
        <v>Inferred</v>
      </c>
      <c r="G702" s="258" t="str">
        <f>IFERROR(__xludf.DUMMYFUNCTION("""COMPUTED_VALUE"""),"numeric(21,2)")</f>
        <v>numeric(21,2)</v>
      </c>
      <c r="H702" s="258">
        <f>IFERROR(__xludf.DUMMYFUNCTION("""COMPUTED_VALUE"""),2431.0)</f>
        <v>2431</v>
      </c>
      <c r="I702" s="258" t="str">
        <f>IFERROR(__xludf.DUMMYFUNCTION("""COMPUTED_VALUE"""),"EDO-AA")</f>
        <v>EDO-AA</v>
      </c>
      <c r="J702" s="258" t="str">
        <f>IFERROR(__xludf.DUMMYFUNCTION("""COMPUTED_VALUE"""),"Every 15th of the month")</f>
        <v>Every 15th of the month</v>
      </c>
      <c r="K702" s="258" t="str">
        <f>IFERROR(__xludf.DUMMYFUNCTION("""COMPUTED_VALUE"""),"")</f>
        <v/>
      </c>
      <c r="L702" s="258" t="str">
        <f>IFERROR(__xludf.DUMMYFUNCTION("""COMPUTED_VALUE"""),"GHP")</f>
        <v>GHP</v>
      </c>
      <c r="M702" s="258" t="str">
        <f>IFERROR(__xludf.DUMMYFUNCTION("""COMPUTED_VALUE"""),"Consumer")</f>
        <v>Consumer</v>
      </c>
      <c r="N702" s="258" t="str">
        <f>IFERROR(__xludf.DUMMYFUNCTION("""COMPUTED_VALUE"""),"product")</f>
        <v>product</v>
      </c>
      <c r="O702" s="258" t="str">
        <f>IFERROR(__xludf.DUMMYFUNCTION("""COMPUTED_VALUE"""),"product_profile")</f>
        <v>product_profile</v>
      </c>
      <c r="P702" s="258"/>
    </row>
    <row r="703">
      <c r="A703" s="257" t="str">
        <f>IFERROR(__xludf.DUMMYFUNCTION("""COMPUTED_VALUE"""),"viber_user_indicator")</f>
        <v>viber_user_indicator</v>
      </c>
      <c r="B703" s="258" t="str">
        <f>IFERROR(__xludf.DUMMYFUNCTION("""COMPUTED_VALUE"""),"Audience/Persona")</f>
        <v>Audience/Persona</v>
      </c>
      <c r="C703" s="258" t="str">
        <f>IFERROR(__xludf.DUMMYFUNCTION("""COMPUTED_VALUE"""),"Non-PII")</f>
        <v>Non-PII</v>
      </c>
      <c r="D703" s="258" t="str">
        <f>IFERROR(__xludf.DUMMYFUNCTION("""COMPUTED_VALUE"""),"Non-PII")</f>
        <v>Non-PII</v>
      </c>
      <c r="E703" s="258" t="str">
        <f>IFERROR(__xludf.DUMMYFUNCTION("""COMPUTED_VALUE"""),"Indicator if a subscriber uses the Viber app in the past 30 days
 For wireline subscribers, only subscriptions within Metro Manila (including some areas in Rizal) and with DSL, VDSL and GPON technology value are covered.")</f>
        <v>Indicator if a subscriber uses the Viber app in the past 30 days
 For wireline subscribers, only subscriptions within Metro Manila (including some areas in Rizal) and with DSL, VDSL and GPON technology value are covered.</v>
      </c>
      <c r="F703" s="258" t="str">
        <f>IFERROR(__xludf.DUMMYFUNCTION("""COMPUTED_VALUE"""),"Derived")</f>
        <v>Derived</v>
      </c>
      <c r="G703" s="258" t="str">
        <f>IFERROR(__xludf.DUMMYFUNCTION("""COMPUTED_VALUE"""),"boolean")</f>
        <v>boolean</v>
      </c>
      <c r="H703" s="258" t="b">
        <f>IFERROR(__xludf.DUMMYFUNCTION("""COMPUTED_VALUE"""),TRUE)</f>
        <v>1</v>
      </c>
      <c r="I703" s="258" t="str">
        <f>IFERROR(__xludf.DUMMYFUNCTION("""COMPUTED_VALUE"""),"EDO-UUP")</f>
        <v>EDO-UUP</v>
      </c>
      <c r="J703" s="258" t="str">
        <f>IFERROR(__xludf.DUMMYFUNCTION("""COMPUTED_VALUE"""),"Monthly")</f>
        <v>Monthly</v>
      </c>
      <c r="K703" s="258" t="str">
        <f>IFERROR(__xludf.DUMMYFUNCTION("""COMPUTED_VALUE"""),"")</f>
        <v/>
      </c>
      <c r="L703" s="258" t="str">
        <f>IFERROR(__xludf.DUMMYFUNCTION("""COMPUTED_VALUE"""),"GHP, GHP-PREPAID, TM, PW, GOMO, WIRELINE, BAYAN, GLOBE")</f>
        <v>GHP, GHP-PREPAID, TM, PW, GOMO, WIRELINE, BAYAN, GLOBE</v>
      </c>
      <c r="M703" s="258" t="str">
        <f>IFERROR(__xludf.DUMMYFUNCTION("""COMPUTED_VALUE"""),"Consumer, EG, SG, In house, IBG Traveler")</f>
        <v>Consumer, EG, SG, In house, IBG Traveler</v>
      </c>
      <c r="N703" s="258" t="str">
        <f>IFERROR(__xludf.DUMMYFUNCTION("""COMPUTED_VALUE"""),"interest")</f>
        <v>interest</v>
      </c>
      <c r="O703" s="258" t="str">
        <f>IFERROR(__xludf.DUMMYFUNCTION("""COMPUTED_VALUE"""),"network_profile")</f>
        <v>network_profile</v>
      </c>
      <c r="P703" s="258"/>
    </row>
    <row r="704">
      <c r="A704" s="257" t="str">
        <f>IFERROR(__xludf.DUMMYFUNCTION("""COMPUTED_VALUE"""),"tech_savvy_indicator")</f>
        <v>tech_savvy_indicator</v>
      </c>
      <c r="B704" s="258" t="str">
        <f>IFERROR(__xludf.DUMMYFUNCTION("""COMPUTED_VALUE"""),"Audience/Persona")</f>
        <v>Audience/Persona</v>
      </c>
      <c r="C704" s="258" t="str">
        <f>IFERROR(__xludf.DUMMYFUNCTION("""COMPUTED_VALUE"""),"Non-PII")</f>
        <v>Non-PII</v>
      </c>
      <c r="D704" s="258" t="str">
        <f>IFERROR(__xludf.DUMMYFUNCTION("""COMPUTED_VALUE"""),"Non-PII")</f>
        <v>Non-PII</v>
      </c>
      <c r="E704" s="258" t="str">
        <f>IFERROR(__xludf.DUMMYFUNCTION("""COMPUTED_VALUE"""),"Indicator if a subscriber accesses tech-focused apps or websites such as unbox, tech_pinas, yugatech
 For wireline subscribers, only subscriptions within Metro Manila (including some areas in Rizal) and with DSL, VDSL and GPON technology value are cover"&amp;"ed.")</f>
        <v>Indicator if a subscriber accesses tech-focused apps or websites such as unbox, tech_pinas, yugatech
 For wireline subscribers, only subscriptions within Metro Manila (including some areas in Rizal) and with DSL, VDSL and GPON technology value are covered.</v>
      </c>
      <c r="F704" s="258" t="str">
        <f>IFERROR(__xludf.DUMMYFUNCTION("""COMPUTED_VALUE"""),"Derived")</f>
        <v>Derived</v>
      </c>
      <c r="G704" s="258" t="str">
        <f>IFERROR(__xludf.DUMMYFUNCTION("""COMPUTED_VALUE"""),"boolean")</f>
        <v>boolean</v>
      </c>
      <c r="H704" s="258" t="b">
        <f>IFERROR(__xludf.DUMMYFUNCTION("""COMPUTED_VALUE"""),TRUE)</f>
        <v>1</v>
      </c>
      <c r="I704" s="258" t="str">
        <f>IFERROR(__xludf.DUMMYFUNCTION("""COMPUTED_VALUE"""),"EDO-UUP")</f>
        <v>EDO-UUP</v>
      </c>
      <c r="J704" s="258" t="str">
        <f>IFERROR(__xludf.DUMMYFUNCTION("""COMPUTED_VALUE"""),"Monthly")</f>
        <v>Monthly</v>
      </c>
      <c r="K704" s="258" t="str">
        <f>IFERROR(__xludf.DUMMYFUNCTION("""COMPUTED_VALUE"""),"")</f>
        <v/>
      </c>
      <c r="L704" s="258" t="str">
        <f>IFERROR(__xludf.DUMMYFUNCTION("""COMPUTED_VALUE"""),"GHP, GHP-PREPAID, TM, PW, GOMO, WIRELINE, BAYAN, GLOBE")</f>
        <v>GHP, GHP-PREPAID, TM, PW, GOMO, WIRELINE, BAYAN, GLOBE</v>
      </c>
      <c r="M704" s="258" t="str">
        <f>IFERROR(__xludf.DUMMYFUNCTION("""COMPUTED_VALUE"""),"Consumer, EG, SG, In house, IBG Traveler")</f>
        <v>Consumer, EG, SG, In house, IBG Traveler</v>
      </c>
      <c r="N704" s="258" t="str">
        <f>IFERROR(__xludf.DUMMYFUNCTION("""COMPUTED_VALUE"""),"interest")</f>
        <v>interest</v>
      </c>
      <c r="O704" s="258" t="str">
        <f>IFERROR(__xludf.DUMMYFUNCTION("""COMPUTED_VALUE"""),"network_profile")</f>
        <v>network_profile</v>
      </c>
      <c r="P704" s="258"/>
    </row>
    <row r="705">
      <c r="A705" s="257" t="str">
        <f>IFERROR(__xludf.DUMMYFUNCTION("""COMPUTED_VALUE"""),"tech_savvy_bucket")</f>
        <v>tech_savvy_bucket</v>
      </c>
      <c r="B705" s="258" t="str">
        <f>IFERROR(__xludf.DUMMYFUNCTION("""COMPUTED_VALUE"""),"Audience/Persona")</f>
        <v>Audience/Persona</v>
      </c>
      <c r="C705" s="258" t="str">
        <f>IFERROR(__xludf.DUMMYFUNCTION("""COMPUTED_VALUE"""),"Non-PII")</f>
        <v>Non-PII</v>
      </c>
      <c r="D705" s="258" t="str">
        <f>IFERROR(__xludf.DUMMYFUNCTION("""COMPUTED_VALUE"""),"Non-PII")</f>
        <v>Non-PII</v>
      </c>
      <c r="E705" s="258" t="str">
        <f>IFERROR(__xludf.DUMMYFUNCTION("""COMPUTED_VALUE"""),"Bucketing based on identified metric for Tech Savvy profile
 Metric: Total Hits in a Month
 Valid values: 
 LOW: &lt;= 15 hits
 MID: &gt; 15 &amp; &lt;= 20 hits
 HIGH: &gt; 20 hits
 For wireline subscribers, only subscriptions within Metro Manila (including some area"&amp;"s in Rizal) and with DSL, VDSL and GPON technology value are covered.")</f>
        <v>Bucketing based on identified metric for Tech Savvy profile
 Metric: Total Hits in a Month
 Valid values: 
 LOW: &lt;= 15 hits
 MID: &gt; 15 &amp; &lt;= 20 hits
 HIGH: &gt; 20 hits
 For wireline subscribers, only subscriptions within Metro Manila (including some areas in Rizal) and with DSL, VDSL and GPON technology value are covered.</v>
      </c>
      <c r="F705" s="258" t="str">
        <f>IFERROR(__xludf.DUMMYFUNCTION("""COMPUTED_VALUE"""),"Direct Pull")</f>
        <v>Direct Pull</v>
      </c>
      <c r="G705" s="258" t="str">
        <f>IFERROR(__xludf.DUMMYFUNCTION("""COMPUTED_VALUE"""),"varchar(1000)")</f>
        <v>varchar(1000)</v>
      </c>
      <c r="H705" s="258" t="str">
        <f>IFERROR(__xludf.DUMMYFUNCTION("""COMPUTED_VALUE"""),"LOW")</f>
        <v>LOW</v>
      </c>
      <c r="I705" s="258" t="str">
        <f>IFERROR(__xludf.DUMMYFUNCTION("""COMPUTED_VALUE"""),"EDO-UUP")</f>
        <v>EDO-UUP</v>
      </c>
      <c r="J705" s="258" t="str">
        <f>IFERROR(__xludf.DUMMYFUNCTION("""COMPUTED_VALUE"""),"Monthly")</f>
        <v>Monthly</v>
      </c>
      <c r="K705" s="258" t="str">
        <f>IFERROR(__xludf.DUMMYFUNCTION("""COMPUTED_VALUE"""),"")</f>
        <v/>
      </c>
      <c r="L705" s="258" t="str">
        <f>IFERROR(__xludf.DUMMYFUNCTION("""COMPUTED_VALUE"""),"GHP, GHP-PREPAID, TM, PW, GOMO, WIRELINE, BAYAN, GLOBE")</f>
        <v>GHP, GHP-PREPAID, TM, PW, GOMO, WIRELINE, BAYAN, GLOBE</v>
      </c>
      <c r="M705" s="258" t="str">
        <f>IFERROR(__xludf.DUMMYFUNCTION("""COMPUTED_VALUE"""),"Consumer, EG, SG, In house, IBG Traveler")</f>
        <v>Consumer, EG, SG, In house, IBG Traveler</v>
      </c>
      <c r="N705" s="258" t="str">
        <f>IFERROR(__xludf.DUMMYFUNCTION("""COMPUTED_VALUE"""),"interest")</f>
        <v>interest</v>
      </c>
      <c r="O705" s="258" t="str">
        <f>IFERROR(__xludf.DUMMYFUNCTION("""COMPUTED_VALUE"""),"network_profile")</f>
        <v>network_profile</v>
      </c>
      <c r="P705" s="258"/>
    </row>
    <row r="706">
      <c r="A706" s="257" t="str">
        <f>IFERROR(__xludf.DUMMYFUNCTION("""COMPUTED_VALUE"""),"tech_savvy_details")</f>
        <v>tech_savvy_details</v>
      </c>
      <c r="B706" s="258" t="str">
        <f>IFERROR(__xludf.DUMMYFUNCTION("""COMPUTED_VALUE"""),"Audience/Persona")</f>
        <v>Audience/Persona</v>
      </c>
      <c r="C706" s="258" t="str">
        <f>IFERROR(__xludf.DUMMYFUNCTION("""COMPUTED_VALUE"""),"Non-PII")</f>
        <v>Non-PII</v>
      </c>
      <c r="D706" s="258" t="str">
        <f>IFERROR(__xludf.DUMMYFUNCTION("""COMPUTED_VALUE"""),"Non-PII")</f>
        <v>Non-PII</v>
      </c>
      <c r="E706" s="258" t="str">
        <f>IFERROR(__xludf.DUMMYFUNCTION("""COMPUTED_VALUE"""),"Metric used and value for Tech Savvy profile
 For wireline subscribers, only subscriptions within Metro Manila (including some areas in Rizal) and with DSL, VDSL and GPON technology value are covered.")</f>
        <v>Metric used and value for Tech Savvy profile
 For wireline subscribers, only subscriptions within Metro Manila (including some areas in Rizal) and with DSL, VDSL and GPON technology value are covered.</v>
      </c>
      <c r="F706" s="258" t="str">
        <f>IFERROR(__xludf.DUMMYFUNCTION("""COMPUTED_VALUE"""),"Derived")</f>
        <v>Derived</v>
      </c>
      <c r="G706" s="258" t="str">
        <f>IFERROR(__xludf.DUMMYFUNCTION("""COMPUTED_VALUE"""),"varchar(1000)")</f>
        <v>varchar(1000)</v>
      </c>
      <c r="H706" s="258" t="str">
        <f>IFERROR(__xludf.DUMMYFUNCTION("""COMPUTED_VALUE"""),"{\Total Hits in a Month\"": 4}""")</f>
        <v>{\Total Hits in a Month\": 4}"</v>
      </c>
      <c r="I706" s="258" t="str">
        <f>IFERROR(__xludf.DUMMYFUNCTION("""COMPUTED_VALUE"""),"EDO-UUP")</f>
        <v>EDO-UUP</v>
      </c>
      <c r="J706" s="258" t="str">
        <f>IFERROR(__xludf.DUMMYFUNCTION("""COMPUTED_VALUE"""),"Monthly")</f>
        <v>Monthly</v>
      </c>
      <c r="K706" s="258" t="str">
        <f>IFERROR(__xludf.DUMMYFUNCTION("""COMPUTED_VALUE"""),"")</f>
        <v/>
      </c>
      <c r="L706" s="258" t="str">
        <f>IFERROR(__xludf.DUMMYFUNCTION("""COMPUTED_VALUE"""),"GHP, GHP-PREPAID, TM, PW, GOMO, WIRELINE, BAYAN, GLOBE")</f>
        <v>GHP, GHP-PREPAID, TM, PW, GOMO, WIRELINE, BAYAN, GLOBE</v>
      </c>
      <c r="M706" s="258" t="str">
        <f>IFERROR(__xludf.DUMMYFUNCTION("""COMPUTED_VALUE"""),"Consumer, EG, SG, In house, IBG Traveler")</f>
        <v>Consumer, EG, SG, In house, IBG Traveler</v>
      </c>
      <c r="N706" s="258" t="str">
        <f>IFERROR(__xludf.DUMMYFUNCTION("""COMPUTED_VALUE"""),"interest")</f>
        <v>interest</v>
      </c>
      <c r="O706" s="258" t="str">
        <f>IFERROR(__xludf.DUMMYFUNCTION("""COMPUTED_VALUE"""),"network_profile")</f>
        <v>network_profile</v>
      </c>
      <c r="P706" s="258"/>
    </row>
    <row r="707">
      <c r="A707" s="257" t="str">
        <f>IFERROR(__xludf.DUMMYFUNCTION("""COMPUTED_VALUE"""),"tech_savvy_top_apps")</f>
        <v>tech_savvy_top_apps</v>
      </c>
      <c r="B707" s="258" t="str">
        <f>IFERROR(__xludf.DUMMYFUNCTION("""COMPUTED_VALUE"""),"Audience/Persona")</f>
        <v>Audience/Persona</v>
      </c>
      <c r="C707" s="258" t="str">
        <f>IFERROR(__xludf.DUMMYFUNCTION("""COMPUTED_VALUE"""),"Non-PII")</f>
        <v>Non-PII</v>
      </c>
      <c r="D707" s="258" t="str">
        <f>IFERROR(__xludf.DUMMYFUNCTION("""COMPUTED_VALUE"""),"Non-PII")</f>
        <v>Non-PII</v>
      </c>
      <c r="E707" s="258" t="str">
        <f>IFERROR(__xludf.DUMMYFUNCTION("""COMPUTED_VALUE"""),"Top 1 app/site by data burn and hits categorized under the Tech Savvy profile
 For wireline subscribers, only subscriptions within Metro Manila (including some areas in Rizal) and with DSL, VDSL and GPON technology value are covered.")</f>
        <v>Top 1 app/site by data burn and hits categorized under the Tech Savvy profile
 For wireline subscribers, only subscriptions within Metro Manila (including some areas in Rizal) and with DSL, VDSL and GPON technology value are covered.</v>
      </c>
      <c r="F707" s="258" t="str">
        <f>IFERROR(__xludf.DUMMYFUNCTION("""COMPUTED_VALUE"""),"Derived")</f>
        <v>Derived</v>
      </c>
      <c r="G707" s="258" t="str">
        <f>IFERROR(__xludf.DUMMYFUNCTION("""COMPUTED_VALUE"""),"varchar(1000)")</f>
        <v>varchar(1000)</v>
      </c>
      <c r="H707" s="258" t="str">
        <f>IFERROR(__xludf.DUMMYFUNCTION("""COMPUTED_VALUE"""),"gizguide")</f>
        <v>gizguide</v>
      </c>
      <c r="I707" s="258" t="str">
        <f>IFERROR(__xludf.DUMMYFUNCTION("""COMPUTED_VALUE"""),"EDO-UUP")</f>
        <v>EDO-UUP</v>
      </c>
      <c r="J707" s="258" t="str">
        <f>IFERROR(__xludf.DUMMYFUNCTION("""COMPUTED_VALUE"""),"Monthly")</f>
        <v>Monthly</v>
      </c>
      <c r="K707" s="258" t="str">
        <f>IFERROR(__xludf.DUMMYFUNCTION("""COMPUTED_VALUE"""),"")</f>
        <v/>
      </c>
      <c r="L707" s="258" t="str">
        <f>IFERROR(__xludf.DUMMYFUNCTION("""COMPUTED_VALUE"""),"GHP, GHP-PREPAID, TM, PW, GOMO, WIRELINE, BAYAN, GLOBE")</f>
        <v>GHP, GHP-PREPAID, TM, PW, GOMO, WIRELINE, BAYAN, GLOBE</v>
      </c>
      <c r="M707" s="258" t="str">
        <f>IFERROR(__xludf.DUMMYFUNCTION("""COMPUTED_VALUE"""),"Consumer, EG, SG, In house, IBG Traveler")</f>
        <v>Consumer, EG, SG, In house, IBG Traveler</v>
      </c>
      <c r="N707" s="258" t="str">
        <f>IFERROR(__xludf.DUMMYFUNCTION("""COMPUTED_VALUE"""),"interest")</f>
        <v>interest</v>
      </c>
      <c r="O707" s="258" t="str">
        <f>IFERROR(__xludf.DUMMYFUNCTION("""COMPUTED_VALUE"""),"network_profile")</f>
        <v>network_profile</v>
      </c>
      <c r="P707" s="258"/>
    </row>
    <row r="708">
      <c r="A708" s="257" t="str">
        <f>IFERROR(__xludf.DUMMYFUNCTION("""COMPUTED_VALUE"""),"gambler_indicator")</f>
        <v>gambler_indicator</v>
      </c>
      <c r="B708" s="258" t="str">
        <f>IFERROR(__xludf.DUMMYFUNCTION("""COMPUTED_VALUE"""),"Audience/Persona")</f>
        <v>Audience/Persona</v>
      </c>
      <c r="C708" s="258" t="str">
        <f>IFERROR(__xludf.DUMMYFUNCTION("""COMPUTED_VALUE"""),"Non-PII")</f>
        <v>Non-PII</v>
      </c>
      <c r="D708" s="258" t="str">
        <f>IFERROR(__xludf.DUMMYFUNCTION("""COMPUTED_VALUE"""),"Non-PII")</f>
        <v>Non-PII</v>
      </c>
      <c r="E708" s="258" t="str">
        <f>IFERROR(__xludf.DUMMYFUNCTION("""COMPUTED_VALUE"""),"Indicator if a subscriber visits/uses gambling or lottery applications or websites like Pusoy Chinese Poker, Philippine PCSO lotto and Tongits Go 
 For wireline subscribers, only subscriptions within Metro Manila (including some areas in Rizal) and wi"&amp;"th DSL, VDSL and GPON technology value are covered.")</f>
        <v>Indicator if a subscriber visits/uses gambling or lottery applications or websites like Pusoy Chinese Poker, Philippine PCSO lotto and Tongits Go 
 For wireline subscribers, only subscriptions within Metro Manila (including some areas in Rizal) and with DSL, VDSL and GPON technology value are covered.</v>
      </c>
      <c r="F708" s="258" t="str">
        <f>IFERROR(__xludf.DUMMYFUNCTION("""COMPUTED_VALUE"""),"Derived")</f>
        <v>Derived</v>
      </c>
      <c r="G708" s="258" t="str">
        <f>IFERROR(__xludf.DUMMYFUNCTION("""COMPUTED_VALUE"""),"boolean")</f>
        <v>boolean</v>
      </c>
      <c r="H708" s="258" t="b">
        <f>IFERROR(__xludf.DUMMYFUNCTION("""COMPUTED_VALUE"""),TRUE)</f>
        <v>1</v>
      </c>
      <c r="I708" s="258" t="str">
        <f>IFERROR(__xludf.DUMMYFUNCTION("""COMPUTED_VALUE"""),"EDO-UUP")</f>
        <v>EDO-UUP</v>
      </c>
      <c r="J708" s="258" t="str">
        <f>IFERROR(__xludf.DUMMYFUNCTION("""COMPUTED_VALUE"""),"Monthly")</f>
        <v>Monthly</v>
      </c>
      <c r="K708" s="258" t="str">
        <f>IFERROR(__xludf.DUMMYFUNCTION("""COMPUTED_VALUE"""),"")</f>
        <v/>
      </c>
      <c r="L708" s="258" t="str">
        <f>IFERROR(__xludf.DUMMYFUNCTION("""COMPUTED_VALUE"""),"GHP, GHP-PREPAID, TM, PW, GOMO, WIRELINE, BAYAN, GLOBE")</f>
        <v>GHP, GHP-PREPAID, TM, PW, GOMO, WIRELINE, BAYAN, GLOBE</v>
      </c>
      <c r="M708" s="258" t="str">
        <f>IFERROR(__xludf.DUMMYFUNCTION("""COMPUTED_VALUE"""),"Consumer, EG, SG, In house, IBG Traveler")</f>
        <v>Consumer, EG, SG, In house, IBG Traveler</v>
      </c>
      <c r="N708" s="258" t="str">
        <f>IFERROR(__xludf.DUMMYFUNCTION("""COMPUTED_VALUE"""),"interest")</f>
        <v>interest</v>
      </c>
      <c r="O708" s="258" t="str">
        <f>IFERROR(__xludf.DUMMYFUNCTION("""COMPUTED_VALUE"""),"network_profile")</f>
        <v>network_profile</v>
      </c>
      <c r="P708" s="258"/>
    </row>
    <row r="709">
      <c r="A709" s="257" t="str">
        <f>IFERROR(__xludf.DUMMYFUNCTION("""COMPUTED_VALUE"""),"gambler_bucket")</f>
        <v>gambler_bucket</v>
      </c>
      <c r="B709" s="258" t="str">
        <f>IFERROR(__xludf.DUMMYFUNCTION("""COMPUTED_VALUE"""),"Audience/Persona")</f>
        <v>Audience/Persona</v>
      </c>
      <c r="C709" s="258" t="str">
        <f>IFERROR(__xludf.DUMMYFUNCTION("""COMPUTED_VALUE"""),"Non-PII")</f>
        <v>Non-PII</v>
      </c>
      <c r="D709" s="258" t="str">
        <f>IFERROR(__xludf.DUMMYFUNCTION("""COMPUTED_VALUE"""),"Non-PII")</f>
        <v>Non-PII</v>
      </c>
      <c r="E709" s="258" t="str">
        <f>IFERROR(__xludf.DUMMYFUNCTION("""COMPUTED_VALUE"""),"Bucketing based on identified metric 
 Metric: Total Hits in a Month
 Valid values: 
 LOW: &lt;=10 hits
 MID: &gt; 10 hits &amp; &lt;=32
 HIGH: &gt;32 hits
 For wireline subscribers, only subscriptions within Metro Manila (including some areas in Rizal) and with DSL,"&amp;" VDSL and GPON technology value are covered.")</f>
        <v>Bucketing based on identified metric 
 Metric: Total Hits in a Month
 Valid values: 
 LOW: &lt;=10 hits
 MID: &gt; 10 hits &amp; &lt;=32
 HIGH: &gt;32 hits
 For wireline subscribers, only subscriptions within Metro Manila (including some areas in Rizal) and with DSL, VDSL and GPON technology value are covered.</v>
      </c>
      <c r="F709" s="258" t="str">
        <f>IFERROR(__xludf.DUMMYFUNCTION("""COMPUTED_VALUE"""),"Direct Pull")</f>
        <v>Direct Pull</v>
      </c>
      <c r="G709" s="258" t="str">
        <f>IFERROR(__xludf.DUMMYFUNCTION("""COMPUTED_VALUE"""),"varchar(1000)")</f>
        <v>varchar(1000)</v>
      </c>
      <c r="H709" s="258" t="str">
        <f>IFERROR(__xludf.DUMMYFUNCTION("""COMPUTED_VALUE"""),"LOW")</f>
        <v>LOW</v>
      </c>
      <c r="I709" s="258" t="str">
        <f>IFERROR(__xludf.DUMMYFUNCTION("""COMPUTED_VALUE"""),"EDO-UUP")</f>
        <v>EDO-UUP</v>
      </c>
      <c r="J709" s="258" t="str">
        <f>IFERROR(__xludf.DUMMYFUNCTION("""COMPUTED_VALUE"""),"Monthly")</f>
        <v>Monthly</v>
      </c>
      <c r="K709" s="258" t="str">
        <f>IFERROR(__xludf.DUMMYFUNCTION("""COMPUTED_VALUE"""),"")</f>
        <v/>
      </c>
      <c r="L709" s="258" t="str">
        <f>IFERROR(__xludf.DUMMYFUNCTION("""COMPUTED_VALUE"""),"GHP, GHP-PREPAID, TM, PW, GOMO, WIRELINE, BAYAN, GLOBE")</f>
        <v>GHP, GHP-PREPAID, TM, PW, GOMO, WIRELINE, BAYAN, GLOBE</v>
      </c>
      <c r="M709" s="258" t="str">
        <f>IFERROR(__xludf.DUMMYFUNCTION("""COMPUTED_VALUE"""),"Consumer, EG, SG, In house, IBG Traveler")</f>
        <v>Consumer, EG, SG, In house, IBG Traveler</v>
      </c>
      <c r="N709" s="258" t="str">
        <f>IFERROR(__xludf.DUMMYFUNCTION("""COMPUTED_VALUE"""),"interest")</f>
        <v>interest</v>
      </c>
      <c r="O709" s="258" t="str">
        <f>IFERROR(__xludf.DUMMYFUNCTION("""COMPUTED_VALUE"""),"network_profile")</f>
        <v>network_profile</v>
      </c>
      <c r="P709" s="258"/>
    </row>
    <row r="710">
      <c r="A710" s="257" t="str">
        <f>IFERROR(__xludf.DUMMYFUNCTION("""COMPUTED_VALUE"""),"gambler_details")</f>
        <v>gambler_details</v>
      </c>
      <c r="B710" s="258" t="str">
        <f>IFERROR(__xludf.DUMMYFUNCTION("""COMPUTED_VALUE"""),"Audience/Persona")</f>
        <v>Audience/Persona</v>
      </c>
      <c r="C710" s="258" t="str">
        <f>IFERROR(__xludf.DUMMYFUNCTION("""COMPUTED_VALUE"""),"Non-PII")</f>
        <v>Non-PII</v>
      </c>
      <c r="D710" s="258" t="str">
        <f>IFERROR(__xludf.DUMMYFUNCTION("""COMPUTED_VALUE"""),"Non-PII")</f>
        <v>Non-PII</v>
      </c>
      <c r="E710" s="258" t="str">
        <f>IFERROR(__xludf.DUMMYFUNCTION("""COMPUTED_VALUE"""),"Metric used and value for Gambler profile
 For wireline subscribers, only subscriptions within Metro Manila (including some areas in Rizal) and with DSL, VDSL and GPON technology value are covered.")</f>
        <v>Metric used and value for Gambler profile
 For wireline subscribers, only subscriptions within Metro Manila (including some areas in Rizal) and with DSL, VDSL and GPON technology value are covered.</v>
      </c>
      <c r="F710" s="258" t="str">
        <f>IFERROR(__xludf.DUMMYFUNCTION("""COMPUTED_VALUE"""),"Derived")</f>
        <v>Derived</v>
      </c>
      <c r="G710" s="258" t="str">
        <f>IFERROR(__xludf.DUMMYFUNCTION("""COMPUTED_VALUE"""),"varchar(1000)")</f>
        <v>varchar(1000)</v>
      </c>
      <c r="H710" s="258" t="str">
        <f>IFERROR(__xludf.DUMMYFUNCTION("""COMPUTED_VALUE"""),"{\Total Hits in a Month\"": 4}""")</f>
        <v>{\Total Hits in a Month\": 4}"</v>
      </c>
      <c r="I710" s="258" t="str">
        <f>IFERROR(__xludf.DUMMYFUNCTION("""COMPUTED_VALUE"""),"EDO-UUP")</f>
        <v>EDO-UUP</v>
      </c>
      <c r="J710" s="258" t="str">
        <f>IFERROR(__xludf.DUMMYFUNCTION("""COMPUTED_VALUE"""),"Monthly")</f>
        <v>Monthly</v>
      </c>
      <c r="K710" s="258" t="str">
        <f>IFERROR(__xludf.DUMMYFUNCTION("""COMPUTED_VALUE"""),"")</f>
        <v/>
      </c>
      <c r="L710" s="258" t="str">
        <f>IFERROR(__xludf.DUMMYFUNCTION("""COMPUTED_VALUE"""),"GHP, GHP-PREPAID, TM, PW, GOMO, WIRELINE, BAYAN, GLOBE")</f>
        <v>GHP, GHP-PREPAID, TM, PW, GOMO, WIRELINE, BAYAN, GLOBE</v>
      </c>
      <c r="M710" s="258" t="str">
        <f>IFERROR(__xludf.DUMMYFUNCTION("""COMPUTED_VALUE"""),"Consumer, EG, SG, In house, IBG Traveler")</f>
        <v>Consumer, EG, SG, In house, IBG Traveler</v>
      </c>
      <c r="N710" s="258" t="str">
        <f>IFERROR(__xludf.DUMMYFUNCTION("""COMPUTED_VALUE"""),"interest")</f>
        <v>interest</v>
      </c>
      <c r="O710" s="258" t="str">
        <f>IFERROR(__xludf.DUMMYFUNCTION("""COMPUTED_VALUE"""),"network_profile")</f>
        <v>network_profile</v>
      </c>
      <c r="P710" s="258"/>
    </row>
    <row r="711">
      <c r="A711" s="257" t="str">
        <f>IFERROR(__xludf.DUMMYFUNCTION("""COMPUTED_VALUE"""),"gambler_top_apps")</f>
        <v>gambler_top_apps</v>
      </c>
      <c r="B711" s="258" t="str">
        <f>IFERROR(__xludf.DUMMYFUNCTION("""COMPUTED_VALUE"""),"Audience/Persona")</f>
        <v>Audience/Persona</v>
      </c>
      <c r="C711" s="258" t="str">
        <f>IFERROR(__xludf.DUMMYFUNCTION("""COMPUTED_VALUE"""),"Non-PII")</f>
        <v>Non-PII</v>
      </c>
      <c r="D711" s="258" t="str">
        <f>IFERROR(__xludf.DUMMYFUNCTION("""COMPUTED_VALUE"""),"Non-PII")</f>
        <v>Non-PII</v>
      </c>
      <c r="E711" s="258" t="str">
        <f>IFERROR(__xludf.DUMMYFUNCTION("""COMPUTED_VALUE"""),"Top 1 app/site by data burn, total hits and active days categorized under the Gambler profile
 For wireline subscribers, only subscriptions within Metro Manila (including some areas in Rizal) and with DSL, VDSL and GPON technology value are covered.")</f>
        <v>Top 1 app/site by data burn, total hits and active days categorized under the Gambler profile
 For wireline subscribers, only subscriptions within Metro Manila (including some areas in Rizal) and with DSL, VDSL and GPON technology value are covered.</v>
      </c>
      <c r="F711" s="258" t="str">
        <f>IFERROR(__xludf.DUMMYFUNCTION("""COMPUTED_VALUE"""),"Derived")</f>
        <v>Derived</v>
      </c>
      <c r="G711" s="258" t="str">
        <f>IFERROR(__xludf.DUMMYFUNCTION("""COMPUTED_VALUE"""),"varchar(1000)")</f>
        <v>varchar(1000)</v>
      </c>
      <c r="H711" s="258" t="str">
        <f>IFERROR(__xludf.DUMMYFUNCTION("""COMPUTED_VALUE"""),"philippinepcsolotto")</f>
        <v>philippinepcsolotto</v>
      </c>
      <c r="I711" s="258" t="str">
        <f>IFERROR(__xludf.DUMMYFUNCTION("""COMPUTED_VALUE"""),"EDO-UUP")</f>
        <v>EDO-UUP</v>
      </c>
      <c r="J711" s="258" t="str">
        <f>IFERROR(__xludf.DUMMYFUNCTION("""COMPUTED_VALUE"""),"Monthly")</f>
        <v>Monthly</v>
      </c>
      <c r="K711" s="258" t="str">
        <f>IFERROR(__xludf.DUMMYFUNCTION("""COMPUTED_VALUE"""),"")</f>
        <v/>
      </c>
      <c r="L711" s="258" t="str">
        <f>IFERROR(__xludf.DUMMYFUNCTION("""COMPUTED_VALUE"""),"GHP, GHP-PREPAID, TM, PW, GOMO, WIRELINE, BAYAN, GLOBE")</f>
        <v>GHP, GHP-PREPAID, TM, PW, GOMO, WIRELINE, BAYAN, GLOBE</v>
      </c>
      <c r="M711" s="258" t="str">
        <f>IFERROR(__xludf.DUMMYFUNCTION("""COMPUTED_VALUE"""),"Consumer, EG, SG, In house, IBG Traveler")</f>
        <v>Consumer, EG, SG, In house, IBG Traveler</v>
      </c>
      <c r="N711" s="258" t="str">
        <f>IFERROR(__xludf.DUMMYFUNCTION("""COMPUTED_VALUE"""),"interest")</f>
        <v>interest</v>
      </c>
      <c r="O711" s="258" t="str">
        <f>IFERROR(__xludf.DUMMYFUNCTION("""COMPUTED_VALUE"""),"network_profile")</f>
        <v>network_profile</v>
      </c>
      <c r="P711" s="258"/>
    </row>
    <row r="712">
      <c r="A712" s="257" t="str">
        <f>IFERROR(__xludf.DUMMYFUNCTION("""COMPUTED_VALUE"""),"womens_health_app_indicator")</f>
        <v>womens_health_app_indicator</v>
      </c>
      <c r="B712" s="258" t="str">
        <f>IFERROR(__xludf.DUMMYFUNCTION("""COMPUTED_VALUE"""),"Audience/Persona")</f>
        <v>Audience/Persona</v>
      </c>
      <c r="C712" s="258" t="str">
        <f>IFERROR(__xludf.DUMMYFUNCTION("""COMPUTED_VALUE"""),"Non-PII")</f>
        <v>Non-PII</v>
      </c>
      <c r="D712" s="258" t="str">
        <f>IFERROR(__xludf.DUMMYFUNCTION("""COMPUTED_VALUE"""),"Non-PII")</f>
        <v>Non-PII</v>
      </c>
      <c r="E712" s="258" t="str">
        <f>IFERROR(__xludf.DUMMYFUNCTION("""COMPUTED_VALUE"""),"Indicator if a subscriber visits/uses Women's Health-related applications or sites like Flo, Glowing and Maya
 For wireline subscribers, only subscriptions within Metro Manila (including some areas in Rizal) and with DSL, VDSL and GPON technology value "&amp;"are covered.")</f>
        <v>Indicator if a subscriber visits/uses Women's Health-related applications or sites like Flo, Glowing and Maya
 For wireline subscribers, only subscriptions within Metro Manila (including some areas in Rizal) and with DSL, VDSL and GPON technology value are covered.</v>
      </c>
      <c r="F712" s="258" t="str">
        <f>IFERROR(__xludf.DUMMYFUNCTION("""COMPUTED_VALUE"""),"Derived")</f>
        <v>Derived</v>
      </c>
      <c r="G712" s="258" t="str">
        <f>IFERROR(__xludf.DUMMYFUNCTION("""COMPUTED_VALUE"""),"boolean")</f>
        <v>boolean</v>
      </c>
      <c r="H712" s="258" t="b">
        <f>IFERROR(__xludf.DUMMYFUNCTION("""COMPUTED_VALUE"""),TRUE)</f>
        <v>1</v>
      </c>
      <c r="I712" s="258" t="str">
        <f>IFERROR(__xludf.DUMMYFUNCTION("""COMPUTED_VALUE"""),"EDO-UUP")</f>
        <v>EDO-UUP</v>
      </c>
      <c r="J712" s="258" t="str">
        <f>IFERROR(__xludf.DUMMYFUNCTION("""COMPUTED_VALUE"""),"Monthly")</f>
        <v>Monthly</v>
      </c>
      <c r="K712" s="258" t="str">
        <f>IFERROR(__xludf.DUMMYFUNCTION("""COMPUTED_VALUE"""),"")</f>
        <v/>
      </c>
      <c r="L712" s="258" t="str">
        <f>IFERROR(__xludf.DUMMYFUNCTION("""COMPUTED_VALUE"""),"GHP, GHP-PREPAID, TM, PW, GOMO, WIRELINE, BAYAN, GLOBE")</f>
        <v>GHP, GHP-PREPAID, TM, PW, GOMO, WIRELINE, BAYAN, GLOBE</v>
      </c>
      <c r="M712" s="258" t="str">
        <f>IFERROR(__xludf.DUMMYFUNCTION("""COMPUTED_VALUE"""),"Consumer, EG, SG, In house, IBG Traveler")</f>
        <v>Consumer, EG, SG, In house, IBG Traveler</v>
      </c>
      <c r="N712" s="258" t="str">
        <f>IFERROR(__xludf.DUMMYFUNCTION("""COMPUTED_VALUE"""),"interest")</f>
        <v>interest</v>
      </c>
      <c r="O712" s="258" t="str">
        <f>IFERROR(__xludf.DUMMYFUNCTION("""COMPUTED_VALUE"""),"network_profile")</f>
        <v>network_profile</v>
      </c>
      <c r="P712" s="258"/>
    </row>
    <row r="713">
      <c r="A713" s="257" t="str">
        <f>IFERROR(__xludf.DUMMYFUNCTION("""COMPUTED_VALUE"""),"womens_health_app_bucket")</f>
        <v>womens_health_app_bucket</v>
      </c>
      <c r="B713" s="258" t="str">
        <f>IFERROR(__xludf.DUMMYFUNCTION("""COMPUTED_VALUE"""),"Audience/Persona")</f>
        <v>Audience/Persona</v>
      </c>
      <c r="C713" s="258" t="str">
        <f>IFERROR(__xludf.DUMMYFUNCTION("""COMPUTED_VALUE"""),"Non-PII")</f>
        <v>Non-PII</v>
      </c>
      <c r="D713" s="258" t="str">
        <f>IFERROR(__xludf.DUMMYFUNCTION("""COMPUTED_VALUE"""),"Non-PII")</f>
        <v>Non-PII</v>
      </c>
      <c r="E713" s="258" t="str">
        <f>IFERROR(__xludf.DUMMYFUNCTION("""COMPUTED_VALUE"""),"Bucketing based on identified metric 
 Metric: Total Hits in a Month
 Valid values: 
 LOW: &lt;=2 hits
 MID: &gt; 2 hits &amp; &lt;=5
 HIGH: &gt;5 hits
 For wireline subscribers, only subscriptions within Metro Manila (including some areas in Rizal) and with DSL, VDS"&amp;"L and GPON technology value are covered.")</f>
        <v>Bucketing based on identified metric 
 Metric: Total Hits in a Month
 Valid values: 
 LOW: &lt;=2 hits
 MID: &gt; 2 hits &amp; &lt;=5
 HIGH: &gt;5 hits
 For wireline subscribers, only subscriptions within Metro Manila (including some areas in Rizal) and with DSL, VDSL and GPON technology value are covered.</v>
      </c>
      <c r="F713" s="258" t="str">
        <f>IFERROR(__xludf.DUMMYFUNCTION("""COMPUTED_VALUE"""),"Direct Pull")</f>
        <v>Direct Pull</v>
      </c>
      <c r="G713" s="258" t="str">
        <f>IFERROR(__xludf.DUMMYFUNCTION("""COMPUTED_VALUE"""),"varchar(1000)")</f>
        <v>varchar(1000)</v>
      </c>
      <c r="H713" s="258" t="str">
        <f>IFERROR(__xludf.DUMMYFUNCTION("""COMPUTED_VALUE"""),"LOW")</f>
        <v>LOW</v>
      </c>
      <c r="I713" s="258" t="str">
        <f>IFERROR(__xludf.DUMMYFUNCTION("""COMPUTED_VALUE"""),"EDO-UUP")</f>
        <v>EDO-UUP</v>
      </c>
      <c r="J713" s="258" t="str">
        <f>IFERROR(__xludf.DUMMYFUNCTION("""COMPUTED_VALUE"""),"Monthly")</f>
        <v>Monthly</v>
      </c>
      <c r="K713" s="258" t="str">
        <f>IFERROR(__xludf.DUMMYFUNCTION("""COMPUTED_VALUE"""),"")</f>
        <v/>
      </c>
      <c r="L713" s="258" t="str">
        <f>IFERROR(__xludf.DUMMYFUNCTION("""COMPUTED_VALUE"""),"GHP, GHP-PREPAID, TM, PW, GOMO, WIRELINE, BAYAN, GLOBE")</f>
        <v>GHP, GHP-PREPAID, TM, PW, GOMO, WIRELINE, BAYAN, GLOBE</v>
      </c>
      <c r="M713" s="258" t="str">
        <f>IFERROR(__xludf.DUMMYFUNCTION("""COMPUTED_VALUE"""),"Consumer, EG, SG, In house, IBG Traveler")</f>
        <v>Consumer, EG, SG, In house, IBG Traveler</v>
      </c>
      <c r="N713" s="258" t="str">
        <f>IFERROR(__xludf.DUMMYFUNCTION("""COMPUTED_VALUE"""),"interest")</f>
        <v>interest</v>
      </c>
      <c r="O713" s="258" t="str">
        <f>IFERROR(__xludf.DUMMYFUNCTION("""COMPUTED_VALUE"""),"network_profile")</f>
        <v>network_profile</v>
      </c>
      <c r="P713" s="258"/>
    </row>
    <row r="714">
      <c r="A714" s="257" t="str">
        <f>IFERROR(__xludf.DUMMYFUNCTION("""COMPUTED_VALUE"""),"womens_health_app_details")</f>
        <v>womens_health_app_details</v>
      </c>
      <c r="B714" s="258" t="str">
        <f>IFERROR(__xludf.DUMMYFUNCTION("""COMPUTED_VALUE"""),"Audience/Persona")</f>
        <v>Audience/Persona</v>
      </c>
      <c r="C714" s="258" t="str">
        <f>IFERROR(__xludf.DUMMYFUNCTION("""COMPUTED_VALUE"""),"Non-PII")</f>
        <v>Non-PII</v>
      </c>
      <c r="D714" s="258" t="str">
        <f>IFERROR(__xludf.DUMMYFUNCTION("""COMPUTED_VALUE"""),"Non-PII")</f>
        <v>Non-PII</v>
      </c>
      <c r="E714" s="258" t="str">
        <f>IFERROR(__xludf.DUMMYFUNCTION("""COMPUTED_VALUE"""),"Metric used and value for the Women's Health App User profile
 For wireline subscribers, only subscriptions within Metro Manila (including some areas in Rizal) and with DSL, VDSL and GPON technology value are covered.")</f>
        <v>Metric used and value for the Women's Health App User profile
 For wireline subscribers, only subscriptions within Metro Manila (including some areas in Rizal) and with DSL, VDSL and GPON technology value are covered.</v>
      </c>
      <c r="F714" s="258" t="str">
        <f>IFERROR(__xludf.DUMMYFUNCTION("""COMPUTED_VALUE"""),"Derived")</f>
        <v>Derived</v>
      </c>
      <c r="G714" s="258" t="str">
        <f>IFERROR(__xludf.DUMMYFUNCTION("""COMPUTED_VALUE"""),"varchar(1000)")</f>
        <v>varchar(1000)</v>
      </c>
      <c r="H714" s="258" t="str">
        <f>IFERROR(__xludf.DUMMYFUNCTION("""COMPUTED_VALUE"""),"{\Total Hits in a Month\"": 4}""")</f>
        <v>{\Total Hits in a Month\": 4}"</v>
      </c>
      <c r="I714" s="258" t="str">
        <f>IFERROR(__xludf.DUMMYFUNCTION("""COMPUTED_VALUE"""),"EDO-UUP")</f>
        <v>EDO-UUP</v>
      </c>
      <c r="J714" s="258" t="str">
        <f>IFERROR(__xludf.DUMMYFUNCTION("""COMPUTED_VALUE"""),"Monthly")</f>
        <v>Monthly</v>
      </c>
      <c r="K714" s="258" t="str">
        <f>IFERROR(__xludf.DUMMYFUNCTION("""COMPUTED_VALUE"""),"")</f>
        <v/>
      </c>
      <c r="L714" s="258" t="str">
        <f>IFERROR(__xludf.DUMMYFUNCTION("""COMPUTED_VALUE"""),"GHP, GHP-PREPAID, TM, PW, GOMO, WIRELINE, BAYAN, GLOBE")</f>
        <v>GHP, GHP-PREPAID, TM, PW, GOMO, WIRELINE, BAYAN, GLOBE</v>
      </c>
      <c r="M714" s="258" t="str">
        <f>IFERROR(__xludf.DUMMYFUNCTION("""COMPUTED_VALUE"""),"Consumer, EG, SG, In house, IBG Traveler")</f>
        <v>Consumer, EG, SG, In house, IBG Traveler</v>
      </c>
      <c r="N714" s="258" t="str">
        <f>IFERROR(__xludf.DUMMYFUNCTION("""COMPUTED_VALUE"""),"interest")</f>
        <v>interest</v>
      </c>
      <c r="O714" s="258" t="str">
        <f>IFERROR(__xludf.DUMMYFUNCTION("""COMPUTED_VALUE"""),"network_profile")</f>
        <v>network_profile</v>
      </c>
      <c r="P714" s="258"/>
    </row>
    <row r="715">
      <c r="A715" s="257" t="str">
        <f>IFERROR(__xludf.DUMMYFUNCTION("""COMPUTED_VALUE"""),"womens_health_top_apps")</f>
        <v>womens_health_top_apps</v>
      </c>
      <c r="B715" s="258" t="str">
        <f>IFERROR(__xludf.DUMMYFUNCTION("""COMPUTED_VALUE"""),"Audience/Persona")</f>
        <v>Audience/Persona</v>
      </c>
      <c r="C715" s="258" t="str">
        <f>IFERROR(__xludf.DUMMYFUNCTION("""COMPUTED_VALUE"""),"Non-PII")</f>
        <v>Non-PII</v>
      </c>
      <c r="D715" s="258" t="str">
        <f>IFERROR(__xludf.DUMMYFUNCTION("""COMPUTED_VALUE"""),"Non-PII")</f>
        <v>Non-PII</v>
      </c>
      <c r="E715" s="258" t="str">
        <f>IFERROR(__xludf.DUMMYFUNCTION("""COMPUTED_VALUE"""),"Top 1 app/site by data burn, total hits and active days categorized under the Women's Health App User profile
 For wireline subscribers, only subscriptions within Metro Manila (including some areas in Rizal) and with DSL, VDSL and GPON technology value "&amp;"are covered.")</f>
        <v>Top 1 app/site by data burn, total hits and active days categorized under the Women's Health App User profile
 For wireline subscribers, only subscriptions within Metro Manila (including some areas in Rizal) and with DSL, VDSL and GPON technology value are covered.</v>
      </c>
      <c r="F715" s="258" t="str">
        <f>IFERROR(__xludf.DUMMYFUNCTION("""COMPUTED_VALUE"""),"Derived")</f>
        <v>Derived</v>
      </c>
      <c r="G715" s="258" t="str">
        <f>IFERROR(__xludf.DUMMYFUNCTION("""COMPUTED_VALUE"""),"varchar(1000)")</f>
        <v>varchar(1000)</v>
      </c>
      <c r="H715" s="258" t="str">
        <f>IFERROR(__xludf.DUMMYFUNCTION("""COMPUTED_VALUE"""),"bellabeat")</f>
        <v>bellabeat</v>
      </c>
      <c r="I715" s="258" t="str">
        <f>IFERROR(__xludf.DUMMYFUNCTION("""COMPUTED_VALUE"""),"EDO-UUP")</f>
        <v>EDO-UUP</v>
      </c>
      <c r="J715" s="258" t="str">
        <f>IFERROR(__xludf.DUMMYFUNCTION("""COMPUTED_VALUE"""),"Monthly")</f>
        <v>Monthly</v>
      </c>
      <c r="K715" s="258" t="str">
        <f>IFERROR(__xludf.DUMMYFUNCTION("""COMPUTED_VALUE"""),"")</f>
        <v/>
      </c>
      <c r="L715" s="258" t="str">
        <f>IFERROR(__xludf.DUMMYFUNCTION("""COMPUTED_VALUE"""),"GHP, GHP-PREPAID, TM, PW, GOMO, WIRELINE, BAYAN, GLOBE")</f>
        <v>GHP, GHP-PREPAID, TM, PW, GOMO, WIRELINE, BAYAN, GLOBE</v>
      </c>
      <c r="M715" s="258" t="str">
        <f>IFERROR(__xludf.DUMMYFUNCTION("""COMPUTED_VALUE"""),"Consumer, EG, SG, In house, IBG Traveler")</f>
        <v>Consumer, EG, SG, In house, IBG Traveler</v>
      </c>
      <c r="N715" s="258" t="str">
        <f>IFERROR(__xludf.DUMMYFUNCTION("""COMPUTED_VALUE"""),"interest")</f>
        <v>interest</v>
      </c>
      <c r="O715" s="258" t="str">
        <f>IFERROR(__xludf.DUMMYFUNCTION("""COMPUTED_VALUE"""),"network_profile")</f>
        <v>network_profile</v>
      </c>
      <c r="P715" s="258"/>
    </row>
    <row r="716">
      <c r="A716" s="257" t="str">
        <f>IFERROR(__xludf.DUMMYFUNCTION("""COMPUTED_VALUE"""),"handset_brand_name_categorized")</f>
        <v>handset_brand_name_categorized</v>
      </c>
      <c r="B716" s="258" t="str">
        <f>IFERROR(__xludf.DUMMYFUNCTION("""COMPUTED_VALUE"""),"Globe ID")</f>
        <v>Globe ID</v>
      </c>
      <c r="C716" s="258" t="str">
        <f>IFERROR(__xludf.DUMMYFUNCTION("""COMPUTED_VALUE"""),"Non-PII")</f>
        <v>Non-PII</v>
      </c>
      <c r="D716" s="258" t="str">
        <f>IFERROR(__xludf.DUMMYFUNCTION("""COMPUTED_VALUE"""),"Non-PII")</f>
        <v>Non-PII</v>
      </c>
      <c r="E716" s="258" t="str">
        <f>IFERROR(__xludf.DUMMYFUNCTION("""COMPUTED_VALUE"""),"The categorized model name of the device.")</f>
        <v>The categorized model name of the device.</v>
      </c>
      <c r="F716" s="258" t="str">
        <f>IFERROR(__xludf.DUMMYFUNCTION("""COMPUTED_VALUE"""),"Derived")</f>
        <v>Derived</v>
      </c>
      <c r="G716" s="258" t="str">
        <f>IFERROR(__xludf.DUMMYFUNCTION("""COMPUTED_VALUE"""),"varchar(1000)")</f>
        <v>varchar(1000)</v>
      </c>
      <c r="H716" s="258" t="str">
        <f>IFERROR(__xludf.DUMMYFUNCTION("""COMPUTED_VALUE"""),"Samsung")</f>
        <v>Samsung</v>
      </c>
      <c r="I716" s="258" t="str">
        <f>IFERROR(__xludf.DUMMYFUNCTION("""COMPUTED_VALUE"""),"EDO-UUP")</f>
        <v>EDO-UUP</v>
      </c>
      <c r="J716" s="258" t="str">
        <f>IFERROR(__xludf.DUMMYFUNCTION("""COMPUTED_VALUE"""),"Daily")</f>
        <v>Daily</v>
      </c>
      <c r="K716" s="258" t="str">
        <f>IFERROR(__xludf.DUMMYFUNCTION("""COMPUTED_VALUE"""),"")</f>
        <v/>
      </c>
      <c r="L716" s="258" t="str">
        <f>IFERROR(__xludf.DUMMYFUNCTION("""COMPUTED_VALUE"""),"GHP, GHP-PREPAID, TM, PW, GOMO, WIRELINE")</f>
        <v>GHP, GHP-PREPAID, TM, PW, GOMO, WIRELINE</v>
      </c>
      <c r="M716" s="258" t="str">
        <f>IFERROR(__xludf.DUMMYFUNCTION("""COMPUTED_VALUE"""),"Consumer, EG, SG, In house, IBG Traveler")</f>
        <v>Consumer, EG, SG, In house, IBG Traveler</v>
      </c>
      <c r="N716" s="258" t="str">
        <f>IFERROR(__xludf.DUMMYFUNCTION("""COMPUTED_VALUE"""),"network")</f>
        <v>network</v>
      </c>
      <c r="O716" s="258" t="str">
        <f>IFERROR(__xludf.DUMMYFUNCTION("""COMPUTED_VALUE"""),"network_profile")</f>
        <v>network_profile</v>
      </c>
      <c r="P716" s="258"/>
    </row>
    <row r="717">
      <c r="A717" s="257" t="str">
        <f>IFERROR(__xludf.DUMMYFUNCTION("""COMPUTED_VALUE"""),"handset_os_name_categorized")</f>
        <v>handset_os_name_categorized</v>
      </c>
      <c r="B717" s="258" t="str">
        <f>IFERROR(__xludf.DUMMYFUNCTION("""COMPUTED_VALUE"""),"Globe ID")</f>
        <v>Globe ID</v>
      </c>
      <c r="C717" s="258" t="str">
        <f>IFERROR(__xludf.DUMMYFUNCTION("""COMPUTED_VALUE"""),"Non-PII")</f>
        <v>Non-PII</v>
      </c>
      <c r="D717" s="258" t="str">
        <f>IFERROR(__xludf.DUMMYFUNCTION("""COMPUTED_VALUE"""),"Non-PII")</f>
        <v>Non-PII</v>
      </c>
      <c r="E717" s="258" t="str">
        <f>IFERROR(__xludf.DUMMYFUNCTION("""COMPUTED_VALUE"""),"The categorized operating system of the device.")</f>
        <v>The categorized operating system of the device.</v>
      </c>
      <c r="F717" s="258" t="str">
        <f>IFERROR(__xludf.DUMMYFUNCTION("""COMPUTED_VALUE"""),"Derived")</f>
        <v>Derived</v>
      </c>
      <c r="G717" s="258" t="str">
        <f>IFERROR(__xludf.DUMMYFUNCTION("""COMPUTED_VALUE"""),"varchar(1000)")</f>
        <v>varchar(1000)</v>
      </c>
      <c r="H717" s="258" t="str">
        <f>IFERROR(__xludf.DUMMYFUNCTION("""COMPUTED_VALUE"""),"Android")</f>
        <v>Android</v>
      </c>
      <c r="I717" s="258" t="str">
        <f>IFERROR(__xludf.DUMMYFUNCTION("""COMPUTED_VALUE"""),"EDO-UUP")</f>
        <v>EDO-UUP</v>
      </c>
      <c r="J717" s="258" t="str">
        <f>IFERROR(__xludf.DUMMYFUNCTION("""COMPUTED_VALUE"""),"Daily")</f>
        <v>Daily</v>
      </c>
      <c r="K717" s="258" t="str">
        <f>IFERROR(__xludf.DUMMYFUNCTION("""COMPUTED_VALUE"""),"")</f>
        <v/>
      </c>
      <c r="L717" s="258" t="str">
        <f>IFERROR(__xludf.DUMMYFUNCTION("""COMPUTED_VALUE"""),"GHP, GHP-PREPAID, TM, PW, GOMO, WIRELINE")</f>
        <v>GHP, GHP-PREPAID, TM, PW, GOMO, WIRELINE</v>
      </c>
      <c r="M717" s="258" t="str">
        <f>IFERROR(__xludf.DUMMYFUNCTION("""COMPUTED_VALUE"""),"Consumer, EG, SG, In house, IBG Traveler")</f>
        <v>Consumer, EG, SG, In house, IBG Traveler</v>
      </c>
      <c r="N717" s="258" t="str">
        <f>IFERROR(__xludf.DUMMYFUNCTION("""COMPUTED_VALUE"""),"network")</f>
        <v>network</v>
      </c>
      <c r="O717" s="258" t="str">
        <f>IFERROR(__xludf.DUMMYFUNCTION("""COMPUTED_VALUE"""),"network_profile")</f>
        <v>network_profile</v>
      </c>
      <c r="P717" s="258"/>
    </row>
    <row r="718">
      <c r="A718" s="257" t="str">
        <f>IFERROR(__xludf.DUMMYFUNCTION("""COMPUTED_VALUE"""),"prepaid_spending_decline_month_on_month")</f>
        <v>prepaid_spending_decline_month_on_month</v>
      </c>
      <c r="B718" s="258" t="str">
        <f>IFERROR(__xludf.DUMMYFUNCTION("""COMPUTED_VALUE"""),"Behavioral")</f>
        <v>Behavioral</v>
      </c>
      <c r="C718" s="258" t="str">
        <f>IFERROR(__xludf.DUMMYFUNCTION("""COMPUTED_VALUE"""),"Non-PII")</f>
        <v>Non-PII</v>
      </c>
      <c r="D718" s="258" t="str">
        <f>IFERROR(__xludf.DUMMYFUNCTION("""COMPUTED_VALUE"""),"Non-PII")</f>
        <v>Non-PII</v>
      </c>
      <c r="E718" s="258" t="str">
        <f>IFERROR(__xludf.DUMMYFUNCTION("""COMPUTED_VALUE"""),"Percent decline of subscribers total spend month on month")</f>
        <v>Percent decline of subscribers total spend month on month</v>
      </c>
      <c r="F718" s="258" t="str">
        <f>IFERROR(__xludf.DUMMYFUNCTION("""COMPUTED_VALUE"""),"Derived")</f>
        <v>Derived</v>
      </c>
      <c r="G718" s="258" t="str">
        <f>IFERROR(__xludf.DUMMYFUNCTION("""COMPUTED_VALUE"""),"numeric(21,2)")</f>
        <v>numeric(21,2)</v>
      </c>
      <c r="H718" s="258">
        <f>IFERROR(__xludf.DUMMYFUNCTION("""COMPUTED_VALUE"""),-1.61)</f>
        <v>-1.61</v>
      </c>
      <c r="I718" s="258" t="str">
        <f>IFERROR(__xludf.DUMMYFUNCTION("""COMPUTED_VALUE"""),"CRM FVT")</f>
        <v>CRM FVT</v>
      </c>
      <c r="J718" s="258" t="str">
        <f>IFERROR(__xludf.DUMMYFUNCTION("""COMPUTED_VALUE"""),"Daily")</f>
        <v>Daily</v>
      </c>
      <c r="K718" s="258" t="str">
        <f>IFERROR(__xludf.DUMMYFUNCTION("""COMPUTED_VALUE"""),"")</f>
        <v/>
      </c>
      <c r="L718" s="258" t="str">
        <f>IFERROR(__xludf.DUMMYFUNCTION("""COMPUTED_VALUE"""),"GHP-PREPAID, TM, PW")</f>
        <v>GHP-PREPAID, TM, PW</v>
      </c>
      <c r="M718" s="258" t="str">
        <f>IFERROR(__xludf.DUMMYFUNCTION("""COMPUTED_VALUE"""),"Consumer, EG, SG, IBG Traveler")</f>
        <v>Consumer, EG, SG, IBG Traveler</v>
      </c>
      <c r="N718" s="258" t="str">
        <f>IFERROR(__xludf.DUMMYFUNCTION("""COMPUTED_VALUE"""),"revenue")</f>
        <v>revenue</v>
      </c>
      <c r="O718" s="258" t="str">
        <f>IFERROR(__xludf.DUMMYFUNCTION("""COMPUTED_VALUE"""),"revenue_profile")</f>
        <v>revenue_profile</v>
      </c>
      <c r="P718" s="258"/>
    </row>
    <row r="719">
      <c r="A719" s="257" t="str">
        <f>IFERROR(__xludf.DUMMYFUNCTION("""COMPUTED_VALUE"""),"prepaid_spending_decline_past_90days")</f>
        <v>prepaid_spending_decline_past_90days</v>
      </c>
      <c r="B719" s="258" t="str">
        <f>IFERROR(__xludf.DUMMYFUNCTION("""COMPUTED_VALUE"""),"Behavioral")</f>
        <v>Behavioral</v>
      </c>
      <c r="C719" s="258" t="str">
        <f>IFERROR(__xludf.DUMMYFUNCTION("""COMPUTED_VALUE"""),"Non-PII")</f>
        <v>Non-PII</v>
      </c>
      <c r="D719" s="258" t="str">
        <f>IFERROR(__xludf.DUMMYFUNCTION("""COMPUTED_VALUE"""),"Non-PII")</f>
        <v>Non-PII</v>
      </c>
      <c r="E719" s="258" t="str">
        <f>IFERROR(__xludf.DUMMYFUNCTION("""COMPUTED_VALUE"""),"Percent decline of subscribers total spendfor the past 3 months")</f>
        <v>Percent decline of subscribers total spendfor the past 3 months</v>
      </c>
      <c r="F719" s="258" t="str">
        <f>IFERROR(__xludf.DUMMYFUNCTION("""COMPUTED_VALUE"""),"Derived")</f>
        <v>Derived</v>
      </c>
      <c r="G719" s="258" t="str">
        <f>IFERROR(__xludf.DUMMYFUNCTION("""COMPUTED_VALUE"""),"numeric(21,2)")</f>
        <v>numeric(21,2)</v>
      </c>
      <c r="H719" s="258">
        <f>IFERROR(__xludf.DUMMYFUNCTION("""COMPUTED_VALUE"""),0.01)</f>
        <v>0.01</v>
      </c>
      <c r="I719" s="258" t="str">
        <f>IFERROR(__xludf.DUMMYFUNCTION("""COMPUTED_VALUE"""),"CRM FVT")</f>
        <v>CRM FVT</v>
      </c>
      <c r="J719" s="258" t="str">
        <f>IFERROR(__xludf.DUMMYFUNCTION("""COMPUTED_VALUE"""),"Daily")</f>
        <v>Daily</v>
      </c>
      <c r="K719" s="258" t="str">
        <f>IFERROR(__xludf.DUMMYFUNCTION("""COMPUTED_VALUE"""),"")</f>
        <v/>
      </c>
      <c r="L719" s="258" t="str">
        <f>IFERROR(__xludf.DUMMYFUNCTION("""COMPUTED_VALUE"""),"GHP-PREPAID, TM, PW")</f>
        <v>GHP-PREPAID, TM, PW</v>
      </c>
      <c r="M719" s="258" t="str">
        <f>IFERROR(__xludf.DUMMYFUNCTION("""COMPUTED_VALUE"""),"Consumer, EG, SG, IBG Traveler")</f>
        <v>Consumer, EG, SG, IBG Traveler</v>
      </c>
      <c r="N719" s="258" t="str">
        <f>IFERROR(__xludf.DUMMYFUNCTION("""COMPUTED_VALUE"""),"revenue")</f>
        <v>revenue</v>
      </c>
      <c r="O719" s="258" t="str">
        <f>IFERROR(__xludf.DUMMYFUNCTION("""COMPUTED_VALUE"""),"revenue_profile")</f>
        <v>revenue_profile</v>
      </c>
      <c r="P719" s="258"/>
    </row>
    <row r="720">
      <c r="A720" s="257" t="str">
        <f>IFERROR(__xludf.DUMMYFUNCTION("""COMPUTED_VALUE"""),"sports_buddy_indicator")</f>
        <v>sports_buddy_indicator</v>
      </c>
      <c r="B720" s="258" t="str">
        <f>IFERROR(__xludf.DUMMYFUNCTION("""COMPUTED_VALUE"""),"Audience/Persona")</f>
        <v>Audience/Persona</v>
      </c>
      <c r="C720" s="258" t="str">
        <f>IFERROR(__xludf.DUMMYFUNCTION("""COMPUTED_VALUE"""),"Non-PII")</f>
        <v>Non-PII</v>
      </c>
      <c r="D720" s="258" t="str">
        <f>IFERROR(__xludf.DUMMYFUNCTION("""COMPUTED_VALUE"""),"Non-PII")</f>
        <v>Non-PII</v>
      </c>
      <c r="E720" s="258" t="str">
        <f>IFERROR(__xludf.DUMMYFUNCTION("""COMPUTED_VALUE"""),"Indicator if a subscriber visits sports-focused apps or websites such as athletic_lab, chris_sports, decathlon
 For wireline subscribers, only subscriptions within Metro Manila (including some areas in Rizal) and with DSL, VDSL and GPON technology value"&amp;" are covered.")</f>
        <v>Indicator if a subscriber visits sports-focused apps or websites such as athletic_lab, chris_sports, decathlon
 For wireline subscribers, only subscriptions within Metro Manila (including some areas in Rizal) and with DSL, VDSL and GPON technology value are covered.</v>
      </c>
      <c r="F720" s="258" t="str">
        <f>IFERROR(__xludf.DUMMYFUNCTION("""COMPUTED_VALUE"""),"Derived")</f>
        <v>Derived</v>
      </c>
      <c r="G720" s="258" t="str">
        <f>IFERROR(__xludf.DUMMYFUNCTION("""COMPUTED_VALUE"""),"boolean")</f>
        <v>boolean</v>
      </c>
      <c r="H720" s="258" t="b">
        <f>IFERROR(__xludf.DUMMYFUNCTION("""COMPUTED_VALUE"""),TRUE)</f>
        <v>1</v>
      </c>
      <c r="I720" s="258" t="str">
        <f>IFERROR(__xludf.DUMMYFUNCTION("""COMPUTED_VALUE"""),"EDO-UUP")</f>
        <v>EDO-UUP</v>
      </c>
      <c r="J720" s="258" t="str">
        <f>IFERROR(__xludf.DUMMYFUNCTION("""COMPUTED_VALUE"""),"Monthly")</f>
        <v>Monthly</v>
      </c>
      <c r="K720" s="258" t="str">
        <f>IFERROR(__xludf.DUMMYFUNCTION("""COMPUTED_VALUE"""),"")</f>
        <v/>
      </c>
      <c r="L720" s="258" t="str">
        <f>IFERROR(__xludf.DUMMYFUNCTION("""COMPUTED_VALUE"""),"GHP, GHP-PREPAID, TM, PW, GOMO, WIRELINE, BAYAN, GLOBE")</f>
        <v>GHP, GHP-PREPAID, TM, PW, GOMO, WIRELINE, BAYAN, GLOBE</v>
      </c>
      <c r="M720" s="258" t="str">
        <f>IFERROR(__xludf.DUMMYFUNCTION("""COMPUTED_VALUE"""),"Consumer, EG, SG, In house, IBG Traveler")</f>
        <v>Consumer, EG, SG, In house, IBG Traveler</v>
      </c>
      <c r="N720" s="258" t="str">
        <f>IFERROR(__xludf.DUMMYFUNCTION("""COMPUTED_VALUE"""),"interest")</f>
        <v>interest</v>
      </c>
      <c r="O720" s="258" t="str">
        <f>IFERROR(__xludf.DUMMYFUNCTION("""COMPUTED_VALUE"""),"network_profile")</f>
        <v>network_profile</v>
      </c>
      <c r="P720" s="258"/>
    </row>
    <row r="721">
      <c r="A721" s="257" t="str">
        <f>IFERROR(__xludf.DUMMYFUNCTION("""COMPUTED_VALUE"""),"sports_buddy_bucket")</f>
        <v>sports_buddy_bucket</v>
      </c>
      <c r="B721" s="258" t="str">
        <f>IFERROR(__xludf.DUMMYFUNCTION("""COMPUTED_VALUE"""),"Audience/Persona")</f>
        <v>Audience/Persona</v>
      </c>
      <c r="C721" s="258" t="str">
        <f>IFERROR(__xludf.DUMMYFUNCTION("""COMPUTED_VALUE"""),"Non-PII")</f>
        <v>Non-PII</v>
      </c>
      <c r="D721" s="258" t="str">
        <f>IFERROR(__xludf.DUMMYFUNCTION("""COMPUTED_VALUE"""),"Non-PII")</f>
        <v>Non-PII</v>
      </c>
      <c r="E721" s="258" t="str">
        <f>IFERROR(__xludf.DUMMYFUNCTION("""COMPUTED_VALUE"""),"Bucketing based on identified metric 
 Metric: Total Hits in a Month
 Valid values: 
 LOW: = 1 hits
 MID: = 2 hits
 HIGH: &gt;=3 hits
 For wireline subscribers, only subscriptions within Metro Manila (including some areas in Rizal) and with DSL, VDSL and"&amp;" GPON technology value are covered.")</f>
        <v>Bucketing based on identified metric 
 Metric: Total Hits in a Month
 Valid values: 
 LOW: = 1 hits
 MID: = 2 hits
 HIGH: &gt;=3 hits
 For wireline subscribers, only subscriptions within Metro Manila (including some areas in Rizal) and with DSL, VDSL and GPON technology value are covered.</v>
      </c>
      <c r="F721" s="258" t="str">
        <f>IFERROR(__xludf.DUMMYFUNCTION("""COMPUTED_VALUE"""),"Direct Pull")</f>
        <v>Direct Pull</v>
      </c>
      <c r="G721" s="258" t="str">
        <f>IFERROR(__xludf.DUMMYFUNCTION("""COMPUTED_VALUE"""),"varchar(1000)")</f>
        <v>varchar(1000)</v>
      </c>
      <c r="H721" s="258" t="str">
        <f>IFERROR(__xludf.DUMMYFUNCTION("""COMPUTED_VALUE"""),"LOW")</f>
        <v>LOW</v>
      </c>
      <c r="I721" s="258" t="str">
        <f>IFERROR(__xludf.DUMMYFUNCTION("""COMPUTED_VALUE"""),"EDO-UUP")</f>
        <v>EDO-UUP</v>
      </c>
      <c r="J721" s="258" t="str">
        <f>IFERROR(__xludf.DUMMYFUNCTION("""COMPUTED_VALUE"""),"Monthly")</f>
        <v>Monthly</v>
      </c>
      <c r="K721" s="258" t="str">
        <f>IFERROR(__xludf.DUMMYFUNCTION("""COMPUTED_VALUE"""),"")</f>
        <v/>
      </c>
      <c r="L721" s="258" t="str">
        <f>IFERROR(__xludf.DUMMYFUNCTION("""COMPUTED_VALUE"""),"GHP, GHP-PREPAID, TM, PW, GOMO, WIRELINE, BAYAN, GLOBE")</f>
        <v>GHP, GHP-PREPAID, TM, PW, GOMO, WIRELINE, BAYAN, GLOBE</v>
      </c>
      <c r="M721" s="258" t="str">
        <f>IFERROR(__xludf.DUMMYFUNCTION("""COMPUTED_VALUE"""),"Consumer, EG, SG, In house, IBG Traveler")</f>
        <v>Consumer, EG, SG, In house, IBG Traveler</v>
      </c>
      <c r="N721" s="258" t="str">
        <f>IFERROR(__xludf.DUMMYFUNCTION("""COMPUTED_VALUE"""),"interest")</f>
        <v>interest</v>
      </c>
      <c r="O721" s="258" t="str">
        <f>IFERROR(__xludf.DUMMYFUNCTION("""COMPUTED_VALUE"""),"network_profile")</f>
        <v>network_profile</v>
      </c>
      <c r="P721" s="258"/>
    </row>
    <row r="722">
      <c r="A722" s="257" t="str">
        <f>IFERROR(__xludf.DUMMYFUNCTION("""COMPUTED_VALUE"""),"sports_buddy_details")</f>
        <v>sports_buddy_details</v>
      </c>
      <c r="B722" s="258" t="str">
        <f>IFERROR(__xludf.DUMMYFUNCTION("""COMPUTED_VALUE"""),"Audience/Persona")</f>
        <v>Audience/Persona</v>
      </c>
      <c r="C722" s="258" t="str">
        <f>IFERROR(__xludf.DUMMYFUNCTION("""COMPUTED_VALUE"""),"Non-PII")</f>
        <v>Non-PII</v>
      </c>
      <c r="D722" s="258" t="str">
        <f>IFERROR(__xludf.DUMMYFUNCTION("""COMPUTED_VALUE"""),"Non-PII")</f>
        <v>Non-PII</v>
      </c>
      <c r="E722" s="258" t="str">
        <f>IFERROR(__xludf.DUMMYFUNCTION("""COMPUTED_VALUE"""),"Metric used and value for Sports Buddy profile
 For wireline subscribers, only subscriptions within Metro Manila (including some areas in Rizal) and with DSL, VDSL and GPON technology value are covered.")</f>
        <v>Metric used and value for Sports Buddy profile
 For wireline subscribers, only subscriptions within Metro Manila (including some areas in Rizal) and with DSL, VDSL and GPON technology value are covered.</v>
      </c>
      <c r="F722" s="258" t="str">
        <f>IFERROR(__xludf.DUMMYFUNCTION("""COMPUTED_VALUE"""),"Derived")</f>
        <v>Derived</v>
      </c>
      <c r="G722" s="258" t="str">
        <f>IFERROR(__xludf.DUMMYFUNCTION("""COMPUTED_VALUE"""),"varchar(1000)")</f>
        <v>varchar(1000)</v>
      </c>
      <c r="H722" s="258" t="str">
        <f>IFERROR(__xludf.DUMMYFUNCTION("""COMPUTED_VALUE"""),"{""Total Hits in a Month"": 1}")</f>
        <v>{"Total Hits in a Month": 1}</v>
      </c>
      <c r="I722" s="258" t="str">
        <f>IFERROR(__xludf.DUMMYFUNCTION("""COMPUTED_VALUE"""),"EDO-UUP")</f>
        <v>EDO-UUP</v>
      </c>
      <c r="J722" s="258" t="str">
        <f>IFERROR(__xludf.DUMMYFUNCTION("""COMPUTED_VALUE"""),"Monthly")</f>
        <v>Monthly</v>
      </c>
      <c r="K722" s="258" t="str">
        <f>IFERROR(__xludf.DUMMYFUNCTION("""COMPUTED_VALUE"""),"")</f>
        <v/>
      </c>
      <c r="L722" s="258" t="str">
        <f>IFERROR(__xludf.DUMMYFUNCTION("""COMPUTED_VALUE"""),"GHP, GHP-PREPAID, TM, PW, GOMO, WIRELINE, BAYAN, GLOBE")</f>
        <v>GHP, GHP-PREPAID, TM, PW, GOMO, WIRELINE, BAYAN, GLOBE</v>
      </c>
      <c r="M722" s="258" t="str">
        <f>IFERROR(__xludf.DUMMYFUNCTION("""COMPUTED_VALUE"""),"Consumer, EG, SG, In house, IBG Traveler")</f>
        <v>Consumer, EG, SG, In house, IBG Traveler</v>
      </c>
      <c r="N722" s="258" t="str">
        <f>IFERROR(__xludf.DUMMYFUNCTION("""COMPUTED_VALUE"""),"interest")</f>
        <v>interest</v>
      </c>
      <c r="O722" s="258" t="str">
        <f>IFERROR(__xludf.DUMMYFUNCTION("""COMPUTED_VALUE"""),"network_profile")</f>
        <v>network_profile</v>
      </c>
      <c r="P722" s="258"/>
    </row>
    <row r="723">
      <c r="A723" s="257" t="str">
        <f>IFERROR(__xludf.DUMMYFUNCTION("""COMPUTED_VALUE"""),"sports_buddy_top_apps")</f>
        <v>sports_buddy_top_apps</v>
      </c>
      <c r="B723" s="258" t="str">
        <f>IFERROR(__xludf.DUMMYFUNCTION("""COMPUTED_VALUE"""),"Audience/Persona")</f>
        <v>Audience/Persona</v>
      </c>
      <c r="C723" s="258" t="str">
        <f>IFERROR(__xludf.DUMMYFUNCTION("""COMPUTED_VALUE"""),"Non-PII")</f>
        <v>Non-PII</v>
      </c>
      <c r="D723" s="258" t="str">
        <f>IFERROR(__xludf.DUMMYFUNCTION("""COMPUTED_VALUE"""),"Non-PII")</f>
        <v>Non-PII</v>
      </c>
      <c r="E723" s="258" t="str">
        <f>IFERROR(__xludf.DUMMYFUNCTION("""COMPUTED_VALUE"""),"Top 1 app/site by data burn and hits categorized under the Sports Buddy profile
 For wireline subscribers, only subscriptions within Metro Manila (including some areas in Rizal) and with DSL, VDSL and GPON technology value are covered.")</f>
        <v>Top 1 app/site by data burn and hits categorized under the Sports Buddy profile
 For wireline subscribers, only subscriptions within Metro Manila (including some areas in Rizal) and with DSL, VDSL and GPON technology value are covered.</v>
      </c>
      <c r="F723" s="258" t="str">
        <f>IFERROR(__xludf.DUMMYFUNCTION("""COMPUTED_VALUE"""),"Derived")</f>
        <v>Derived</v>
      </c>
      <c r="G723" s="258" t="str">
        <f>IFERROR(__xludf.DUMMYFUNCTION("""COMPUTED_VALUE"""),"varchar(1000)")</f>
        <v>varchar(1000)</v>
      </c>
      <c r="H723" s="258" t="str">
        <f>IFERROR(__xludf.DUMMYFUNCTION("""COMPUTED_VALUE"""),"decathlon")</f>
        <v>decathlon</v>
      </c>
      <c r="I723" s="258" t="str">
        <f>IFERROR(__xludf.DUMMYFUNCTION("""COMPUTED_VALUE"""),"EDO-UUP")</f>
        <v>EDO-UUP</v>
      </c>
      <c r="J723" s="258" t="str">
        <f>IFERROR(__xludf.DUMMYFUNCTION("""COMPUTED_VALUE"""),"Monthly")</f>
        <v>Monthly</v>
      </c>
      <c r="K723" s="258" t="str">
        <f>IFERROR(__xludf.DUMMYFUNCTION("""COMPUTED_VALUE"""),"")</f>
        <v/>
      </c>
      <c r="L723" s="258" t="str">
        <f>IFERROR(__xludf.DUMMYFUNCTION("""COMPUTED_VALUE"""),"GHP, GHP-PREPAID, TM, PW, GOMO, WIRELINE, BAYAN, GLOBE")</f>
        <v>GHP, GHP-PREPAID, TM, PW, GOMO, WIRELINE, BAYAN, GLOBE</v>
      </c>
      <c r="M723" s="258" t="str">
        <f>IFERROR(__xludf.DUMMYFUNCTION("""COMPUTED_VALUE"""),"Consumer, EG, SG, In house, IBG Traveler")</f>
        <v>Consumer, EG, SG, In house, IBG Traveler</v>
      </c>
      <c r="N723" s="258" t="str">
        <f>IFERROR(__xludf.DUMMYFUNCTION("""COMPUTED_VALUE"""),"interest")</f>
        <v>interest</v>
      </c>
      <c r="O723" s="258" t="str">
        <f>IFERROR(__xludf.DUMMYFUNCTION("""COMPUTED_VALUE"""),"network_profile")</f>
        <v>network_profile</v>
      </c>
      <c r="P723" s="258"/>
    </row>
    <row r="724">
      <c r="A724" s="257" t="str">
        <f>IFERROR(__xludf.DUMMYFUNCTION("""COMPUTED_VALUE"""),"crypto_wallet_user_indicator")</f>
        <v>crypto_wallet_user_indicator</v>
      </c>
      <c r="B724" s="258" t="str">
        <f>IFERROR(__xludf.DUMMYFUNCTION("""COMPUTED_VALUE"""),"Audience/Persona")</f>
        <v>Audience/Persona</v>
      </c>
      <c r="C724" s="258" t="str">
        <f>IFERROR(__xludf.DUMMYFUNCTION("""COMPUTED_VALUE"""),"Non-PII")</f>
        <v>Non-PII</v>
      </c>
      <c r="D724" s="258" t="str">
        <f>IFERROR(__xludf.DUMMYFUNCTION("""COMPUTED_VALUE"""),"Non-PII")</f>
        <v>Non-PII</v>
      </c>
      <c r="E724" s="258" t="str">
        <f>IFERROR(__xludf.DUMMYFUNCTION("""COMPUTED_VALUE"""),"Indicator if a subscriber visits/uses cryptocurrency applications or sites like Binance, Juan Exchange, Paylance, etc
 For wireline subscribers, only subscriptions within Metro Manila (including some areas in Rizal) and with DSL, VDSL and GPON technolog"&amp;"y value are covered.")</f>
        <v>Indicator if a subscriber visits/uses cryptocurrency applications or sites like Binance, Juan Exchange, Paylance, etc
 For wireline subscribers, only subscriptions within Metro Manila (including some areas in Rizal) and with DSL, VDSL and GPON technology value are covered.</v>
      </c>
      <c r="F724" s="258" t="str">
        <f>IFERROR(__xludf.DUMMYFUNCTION("""COMPUTED_VALUE"""),"Derived")</f>
        <v>Derived</v>
      </c>
      <c r="G724" s="258" t="str">
        <f>IFERROR(__xludf.DUMMYFUNCTION("""COMPUTED_VALUE"""),"boolean")</f>
        <v>boolean</v>
      </c>
      <c r="H724" s="258" t="b">
        <f>IFERROR(__xludf.DUMMYFUNCTION("""COMPUTED_VALUE"""),TRUE)</f>
        <v>1</v>
      </c>
      <c r="I724" s="258" t="str">
        <f>IFERROR(__xludf.DUMMYFUNCTION("""COMPUTED_VALUE"""),"EDO-UUP")</f>
        <v>EDO-UUP</v>
      </c>
      <c r="J724" s="258" t="str">
        <f>IFERROR(__xludf.DUMMYFUNCTION("""COMPUTED_VALUE"""),"Monthly")</f>
        <v>Monthly</v>
      </c>
      <c r="K724" s="258" t="str">
        <f>IFERROR(__xludf.DUMMYFUNCTION("""COMPUTED_VALUE"""),"")</f>
        <v/>
      </c>
      <c r="L724" s="258" t="str">
        <f>IFERROR(__xludf.DUMMYFUNCTION("""COMPUTED_VALUE"""),"GHP, GHP-PREPAID, TM, PW, GOMO, WIRELINE, BAYAN, GLOBE")</f>
        <v>GHP, GHP-PREPAID, TM, PW, GOMO, WIRELINE, BAYAN, GLOBE</v>
      </c>
      <c r="M724" s="258" t="str">
        <f>IFERROR(__xludf.DUMMYFUNCTION("""COMPUTED_VALUE"""),"Consumer, EG, SG, In house, IBG Traveler")</f>
        <v>Consumer, EG, SG, In house, IBG Traveler</v>
      </c>
      <c r="N724" s="258" t="str">
        <f>IFERROR(__xludf.DUMMYFUNCTION("""COMPUTED_VALUE"""),"interest")</f>
        <v>interest</v>
      </c>
      <c r="O724" s="258" t="str">
        <f>IFERROR(__xludf.DUMMYFUNCTION("""COMPUTED_VALUE"""),"network_profile")</f>
        <v>network_profile</v>
      </c>
      <c r="P724" s="258"/>
    </row>
    <row r="725">
      <c r="A725" s="257" t="str">
        <f>IFERROR(__xludf.DUMMYFUNCTION("""COMPUTED_VALUE"""),"crypto_wallet_user_bucket")</f>
        <v>crypto_wallet_user_bucket</v>
      </c>
      <c r="B725" s="258" t="str">
        <f>IFERROR(__xludf.DUMMYFUNCTION("""COMPUTED_VALUE"""),"Audience/Persona")</f>
        <v>Audience/Persona</v>
      </c>
      <c r="C725" s="258" t="str">
        <f>IFERROR(__xludf.DUMMYFUNCTION("""COMPUTED_VALUE"""),"Non-PII")</f>
        <v>Non-PII</v>
      </c>
      <c r="D725" s="258" t="str">
        <f>IFERROR(__xludf.DUMMYFUNCTION("""COMPUTED_VALUE"""),"Non-PII")</f>
        <v>Non-PII</v>
      </c>
      <c r="E725" s="258" t="str">
        <f>IFERROR(__xludf.DUMMYFUNCTION("""COMPUTED_VALUE"""),"Bucketing based on identified metric 
 Metric: Number of Active Days in a Month
 Valid values: 
 LOW: &lt;=3 active days
 MID: &gt; 3 &amp; &lt;=7 active days
 HIGH: &gt; 7 active days
 For wireline subscribers, only subscriptions within Metro Manila (including some "&amp;"areas in Rizal) and with DSL, VDSL and GPON technology value are covered.")</f>
        <v>Bucketing based on identified metric 
 Metric: Number of Active Days in a Month
 Valid values: 
 LOW: &lt;=3 active days
 MID: &gt; 3 &amp; &lt;=7 active days
 HIGH: &gt; 7 active days
 For wireline subscribers, only subscriptions within Metro Manila (including some areas in Rizal) and with DSL, VDSL and GPON technology value are covered.</v>
      </c>
      <c r="F725" s="258" t="str">
        <f>IFERROR(__xludf.DUMMYFUNCTION("""COMPUTED_VALUE"""),"Direct Pull")</f>
        <v>Direct Pull</v>
      </c>
      <c r="G725" s="258" t="str">
        <f>IFERROR(__xludf.DUMMYFUNCTION("""COMPUTED_VALUE"""),"varchar(1000)")</f>
        <v>varchar(1000)</v>
      </c>
      <c r="H725" s="258" t="str">
        <f>IFERROR(__xludf.DUMMYFUNCTION("""COMPUTED_VALUE"""),"LOW")</f>
        <v>LOW</v>
      </c>
      <c r="I725" s="258" t="str">
        <f>IFERROR(__xludf.DUMMYFUNCTION("""COMPUTED_VALUE"""),"EDO-UUP")</f>
        <v>EDO-UUP</v>
      </c>
      <c r="J725" s="258" t="str">
        <f>IFERROR(__xludf.DUMMYFUNCTION("""COMPUTED_VALUE"""),"Monthly")</f>
        <v>Monthly</v>
      </c>
      <c r="K725" s="258" t="str">
        <f>IFERROR(__xludf.DUMMYFUNCTION("""COMPUTED_VALUE"""),"")</f>
        <v/>
      </c>
      <c r="L725" s="258" t="str">
        <f>IFERROR(__xludf.DUMMYFUNCTION("""COMPUTED_VALUE"""),"GHP, GHP-PREPAID, TM, PW, GOMO, WIRELINE, BAYAN, GLOBE")</f>
        <v>GHP, GHP-PREPAID, TM, PW, GOMO, WIRELINE, BAYAN, GLOBE</v>
      </c>
      <c r="M725" s="258" t="str">
        <f>IFERROR(__xludf.DUMMYFUNCTION("""COMPUTED_VALUE"""),"Consumer, EG, SG, In house, IBG Traveler")</f>
        <v>Consumer, EG, SG, In house, IBG Traveler</v>
      </c>
      <c r="N725" s="258" t="str">
        <f>IFERROR(__xludf.DUMMYFUNCTION("""COMPUTED_VALUE"""),"interest")</f>
        <v>interest</v>
      </c>
      <c r="O725" s="258" t="str">
        <f>IFERROR(__xludf.DUMMYFUNCTION("""COMPUTED_VALUE"""),"network_profile")</f>
        <v>network_profile</v>
      </c>
      <c r="P725" s="258"/>
    </row>
    <row r="726">
      <c r="A726" s="257" t="str">
        <f>IFERROR(__xludf.DUMMYFUNCTION("""COMPUTED_VALUE"""),"crypto_wallet_user_details")</f>
        <v>crypto_wallet_user_details</v>
      </c>
      <c r="B726" s="258" t="str">
        <f>IFERROR(__xludf.DUMMYFUNCTION("""COMPUTED_VALUE"""),"Audience/Persona")</f>
        <v>Audience/Persona</v>
      </c>
      <c r="C726" s="258" t="str">
        <f>IFERROR(__xludf.DUMMYFUNCTION("""COMPUTED_VALUE"""),"Non-PII")</f>
        <v>Non-PII</v>
      </c>
      <c r="D726" s="258" t="str">
        <f>IFERROR(__xludf.DUMMYFUNCTION("""COMPUTED_VALUE"""),"Non-PII")</f>
        <v>Non-PII</v>
      </c>
      <c r="E726" s="258" t="str">
        <f>IFERROR(__xludf.DUMMYFUNCTION("""COMPUTED_VALUE"""),"Metric used and value for the Crypto Wallet User profile
 For wireline subscribers, only subscriptions within Metro Manila (including some areas in Rizal) and with DSL, VDSL and GPON technology value are covered.")</f>
        <v>Metric used and value for the Crypto Wallet User profile
 For wireline subscribers, only subscriptions within Metro Manila (including some areas in Rizal) and with DSL, VDSL and GPON technology value are covered.</v>
      </c>
      <c r="F726" s="258" t="str">
        <f>IFERROR(__xludf.DUMMYFUNCTION("""COMPUTED_VALUE"""),"Derived")</f>
        <v>Derived</v>
      </c>
      <c r="G726" s="258" t="str">
        <f>IFERROR(__xludf.DUMMYFUNCTION("""COMPUTED_VALUE"""),"varchar(1000)")</f>
        <v>varchar(1000)</v>
      </c>
      <c r="H726" s="258" t="str">
        <f>IFERROR(__xludf.DUMMYFUNCTION("""COMPUTED_VALUE"""),"{\Total Hits in a Month\"": 4}""")</f>
        <v>{\Total Hits in a Month\": 4}"</v>
      </c>
      <c r="I726" s="258" t="str">
        <f>IFERROR(__xludf.DUMMYFUNCTION("""COMPUTED_VALUE"""),"EDO-UUP")</f>
        <v>EDO-UUP</v>
      </c>
      <c r="J726" s="258" t="str">
        <f>IFERROR(__xludf.DUMMYFUNCTION("""COMPUTED_VALUE"""),"Monthly")</f>
        <v>Monthly</v>
      </c>
      <c r="K726" s="258" t="str">
        <f>IFERROR(__xludf.DUMMYFUNCTION("""COMPUTED_VALUE"""),"")</f>
        <v/>
      </c>
      <c r="L726" s="258" t="str">
        <f>IFERROR(__xludf.DUMMYFUNCTION("""COMPUTED_VALUE"""),"GHP, GHP-PREPAID, TM, PW, GOMO, WIRELINE, BAYAN, GLOBE")</f>
        <v>GHP, GHP-PREPAID, TM, PW, GOMO, WIRELINE, BAYAN, GLOBE</v>
      </c>
      <c r="M726" s="258" t="str">
        <f>IFERROR(__xludf.DUMMYFUNCTION("""COMPUTED_VALUE"""),"Consumer, EG, SG, In house, IBG Traveler")</f>
        <v>Consumer, EG, SG, In house, IBG Traveler</v>
      </c>
      <c r="N726" s="258" t="str">
        <f>IFERROR(__xludf.DUMMYFUNCTION("""COMPUTED_VALUE"""),"interest")</f>
        <v>interest</v>
      </c>
      <c r="O726" s="258" t="str">
        <f>IFERROR(__xludf.DUMMYFUNCTION("""COMPUTED_VALUE"""),"network_profile")</f>
        <v>network_profile</v>
      </c>
      <c r="P726" s="258"/>
    </row>
    <row r="727">
      <c r="A727" s="257" t="str">
        <f>IFERROR(__xludf.DUMMYFUNCTION("""COMPUTED_VALUE"""),"crypto_wallet_user_top_apps")</f>
        <v>crypto_wallet_user_top_apps</v>
      </c>
      <c r="B727" s="258" t="str">
        <f>IFERROR(__xludf.DUMMYFUNCTION("""COMPUTED_VALUE"""),"Audience/Persona")</f>
        <v>Audience/Persona</v>
      </c>
      <c r="C727" s="258" t="str">
        <f>IFERROR(__xludf.DUMMYFUNCTION("""COMPUTED_VALUE"""),"Non-PII")</f>
        <v>Non-PII</v>
      </c>
      <c r="D727" s="258" t="str">
        <f>IFERROR(__xludf.DUMMYFUNCTION("""COMPUTED_VALUE"""),"Non-PII")</f>
        <v>Non-PII</v>
      </c>
      <c r="E727" s="258" t="str">
        <f>IFERROR(__xludf.DUMMYFUNCTION("""COMPUTED_VALUE"""),"Top 1 app/site by data burn, total hits and active days categorized under the Crypto Wallet User profile
 For wireline subscribers, only subscriptions within Metro Manila (including some areas in Rizal) and with DSL, VDSL and GPON technology value are c"&amp;"overed.")</f>
        <v>Top 1 app/site by data burn, total hits and active days categorized under the Crypto Wallet User profile
 For wireline subscribers, only subscriptions within Metro Manila (including some areas in Rizal) and with DSL, VDSL and GPON technology value are covered.</v>
      </c>
      <c r="F727" s="258" t="str">
        <f>IFERROR(__xludf.DUMMYFUNCTION("""COMPUTED_VALUE"""),"Derived")</f>
        <v>Derived</v>
      </c>
      <c r="G727" s="258" t="str">
        <f>IFERROR(__xludf.DUMMYFUNCTION("""COMPUTED_VALUE"""),"varchar(1000)")</f>
        <v>varchar(1000)</v>
      </c>
      <c r="H727" s="258" t="str">
        <f>IFERROR(__xludf.DUMMYFUNCTION("""COMPUTED_VALUE"""),"lbank")</f>
        <v>lbank</v>
      </c>
      <c r="I727" s="258" t="str">
        <f>IFERROR(__xludf.DUMMYFUNCTION("""COMPUTED_VALUE"""),"EDO-UUP")</f>
        <v>EDO-UUP</v>
      </c>
      <c r="J727" s="258" t="str">
        <f>IFERROR(__xludf.DUMMYFUNCTION("""COMPUTED_VALUE"""),"Monthly")</f>
        <v>Monthly</v>
      </c>
      <c r="K727" s="258" t="str">
        <f>IFERROR(__xludf.DUMMYFUNCTION("""COMPUTED_VALUE"""),"")</f>
        <v/>
      </c>
      <c r="L727" s="258" t="str">
        <f>IFERROR(__xludf.DUMMYFUNCTION("""COMPUTED_VALUE"""),"GHP, GHP-PREPAID, TM, PW, GOMO, WIRELINE, BAYAN, GLOBE")</f>
        <v>GHP, GHP-PREPAID, TM, PW, GOMO, WIRELINE, BAYAN, GLOBE</v>
      </c>
      <c r="M727" s="258" t="str">
        <f>IFERROR(__xludf.DUMMYFUNCTION("""COMPUTED_VALUE"""),"Consumer, EG, SG, In house, IBG Traveler")</f>
        <v>Consumer, EG, SG, In house, IBG Traveler</v>
      </c>
      <c r="N727" s="258" t="str">
        <f>IFERROR(__xludf.DUMMYFUNCTION("""COMPUTED_VALUE"""),"interest")</f>
        <v>interest</v>
      </c>
      <c r="O727" s="258" t="str">
        <f>IFERROR(__xludf.DUMMYFUNCTION("""COMPUTED_VALUE"""),"network_profile")</f>
        <v>network_profile</v>
      </c>
      <c r="P727" s="258"/>
    </row>
    <row r="728">
      <c r="A728" s="257" t="str">
        <f>IFERROR(__xludf.DUMMYFUNCTION("""COMPUTED_VALUE"""),"plant_parent_indicator")</f>
        <v>plant_parent_indicator</v>
      </c>
      <c r="B728" s="258" t="str">
        <f>IFERROR(__xludf.DUMMYFUNCTION("""COMPUTED_VALUE"""),"Audience/Persona")</f>
        <v>Audience/Persona</v>
      </c>
      <c r="C728" s="258" t="str">
        <f>IFERROR(__xludf.DUMMYFUNCTION("""COMPUTED_VALUE"""),"Non-PII")</f>
        <v>Non-PII</v>
      </c>
      <c r="D728" s="258" t="str">
        <f>IFERROR(__xludf.DUMMYFUNCTION("""COMPUTED_VALUE"""),"Non-PII")</f>
        <v>Non-PII</v>
      </c>
      <c r="E728" s="258" t="str">
        <f>IFERROR(__xludf.DUMMYFUNCTION("""COMPUTED_VALUE"""),"Indicator if a subscriber visits/uses plant applications or sites like Leafsnap, Shopleaf, Plantiary, etc
 For wireline subscribers, only subscriptions within Metro Manila (including some areas in Rizal) and with DSL, VDSL and GPON technology value are "&amp;"covered.")</f>
        <v>Indicator if a subscriber visits/uses plant applications or sites like Leafsnap, Shopleaf, Plantiary, etc
 For wireline subscribers, only subscriptions within Metro Manila (including some areas in Rizal) and with DSL, VDSL and GPON technology value are covered.</v>
      </c>
      <c r="F728" s="258" t="str">
        <f>IFERROR(__xludf.DUMMYFUNCTION("""COMPUTED_VALUE"""),"Derived")</f>
        <v>Derived</v>
      </c>
      <c r="G728" s="258" t="str">
        <f>IFERROR(__xludf.DUMMYFUNCTION("""COMPUTED_VALUE"""),"boolean")</f>
        <v>boolean</v>
      </c>
      <c r="H728" s="258" t="b">
        <f>IFERROR(__xludf.DUMMYFUNCTION("""COMPUTED_VALUE"""),TRUE)</f>
        <v>1</v>
      </c>
      <c r="I728" s="258" t="str">
        <f>IFERROR(__xludf.DUMMYFUNCTION("""COMPUTED_VALUE"""),"EDO-UUP")</f>
        <v>EDO-UUP</v>
      </c>
      <c r="J728" s="258" t="str">
        <f>IFERROR(__xludf.DUMMYFUNCTION("""COMPUTED_VALUE"""),"Monthly")</f>
        <v>Monthly</v>
      </c>
      <c r="K728" s="258" t="str">
        <f>IFERROR(__xludf.DUMMYFUNCTION("""COMPUTED_VALUE"""),"")</f>
        <v/>
      </c>
      <c r="L728" s="258" t="str">
        <f>IFERROR(__xludf.DUMMYFUNCTION("""COMPUTED_VALUE"""),"GHP, GHP-PREPAID, TM, PW, GOMO, WIRELINE, BAYAN, GLOBE")</f>
        <v>GHP, GHP-PREPAID, TM, PW, GOMO, WIRELINE, BAYAN, GLOBE</v>
      </c>
      <c r="M728" s="258" t="str">
        <f>IFERROR(__xludf.DUMMYFUNCTION("""COMPUTED_VALUE"""),"Consumer, EG, SG, In house, IBG Traveler")</f>
        <v>Consumer, EG, SG, In house, IBG Traveler</v>
      </c>
      <c r="N728" s="258" t="str">
        <f>IFERROR(__xludf.DUMMYFUNCTION("""COMPUTED_VALUE"""),"interest")</f>
        <v>interest</v>
      </c>
      <c r="O728" s="258" t="str">
        <f>IFERROR(__xludf.DUMMYFUNCTION("""COMPUTED_VALUE"""),"network_profile")</f>
        <v>network_profile</v>
      </c>
      <c r="P728" s="258"/>
    </row>
    <row r="729">
      <c r="A729" s="257" t="str">
        <f>IFERROR(__xludf.DUMMYFUNCTION("""COMPUTED_VALUE"""),"plant_parent_bucket")</f>
        <v>plant_parent_bucket</v>
      </c>
      <c r="B729" s="258" t="str">
        <f>IFERROR(__xludf.DUMMYFUNCTION("""COMPUTED_VALUE"""),"Audience/Persona")</f>
        <v>Audience/Persona</v>
      </c>
      <c r="C729" s="258" t="str">
        <f>IFERROR(__xludf.DUMMYFUNCTION("""COMPUTED_VALUE"""),"Non-PII")</f>
        <v>Non-PII</v>
      </c>
      <c r="D729" s="258" t="str">
        <f>IFERROR(__xludf.DUMMYFUNCTION("""COMPUTED_VALUE"""),"Non-PII")</f>
        <v>Non-PII</v>
      </c>
      <c r="E729" s="258" t="str">
        <f>IFERROR(__xludf.DUMMYFUNCTION("""COMPUTED_VALUE"""),"Bucketing based on identified metric 
 Metric: Number of Hits in a Month
 Valid values: 
 LOW: &lt;= 3 hits
 MID: &gt; 3 &amp; &lt;=5 hits
 HIGH: &gt; 5 hits
 For wireline subscribers, only subscriptions within Metro Manila (including some areas in Rizal) and with DS"&amp;"L, VDSL and GPON technology value are covered.")</f>
        <v>Bucketing based on identified metric 
 Metric: Number of Hits in a Month
 Valid values: 
 LOW: &lt;= 3 hits
 MID: &gt; 3 &amp; &lt;=5 hits
 HIGH: &gt; 5 hits
 For wireline subscribers, only subscriptions within Metro Manila (including some areas in Rizal) and with DSL, VDSL and GPON technology value are covered.</v>
      </c>
      <c r="F729" s="258" t="str">
        <f>IFERROR(__xludf.DUMMYFUNCTION("""COMPUTED_VALUE"""),"Direct Pull")</f>
        <v>Direct Pull</v>
      </c>
      <c r="G729" s="258" t="str">
        <f>IFERROR(__xludf.DUMMYFUNCTION("""COMPUTED_VALUE"""),"varchar(1000)")</f>
        <v>varchar(1000)</v>
      </c>
      <c r="H729" s="258" t="str">
        <f>IFERROR(__xludf.DUMMYFUNCTION("""COMPUTED_VALUE"""),"LOW")</f>
        <v>LOW</v>
      </c>
      <c r="I729" s="258" t="str">
        <f>IFERROR(__xludf.DUMMYFUNCTION("""COMPUTED_VALUE"""),"EDO-UUP")</f>
        <v>EDO-UUP</v>
      </c>
      <c r="J729" s="258" t="str">
        <f>IFERROR(__xludf.DUMMYFUNCTION("""COMPUTED_VALUE"""),"Monthly")</f>
        <v>Monthly</v>
      </c>
      <c r="K729" s="258" t="str">
        <f>IFERROR(__xludf.DUMMYFUNCTION("""COMPUTED_VALUE"""),"")</f>
        <v/>
      </c>
      <c r="L729" s="258" t="str">
        <f>IFERROR(__xludf.DUMMYFUNCTION("""COMPUTED_VALUE"""),"GHP, GHP-PREPAID, TM, PW, GOMO, WIRELINE, BAYAN, GLOBE")</f>
        <v>GHP, GHP-PREPAID, TM, PW, GOMO, WIRELINE, BAYAN, GLOBE</v>
      </c>
      <c r="M729" s="258" t="str">
        <f>IFERROR(__xludf.DUMMYFUNCTION("""COMPUTED_VALUE"""),"Consumer, EG, SG, In house, IBG Traveler")</f>
        <v>Consumer, EG, SG, In house, IBG Traveler</v>
      </c>
      <c r="N729" s="258" t="str">
        <f>IFERROR(__xludf.DUMMYFUNCTION("""COMPUTED_VALUE"""),"interest")</f>
        <v>interest</v>
      </c>
      <c r="O729" s="258" t="str">
        <f>IFERROR(__xludf.DUMMYFUNCTION("""COMPUTED_VALUE"""),"network_profile")</f>
        <v>network_profile</v>
      </c>
      <c r="P729" s="258"/>
    </row>
    <row r="730">
      <c r="A730" s="257" t="str">
        <f>IFERROR(__xludf.DUMMYFUNCTION("""COMPUTED_VALUE"""),"plant_parent_details")</f>
        <v>plant_parent_details</v>
      </c>
      <c r="B730" s="258" t="str">
        <f>IFERROR(__xludf.DUMMYFUNCTION("""COMPUTED_VALUE"""),"Audience/Persona")</f>
        <v>Audience/Persona</v>
      </c>
      <c r="C730" s="258" t="str">
        <f>IFERROR(__xludf.DUMMYFUNCTION("""COMPUTED_VALUE"""),"Non-PII")</f>
        <v>Non-PII</v>
      </c>
      <c r="D730" s="258" t="str">
        <f>IFERROR(__xludf.DUMMYFUNCTION("""COMPUTED_VALUE"""),"Non-PII")</f>
        <v>Non-PII</v>
      </c>
      <c r="E730" s="258" t="str">
        <f>IFERROR(__xludf.DUMMYFUNCTION("""COMPUTED_VALUE"""),"Metric used and value for the Plant Parent profile
 For wireline subscribers, only subscriptions within Metro Manila (including some areas in Rizal) and with DSL, VDSL and GPON technology value are covered.")</f>
        <v>Metric used and value for the Plant Parent profile
 For wireline subscribers, only subscriptions within Metro Manila (including some areas in Rizal) and with DSL, VDSL and GPON technology value are covered.</v>
      </c>
      <c r="F730" s="258" t="str">
        <f>IFERROR(__xludf.DUMMYFUNCTION("""COMPUTED_VALUE"""),"Derived")</f>
        <v>Derived</v>
      </c>
      <c r="G730" s="258" t="str">
        <f>IFERROR(__xludf.DUMMYFUNCTION("""COMPUTED_VALUE"""),"varchar(1000)")</f>
        <v>varchar(1000)</v>
      </c>
      <c r="H730" s="258" t="str">
        <f>IFERROR(__xludf.DUMMYFUNCTION("""COMPUTED_VALUE"""),"{\Total Hits in a Month\"": 4}""")</f>
        <v>{\Total Hits in a Month\": 4}"</v>
      </c>
      <c r="I730" s="258" t="str">
        <f>IFERROR(__xludf.DUMMYFUNCTION("""COMPUTED_VALUE"""),"EDO-UUP")</f>
        <v>EDO-UUP</v>
      </c>
      <c r="J730" s="258" t="str">
        <f>IFERROR(__xludf.DUMMYFUNCTION("""COMPUTED_VALUE"""),"Monthly")</f>
        <v>Monthly</v>
      </c>
      <c r="K730" s="258" t="str">
        <f>IFERROR(__xludf.DUMMYFUNCTION("""COMPUTED_VALUE"""),"")</f>
        <v/>
      </c>
      <c r="L730" s="258" t="str">
        <f>IFERROR(__xludf.DUMMYFUNCTION("""COMPUTED_VALUE"""),"GHP, GHP-PREPAID, TM, PW, GOMO, WIRELINE, BAYAN, GLOBE")</f>
        <v>GHP, GHP-PREPAID, TM, PW, GOMO, WIRELINE, BAYAN, GLOBE</v>
      </c>
      <c r="M730" s="258" t="str">
        <f>IFERROR(__xludf.DUMMYFUNCTION("""COMPUTED_VALUE"""),"Consumer, EG, SG, In house, IBG Traveler")</f>
        <v>Consumer, EG, SG, In house, IBG Traveler</v>
      </c>
      <c r="N730" s="258" t="str">
        <f>IFERROR(__xludf.DUMMYFUNCTION("""COMPUTED_VALUE"""),"interest")</f>
        <v>interest</v>
      </c>
      <c r="O730" s="258" t="str">
        <f>IFERROR(__xludf.DUMMYFUNCTION("""COMPUTED_VALUE"""),"network_profile")</f>
        <v>network_profile</v>
      </c>
      <c r="P730" s="258"/>
    </row>
    <row r="731">
      <c r="A731" s="257" t="str">
        <f>IFERROR(__xludf.DUMMYFUNCTION("""COMPUTED_VALUE"""),"plant_parent_top_apps")</f>
        <v>plant_parent_top_apps</v>
      </c>
      <c r="B731" s="258" t="str">
        <f>IFERROR(__xludf.DUMMYFUNCTION("""COMPUTED_VALUE"""),"Audience/Persona")</f>
        <v>Audience/Persona</v>
      </c>
      <c r="C731" s="258" t="str">
        <f>IFERROR(__xludf.DUMMYFUNCTION("""COMPUTED_VALUE"""),"Non-PII")</f>
        <v>Non-PII</v>
      </c>
      <c r="D731" s="258" t="str">
        <f>IFERROR(__xludf.DUMMYFUNCTION("""COMPUTED_VALUE"""),"Non-PII")</f>
        <v>Non-PII</v>
      </c>
      <c r="E731" s="258" t="str">
        <f>IFERROR(__xludf.DUMMYFUNCTION("""COMPUTED_VALUE"""),"Top 1 app/site by data burn, total hits and active days categorized under the Plant Parent profile
 For wireline subscribers, only subscriptions within Metro Manila (including some areas in Rizal) and with DSL, VDSL and GPON technology value are covered"&amp;".")</f>
        <v>Top 1 app/site by data burn, total hits and active days categorized under the Plant Parent profile
 For wireline subscribers, only subscriptions within Metro Manila (including some areas in Rizal) and with DSL, VDSL and GPON technology value are covered.</v>
      </c>
      <c r="F731" s="258" t="str">
        <f>IFERROR(__xludf.DUMMYFUNCTION("""COMPUTED_VALUE"""),"Derived")</f>
        <v>Derived</v>
      </c>
      <c r="G731" s="258" t="str">
        <f>IFERROR(__xludf.DUMMYFUNCTION("""COMPUTED_VALUE"""),"varchar(1000)")</f>
        <v>varchar(1000)</v>
      </c>
      <c r="H731" s="258" t="str">
        <f>IFERROR(__xludf.DUMMYFUNCTION("""COMPUTED_VALUE"""),"picturethis")</f>
        <v>picturethis</v>
      </c>
      <c r="I731" s="258" t="str">
        <f>IFERROR(__xludf.DUMMYFUNCTION("""COMPUTED_VALUE"""),"EDO-UUP")</f>
        <v>EDO-UUP</v>
      </c>
      <c r="J731" s="258" t="str">
        <f>IFERROR(__xludf.DUMMYFUNCTION("""COMPUTED_VALUE"""),"Monthly")</f>
        <v>Monthly</v>
      </c>
      <c r="K731" s="258" t="str">
        <f>IFERROR(__xludf.DUMMYFUNCTION("""COMPUTED_VALUE"""),"")</f>
        <v/>
      </c>
      <c r="L731" s="258" t="str">
        <f>IFERROR(__xludf.DUMMYFUNCTION("""COMPUTED_VALUE"""),"GHP, GHP-PREPAID, TM, PW, GOMO, WIRELINE, BAYAN, GLOBE")</f>
        <v>GHP, GHP-PREPAID, TM, PW, GOMO, WIRELINE, BAYAN, GLOBE</v>
      </c>
      <c r="M731" s="258" t="str">
        <f>IFERROR(__xludf.DUMMYFUNCTION("""COMPUTED_VALUE"""),"Consumer, EG, SG, In house, IBG Traveler")</f>
        <v>Consumer, EG, SG, In house, IBG Traveler</v>
      </c>
      <c r="N731" s="258" t="str">
        <f>IFERROR(__xludf.DUMMYFUNCTION("""COMPUTED_VALUE"""),"interest")</f>
        <v>interest</v>
      </c>
      <c r="O731" s="258" t="str">
        <f>IFERROR(__xludf.DUMMYFUNCTION("""COMPUTED_VALUE"""),"network_profile")</f>
        <v>network_profile</v>
      </c>
      <c r="P731" s="258"/>
    </row>
    <row r="732">
      <c r="A732" s="257" t="str">
        <f>IFERROR(__xludf.DUMMYFUNCTION("""COMPUTED_VALUE"""),"news_pub_follower_top_apps")</f>
        <v>news_pub_follower_top_apps</v>
      </c>
      <c r="B732" s="258" t="str">
        <f>IFERROR(__xludf.DUMMYFUNCTION("""COMPUTED_VALUE"""),"Audience/Persona")</f>
        <v>Audience/Persona</v>
      </c>
      <c r="C732" s="258" t="str">
        <f>IFERROR(__xludf.DUMMYFUNCTION("""COMPUTED_VALUE"""),"Non-PII")</f>
        <v>Non-PII</v>
      </c>
      <c r="D732" s="258" t="str">
        <f>IFERROR(__xludf.DUMMYFUNCTION("""COMPUTED_VALUE"""),"Non-PII")</f>
        <v>Non-PII</v>
      </c>
      <c r="E732" s="258" t="str">
        <f>IFERROR(__xludf.DUMMYFUNCTION("""COMPUTED_VALUE"""),"Top 1 application or website by Number of Active Days in a Month categorized under the News &amp; Publication Follower profile")</f>
        <v>Top 1 application or website by Number of Active Days in a Month categorized under the News &amp; Publication Follower profile</v>
      </c>
      <c r="F732" s="258" t="str">
        <f>IFERROR(__xludf.DUMMYFUNCTION("""COMPUTED_VALUE"""),"Derived")</f>
        <v>Derived</v>
      </c>
      <c r="G732" s="258" t="str">
        <f>IFERROR(__xludf.DUMMYFUNCTION("""COMPUTED_VALUE"""),"varchar(1000)")</f>
        <v>varchar(1000)</v>
      </c>
      <c r="H732" s="258" t="str">
        <f>IFERROR(__xludf.DUMMYFUNCTION("""COMPUTED_VALUE"""),"rappler")</f>
        <v>rappler</v>
      </c>
      <c r="I732" s="258" t="str">
        <f>IFERROR(__xludf.DUMMYFUNCTION("""COMPUTED_VALUE"""),"EDO-UUP")</f>
        <v>EDO-UUP</v>
      </c>
      <c r="J732" s="258" t="str">
        <f>IFERROR(__xludf.DUMMYFUNCTION("""COMPUTED_VALUE"""),"Monthly")</f>
        <v>Monthly</v>
      </c>
      <c r="K732" s="258" t="str">
        <f>IFERROR(__xludf.DUMMYFUNCTION("""COMPUTED_VALUE"""),"")</f>
        <v/>
      </c>
      <c r="L732" s="258" t="str">
        <f>IFERROR(__xludf.DUMMYFUNCTION("""COMPUTED_VALUE"""),"GHP, GHP-PREPAID, TM, PW, GOMO, WIRELINE, BAYAN, GLOBE")</f>
        <v>GHP, GHP-PREPAID, TM, PW, GOMO, WIRELINE, BAYAN, GLOBE</v>
      </c>
      <c r="M732" s="258" t="str">
        <f>IFERROR(__xludf.DUMMYFUNCTION("""COMPUTED_VALUE"""),"Consumer, EG, SG, In house, IBG Traveler")</f>
        <v>Consumer, EG, SG, In house, IBG Traveler</v>
      </c>
      <c r="N732" s="258" t="str">
        <f>IFERROR(__xludf.DUMMYFUNCTION("""COMPUTED_VALUE"""),"interest")</f>
        <v>interest</v>
      </c>
      <c r="O732" s="258" t="str">
        <f>IFERROR(__xludf.DUMMYFUNCTION("""COMPUTED_VALUE"""),"network_profile")</f>
        <v>network_profile</v>
      </c>
      <c r="P732" s="258"/>
    </row>
    <row r="733">
      <c r="A733" s="257" t="str">
        <f>IFERROR(__xludf.DUMMYFUNCTION("""COMPUTED_VALUE"""),"news_pub_follower_details")</f>
        <v>news_pub_follower_details</v>
      </c>
      <c r="B733" s="258" t="str">
        <f>IFERROR(__xludf.DUMMYFUNCTION("""COMPUTED_VALUE"""),"Audience/Persona")</f>
        <v>Audience/Persona</v>
      </c>
      <c r="C733" s="258" t="str">
        <f>IFERROR(__xludf.DUMMYFUNCTION("""COMPUTED_VALUE"""),"Non-PII")</f>
        <v>Non-PII</v>
      </c>
      <c r="D733" s="258" t="str">
        <f>IFERROR(__xludf.DUMMYFUNCTION("""COMPUTED_VALUE"""),"Non-PII")</f>
        <v>Non-PII</v>
      </c>
      <c r="E733" s="258" t="str">
        <f>IFERROR(__xludf.DUMMYFUNCTION("""COMPUTED_VALUE"""),"Metric used and value for the News &amp; Publication Follower profile
 For wireline subscribers, only subscriptions within Metro Manila (including some areas in Rizal) and with DSL, VDSL and GPON technology value are covered.")</f>
        <v>Metric used and value for the News &amp; Publication Follower profile
 For wireline subscribers, only subscriptions within Metro Manila (including some areas in Rizal) and with DSL, VDSL and GPON technology value are covered.</v>
      </c>
      <c r="F733" s="258" t="str">
        <f>IFERROR(__xludf.DUMMYFUNCTION("""COMPUTED_VALUE"""),"Derived")</f>
        <v>Derived</v>
      </c>
      <c r="G733" s="258" t="str">
        <f>IFERROR(__xludf.DUMMYFUNCTION("""COMPUTED_VALUE"""),"varchar(1000)")</f>
        <v>varchar(1000)</v>
      </c>
      <c r="H733" s="258" t="str">
        <f>IFERROR(__xludf.DUMMYFUNCTION("""COMPUTED_VALUE"""),"{\Number of Active Days in a Month\"": 5}""")</f>
        <v>{\Number of Active Days in a Month\": 5}"</v>
      </c>
      <c r="I733" s="258" t="str">
        <f>IFERROR(__xludf.DUMMYFUNCTION("""COMPUTED_VALUE"""),"EDO-UUP")</f>
        <v>EDO-UUP</v>
      </c>
      <c r="J733" s="258" t="str">
        <f>IFERROR(__xludf.DUMMYFUNCTION("""COMPUTED_VALUE"""),"Monthly")</f>
        <v>Monthly</v>
      </c>
      <c r="K733" s="258" t="str">
        <f>IFERROR(__xludf.DUMMYFUNCTION("""COMPUTED_VALUE"""),"")</f>
        <v/>
      </c>
      <c r="L733" s="258" t="str">
        <f>IFERROR(__xludf.DUMMYFUNCTION("""COMPUTED_VALUE"""),"GHP, GHP-PREPAID, TM, PW, GOMO, WIRELINE, BAYAN, GLOBE")</f>
        <v>GHP, GHP-PREPAID, TM, PW, GOMO, WIRELINE, BAYAN, GLOBE</v>
      </c>
      <c r="M733" s="258" t="str">
        <f>IFERROR(__xludf.DUMMYFUNCTION("""COMPUTED_VALUE"""),"Consumer, EG, SG, In house, IBG Traveler")</f>
        <v>Consumer, EG, SG, In house, IBG Traveler</v>
      </c>
      <c r="N733" s="258" t="str">
        <f>IFERROR(__xludf.DUMMYFUNCTION("""COMPUTED_VALUE"""),"interest")</f>
        <v>interest</v>
      </c>
      <c r="O733" s="258" t="str">
        <f>IFERROR(__xludf.DUMMYFUNCTION("""COMPUTED_VALUE"""),"network_profile")</f>
        <v>network_profile</v>
      </c>
      <c r="P733" s="258"/>
    </row>
    <row r="734">
      <c r="A734" s="257" t="str">
        <f>IFERROR(__xludf.DUMMYFUNCTION("""COMPUTED_VALUE"""),"news_pub_follower_bucket")</f>
        <v>news_pub_follower_bucket</v>
      </c>
      <c r="B734" s="258" t="str">
        <f>IFERROR(__xludf.DUMMYFUNCTION("""COMPUTED_VALUE"""),"Audience/Persona")</f>
        <v>Audience/Persona</v>
      </c>
      <c r="C734" s="258" t="str">
        <f>IFERROR(__xludf.DUMMYFUNCTION("""COMPUTED_VALUE"""),"Non-PII")</f>
        <v>Non-PII</v>
      </c>
      <c r="D734" s="258" t="str">
        <f>IFERROR(__xludf.DUMMYFUNCTION("""COMPUTED_VALUE"""),"Non-PII")</f>
        <v>Non-PII</v>
      </c>
      <c r="E734" s="258" t="str">
        <f>IFERROR(__xludf.DUMMYFUNCTION("""COMPUTED_VALUE"""),"Bucketing based on identified metric 
 Metric: Number of Active Days in a Month
 Valid values: 
 LOW: &lt;= 3 active days
 MID: &gt; 3 &amp; &lt;=7 active days
 HIGH: &gt; 7 active days
 For wireline subscribers, only subscriptions within Metro Manila (including some"&amp;" areas in Rizal) and with DSL, VDSL and GPON technology value are covered.")</f>
        <v>Bucketing based on identified metric 
 Metric: Number of Active Days in a Month
 Valid values: 
 LOW: &lt;= 3 active days
 MID: &gt; 3 &amp; &lt;=7 active days
 HIGH: &gt; 7 active days
 For wireline subscribers, only subscriptions within Metro Manila (including some areas in Rizal) and with DSL, VDSL and GPON technology value are covered.</v>
      </c>
      <c r="F734" s="258" t="str">
        <f>IFERROR(__xludf.DUMMYFUNCTION("""COMPUTED_VALUE"""),"Direct Pull")</f>
        <v>Direct Pull</v>
      </c>
      <c r="G734" s="258" t="str">
        <f>IFERROR(__xludf.DUMMYFUNCTION("""COMPUTED_VALUE"""),"varchar(1000)")</f>
        <v>varchar(1000)</v>
      </c>
      <c r="H734" s="258" t="str">
        <f>IFERROR(__xludf.DUMMYFUNCTION("""COMPUTED_VALUE"""),"MID")</f>
        <v>MID</v>
      </c>
      <c r="I734" s="258" t="str">
        <f>IFERROR(__xludf.DUMMYFUNCTION("""COMPUTED_VALUE"""),"EDO-UUP")</f>
        <v>EDO-UUP</v>
      </c>
      <c r="J734" s="258" t="str">
        <f>IFERROR(__xludf.DUMMYFUNCTION("""COMPUTED_VALUE"""),"Monthly")</f>
        <v>Monthly</v>
      </c>
      <c r="K734" s="258" t="str">
        <f>IFERROR(__xludf.DUMMYFUNCTION("""COMPUTED_VALUE"""),"")</f>
        <v/>
      </c>
      <c r="L734" s="258" t="str">
        <f>IFERROR(__xludf.DUMMYFUNCTION("""COMPUTED_VALUE"""),"GHP, GHP-PREPAID, TM, PW, GOMO, WIRELINE, BAYAN, GLOBE")</f>
        <v>GHP, GHP-PREPAID, TM, PW, GOMO, WIRELINE, BAYAN, GLOBE</v>
      </c>
      <c r="M734" s="258" t="str">
        <f>IFERROR(__xludf.DUMMYFUNCTION("""COMPUTED_VALUE"""),"Consumer, EG, SG, In house, IBG Traveler")</f>
        <v>Consumer, EG, SG, In house, IBG Traveler</v>
      </c>
      <c r="N734" s="258" t="str">
        <f>IFERROR(__xludf.DUMMYFUNCTION("""COMPUTED_VALUE"""),"interest")</f>
        <v>interest</v>
      </c>
      <c r="O734" s="258" t="str">
        <f>IFERROR(__xludf.DUMMYFUNCTION("""COMPUTED_VALUE"""),"network_profile")</f>
        <v>network_profile</v>
      </c>
      <c r="P734" s="258"/>
    </row>
    <row r="735">
      <c r="A735" s="257" t="str">
        <f>IFERROR(__xludf.DUMMYFUNCTION("""COMPUTED_VALUE"""),"news_pub_follower_indicator")</f>
        <v>news_pub_follower_indicator</v>
      </c>
      <c r="B735" s="258" t="str">
        <f>IFERROR(__xludf.DUMMYFUNCTION("""COMPUTED_VALUE"""),"Audience/Persona")</f>
        <v>Audience/Persona</v>
      </c>
      <c r="C735" s="258" t="str">
        <f>IFERROR(__xludf.DUMMYFUNCTION("""COMPUTED_VALUE"""),"Non-PII")</f>
        <v>Non-PII</v>
      </c>
      <c r="D735" s="258" t="str">
        <f>IFERROR(__xludf.DUMMYFUNCTION("""COMPUTED_VALUE"""),"Non-PII")</f>
        <v>Non-PII</v>
      </c>
      <c r="E735" s="258" t="str">
        <f>IFERROR(__xludf.DUMMYFUNCTION("""COMPUTED_VALUE"""),"Indicator if a subscriber visits news websites or apps such as abscbn_news, bbc, inquirer
 For wireline subscribers, only subscriptions within Metro Manila (including some areas in Rizal) and with DSL, VDSL and GPON technology value are covered.")</f>
        <v>Indicator if a subscriber visits news websites or apps such as abscbn_news, bbc, inquirer
 For wireline subscribers, only subscriptions within Metro Manila (including some areas in Rizal) and with DSL, VDSL and GPON technology value are covered.</v>
      </c>
      <c r="F735" s="258" t="str">
        <f>IFERROR(__xludf.DUMMYFUNCTION("""COMPUTED_VALUE"""),"Derived")</f>
        <v>Derived</v>
      </c>
      <c r="G735" s="258" t="str">
        <f>IFERROR(__xludf.DUMMYFUNCTION("""COMPUTED_VALUE"""),"boolean")</f>
        <v>boolean</v>
      </c>
      <c r="H735" s="258" t="b">
        <f>IFERROR(__xludf.DUMMYFUNCTION("""COMPUTED_VALUE"""),TRUE)</f>
        <v>1</v>
      </c>
      <c r="I735" s="258" t="str">
        <f>IFERROR(__xludf.DUMMYFUNCTION("""COMPUTED_VALUE"""),"EDO-UUP")</f>
        <v>EDO-UUP</v>
      </c>
      <c r="J735" s="258" t="str">
        <f>IFERROR(__xludf.DUMMYFUNCTION("""COMPUTED_VALUE"""),"Monthly")</f>
        <v>Monthly</v>
      </c>
      <c r="K735" s="258" t="str">
        <f>IFERROR(__xludf.DUMMYFUNCTION("""COMPUTED_VALUE"""),"")</f>
        <v/>
      </c>
      <c r="L735" s="258" t="str">
        <f>IFERROR(__xludf.DUMMYFUNCTION("""COMPUTED_VALUE"""),"GHP, GHP-PREPAID, TM, PW, GOMO, WIRELINE, BAYAN, GLOBE")</f>
        <v>GHP, GHP-PREPAID, TM, PW, GOMO, WIRELINE, BAYAN, GLOBE</v>
      </c>
      <c r="M735" s="258" t="str">
        <f>IFERROR(__xludf.DUMMYFUNCTION("""COMPUTED_VALUE"""),"Consumer, EG, SG, In house, IBG Traveler")</f>
        <v>Consumer, EG, SG, In house, IBG Traveler</v>
      </c>
      <c r="N735" s="258" t="str">
        <f>IFERROR(__xludf.DUMMYFUNCTION("""COMPUTED_VALUE"""),"interest")</f>
        <v>interest</v>
      </c>
      <c r="O735" s="258" t="str">
        <f>IFERROR(__xludf.DUMMYFUNCTION("""COMPUTED_VALUE"""),"network_profile")</f>
        <v>network_profile</v>
      </c>
      <c r="P735" s="258"/>
    </row>
    <row r="736">
      <c r="A736" s="257" t="str">
        <f>IFERROR(__xludf.DUMMYFUNCTION("""COMPUTED_VALUE"""),"local_entertainment_top_apps")</f>
        <v>local_entertainment_top_apps</v>
      </c>
      <c r="B736" s="258" t="str">
        <f>IFERROR(__xludf.DUMMYFUNCTION("""COMPUTED_VALUE"""),"Audience/Persona")</f>
        <v>Audience/Persona</v>
      </c>
      <c r="C736" s="258" t="str">
        <f>IFERROR(__xludf.DUMMYFUNCTION("""COMPUTED_VALUE"""),"Non-PII")</f>
        <v>Non-PII</v>
      </c>
      <c r="D736" s="258" t="str">
        <f>IFERROR(__xludf.DUMMYFUNCTION("""COMPUTED_VALUE"""),"Non-PII")</f>
        <v>Non-PII</v>
      </c>
      <c r="E736" s="258" t="str">
        <f>IFERROR(__xludf.DUMMYFUNCTION("""COMPUTED_VALUE"""),"Top 1 application or website by Total Data Burn in Bytes in a Month categorized under the Local Entertainment App &amp; Web User profile")</f>
        <v>Top 1 application or website by Total Data Burn in Bytes in a Month categorized under the Local Entertainment App &amp; Web User profile</v>
      </c>
      <c r="F736" s="258" t="str">
        <f>IFERROR(__xludf.DUMMYFUNCTION("""COMPUTED_VALUE"""),"Derived")</f>
        <v>Derived</v>
      </c>
      <c r="G736" s="258" t="str">
        <f>IFERROR(__xludf.DUMMYFUNCTION("""COMPUTED_VALUE"""),"varchar(1000)")</f>
        <v>varchar(1000)</v>
      </c>
      <c r="H736" s="258" t="str">
        <f>IFERROR(__xludf.DUMMYFUNCTION("""COMPUTED_VALUE"""),"abscbn")</f>
        <v>abscbn</v>
      </c>
      <c r="I736" s="258" t="str">
        <f>IFERROR(__xludf.DUMMYFUNCTION("""COMPUTED_VALUE"""),"EDO-UUP")</f>
        <v>EDO-UUP</v>
      </c>
      <c r="J736" s="258" t="str">
        <f>IFERROR(__xludf.DUMMYFUNCTION("""COMPUTED_VALUE"""),"Monthly")</f>
        <v>Monthly</v>
      </c>
      <c r="K736" s="258" t="str">
        <f>IFERROR(__xludf.DUMMYFUNCTION("""COMPUTED_VALUE"""),"")</f>
        <v/>
      </c>
      <c r="L736" s="258" t="str">
        <f>IFERROR(__xludf.DUMMYFUNCTION("""COMPUTED_VALUE"""),"GHP, GHP-PREPAID, TM, PW, GOMO, WIRELINE, BAYAN, GLOBE")</f>
        <v>GHP, GHP-PREPAID, TM, PW, GOMO, WIRELINE, BAYAN, GLOBE</v>
      </c>
      <c r="M736" s="258" t="str">
        <f>IFERROR(__xludf.DUMMYFUNCTION("""COMPUTED_VALUE"""),"Consumer, EG, SG, In house, IBG Traveler")</f>
        <v>Consumer, EG, SG, In house, IBG Traveler</v>
      </c>
      <c r="N736" s="258" t="str">
        <f>IFERROR(__xludf.DUMMYFUNCTION("""COMPUTED_VALUE"""),"interest")</f>
        <v>interest</v>
      </c>
      <c r="O736" s="258" t="str">
        <f>IFERROR(__xludf.DUMMYFUNCTION("""COMPUTED_VALUE"""),"network_profile")</f>
        <v>network_profile</v>
      </c>
      <c r="P736" s="258"/>
    </row>
    <row r="737">
      <c r="A737" s="257" t="str">
        <f>IFERROR(__xludf.DUMMYFUNCTION("""COMPUTED_VALUE"""),"local_entertainment_app_details")</f>
        <v>local_entertainment_app_details</v>
      </c>
      <c r="B737" s="258" t="str">
        <f>IFERROR(__xludf.DUMMYFUNCTION("""COMPUTED_VALUE"""),"Audience/Persona")</f>
        <v>Audience/Persona</v>
      </c>
      <c r="C737" s="258" t="str">
        <f>IFERROR(__xludf.DUMMYFUNCTION("""COMPUTED_VALUE"""),"Non-PII")</f>
        <v>Non-PII</v>
      </c>
      <c r="D737" s="258" t="str">
        <f>IFERROR(__xludf.DUMMYFUNCTION("""COMPUTED_VALUE"""),"Non-PII")</f>
        <v>Non-PII</v>
      </c>
      <c r="E737" s="258" t="str">
        <f>IFERROR(__xludf.DUMMYFUNCTION("""COMPUTED_VALUE"""),"Metric used and value for the Local Entertainment App &amp; Web User profile
 For wireline subscribers, only subscriptions within Metro Manila (including some areas in Rizal) and with DSL, VDSL and GPON technology value are covered.")</f>
        <v>Metric used and value for the Local Entertainment App &amp; Web User profile
 For wireline subscribers, only subscriptions within Metro Manila (including some areas in Rizal) and with DSL, VDSL and GPON technology value are covered.</v>
      </c>
      <c r="F737" s="258" t="str">
        <f>IFERROR(__xludf.DUMMYFUNCTION("""COMPUTED_VALUE"""),"Derived")</f>
        <v>Derived</v>
      </c>
      <c r="G737" s="258" t="str">
        <f>IFERROR(__xludf.DUMMYFUNCTION("""COMPUTED_VALUE"""),"varchar(1000)")</f>
        <v>varchar(1000)</v>
      </c>
      <c r="H737" s="258" t="str">
        <f>IFERROR(__xludf.DUMMYFUNCTION("""COMPUTED_VALUE"""),"{\Total Data Burn in Bytes in a Month\"": 2477826}""")</f>
        <v>{\Total Data Burn in Bytes in a Month\": 2477826}"</v>
      </c>
      <c r="I737" s="258" t="str">
        <f>IFERROR(__xludf.DUMMYFUNCTION("""COMPUTED_VALUE"""),"EDO-UUP")</f>
        <v>EDO-UUP</v>
      </c>
      <c r="J737" s="258" t="str">
        <f>IFERROR(__xludf.DUMMYFUNCTION("""COMPUTED_VALUE"""),"Monthly")</f>
        <v>Monthly</v>
      </c>
      <c r="K737" s="258" t="str">
        <f>IFERROR(__xludf.DUMMYFUNCTION("""COMPUTED_VALUE"""),"")</f>
        <v/>
      </c>
      <c r="L737" s="258" t="str">
        <f>IFERROR(__xludf.DUMMYFUNCTION("""COMPUTED_VALUE"""),"GHP, GHP-PREPAID, TM, PW, GOMO, WIRELINE, BAYAN, GLOBE")</f>
        <v>GHP, GHP-PREPAID, TM, PW, GOMO, WIRELINE, BAYAN, GLOBE</v>
      </c>
      <c r="M737" s="258" t="str">
        <f>IFERROR(__xludf.DUMMYFUNCTION("""COMPUTED_VALUE"""),"Consumer, EG, SG, In house, IBG Traveler")</f>
        <v>Consumer, EG, SG, In house, IBG Traveler</v>
      </c>
      <c r="N737" s="258" t="str">
        <f>IFERROR(__xludf.DUMMYFUNCTION("""COMPUTED_VALUE"""),"interest")</f>
        <v>interest</v>
      </c>
      <c r="O737" s="258" t="str">
        <f>IFERROR(__xludf.DUMMYFUNCTION("""COMPUTED_VALUE"""),"network_profile")</f>
        <v>network_profile</v>
      </c>
      <c r="P737" s="258"/>
    </row>
    <row r="738">
      <c r="A738" s="257" t="str">
        <f>IFERROR(__xludf.DUMMYFUNCTION("""COMPUTED_VALUE"""),"local_entertainment_app_bucket")</f>
        <v>local_entertainment_app_bucket</v>
      </c>
      <c r="B738" s="258" t="str">
        <f>IFERROR(__xludf.DUMMYFUNCTION("""COMPUTED_VALUE"""),"Audience/Persona")</f>
        <v>Audience/Persona</v>
      </c>
      <c r="C738" s="258" t="str">
        <f>IFERROR(__xludf.DUMMYFUNCTION("""COMPUTED_VALUE"""),"Non-PII")</f>
        <v>Non-PII</v>
      </c>
      <c r="D738" s="258" t="str">
        <f>IFERROR(__xludf.DUMMYFUNCTION("""COMPUTED_VALUE"""),"Non-PII")</f>
        <v>Non-PII</v>
      </c>
      <c r="E738" s="258" t="str">
        <f>IFERROR(__xludf.DUMMYFUNCTION("""COMPUTED_VALUE"""),"Bucketing based on identified metric 
 Metric: Total Data Burn in Bytes in a Month
 Valid values: 
 LOW: &lt;= 292768 bytes
 MID: &gt; 292768 &amp; &lt;= 2558263 bytes
 HIGH: &gt; 2558263 bytes
 For wireline subscribers, only subscriptions within Metro Manila (includ"&amp;"ing some areas in Rizal) and with DSL, VDSL and GPON technology value are covered.")</f>
        <v>Bucketing based on identified metric 
 Metric: Total Data Burn in Bytes in a Month
 Valid values: 
 LOW: &lt;= 292768 bytes
 MID: &gt; 292768 &amp; &lt;= 2558263 bytes
 HIGH: &gt; 2558263 bytes
 For wireline subscribers, only subscriptions within Metro Manila (including some areas in Rizal) and with DSL, VDSL and GPON technology value are covered.</v>
      </c>
      <c r="F738" s="258" t="str">
        <f>IFERROR(__xludf.DUMMYFUNCTION("""COMPUTED_VALUE"""),"Direct Pull")</f>
        <v>Direct Pull</v>
      </c>
      <c r="G738" s="258" t="str">
        <f>IFERROR(__xludf.DUMMYFUNCTION("""COMPUTED_VALUE"""),"varchar(1000)")</f>
        <v>varchar(1000)</v>
      </c>
      <c r="H738" s="258" t="str">
        <f>IFERROR(__xludf.DUMMYFUNCTION("""COMPUTED_VALUE"""),"MID")</f>
        <v>MID</v>
      </c>
      <c r="I738" s="258" t="str">
        <f>IFERROR(__xludf.DUMMYFUNCTION("""COMPUTED_VALUE"""),"EDO-UUP")</f>
        <v>EDO-UUP</v>
      </c>
      <c r="J738" s="258" t="str">
        <f>IFERROR(__xludf.DUMMYFUNCTION("""COMPUTED_VALUE"""),"Monthly")</f>
        <v>Monthly</v>
      </c>
      <c r="K738" s="258" t="str">
        <f>IFERROR(__xludf.DUMMYFUNCTION("""COMPUTED_VALUE"""),"")</f>
        <v/>
      </c>
      <c r="L738" s="258" t="str">
        <f>IFERROR(__xludf.DUMMYFUNCTION("""COMPUTED_VALUE"""),"GHP, GHP-PREPAID, TM, PW, GOMO, WIRELINE, BAYAN, GLOBE")</f>
        <v>GHP, GHP-PREPAID, TM, PW, GOMO, WIRELINE, BAYAN, GLOBE</v>
      </c>
      <c r="M738" s="258" t="str">
        <f>IFERROR(__xludf.DUMMYFUNCTION("""COMPUTED_VALUE"""),"Consumer, EG, SG, In house, IBG Traveler")</f>
        <v>Consumer, EG, SG, In house, IBG Traveler</v>
      </c>
      <c r="N738" s="258" t="str">
        <f>IFERROR(__xludf.DUMMYFUNCTION("""COMPUTED_VALUE"""),"interest")</f>
        <v>interest</v>
      </c>
      <c r="O738" s="258" t="str">
        <f>IFERROR(__xludf.DUMMYFUNCTION("""COMPUTED_VALUE"""),"network_profile")</f>
        <v>network_profile</v>
      </c>
      <c r="P738" s="258"/>
    </row>
    <row r="739">
      <c r="A739" s="257" t="str">
        <f>IFERROR(__xludf.DUMMYFUNCTION("""COMPUTED_VALUE"""),"local_entertainment_app_indicator")</f>
        <v>local_entertainment_app_indicator</v>
      </c>
      <c r="B739" s="258" t="str">
        <f>IFERROR(__xludf.DUMMYFUNCTION("""COMPUTED_VALUE"""),"Audience/Persona")</f>
        <v>Audience/Persona</v>
      </c>
      <c r="C739" s="258" t="str">
        <f>IFERROR(__xludf.DUMMYFUNCTION("""COMPUTED_VALUE"""),"Non-PII")</f>
        <v>Non-PII</v>
      </c>
      <c r="D739" s="258" t="str">
        <f>IFERROR(__xludf.DUMMYFUNCTION("""COMPUTED_VALUE"""),"Non-PII")</f>
        <v>Non-PII</v>
      </c>
      <c r="E739" s="258" t="str">
        <f>IFERROR(__xludf.DUMMYFUNCTION("""COMPUTED_VALUE"""),"Indicates if subscriber visits/uses local entertainment apps or websites such as ABS CBN, GMA, iWanTV, etc
 For wireline subscribers, only subscriptions within Metro Manila (including some areas in Rizal) and with DSL, VDSL and GPON technology value are"&amp;" covered.")</f>
        <v>Indicates if subscriber visits/uses local entertainment apps or websites such as ABS CBN, GMA, iWanTV, etc
 For wireline subscribers, only subscriptions within Metro Manila (including some areas in Rizal) and with DSL, VDSL and GPON technology value are covered.</v>
      </c>
      <c r="F739" s="258" t="str">
        <f>IFERROR(__xludf.DUMMYFUNCTION("""COMPUTED_VALUE"""),"Derived")</f>
        <v>Derived</v>
      </c>
      <c r="G739" s="258" t="str">
        <f>IFERROR(__xludf.DUMMYFUNCTION("""COMPUTED_VALUE"""),"boolean")</f>
        <v>boolean</v>
      </c>
      <c r="H739" s="258" t="b">
        <f>IFERROR(__xludf.DUMMYFUNCTION("""COMPUTED_VALUE"""),TRUE)</f>
        <v>1</v>
      </c>
      <c r="I739" s="258" t="str">
        <f>IFERROR(__xludf.DUMMYFUNCTION("""COMPUTED_VALUE"""),"EDO-UUP")</f>
        <v>EDO-UUP</v>
      </c>
      <c r="J739" s="258" t="str">
        <f>IFERROR(__xludf.DUMMYFUNCTION("""COMPUTED_VALUE"""),"Monthly")</f>
        <v>Monthly</v>
      </c>
      <c r="K739" s="258" t="str">
        <f>IFERROR(__xludf.DUMMYFUNCTION("""COMPUTED_VALUE"""),"")</f>
        <v/>
      </c>
      <c r="L739" s="258" t="str">
        <f>IFERROR(__xludf.DUMMYFUNCTION("""COMPUTED_VALUE"""),"GHP, GHP-PREPAID, TM, PW, GOMO, WIRELINE, BAYAN, GLOBE")</f>
        <v>GHP, GHP-PREPAID, TM, PW, GOMO, WIRELINE, BAYAN, GLOBE</v>
      </c>
      <c r="M739" s="258" t="str">
        <f>IFERROR(__xludf.DUMMYFUNCTION("""COMPUTED_VALUE"""),"Consumer, EG, SG, In house, IBG Traveler")</f>
        <v>Consumer, EG, SG, In house, IBG Traveler</v>
      </c>
      <c r="N739" s="258" t="str">
        <f>IFERROR(__xludf.DUMMYFUNCTION("""COMPUTED_VALUE"""),"interest")</f>
        <v>interest</v>
      </c>
      <c r="O739" s="258" t="str">
        <f>IFERROR(__xludf.DUMMYFUNCTION("""COMPUTED_VALUE"""),"network_profile")</f>
        <v>network_profile</v>
      </c>
      <c r="P739" s="258"/>
    </row>
    <row r="740">
      <c r="A740" s="257" t="str">
        <f>IFERROR(__xludf.DUMMYFUNCTION("""COMPUTED_VALUE"""),"international_shopper_top_apps")</f>
        <v>international_shopper_top_apps</v>
      </c>
      <c r="B740" s="258" t="str">
        <f>IFERROR(__xludf.DUMMYFUNCTION("""COMPUTED_VALUE"""),"Audience/Persona")</f>
        <v>Audience/Persona</v>
      </c>
      <c r="C740" s="258" t="str">
        <f>IFERROR(__xludf.DUMMYFUNCTION("""COMPUTED_VALUE"""),"Non-PII")</f>
        <v>Non-PII</v>
      </c>
      <c r="D740" s="258" t="str">
        <f>IFERROR(__xludf.DUMMYFUNCTION("""COMPUTED_VALUE"""),"Non-PII")</f>
        <v>Non-PII</v>
      </c>
      <c r="E740" s="258" t="str">
        <f>IFERROR(__xludf.DUMMYFUNCTION("""COMPUTED_VALUE"""),"Top 1 application or website by Total Hits in a Month categorized under the International Shopper profile")</f>
        <v>Top 1 application or website by Total Hits in a Month categorized under the International Shopper profile</v>
      </c>
      <c r="F740" s="258" t="str">
        <f>IFERROR(__xludf.DUMMYFUNCTION("""COMPUTED_VALUE"""),"Derived")</f>
        <v>Derived</v>
      </c>
      <c r="G740" s="258" t="str">
        <f>IFERROR(__xludf.DUMMYFUNCTION("""COMPUTED_VALUE"""),"varchar(1000)")</f>
        <v>varchar(1000)</v>
      </c>
      <c r="H740" s="258" t="str">
        <f>IFERROR(__xludf.DUMMYFUNCTION("""COMPUTED_VALUE"""),"amazon")</f>
        <v>amazon</v>
      </c>
      <c r="I740" s="258" t="str">
        <f>IFERROR(__xludf.DUMMYFUNCTION("""COMPUTED_VALUE"""),"EDO-UUP")</f>
        <v>EDO-UUP</v>
      </c>
      <c r="J740" s="258" t="str">
        <f>IFERROR(__xludf.DUMMYFUNCTION("""COMPUTED_VALUE"""),"Monthly")</f>
        <v>Monthly</v>
      </c>
      <c r="K740" s="258" t="str">
        <f>IFERROR(__xludf.DUMMYFUNCTION("""COMPUTED_VALUE"""),"")</f>
        <v/>
      </c>
      <c r="L740" s="258" t="str">
        <f>IFERROR(__xludf.DUMMYFUNCTION("""COMPUTED_VALUE"""),"GHP, GHP-PREPAID, TM, PW, GOMO, WIRELINE, BAYAN, GLOBE")</f>
        <v>GHP, GHP-PREPAID, TM, PW, GOMO, WIRELINE, BAYAN, GLOBE</v>
      </c>
      <c r="M740" s="258" t="str">
        <f>IFERROR(__xludf.DUMMYFUNCTION("""COMPUTED_VALUE"""),"Consumer, EG, SG, In house, IBG Traveler")</f>
        <v>Consumer, EG, SG, In house, IBG Traveler</v>
      </c>
      <c r="N740" s="258" t="str">
        <f>IFERROR(__xludf.DUMMYFUNCTION("""COMPUTED_VALUE"""),"interest")</f>
        <v>interest</v>
      </c>
      <c r="O740" s="258" t="str">
        <f>IFERROR(__xludf.DUMMYFUNCTION("""COMPUTED_VALUE"""),"network_profile")</f>
        <v>network_profile</v>
      </c>
      <c r="P740" s="258"/>
    </row>
    <row r="741">
      <c r="A741" s="257" t="str">
        <f>IFERROR(__xludf.DUMMYFUNCTION("""COMPUTED_VALUE"""),"international_shopper_details")</f>
        <v>international_shopper_details</v>
      </c>
      <c r="B741" s="258" t="str">
        <f>IFERROR(__xludf.DUMMYFUNCTION("""COMPUTED_VALUE"""),"Audience/Persona")</f>
        <v>Audience/Persona</v>
      </c>
      <c r="C741" s="258" t="str">
        <f>IFERROR(__xludf.DUMMYFUNCTION("""COMPUTED_VALUE"""),"Non-PII")</f>
        <v>Non-PII</v>
      </c>
      <c r="D741" s="258" t="str">
        <f>IFERROR(__xludf.DUMMYFUNCTION("""COMPUTED_VALUE"""),"Non-PII")</f>
        <v>Non-PII</v>
      </c>
      <c r="E741" s="258" t="str">
        <f>IFERROR(__xludf.DUMMYFUNCTION("""COMPUTED_VALUE"""),"Metric used and value for the International Shopper profile
 For wireline subscribers, only subscriptions within Metro Manila (including some areas in Rizal) and with DSL, VDSL and GPON technology value are covered.")</f>
        <v>Metric used and value for the International Shopper profile
 For wireline subscribers, only subscriptions within Metro Manila (including some areas in Rizal) and with DSL, VDSL and GPON technology value are covered.</v>
      </c>
      <c r="F741" s="258" t="str">
        <f>IFERROR(__xludf.DUMMYFUNCTION("""COMPUTED_VALUE"""),"Derived")</f>
        <v>Derived</v>
      </c>
      <c r="G741" s="258" t="str">
        <f>IFERROR(__xludf.DUMMYFUNCTION("""COMPUTED_VALUE"""),"varchar(1000)")</f>
        <v>varchar(1000)</v>
      </c>
      <c r="H741" s="258" t="str">
        <f>IFERROR(__xludf.DUMMYFUNCTION("""COMPUTED_VALUE"""),"{\Total Hits in a Month\"": 7}""")</f>
        <v>{\Total Hits in a Month\": 7}"</v>
      </c>
      <c r="I741" s="258" t="str">
        <f>IFERROR(__xludf.DUMMYFUNCTION("""COMPUTED_VALUE"""),"EDO-UUP")</f>
        <v>EDO-UUP</v>
      </c>
      <c r="J741" s="258" t="str">
        <f>IFERROR(__xludf.DUMMYFUNCTION("""COMPUTED_VALUE"""),"Monthly")</f>
        <v>Monthly</v>
      </c>
      <c r="K741" s="258" t="str">
        <f>IFERROR(__xludf.DUMMYFUNCTION("""COMPUTED_VALUE"""),"")</f>
        <v/>
      </c>
      <c r="L741" s="258" t="str">
        <f>IFERROR(__xludf.DUMMYFUNCTION("""COMPUTED_VALUE"""),"GHP, GHP-PREPAID, TM, PW, GOMO, WIRELINE, BAYAN, GLOBE")</f>
        <v>GHP, GHP-PREPAID, TM, PW, GOMO, WIRELINE, BAYAN, GLOBE</v>
      </c>
      <c r="M741" s="258" t="str">
        <f>IFERROR(__xludf.DUMMYFUNCTION("""COMPUTED_VALUE"""),"Consumer, EG, SG, In house, IBG Traveler")</f>
        <v>Consumer, EG, SG, In house, IBG Traveler</v>
      </c>
      <c r="N741" s="258" t="str">
        <f>IFERROR(__xludf.DUMMYFUNCTION("""COMPUTED_VALUE"""),"interest")</f>
        <v>interest</v>
      </c>
      <c r="O741" s="258" t="str">
        <f>IFERROR(__xludf.DUMMYFUNCTION("""COMPUTED_VALUE"""),"network_profile")</f>
        <v>network_profile</v>
      </c>
      <c r="P741" s="258"/>
    </row>
    <row r="742">
      <c r="A742" s="257" t="str">
        <f>IFERROR(__xludf.DUMMYFUNCTION("""COMPUTED_VALUE"""),"international_shopper_bucket")</f>
        <v>international_shopper_bucket</v>
      </c>
      <c r="B742" s="258" t="str">
        <f>IFERROR(__xludf.DUMMYFUNCTION("""COMPUTED_VALUE"""),"Audience/Persona")</f>
        <v>Audience/Persona</v>
      </c>
      <c r="C742" s="258" t="str">
        <f>IFERROR(__xludf.DUMMYFUNCTION("""COMPUTED_VALUE"""),"Non-PII")</f>
        <v>Non-PII</v>
      </c>
      <c r="D742" s="258" t="str">
        <f>IFERROR(__xludf.DUMMYFUNCTION("""COMPUTED_VALUE"""),"Non-PII")</f>
        <v>Non-PII</v>
      </c>
      <c r="E742" s="258" t="str">
        <f>IFERROR(__xludf.DUMMYFUNCTION("""COMPUTED_VALUE"""),"Bucketing based on identified metric 
 Metric: Number of Hits in a Month
 Valid values: 
 LOW: &lt;= 3 hits
 MID: &gt; 3 &amp; &lt;=5 hits
 HIGH: &gt; 5 hits
 For wireline subscribers, only subscriptions within Metro Manila (including some areas in Rizal) and with DS"&amp;"L, VDSL and GPON technology value are covered.")</f>
        <v>Bucketing based on identified metric 
 Metric: Number of Hits in a Month
 Valid values: 
 LOW: &lt;= 3 hits
 MID: &gt; 3 &amp; &lt;=5 hits
 HIGH: &gt; 5 hits
 For wireline subscribers, only subscriptions within Metro Manila (including some areas in Rizal) and with DSL, VDSL and GPON technology value are covered.</v>
      </c>
      <c r="F742" s="258" t="str">
        <f>IFERROR(__xludf.DUMMYFUNCTION("""COMPUTED_VALUE"""),"Direct Pull")</f>
        <v>Direct Pull</v>
      </c>
      <c r="G742" s="258" t="str">
        <f>IFERROR(__xludf.DUMMYFUNCTION("""COMPUTED_VALUE"""),"varchar(1000)")</f>
        <v>varchar(1000)</v>
      </c>
      <c r="H742" s="258" t="str">
        <f>IFERROR(__xludf.DUMMYFUNCTION("""COMPUTED_VALUE"""),"HIGH")</f>
        <v>HIGH</v>
      </c>
      <c r="I742" s="258" t="str">
        <f>IFERROR(__xludf.DUMMYFUNCTION("""COMPUTED_VALUE"""),"EDO-UUP")</f>
        <v>EDO-UUP</v>
      </c>
      <c r="J742" s="258" t="str">
        <f>IFERROR(__xludf.DUMMYFUNCTION("""COMPUTED_VALUE"""),"Monthly")</f>
        <v>Monthly</v>
      </c>
      <c r="K742" s="258" t="str">
        <f>IFERROR(__xludf.DUMMYFUNCTION("""COMPUTED_VALUE"""),"")</f>
        <v/>
      </c>
      <c r="L742" s="258" t="str">
        <f>IFERROR(__xludf.DUMMYFUNCTION("""COMPUTED_VALUE"""),"GHP, GHP-PREPAID, TM, PW, GOMO, WIRELINE, BAYAN, GLOBE")</f>
        <v>GHP, GHP-PREPAID, TM, PW, GOMO, WIRELINE, BAYAN, GLOBE</v>
      </c>
      <c r="M742" s="258" t="str">
        <f>IFERROR(__xludf.DUMMYFUNCTION("""COMPUTED_VALUE"""),"Consumer, EG, SG, In house, IBG Traveler")</f>
        <v>Consumer, EG, SG, In house, IBG Traveler</v>
      </c>
      <c r="N742" s="258" t="str">
        <f>IFERROR(__xludf.DUMMYFUNCTION("""COMPUTED_VALUE"""),"interest")</f>
        <v>interest</v>
      </c>
      <c r="O742" s="258" t="str">
        <f>IFERROR(__xludf.DUMMYFUNCTION("""COMPUTED_VALUE"""),"network_profile")</f>
        <v>network_profile</v>
      </c>
      <c r="P742" s="258"/>
    </row>
    <row r="743">
      <c r="A743" s="257" t="str">
        <f>IFERROR(__xludf.DUMMYFUNCTION("""COMPUTED_VALUE"""),"international_shopper_indicator")</f>
        <v>international_shopper_indicator</v>
      </c>
      <c r="B743" s="258" t="str">
        <f>IFERROR(__xludf.DUMMYFUNCTION("""COMPUTED_VALUE"""),"Audience/Persona")</f>
        <v>Audience/Persona</v>
      </c>
      <c r="C743" s="258" t="str">
        <f>IFERROR(__xludf.DUMMYFUNCTION("""COMPUTED_VALUE"""),"Non-PII")</f>
        <v>Non-PII</v>
      </c>
      <c r="D743" s="258" t="str">
        <f>IFERROR(__xludf.DUMMYFUNCTION("""COMPUTED_VALUE"""),"Non-PII")</f>
        <v>Non-PII</v>
      </c>
      <c r="E743" s="258" t="str">
        <f>IFERROR(__xludf.DUMMYFUNCTION("""COMPUTED_VALUE"""),"Indicates if subscriber visits/uses international shopping apps or websites such as Alibaba, Amazon, Shop USA, etc
 For wireline subscribers, only subscriptions within Metro Manila (including some areas in Rizal) and with DSL, VDSL and GPON technology v"&amp;"alue are covered.")</f>
        <v>Indicates if subscriber visits/uses international shopping apps or websites such as Alibaba, Amazon, Shop USA, etc
 For wireline subscribers, only subscriptions within Metro Manila (including some areas in Rizal) and with DSL, VDSL and GPON technology value are covered.</v>
      </c>
      <c r="F743" s="258" t="str">
        <f>IFERROR(__xludf.DUMMYFUNCTION("""COMPUTED_VALUE"""),"Derived")</f>
        <v>Derived</v>
      </c>
      <c r="G743" s="258" t="str">
        <f>IFERROR(__xludf.DUMMYFUNCTION("""COMPUTED_VALUE"""),"boolean")</f>
        <v>boolean</v>
      </c>
      <c r="H743" s="258" t="b">
        <f>IFERROR(__xludf.DUMMYFUNCTION("""COMPUTED_VALUE"""),TRUE)</f>
        <v>1</v>
      </c>
      <c r="I743" s="258" t="str">
        <f>IFERROR(__xludf.DUMMYFUNCTION("""COMPUTED_VALUE"""),"EDO-UUP")</f>
        <v>EDO-UUP</v>
      </c>
      <c r="J743" s="258" t="str">
        <f>IFERROR(__xludf.DUMMYFUNCTION("""COMPUTED_VALUE"""),"Monthly")</f>
        <v>Monthly</v>
      </c>
      <c r="K743" s="258" t="str">
        <f>IFERROR(__xludf.DUMMYFUNCTION("""COMPUTED_VALUE"""),"")</f>
        <v/>
      </c>
      <c r="L743" s="258" t="str">
        <f>IFERROR(__xludf.DUMMYFUNCTION("""COMPUTED_VALUE"""),"GHP, GHP-PREPAID, TM, PW, GOMO, WIRELINE, BAYAN, GLOBE")</f>
        <v>GHP, GHP-PREPAID, TM, PW, GOMO, WIRELINE, BAYAN, GLOBE</v>
      </c>
      <c r="M743" s="258" t="str">
        <f>IFERROR(__xludf.DUMMYFUNCTION("""COMPUTED_VALUE"""),"Consumer, EG, SG, In house, IBG Traveler")</f>
        <v>Consumer, EG, SG, In house, IBG Traveler</v>
      </c>
      <c r="N743" s="258" t="str">
        <f>IFERROR(__xludf.DUMMYFUNCTION("""COMPUTED_VALUE"""),"interest")</f>
        <v>interest</v>
      </c>
      <c r="O743" s="258" t="str">
        <f>IFERROR(__xludf.DUMMYFUNCTION("""COMPUTED_VALUE"""),"network_profile")</f>
        <v>network_profile</v>
      </c>
      <c r="P743" s="258"/>
    </row>
    <row r="744">
      <c r="A744" s="257" t="str">
        <f>IFERROR(__xludf.DUMMYFUNCTION("""COMPUTED_VALUE"""),"online_grocery_shopper_top_apps")</f>
        <v>online_grocery_shopper_top_apps</v>
      </c>
      <c r="B744" s="258" t="str">
        <f>IFERROR(__xludf.DUMMYFUNCTION("""COMPUTED_VALUE"""),"Audience/Persona")</f>
        <v>Audience/Persona</v>
      </c>
      <c r="C744" s="258" t="str">
        <f>IFERROR(__xludf.DUMMYFUNCTION("""COMPUTED_VALUE"""),"Non-PII")</f>
        <v>Non-PII</v>
      </c>
      <c r="D744" s="258" t="str">
        <f>IFERROR(__xludf.DUMMYFUNCTION("""COMPUTED_VALUE"""),"Non-PII")</f>
        <v>Non-PII</v>
      </c>
      <c r="E744" s="258" t="str">
        <f>IFERROR(__xludf.DUMMYFUNCTION("""COMPUTED_VALUE"""),"Top 1 application or website by Number of Active Days in a Month categorized under the Online Grocery Shopper profile")</f>
        <v>Top 1 application or website by Number of Active Days in a Month categorized under the Online Grocery Shopper profile</v>
      </c>
      <c r="F744" s="258" t="str">
        <f>IFERROR(__xludf.DUMMYFUNCTION("""COMPUTED_VALUE"""),"Derived")</f>
        <v>Derived</v>
      </c>
      <c r="G744" s="258" t="str">
        <f>IFERROR(__xludf.DUMMYFUNCTION("""COMPUTED_VALUE"""),"varchar(1000)")</f>
        <v>varchar(1000)</v>
      </c>
      <c r="H744" s="258" t="str">
        <f>IFERROR(__xludf.DUMMYFUNCTION("""COMPUTED_VALUE"""),"waltermart")</f>
        <v>waltermart</v>
      </c>
      <c r="I744" s="258" t="str">
        <f>IFERROR(__xludf.DUMMYFUNCTION("""COMPUTED_VALUE"""),"EDO-UUP")</f>
        <v>EDO-UUP</v>
      </c>
      <c r="J744" s="258" t="str">
        <f>IFERROR(__xludf.DUMMYFUNCTION("""COMPUTED_VALUE"""),"Monthly")</f>
        <v>Monthly</v>
      </c>
      <c r="K744" s="258" t="str">
        <f>IFERROR(__xludf.DUMMYFUNCTION("""COMPUTED_VALUE"""),"")</f>
        <v/>
      </c>
      <c r="L744" s="258" t="str">
        <f>IFERROR(__xludf.DUMMYFUNCTION("""COMPUTED_VALUE"""),"GHP, GHP-PREPAID, TM, PW, GOMO, WIRELINE, BAYAN, GLOBE")</f>
        <v>GHP, GHP-PREPAID, TM, PW, GOMO, WIRELINE, BAYAN, GLOBE</v>
      </c>
      <c r="M744" s="258" t="str">
        <f>IFERROR(__xludf.DUMMYFUNCTION("""COMPUTED_VALUE"""),"Consumer, EG, SG, In house, IBG Traveler")</f>
        <v>Consumer, EG, SG, In house, IBG Traveler</v>
      </c>
      <c r="N744" s="258" t="str">
        <f>IFERROR(__xludf.DUMMYFUNCTION("""COMPUTED_VALUE"""),"interest")</f>
        <v>interest</v>
      </c>
      <c r="O744" s="258" t="str">
        <f>IFERROR(__xludf.DUMMYFUNCTION("""COMPUTED_VALUE"""),"network_profile")</f>
        <v>network_profile</v>
      </c>
      <c r="P744" s="258"/>
    </row>
    <row r="745">
      <c r="A745" s="257" t="str">
        <f>IFERROR(__xludf.DUMMYFUNCTION("""COMPUTED_VALUE"""),"online_grocery_shopper_details")</f>
        <v>online_grocery_shopper_details</v>
      </c>
      <c r="B745" s="258" t="str">
        <f>IFERROR(__xludf.DUMMYFUNCTION("""COMPUTED_VALUE"""),"Audience/Persona")</f>
        <v>Audience/Persona</v>
      </c>
      <c r="C745" s="258" t="str">
        <f>IFERROR(__xludf.DUMMYFUNCTION("""COMPUTED_VALUE"""),"Non-PII")</f>
        <v>Non-PII</v>
      </c>
      <c r="D745" s="258" t="str">
        <f>IFERROR(__xludf.DUMMYFUNCTION("""COMPUTED_VALUE"""),"Non-PII")</f>
        <v>Non-PII</v>
      </c>
      <c r="E745" s="258" t="str">
        <f>IFERROR(__xludf.DUMMYFUNCTION("""COMPUTED_VALUE"""),"Metric used and value for the Online Grocery Shopper profile
 For wireline subscribers, only subscriptions within Metro Manila (including some areas in Rizal) and with DSL, VDSL and GPON technology value are covered.")</f>
        <v>Metric used and value for the Online Grocery Shopper profile
 For wireline subscribers, only subscriptions within Metro Manila (including some areas in Rizal) and with DSL, VDSL and GPON technology value are covered.</v>
      </c>
      <c r="F745" s="258" t="str">
        <f>IFERROR(__xludf.DUMMYFUNCTION("""COMPUTED_VALUE"""),"Derived")</f>
        <v>Derived</v>
      </c>
      <c r="G745" s="258" t="str">
        <f>IFERROR(__xludf.DUMMYFUNCTION("""COMPUTED_VALUE"""),"varchar(1000)")</f>
        <v>varchar(1000)</v>
      </c>
      <c r="H745" s="258" t="str">
        <f>IFERROR(__xludf.DUMMYFUNCTION("""COMPUTED_VALUE"""),"{\Number of Active Days in a Month\"": 1}""")</f>
        <v>{\Number of Active Days in a Month\": 1}"</v>
      </c>
      <c r="I745" s="258" t="str">
        <f>IFERROR(__xludf.DUMMYFUNCTION("""COMPUTED_VALUE"""),"EDO-UUP")</f>
        <v>EDO-UUP</v>
      </c>
      <c r="J745" s="258" t="str">
        <f>IFERROR(__xludf.DUMMYFUNCTION("""COMPUTED_VALUE"""),"Monthly")</f>
        <v>Monthly</v>
      </c>
      <c r="K745" s="258" t="str">
        <f>IFERROR(__xludf.DUMMYFUNCTION("""COMPUTED_VALUE"""),"")</f>
        <v/>
      </c>
      <c r="L745" s="258" t="str">
        <f>IFERROR(__xludf.DUMMYFUNCTION("""COMPUTED_VALUE"""),"GHP, GHP-PREPAID, TM, PW, GOMO, WIRELINE, BAYAN, GLOBE")</f>
        <v>GHP, GHP-PREPAID, TM, PW, GOMO, WIRELINE, BAYAN, GLOBE</v>
      </c>
      <c r="M745" s="258" t="str">
        <f>IFERROR(__xludf.DUMMYFUNCTION("""COMPUTED_VALUE"""),"Consumer, EG, SG, In house, IBG Traveler")</f>
        <v>Consumer, EG, SG, In house, IBG Traveler</v>
      </c>
      <c r="N745" s="258" t="str">
        <f>IFERROR(__xludf.DUMMYFUNCTION("""COMPUTED_VALUE"""),"interest")</f>
        <v>interest</v>
      </c>
      <c r="O745" s="258" t="str">
        <f>IFERROR(__xludf.DUMMYFUNCTION("""COMPUTED_VALUE"""),"network_profile")</f>
        <v>network_profile</v>
      </c>
      <c r="P745" s="258"/>
    </row>
    <row r="746">
      <c r="A746" s="257" t="str">
        <f>IFERROR(__xludf.DUMMYFUNCTION("""COMPUTED_VALUE"""),"online_grocery_shopper_bucket")</f>
        <v>online_grocery_shopper_bucket</v>
      </c>
      <c r="B746" s="258" t="str">
        <f>IFERROR(__xludf.DUMMYFUNCTION("""COMPUTED_VALUE"""),"Audience/Persona")</f>
        <v>Audience/Persona</v>
      </c>
      <c r="C746" s="258" t="str">
        <f>IFERROR(__xludf.DUMMYFUNCTION("""COMPUTED_VALUE"""),"Non-PII")</f>
        <v>Non-PII</v>
      </c>
      <c r="D746" s="258" t="str">
        <f>IFERROR(__xludf.DUMMYFUNCTION("""COMPUTED_VALUE"""),"Non-PII")</f>
        <v>Non-PII</v>
      </c>
      <c r="E746" s="258" t="str">
        <f>IFERROR(__xludf.DUMMYFUNCTION("""COMPUTED_VALUE"""),"Bucketing based on identified metric 
 Metric: Number of Active Days in a Month
 Valid values: 
 LOW: &lt;= 1 active days
 MID: &gt; 1 &amp; &lt;=5 active days
 HIGH: &gt; 5 active days
 For wireline subscribers, only subscriptions within Metro Manila (including some"&amp;" areas in Rizal) and with DSL, VDSL and GPON technology value are covered.")</f>
        <v>Bucketing based on identified metric 
 Metric: Number of Active Days in a Month
 Valid values: 
 LOW: &lt;= 1 active days
 MID: &gt; 1 &amp; &lt;=5 active days
 HIGH: &gt; 5 active days
 For wireline subscribers, only subscriptions within Metro Manila (including some areas in Rizal) and with DSL, VDSL and GPON technology value are covered.</v>
      </c>
      <c r="F746" s="258" t="str">
        <f>IFERROR(__xludf.DUMMYFUNCTION("""COMPUTED_VALUE"""),"Direct Pull")</f>
        <v>Direct Pull</v>
      </c>
      <c r="G746" s="258" t="str">
        <f>IFERROR(__xludf.DUMMYFUNCTION("""COMPUTED_VALUE"""),"varchar(1000)")</f>
        <v>varchar(1000)</v>
      </c>
      <c r="H746" s="258" t="str">
        <f>IFERROR(__xludf.DUMMYFUNCTION("""COMPUTED_VALUE"""),"LOW")</f>
        <v>LOW</v>
      </c>
      <c r="I746" s="258" t="str">
        <f>IFERROR(__xludf.DUMMYFUNCTION("""COMPUTED_VALUE"""),"EDO-UUP")</f>
        <v>EDO-UUP</v>
      </c>
      <c r="J746" s="258" t="str">
        <f>IFERROR(__xludf.DUMMYFUNCTION("""COMPUTED_VALUE"""),"Daily")</f>
        <v>Daily</v>
      </c>
      <c r="K746" s="258" t="str">
        <f>IFERROR(__xludf.DUMMYFUNCTION("""COMPUTED_VALUE"""),"")</f>
        <v/>
      </c>
      <c r="L746" s="258" t="str">
        <f>IFERROR(__xludf.DUMMYFUNCTION("""COMPUTED_VALUE"""),"GHP, GHP-PREPAID, TM, PW, GOMO, WIRELINE, BAYAN, GLOBE")</f>
        <v>GHP, GHP-PREPAID, TM, PW, GOMO, WIRELINE, BAYAN, GLOBE</v>
      </c>
      <c r="M746" s="258" t="str">
        <f>IFERROR(__xludf.DUMMYFUNCTION("""COMPUTED_VALUE"""),"Consumer, EG, SG, In house, IBG Traveler")</f>
        <v>Consumer, EG, SG, In house, IBG Traveler</v>
      </c>
      <c r="N746" s="258" t="str">
        <f>IFERROR(__xludf.DUMMYFUNCTION("""COMPUTED_VALUE"""),"interest")</f>
        <v>interest</v>
      </c>
      <c r="O746" s="258" t="str">
        <f>IFERROR(__xludf.DUMMYFUNCTION("""COMPUTED_VALUE"""),"network_profile")</f>
        <v>network_profile</v>
      </c>
      <c r="P746" s="258"/>
    </row>
    <row r="747">
      <c r="A747" s="257" t="str">
        <f>IFERROR(__xludf.DUMMYFUNCTION("""COMPUTED_VALUE"""),"online_grocery_shopper_indicator")</f>
        <v>online_grocery_shopper_indicator</v>
      </c>
      <c r="B747" s="258" t="str">
        <f>IFERROR(__xludf.DUMMYFUNCTION("""COMPUTED_VALUE"""),"Audience/Persona")</f>
        <v>Audience/Persona</v>
      </c>
      <c r="C747" s="258" t="str">
        <f>IFERROR(__xludf.DUMMYFUNCTION("""COMPUTED_VALUE"""),"Non-PII")</f>
        <v>Non-PII</v>
      </c>
      <c r="D747" s="258" t="str">
        <f>IFERROR(__xludf.DUMMYFUNCTION("""COMPUTED_VALUE"""),"Non-PII")</f>
        <v>Non-PII</v>
      </c>
      <c r="E747" s="258" t="str">
        <f>IFERROR(__xludf.DUMMYFUNCTION("""COMPUTED_VALUE"""),"Indicates if subscriber visits/uses online grocery shopping apps or websites such as Metromart, Landers, Purego, etc
 For wireline subscribers, only subscriptions within Metro Manila (including some areas in Rizal) and with DSL, VDSL and GPON technology"&amp;" value are covered.")</f>
        <v>Indicates if subscriber visits/uses online grocery shopping apps or websites such as Metromart, Landers, Purego, etc
 For wireline subscribers, only subscriptions within Metro Manila (including some areas in Rizal) and with DSL, VDSL and GPON technology value are covered.</v>
      </c>
      <c r="F747" s="258" t="str">
        <f>IFERROR(__xludf.DUMMYFUNCTION("""COMPUTED_VALUE"""),"Direct Pull")</f>
        <v>Direct Pull</v>
      </c>
      <c r="G747" s="258" t="str">
        <f>IFERROR(__xludf.DUMMYFUNCTION("""COMPUTED_VALUE"""),"boolean")</f>
        <v>boolean</v>
      </c>
      <c r="H747" s="258" t="b">
        <f>IFERROR(__xludf.DUMMYFUNCTION("""COMPUTED_VALUE"""),TRUE)</f>
        <v>1</v>
      </c>
      <c r="I747" s="258" t="str">
        <f>IFERROR(__xludf.DUMMYFUNCTION("""COMPUTED_VALUE"""),"EDO-UUP")</f>
        <v>EDO-UUP</v>
      </c>
      <c r="J747" s="258" t="str">
        <f>IFERROR(__xludf.DUMMYFUNCTION("""COMPUTED_VALUE"""),"Daily")</f>
        <v>Daily</v>
      </c>
      <c r="K747" s="258" t="str">
        <f>IFERROR(__xludf.DUMMYFUNCTION("""COMPUTED_VALUE"""),"")</f>
        <v/>
      </c>
      <c r="L747" s="258" t="str">
        <f>IFERROR(__xludf.DUMMYFUNCTION("""COMPUTED_VALUE"""),"GHP, GHP-PREPAID, TM, PW, GOMO, WIRELINE, BAYAN, GLOBE")</f>
        <v>GHP, GHP-PREPAID, TM, PW, GOMO, WIRELINE, BAYAN, GLOBE</v>
      </c>
      <c r="M747" s="258" t="str">
        <f>IFERROR(__xludf.DUMMYFUNCTION("""COMPUTED_VALUE"""),"Consumer, EG, SG, In house, IBG Traveler")</f>
        <v>Consumer, EG, SG, In house, IBG Traveler</v>
      </c>
      <c r="N747" s="258" t="str">
        <f>IFERROR(__xludf.DUMMYFUNCTION("""COMPUTED_VALUE"""),"interest")</f>
        <v>interest</v>
      </c>
      <c r="O747" s="258" t="str">
        <f>IFERROR(__xludf.DUMMYFUNCTION("""COMPUTED_VALUE"""),"network_profile")</f>
        <v>network_profile</v>
      </c>
      <c r="P747" s="258"/>
    </row>
    <row r="748">
      <c r="A748" s="257" t="str">
        <f>IFERROR(__xludf.DUMMYFUNCTION("""COMPUTED_VALUE"""),"availment_promo_decline_month_on_month")</f>
        <v>availment_promo_decline_month_on_month</v>
      </c>
      <c r="B748" s="258" t="str">
        <f>IFERROR(__xludf.DUMMYFUNCTION("""COMPUTED_VALUE"""),"Campaign History")</f>
        <v>Campaign History</v>
      </c>
      <c r="C748" s="258" t="str">
        <f>IFERROR(__xludf.DUMMYFUNCTION("""COMPUTED_VALUE"""),"Non-PII")</f>
        <v>Non-PII</v>
      </c>
      <c r="D748" s="258" t="str">
        <f>IFERROR(__xludf.DUMMYFUNCTION("""COMPUTED_VALUE"""),"Non-PII")</f>
        <v>Non-PII</v>
      </c>
      <c r="E748" s="258" t="str">
        <f>IFERROR(__xludf.DUMMYFUNCTION("""COMPUTED_VALUE"""),"Percent decline of subscribers promo availment excluding freebie and other notification promos month on month
  Expected results:
  Negative values = Non-decliners
  Positive values = Decliners")</f>
        <v>Percent decline of subscribers promo availment excluding freebie and other notification promos month on month
  Expected results:
  Negative values = Non-decliners
  Positive values = Decliners</v>
      </c>
      <c r="F748" s="258" t="str">
        <f>IFERROR(__xludf.DUMMYFUNCTION("""COMPUTED_VALUE"""),"Direct Pull")</f>
        <v>Direct Pull</v>
      </c>
      <c r="G748" s="258" t="str">
        <f>IFERROR(__xludf.DUMMYFUNCTION("""COMPUTED_VALUE"""),"numeric(21,2)")</f>
        <v>numeric(21,2)</v>
      </c>
      <c r="H748" s="258">
        <f>IFERROR(__xludf.DUMMYFUNCTION("""COMPUTED_VALUE"""),0.0)</f>
        <v>0</v>
      </c>
      <c r="I748" s="258" t="str">
        <f>IFERROR(__xludf.DUMMYFUNCTION("""COMPUTED_VALUE"""),"CRM FVT")</f>
        <v>CRM FVT</v>
      </c>
      <c r="J748" s="258" t="str">
        <f>IFERROR(__xludf.DUMMYFUNCTION("""COMPUTED_VALUE"""),"Daily")</f>
        <v>Daily</v>
      </c>
      <c r="K748" s="258" t="str">
        <f>IFERROR(__xludf.DUMMYFUNCTION("""COMPUTED_VALUE"""),"")</f>
        <v/>
      </c>
      <c r="L748" s="258" t="str">
        <f>IFERROR(__xludf.DUMMYFUNCTION("""COMPUTED_VALUE"""),"GHP-PREPAID, TM, PW")</f>
        <v>GHP-PREPAID, TM, PW</v>
      </c>
      <c r="M748" s="258" t="str">
        <f>IFERROR(__xludf.DUMMYFUNCTION("""COMPUTED_VALUE"""),"Consumer, EG, SG, IBG Traveler")</f>
        <v>Consumer, EG, SG, IBG Traveler</v>
      </c>
      <c r="N748" s="258" t="str">
        <f>IFERROR(__xludf.DUMMYFUNCTION("""COMPUTED_VALUE"""),"availment")</f>
        <v>availment</v>
      </c>
      <c r="O748" s="258" t="str">
        <f>IFERROR(__xludf.DUMMYFUNCTION("""COMPUTED_VALUE"""),"availment_profile")</f>
        <v>availment_profile</v>
      </c>
      <c r="P748" s="258"/>
    </row>
    <row r="749">
      <c r="A749" s="257" t="str">
        <f>IFERROR(__xludf.DUMMYFUNCTION("""COMPUTED_VALUE"""),"availment_promo_decline_past_90days")</f>
        <v>availment_promo_decline_past_90days</v>
      </c>
      <c r="B749" s="258" t="str">
        <f>IFERROR(__xludf.DUMMYFUNCTION("""COMPUTED_VALUE"""),"Campaign History")</f>
        <v>Campaign History</v>
      </c>
      <c r="C749" s="258" t="str">
        <f>IFERROR(__xludf.DUMMYFUNCTION("""COMPUTED_VALUE"""),"Non-PII")</f>
        <v>Non-PII</v>
      </c>
      <c r="D749" s="258" t="str">
        <f>IFERROR(__xludf.DUMMYFUNCTION("""COMPUTED_VALUE"""),"Non-PII")</f>
        <v>Non-PII</v>
      </c>
      <c r="E749" s="258" t="str">
        <f>IFERROR(__xludf.DUMMYFUNCTION("""COMPUTED_VALUE"""),"Percent decline of subscribers promo availment excluding freebie and other notification promos for the past 3 months
  Expected results:
  Negative values = Non-decliners
  Positive values = Decliners")</f>
        <v>Percent decline of subscribers promo availment excluding freebie and other notification promos for the past 3 months
  Expected results:
  Negative values = Non-decliners
  Positive values = Decliners</v>
      </c>
      <c r="F749" s="258" t="str">
        <f>IFERROR(__xludf.DUMMYFUNCTION("""COMPUTED_VALUE"""),"Direct Pull")</f>
        <v>Direct Pull</v>
      </c>
      <c r="G749" s="258" t="str">
        <f>IFERROR(__xludf.DUMMYFUNCTION("""COMPUTED_VALUE"""),"numeric(21,2)")</f>
        <v>numeric(21,2)</v>
      </c>
      <c r="H749" s="258">
        <f>IFERROR(__xludf.DUMMYFUNCTION("""COMPUTED_VALUE"""),-5.0)</f>
        <v>-5</v>
      </c>
      <c r="I749" s="258" t="str">
        <f>IFERROR(__xludf.DUMMYFUNCTION("""COMPUTED_VALUE"""),"CRM FVT")</f>
        <v>CRM FVT</v>
      </c>
      <c r="J749" s="258" t="str">
        <f>IFERROR(__xludf.DUMMYFUNCTION("""COMPUTED_VALUE"""),"Daily")</f>
        <v>Daily</v>
      </c>
      <c r="K749" s="258" t="str">
        <f>IFERROR(__xludf.DUMMYFUNCTION("""COMPUTED_VALUE"""),"")</f>
        <v/>
      </c>
      <c r="L749" s="258" t="str">
        <f>IFERROR(__xludf.DUMMYFUNCTION("""COMPUTED_VALUE"""),"GHP-PREPAID, TM, PW")</f>
        <v>GHP-PREPAID, TM, PW</v>
      </c>
      <c r="M749" s="258" t="str">
        <f>IFERROR(__xludf.DUMMYFUNCTION("""COMPUTED_VALUE"""),"Consumer, EG, SG, IBG Traveler")</f>
        <v>Consumer, EG, SG, IBG Traveler</v>
      </c>
      <c r="N749" s="258" t="str">
        <f>IFERROR(__xludf.DUMMYFUNCTION("""COMPUTED_VALUE"""),"availment")</f>
        <v>availment</v>
      </c>
      <c r="O749" s="258" t="str">
        <f>IFERROR(__xludf.DUMMYFUNCTION("""COMPUTED_VALUE"""),"availment_profile")</f>
        <v>availment_profile</v>
      </c>
      <c r="P749" s="258"/>
    </row>
    <row r="750">
      <c r="A750" s="257" t="str">
        <f>IFERROR(__xludf.DUMMYFUNCTION("""COMPUTED_VALUE"""),"availment_promo_count_past_30days")</f>
        <v>availment_promo_count_past_30days</v>
      </c>
      <c r="B750" s="258" t="str">
        <f>IFERROR(__xludf.DUMMYFUNCTION("""COMPUTED_VALUE"""),"Campaign History")</f>
        <v>Campaign History</v>
      </c>
      <c r="C750" s="258" t="str">
        <f>IFERROR(__xludf.DUMMYFUNCTION("""COMPUTED_VALUE"""),"Non-PII")</f>
        <v>Non-PII</v>
      </c>
      <c r="D750" s="258" t="str">
        <f>IFERROR(__xludf.DUMMYFUNCTION("""COMPUTED_VALUE"""),"Non-PII")</f>
        <v>Non-PII</v>
      </c>
      <c r="E750" s="258" t="str">
        <f>IFERROR(__xludf.DUMMYFUNCTION("""COMPUTED_VALUE"""),"Total promo availed excluding freebie and other notification promos for the past month (day 30 to day 60)")</f>
        <v>Total promo availed excluding freebie and other notification promos for the past month (day 30 to day 60)</v>
      </c>
      <c r="F750" s="258" t="str">
        <f>IFERROR(__xludf.DUMMYFUNCTION("""COMPUTED_VALUE"""),"Direct Pull")</f>
        <v>Direct Pull</v>
      </c>
      <c r="G750" s="258" t="str">
        <f>IFERROR(__xludf.DUMMYFUNCTION("""COMPUTED_VALUE"""),"integer")</f>
        <v>integer</v>
      </c>
      <c r="H750" s="258">
        <f>IFERROR(__xludf.DUMMYFUNCTION("""COMPUTED_VALUE"""),1.0)</f>
        <v>1</v>
      </c>
      <c r="I750" s="258" t="str">
        <f>IFERROR(__xludf.DUMMYFUNCTION("""COMPUTED_VALUE"""),"CRM FVT")</f>
        <v>CRM FVT</v>
      </c>
      <c r="J750" s="258" t="str">
        <f>IFERROR(__xludf.DUMMYFUNCTION("""COMPUTED_VALUE"""),"Daily")</f>
        <v>Daily</v>
      </c>
      <c r="K750" s="258" t="str">
        <f>IFERROR(__xludf.DUMMYFUNCTION("""COMPUTED_VALUE"""),"")</f>
        <v/>
      </c>
      <c r="L750" s="258" t="str">
        <f>IFERROR(__xludf.DUMMYFUNCTION("""COMPUTED_VALUE"""),"GHP-PREPAID, TM, PW")</f>
        <v>GHP-PREPAID, TM, PW</v>
      </c>
      <c r="M750" s="258" t="str">
        <f>IFERROR(__xludf.DUMMYFUNCTION("""COMPUTED_VALUE"""),"Consumer, EG, SG, IBG Traveler")</f>
        <v>Consumer, EG, SG, IBG Traveler</v>
      </c>
      <c r="N750" s="258" t="str">
        <f>IFERROR(__xludf.DUMMYFUNCTION("""COMPUTED_VALUE"""),"availment")</f>
        <v>availment</v>
      </c>
      <c r="O750" s="258" t="str">
        <f>IFERROR(__xludf.DUMMYFUNCTION("""COMPUTED_VALUE"""),"availment_profile")</f>
        <v>availment_profile</v>
      </c>
      <c r="P750" s="258"/>
    </row>
    <row r="751">
      <c r="A751" s="257" t="str">
        <f>IFERROR(__xludf.DUMMYFUNCTION("""COMPUTED_VALUE"""),"availment_promo_ave_past_90days")</f>
        <v>availment_promo_ave_past_90days</v>
      </c>
      <c r="B751" s="258" t="str">
        <f>IFERROR(__xludf.DUMMYFUNCTION("""COMPUTED_VALUE"""),"Campaign History")</f>
        <v>Campaign History</v>
      </c>
      <c r="C751" s="258" t="str">
        <f>IFERROR(__xludf.DUMMYFUNCTION("""COMPUTED_VALUE"""),"Non-PII")</f>
        <v>Non-PII</v>
      </c>
      <c r="D751" s="258" t="str">
        <f>IFERROR(__xludf.DUMMYFUNCTION("""COMPUTED_VALUE"""),"Non-PII")</f>
        <v>Non-PII</v>
      </c>
      <c r="E751" s="258" t="str">
        <f>IFERROR(__xludf.DUMMYFUNCTION("""COMPUTED_VALUE"""),"Average count of promo availed excluding freebie and other notification promos for the past 90 days")</f>
        <v>Average count of promo availed excluding freebie and other notification promos for the past 90 days</v>
      </c>
      <c r="F751" s="258" t="str">
        <f>IFERROR(__xludf.DUMMYFUNCTION("""COMPUTED_VALUE"""),"Direct Pull")</f>
        <v>Direct Pull</v>
      </c>
      <c r="G751" s="258" t="str">
        <f>IFERROR(__xludf.DUMMYFUNCTION("""COMPUTED_VALUE"""),"numeric(21,2)")</f>
        <v>numeric(21,2)</v>
      </c>
      <c r="H751" s="258">
        <f>IFERROR(__xludf.DUMMYFUNCTION("""COMPUTED_VALUE"""),0.33)</f>
        <v>0.33</v>
      </c>
      <c r="I751" s="258" t="str">
        <f>IFERROR(__xludf.DUMMYFUNCTION("""COMPUTED_VALUE"""),"CRM FVT")</f>
        <v>CRM FVT</v>
      </c>
      <c r="J751" s="258" t="str">
        <f>IFERROR(__xludf.DUMMYFUNCTION("""COMPUTED_VALUE"""),"Daily")</f>
        <v>Daily</v>
      </c>
      <c r="K751" s="258" t="str">
        <f>IFERROR(__xludf.DUMMYFUNCTION("""COMPUTED_VALUE"""),"")</f>
        <v/>
      </c>
      <c r="L751" s="258" t="str">
        <f>IFERROR(__xludf.DUMMYFUNCTION("""COMPUTED_VALUE"""),"GHP-PREPAID, TM, PW")</f>
        <v>GHP-PREPAID, TM, PW</v>
      </c>
      <c r="M751" s="258" t="str">
        <f>IFERROR(__xludf.DUMMYFUNCTION("""COMPUTED_VALUE"""),"Consumer, EG, SG, IBG Traveler")</f>
        <v>Consumer, EG, SG, IBG Traveler</v>
      </c>
      <c r="N751" s="258" t="str">
        <f>IFERROR(__xludf.DUMMYFUNCTION("""COMPUTED_VALUE"""),"availment")</f>
        <v>availment</v>
      </c>
      <c r="O751" s="258" t="str">
        <f>IFERROR(__xludf.DUMMYFUNCTION("""COMPUTED_VALUE"""),"availment_profile")</f>
        <v>availment_profile</v>
      </c>
      <c r="P751" s="258"/>
    </row>
    <row r="752">
      <c r="A752" s="257" t="str">
        <f>IFERROR(__xludf.DUMMYFUNCTION("""COMPUTED_VALUE"""),"availment_ave_days_between_promo_90days")</f>
        <v>availment_ave_days_between_promo_90days</v>
      </c>
      <c r="B752" s="258" t="str">
        <f>IFERROR(__xludf.DUMMYFUNCTION("""COMPUTED_VALUE"""),"Campaign History")</f>
        <v>Campaign History</v>
      </c>
      <c r="C752" s="258" t="str">
        <f>IFERROR(__xludf.DUMMYFUNCTION("""COMPUTED_VALUE"""),"Non-PII")</f>
        <v>Non-PII</v>
      </c>
      <c r="D752" s="258" t="str">
        <f>IFERROR(__xludf.DUMMYFUNCTION("""COMPUTED_VALUE"""),"Non-PII")</f>
        <v>Non-PII</v>
      </c>
      <c r="E752" s="258" t="str">
        <f>IFERROR(__xludf.DUMMYFUNCTION("""COMPUTED_VALUE"""),"Average number of days between promo availment excluding freebie and other notification promos for the past 3 months")</f>
        <v>Average number of days between promo availment excluding freebie and other notification promos for the past 3 months</v>
      </c>
      <c r="F752" s="258" t="str">
        <f>IFERROR(__xludf.DUMMYFUNCTION("""COMPUTED_VALUE"""),"Direct Pull")</f>
        <v>Direct Pull</v>
      </c>
      <c r="G752" s="258" t="str">
        <f>IFERROR(__xludf.DUMMYFUNCTION("""COMPUTED_VALUE"""),"integer")</f>
        <v>integer</v>
      </c>
      <c r="H752" s="258">
        <f>IFERROR(__xludf.DUMMYFUNCTION("""COMPUTED_VALUE"""),0.0)</f>
        <v>0</v>
      </c>
      <c r="I752" s="258" t="str">
        <f>IFERROR(__xludf.DUMMYFUNCTION("""COMPUTED_VALUE"""),"CRM FVT")</f>
        <v>CRM FVT</v>
      </c>
      <c r="J752" s="258" t="str">
        <f>IFERROR(__xludf.DUMMYFUNCTION("""COMPUTED_VALUE"""),"Daily")</f>
        <v>Daily</v>
      </c>
      <c r="K752" s="258" t="str">
        <f>IFERROR(__xludf.DUMMYFUNCTION("""COMPUTED_VALUE"""),"")</f>
        <v/>
      </c>
      <c r="L752" s="258" t="str">
        <f>IFERROR(__xludf.DUMMYFUNCTION("""COMPUTED_VALUE"""),"GHP-PREPAID, TM, PW")</f>
        <v>GHP-PREPAID, TM, PW</v>
      </c>
      <c r="M752" s="258" t="str">
        <f>IFERROR(__xludf.DUMMYFUNCTION("""COMPUTED_VALUE"""),"Consumer, EG, SG, IBG Traveler")</f>
        <v>Consumer, EG, SG, IBG Traveler</v>
      </c>
      <c r="N752" s="258" t="str">
        <f>IFERROR(__xludf.DUMMYFUNCTION("""COMPUTED_VALUE"""),"availment")</f>
        <v>availment</v>
      </c>
      <c r="O752" s="258" t="str">
        <f>IFERROR(__xludf.DUMMYFUNCTION("""COMPUTED_VALUE"""),"availment_profile")</f>
        <v>availment_profile</v>
      </c>
      <c r="P752" s="258"/>
    </row>
    <row r="753">
      <c r="A753" s="257" t="str">
        <f>IFERROR(__xludf.DUMMYFUNCTION("""COMPUTED_VALUE"""),"availment_ave_days_between_promo_120days")</f>
        <v>availment_ave_days_between_promo_120days</v>
      </c>
      <c r="B753" s="258" t="str">
        <f>IFERROR(__xludf.DUMMYFUNCTION("""COMPUTED_VALUE"""),"Campaign History")</f>
        <v>Campaign History</v>
      </c>
      <c r="C753" s="258" t="str">
        <f>IFERROR(__xludf.DUMMYFUNCTION("""COMPUTED_VALUE"""),"Non-PII")</f>
        <v>Non-PII</v>
      </c>
      <c r="D753" s="258" t="str">
        <f>IFERROR(__xludf.DUMMYFUNCTION("""COMPUTED_VALUE"""),"Non-PII")</f>
        <v>Non-PII</v>
      </c>
      <c r="E753" s="258" t="str">
        <f>IFERROR(__xludf.DUMMYFUNCTION("""COMPUTED_VALUE"""),"Average number of days between promo availment excluding freebie and other notification promos for the past 4 months")</f>
        <v>Average number of days between promo availment excluding freebie and other notification promos for the past 4 months</v>
      </c>
      <c r="F753" s="258" t="str">
        <f>IFERROR(__xludf.DUMMYFUNCTION("""COMPUTED_VALUE"""),"Direct Pull")</f>
        <v>Direct Pull</v>
      </c>
      <c r="G753" s="258" t="str">
        <f>IFERROR(__xludf.DUMMYFUNCTION("""COMPUTED_VALUE"""),"integer")</f>
        <v>integer</v>
      </c>
      <c r="H753" s="258">
        <f>IFERROR(__xludf.DUMMYFUNCTION("""COMPUTED_VALUE"""),1.0)</f>
        <v>1</v>
      </c>
      <c r="I753" s="258" t="str">
        <f>IFERROR(__xludf.DUMMYFUNCTION("""COMPUTED_VALUE"""),"CRM FVT")</f>
        <v>CRM FVT</v>
      </c>
      <c r="J753" s="258" t="str">
        <f>IFERROR(__xludf.DUMMYFUNCTION("""COMPUTED_VALUE"""),"Daily")</f>
        <v>Daily</v>
      </c>
      <c r="K753" s="258" t="str">
        <f>IFERROR(__xludf.DUMMYFUNCTION("""COMPUTED_VALUE"""),"")</f>
        <v/>
      </c>
      <c r="L753" s="258" t="str">
        <f>IFERROR(__xludf.DUMMYFUNCTION("""COMPUTED_VALUE"""),"GHP-PREPAID, TM, PW")</f>
        <v>GHP-PREPAID, TM, PW</v>
      </c>
      <c r="M753" s="258" t="str">
        <f>IFERROR(__xludf.DUMMYFUNCTION("""COMPUTED_VALUE"""),"Consumer, EG, SG, IBG Traveler")</f>
        <v>Consumer, EG, SG, IBG Traveler</v>
      </c>
      <c r="N753" s="258" t="str">
        <f>IFERROR(__xludf.DUMMYFUNCTION("""COMPUTED_VALUE"""),"availment")</f>
        <v>availment</v>
      </c>
      <c r="O753" s="258" t="str">
        <f>IFERROR(__xludf.DUMMYFUNCTION("""COMPUTED_VALUE"""),"availment_profile")</f>
        <v>availment_profile</v>
      </c>
      <c r="P753" s="258"/>
    </row>
    <row r="754">
      <c r="A754" s="257" t="str">
        <f>IFERROR(__xludf.DUMMYFUNCTION("""COMPUTED_VALUE"""),"occupation_text_categorized")</f>
        <v>occupation_text_categorized</v>
      </c>
      <c r="B754" s="258" t="str">
        <f>IFERROR(__xludf.DUMMYFUNCTION("""COMPUTED_VALUE"""),"Globe ID")</f>
        <v>Globe ID</v>
      </c>
      <c r="C754" s="258" t="str">
        <f>IFERROR(__xludf.DUMMYFUNCTION("""COMPUTED_VALUE"""),"Non-PII")</f>
        <v>Non-PII</v>
      </c>
      <c r="D754" s="258" t="str">
        <f>IFERROR(__xludf.DUMMYFUNCTION("""COMPUTED_VALUE"""),"Non-PII")</f>
        <v>Non-PII</v>
      </c>
      <c r="E754" s="258" t="str">
        <f>IFERROR(__xludf.DUMMYFUNCTION("""COMPUTED_VALUE"""),"Categorized occupation of the contact.")</f>
        <v>Categorized occupation of the contact.</v>
      </c>
      <c r="F754" s="258" t="str">
        <f>IFERROR(__xludf.DUMMYFUNCTION("""COMPUTED_VALUE"""),"Derived")</f>
        <v>Derived</v>
      </c>
      <c r="G754" s="258" t="str">
        <f>IFERROR(__xludf.DUMMYFUNCTION("""COMPUTED_VALUE"""),"varchar(1000)")</f>
        <v>varchar(1000)</v>
      </c>
      <c r="H754" s="258" t="str">
        <f>IFERROR(__xludf.DUMMYFUNCTION("""COMPUTED_VALUE"""),"4) Freelancer / Consultant / Self-employed")</f>
        <v>4) Freelancer / Consultant / Self-employed</v>
      </c>
      <c r="I754" s="258" t="str">
        <f>IFERROR(__xludf.DUMMYFUNCTION("""COMPUTED_VALUE"""),"EDO-UUP")</f>
        <v>EDO-UUP</v>
      </c>
      <c r="J754" s="258" t="str">
        <f>IFERROR(__xludf.DUMMYFUNCTION("""COMPUTED_VALUE"""),"Daily")</f>
        <v>Daily</v>
      </c>
      <c r="K754" s="258" t="str">
        <f>IFERROR(__xludf.DUMMYFUNCTION("""COMPUTED_VALUE"""),"")</f>
        <v/>
      </c>
      <c r="L754" s="258" t="str">
        <f>IFERROR(__xludf.DUMMYFUNCTION("""COMPUTED_VALUE"""),"GHP, GHP-PREPAID, TM, PW, WIRELINE, BAYAN, GLOBE")</f>
        <v>GHP, GHP-PREPAID, TM, PW, WIRELINE, BAYAN, GLOBE</v>
      </c>
      <c r="M754" s="258" t="str">
        <f>IFERROR(__xludf.DUMMYFUNCTION("""COMPUTED_VALUE"""),"Consumer, EG, SG, In house, IBG Traveler")</f>
        <v>Consumer, EG, SG, In house, IBG Traveler</v>
      </c>
      <c r="N754" s="258" t="str">
        <f>IFERROR(__xludf.DUMMYFUNCTION("""COMPUTED_VALUE"""),"customer")</f>
        <v>customer</v>
      </c>
      <c r="O754" s="258" t="str">
        <f>IFERROR(__xludf.DUMMYFUNCTION("""COMPUTED_VALUE"""),"customer_profile")</f>
        <v>customer_profile</v>
      </c>
      <c r="P754" s="258"/>
    </row>
    <row r="755">
      <c r="A755" s="257" t="str">
        <f>IFERROR(__xludf.DUMMYFUNCTION("""COMPUTED_VALUE"""),"musician_indicator")</f>
        <v>musician_indicator</v>
      </c>
      <c r="B755" s="258" t="str">
        <f>IFERROR(__xludf.DUMMYFUNCTION("""COMPUTED_VALUE"""),"Audience/Persona")</f>
        <v>Audience/Persona</v>
      </c>
      <c r="C755" s="258" t="str">
        <f>IFERROR(__xludf.DUMMYFUNCTION("""COMPUTED_VALUE"""),"Non-PII")</f>
        <v>Non-PII</v>
      </c>
      <c r="D755" s="258" t="str">
        <f>IFERROR(__xludf.DUMMYFUNCTION("""COMPUTED_VALUE"""),"Non-PII")</f>
        <v>Non-PII</v>
      </c>
      <c r="E755" s="258" t="str">
        <f>IFERROR(__xludf.DUMMYFUNCTION("""COMPUTED_VALUE"""),"Indicator if a subscriber visits/uses musician applications or sites like Yousician, Simply Piano, Music Notes, etc
 For wireline subscribers, only subscriptions within Metro Manila (including some areas in Rizal) and with DSL, VDSL and GPON technology "&amp;"value are covered.")</f>
        <v>Indicator if a subscriber visits/uses musician applications or sites like Yousician, Simply Piano, Music Notes, etc
 For wireline subscribers, only subscriptions within Metro Manila (including some areas in Rizal) and with DSL, VDSL and GPON technology value are covered.</v>
      </c>
      <c r="F755" s="258" t="str">
        <f>IFERROR(__xludf.DUMMYFUNCTION("""COMPUTED_VALUE"""),"Derived")</f>
        <v>Derived</v>
      </c>
      <c r="G755" s="258" t="str">
        <f>IFERROR(__xludf.DUMMYFUNCTION("""COMPUTED_VALUE"""),"boolean")</f>
        <v>boolean</v>
      </c>
      <c r="H755" s="258" t="b">
        <f>IFERROR(__xludf.DUMMYFUNCTION("""COMPUTED_VALUE"""),TRUE)</f>
        <v>1</v>
      </c>
      <c r="I755" s="258" t="str">
        <f>IFERROR(__xludf.DUMMYFUNCTION("""COMPUTED_VALUE"""),"EDO-UUP")</f>
        <v>EDO-UUP</v>
      </c>
      <c r="J755" s="258" t="str">
        <f>IFERROR(__xludf.DUMMYFUNCTION("""COMPUTED_VALUE"""),"Monthly")</f>
        <v>Monthly</v>
      </c>
      <c r="K755" s="258" t="str">
        <f>IFERROR(__xludf.DUMMYFUNCTION("""COMPUTED_VALUE"""),"")</f>
        <v/>
      </c>
      <c r="L755" s="258" t="str">
        <f>IFERROR(__xludf.DUMMYFUNCTION("""COMPUTED_VALUE"""),"GHP, GHP-PREPAID, TM, PW, GOMO, WIRELINE, BAYAN, GLOBE")</f>
        <v>GHP, GHP-PREPAID, TM, PW, GOMO, WIRELINE, BAYAN, GLOBE</v>
      </c>
      <c r="M755" s="258" t="str">
        <f>IFERROR(__xludf.DUMMYFUNCTION("""COMPUTED_VALUE"""),"Consumer, EG, SG, In house, IBG Traveler")</f>
        <v>Consumer, EG, SG, In house, IBG Traveler</v>
      </c>
      <c r="N755" s="258" t="str">
        <f>IFERROR(__xludf.DUMMYFUNCTION("""COMPUTED_VALUE"""),"interest")</f>
        <v>interest</v>
      </c>
      <c r="O755" s="258" t="str">
        <f>IFERROR(__xludf.DUMMYFUNCTION("""COMPUTED_VALUE"""),"network_profile")</f>
        <v>network_profile</v>
      </c>
      <c r="P755" s="258"/>
    </row>
    <row r="756">
      <c r="A756" s="257" t="str">
        <f>IFERROR(__xludf.DUMMYFUNCTION("""COMPUTED_VALUE"""),"musician_bucket")</f>
        <v>musician_bucket</v>
      </c>
      <c r="B756" s="258" t="str">
        <f>IFERROR(__xludf.DUMMYFUNCTION("""COMPUTED_VALUE"""),"Audience/Persona")</f>
        <v>Audience/Persona</v>
      </c>
      <c r="C756" s="258" t="str">
        <f>IFERROR(__xludf.DUMMYFUNCTION("""COMPUTED_VALUE"""),"Non-PII")</f>
        <v>Non-PII</v>
      </c>
      <c r="D756" s="258" t="str">
        <f>IFERROR(__xludf.DUMMYFUNCTION("""COMPUTED_VALUE"""),"Non-PII")</f>
        <v>Non-PII</v>
      </c>
      <c r="E756" s="258" t="str">
        <f>IFERROR(__xludf.DUMMYFUNCTION("""COMPUTED_VALUE"""),"Bucketing based on identified metric 
 Metric: Number of Hits in a Month
 Valid values: 
 LOW: &lt;= 3 hits
 MID: &gt; 3 &amp; &lt;=7 hits
 HIGH: &gt; 7 hits
 For wireline subscribers, only subscriptions within Metro Manila (including some areas in Rizal) and with DS"&amp;"L, VDSL and GPON technology value are covered.")</f>
        <v>Bucketing based on identified metric 
 Metric: Number of Hits in a Month
 Valid values: 
 LOW: &lt;= 3 hits
 MID: &gt; 3 &amp; &lt;=7 hits
 HIGH: &gt; 7 hits
 For wireline subscribers, only subscriptions within Metro Manila (including some areas in Rizal) and with DSL, VDSL and GPON technology value are covered.</v>
      </c>
      <c r="F756" s="258" t="str">
        <f>IFERROR(__xludf.DUMMYFUNCTION("""COMPUTED_VALUE"""),"Direct Pull")</f>
        <v>Direct Pull</v>
      </c>
      <c r="G756" s="258" t="str">
        <f>IFERROR(__xludf.DUMMYFUNCTION("""COMPUTED_VALUE"""),"varchar(1000)")</f>
        <v>varchar(1000)</v>
      </c>
      <c r="H756" s="258" t="str">
        <f>IFERROR(__xludf.DUMMYFUNCTION("""COMPUTED_VALUE"""),"LOW")</f>
        <v>LOW</v>
      </c>
      <c r="I756" s="258" t="str">
        <f>IFERROR(__xludf.DUMMYFUNCTION("""COMPUTED_VALUE"""),"EDO-UUP")</f>
        <v>EDO-UUP</v>
      </c>
      <c r="J756" s="258" t="str">
        <f>IFERROR(__xludf.DUMMYFUNCTION("""COMPUTED_VALUE"""),"Monthly")</f>
        <v>Monthly</v>
      </c>
      <c r="K756" s="258" t="str">
        <f>IFERROR(__xludf.DUMMYFUNCTION("""COMPUTED_VALUE"""),"")</f>
        <v/>
      </c>
      <c r="L756" s="258" t="str">
        <f>IFERROR(__xludf.DUMMYFUNCTION("""COMPUTED_VALUE"""),"GHP, GHP-PREPAID, TM, PW, GOMO, WIRELINE, BAYAN, GLOBE")</f>
        <v>GHP, GHP-PREPAID, TM, PW, GOMO, WIRELINE, BAYAN, GLOBE</v>
      </c>
      <c r="M756" s="258" t="str">
        <f>IFERROR(__xludf.DUMMYFUNCTION("""COMPUTED_VALUE"""),"Consumer, EG, SG, In house, IBG Traveler")</f>
        <v>Consumer, EG, SG, In house, IBG Traveler</v>
      </c>
      <c r="N756" s="258" t="str">
        <f>IFERROR(__xludf.DUMMYFUNCTION("""COMPUTED_VALUE"""),"interest")</f>
        <v>interest</v>
      </c>
      <c r="O756" s="258" t="str">
        <f>IFERROR(__xludf.DUMMYFUNCTION("""COMPUTED_VALUE"""),"network_profile")</f>
        <v>network_profile</v>
      </c>
      <c r="P756" s="258"/>
    </row>
    <row r="757">
      <c r="A757" s="257" t="str">
        <f>IFERROR(__xludf.DUMMYFUNCTION("""COMPUTED_VALUE"""),"musician_details")</f>
        <v>musician_details</v>
      </c>
      <c r="B757" s="258" t="str">
        <f>IFERROR(__xludf.DUMMYFUNCTION("""COMPUTED_VALUE"""),"Audience/Persona")</f>
        <v>Audience/Persona</v>
      </c>
      <c r="C757" s="258" t="str">
        <f>IFERROR(__xludf.DUMMYFUNCTION("""COMPUTED_VALUE"""),"Non-PII")</f>
        <v>Non-PII</v>
      </c>
      <c r="D757" s="258" t="str">
        <f>IFERROR(__xludf.DUMMYFUNCTION("""COMPUTED_VALUE"""),"Non-PII")</f>
        <v>Non-PII</v>
      </c>
      <c r="E757" s="258" t="str">
        <f>IFERROR(__xludf.DUMMYFUNCTION("""COMPUTED_VALUE"""),"Metric used and value for the Musician profile
 For wireline subscribers, only subscriptions within Metro Manila (including some areas in Rizal) and with DSL, VDSL and GPON technology value are covered.")</f>
        <v>Metric used and value for the Musician profile
 For wireline subscribers, only subscriptions within Metro Manila (including some areas in Rizal) and with DSL, VDSL and GPON technology value are covered.</v>
      </c>
      <c r="F757" s="258" t="str">
        <f>IFERROR(__xludf.DUMMYFUNCTION("""COMPUTED_VALUE"""),"Derived")</f>
        <v>Derived</v>
      </c>
      <c r="G757" s="258" t="str">
        <f>IFERROR(__xludf.DUMMYFUNCTION("""COMPUTED_VALUE"""),"varchar(1000)")</f>
        <v>varchar(1000)</v>
      </c>
      <c r="H757" s="258" t="str">
        <f>IFERROR(__xludf.DUMMYFUNCTION("""COMPUTED_VALUE"""),"{\Total Hits in a Month\"": 4}""")</f>
        <v>{\Total Hits in a Month\": 4}"</v>
      </c>
      <c r="I757" s="258" t="str">
        <f>IFERROR(__xludf.DUMMYFUNCTION("""COMPUTED_VALUE"""),"EDO-UUP")</f>
        <v>EDO-UUP</v>
      </c>
      <c r="J757" s="258" t="str">
        <f>IFERROR(__xludf.DUMMYFUNCTION("""COMPUTED_VALUE"""),"Monthly")</f>
        <v>Monthly</v>
      </c>
      <c r="K757" s="258" t="str">
        <f>IFERROR(__xludf.DUMMYFUNCTION("""COMPUTED_VALUE"""),"")</f>
        <v/>
      </c>
      <c r="L757" s="258" t="str">
        <f>IFERROR(__xludf.DUMMYFUNCTION("""COMPUTED_VALUE"""),"GHP, GHP-PREPAID, TM, PW, GOMO, WIRELINE, BAYAN, GLOBE")</f>
        <v>GHP, GHP-PREPAID, TM, PW, GOMO, WIRELINE, BAYAN, GLOBE</v>
      </c>
      <c r="M757" s="258" t="str">
        <f>IFERROR(__xludf.DUMMYFUNCTION("""COMPUTED_VALUE"""),"Consumer, EG, SG, In house, IBG Traveler")</f>
        <v>Consumer, EG, SG, In house, IBG Traveler</v>
      </c>
      <c r="N757" s="258" t="str">
        <f>IFERROR(__xludf.DUMMYFUNCTION("""COMPUTED_VALUE"""),"interest")</f>
        <v>interest</v>
      </c>
      <c r="O757" s="258" t="str">
        <f>IFERROR(__xludf.DUMMYFUNCTION("""COMPUTED_VALUE"""),"network_profile")</f>
        <v>network_profile</v>
      </c>
      <c r="P757" s="258"/>
    </row>
    <row r="758">
      <c r="A758" s="257" t="str">
        <f>IFERROR(__xludf.DUMMYFUNCTION("""COMPUTED_VALUE"""),"musician_top_apps")</f>
        <v>musician_top_apps</v>
      </c>
      <c r="B758" s="258" t="str">
        <f>IFERROR(__xludf.DUMMYFUNCTION("""COMPUTED_VALUE"""),"Audience/Persona")</f>
        <v>Audience/Persona</v>
      </c>
      <c r="C758" s="258" t="str">
        <f>IFERROR(__xludf.DUMMYFUNCTION("""COMPUTED_VALUE"""),"Non-PII")</f>
        <v>Non-PII</v>
      </c>
      <c r="D758" s="258" t="str">
        <f>IFERROR(__xludf.DUMMYFUNCTION("""COMPUTED_VALUE"""),"Non-PII")</f>
        <v>Non-PII</v>
      </c>
      <c r="E758" s="258" t="str">
        <f>IFERROR(__xludf.DUMMYFUNCTION("""COMPUTED_VALUE"""),"Top 1 app/site by data burn, total hits and active days categorized under the Musician profile
 For wireline subscribers, only subscriptions within Metro Manila (including some areas in Rizal) and with DSL, VDSL and GPON technology value are covered.")</f>
        <v>Top 1 app/site by data burn, total hits and active days categorized under the Musician profile
 For wireline subscribers, only subscriptions within Metro Manila (including some areas in Rizal) and with DSL, VDSL and GPON technology value are covered.</v>
      </c>
      <c r="F758" s="258" t="str">
        <f>IFERROR(__xludf.DUMMYFUNCTION("""COMPUTED_VALUE"""),"Derived")</f>
        <v>Derived</v>
      </c>
      <c r="G758" s="258" t="str">
        <f>IFERROR(__xludf.DUMMYFUNCTION("""COMPUTED_VALUE"""),"varchar(1000)")</f>
        <v>varchar(1000)</v>
      </c>
      <c r="H758" s="258" t="str">
        <f>IFERROR(__xludf.DUMMYFUNCTION("""COMPUTED_VALUE"""),"bandlab")</f>
        <v>bandlab</v>
      </c>
      <c r="I758" s="258" t="str">
        <f>IFERROR(__xludf.DUMMYFUNCTION("""COMPUTED_VALUE"""),"EDO-UUP")</f>
        <v>EDO-UUP</v>
      </c>
      <c r="J758" s="258" t="str">
        <f>IFERROR(__xludf.DUMMYFUNCTION("""COMPUTED_VALUE"""),"Monthly")</f>
        <v>Monthly</v>
      </c>
      <c r="K758" s="258" t="str">
        <f>IFERROR(__xludf.DUMMYFUNCTION("""COMPUTED_VALUE"""),"")</f>
        <v/>
      </c>
      <c r="L758" s="258" t="str">
        <f>IFERROR(__xludf.DUMMYFUNCTION("""COMPUTED_VALUE"""),"GHP, GHP-PREPAID, TM, PW, GOMO, WIRELINE, BAYAN, GLOBE")</f>
        <v>GHP, GHP-PREPAID, TM, PW, GOMO, WIRELINE, BAYAN, GLOBE</v>
      </c>
      <c r="M758" s="258" t="str">
        <f>IFERROR(__xludf.DUMMYFUNCTION("""COMPUTED_VALUE"""),"Consumer, EG, SG, In house, IBG Traveler")</f>
        <v>Consumer, EG, SG, In house, IBG Traveler</v>
      </c>
      <c r="N758" s="258" t="str">
        <f>IFERROR(__xludf.DUMMYFUNCTION("""COMPUTED_VALUE"""),"interest")</f>
        <v>interest</v>
      </c>
      <c r="O758" s="258" t="str">
        <f>IFERROR(__xludf.DUMMYFUNCTION("""COMPUTED_VALUE"""),"network_profile")</f>
        <v>network_profile</v>
      </c>
      <c r="P758" s="258"/>
    </row>
    <row r="759">
      <c r="A759" s="257" t="str">
        <f>IFERROR(__xludf.DUMMYFUNCTION("""COMPUTED_VALUE"""),"last_promo_expiry_date")</f>
        <v>last_promo_expiry_date</v>
      </c>
      <c r="B759" s="258" t="str">
        <f>IFERROR(__xludf.DUMMYFUNCTION("""COMPUTED_VALUE"""),"Campaign History")</f>
        <v>Campaign History</v>
      </c>
      <c r="C759" s="258" t="str">
        <f>IFERROR(__xludf.DUMMYFUNCTION("""COMPUTED_VALUE"""),"Non-PII")</f>
        <v>Non-PII</v>
      </c>
      <c r="D759" s="258" t="str">
        <f>IFERROR(__xludf.DUMMYFUNCTION("""COMPUTED_VALUE"""),"Non-PII")</f>
        <v>Non-PII</v>
      </c>
      <c r="E759" s="258" t="str">
        <f>IFERROR(__xludf.DUMMYFUNCTION("""COMPUTED_VALUE"""),"Latest promo expiration date of the subscriber for past 90 days")</f>
        <v>Latest promo expiration date of the subscriber for past 90 days</v>
      </c>
      <c r="F759" s="258" t="str">
        <f>IFERROR(__xludf.DUMMYFUNCTION("""COMPUTED_VALUE"""),"Derived")</f>
        <v>Derived</v>
      </c>
      <c r="G759" s="258" t="str">
        <f>IFERROR(__xludf.DUMMYFUNCTION("""COMPUTED_VALUE"""),"timestamp")</f>
        <v>timestamp</v>
      </c>
      <c r="H759" s="258">
        <f>IFERROR(__xludf.DUMMYFUNCTION("""COMPUTED_VALUE"""),42354.33333)</f>
        <v>42354.33333</v>
      </c>
      <c r="I759" s="258" t="str">
        <f>IFERROR(__xludf.DUMMYFUNCTION("""COMPUTED_VALUE"""),"CRM FVT")</f>
        <v>CRM FVT</v>
      </c>
      <c r="J759" s="258" t="str">
        <f>IFERROR(__xludf.DUMMYFUNCTION("""COMPUTED_VALUE"""),"Daily")</f>
        <v>Daily</v>
      </c>
      <c r="K759" s="258" t="str">
        <f>IFERROR(__xludf.DUMMYFUNCTION("""COMPUTED_VALUE"""),"")</f>
        <v/>
      </c>
      <c r="L759" s="258" t="str">
        <f>IFERROR(__xludf.DUMMYFUNCTION("""COMPUTED_VALUE"""),"GHP-PREPAID, TM, PW")</f>
        <v>GHP-PREPAID, TM, PW</v>
      </c>
      <c r="M759" s="258" t="str">
        <f>IFERROR(__xludf.DUMMYFUNCTION("""COMPUTED_VALUE"""),"Consumer, EG, SG, IBG Traveler")</f>
        <v>Consumer, EG, SG, IBG Traveler</v>
      </c>
      <c r="N759" s="258" t="str">
        <f>IFERROR(__xludf.DUMMYFUNCTION("""COMPUTED_VALUE"""),"availment")</f>
        <v>availment</v>
      </c>
      <c r="O759" s="258" t="str">
        <f>IFERROR(__xludf.DUMMYFUNCTION("""COMPUTED_VALUE"""),"availment_profile")</f>
        <v>availment_profile</v>
      </c>
      <c r="P759" s="258"/>
    </row>
    <row r="760">
      <c r="A760" s="257" t="str">
        <f>IFERROR(__xludf.DUMMYFUNCTION("""COMPUTED_VALUE"""),"last_promo_expiry_name")</f>
        <v>last_promo_expiry_name</v>
      </c>
      <c r="B760" s="258" t="str">
        <f>IFERROR(__xludf.DUMMYFUNCTION("""COMPUTED_VALUE"""),"Campaign History")</f>
        <v>Campaign History</v>
      </c>
      <c r="C760" s="258" t="str">
        <f>IFERROR(__xludf.DUMMYFUNCTION("""COMPUTED_VALUE"""),"Non-PII")</f>
        <v>Non-PII</v>
      </c>
      <c r="D760" s="258" t="str">
        <f>IFERROR(__xludf.DUMMYFUNCTION("""COMPUTED_VALUE"""),"Non-PII")</f>
        <v>Non-PII</v>
      </c>
      <c r="E760" s="258" t="str">
        <f>IFERROR(__xludf.DUMMYFUNCTION("""COMPUTED_VALUE"""),"Name of the promo with latest promo expiration date")</f>
        <v>Name of the promo with latest promo expiration date</v>
      </c>
      <c r="F760" s="258" t="str">
        <f>IFERROR(__xludf.DUMMYFUNCTION("""COMPUTED_VALUE"""),"Derived")</f>
        <v>Derived</v>
      </c>
      <c r="G760" s="258" t="str">
        <f>IFERROR(__xludf.DUMMYFUNCTION("""COMPUTED_VALUE"""),"varchar(1000)")</f>
        <v>varchar(1000)</v>
      </c>
      <c r="H760" s="258" t="str">
        <f>IFERROR(__xludf.DUMMYFUNCTION("""COMPUTED_VALUE"""),"GOSURF50")</f>
        <v>GOSURF50</v>
      </c>
      <c r="I760" s="258" t="str">
        <f>IFERROR(__xludf.DUMMYFUNCTION("""COMPUTED_VALUE"""),"CRM FVT")</f>
        <v>CRM FVT</v>
      </c>
      <c r="J760" s="258" t="str">
        <f>IFERROR(__xludf.DUMMYFUNCTION("""COMPUTED_VALUE"""),"Daily")</f>
        <v>Daily</v>
      </c>
      <c r="K760" s="258" t="str">
        <f>IFERROR(__xludf.DUMMYFUNCTION("""COMPUTED_VALUE"""),"")</f>
        <v/>
      </c>
      <c r="L760" s="258" t="str">
        <f>IFERROR(__xludf.DUMMYFUNCTION("""COMPUTED_VALUE"""),"GHP-PREPAID, TM, PW")</f>
        <v>GHP-PREPAID, TM, PW</v>
      </c>
      <c r="M760" s="258" t="str">
        <f>IFERROR(__xludf.DUMMYFUNCTION("""COMPUTED_VALUE"""),"Consumer, EG, SG, IBG Traveler")</f>
        <v>Consumer, EG, SG, IBG Traveler</v>
      </c>
      <c r="N760" s="258" t="str">
        <f>IFERROR(__xludf.DUMMYFUNCTION("""COMPUTED_VALUE"""),"availment")</f>
        <v>availment</v>
      </c>
      <c r="O760" s="258" t="str">
        <f>IFERROR(__xludf.DUMMYFUNCTION("""COMPUTED_VALUE"""),"availment_profile")</f>
        <v>availment_profile</v>
      </c>
      <c r="P760" s="258"/>
    </row>
    <row r="761">
      <c r="A761" s="257" t="str">
        <f>IFERROR(__xludf.DUMMYFUNCTION("""COMPUTED_VALUE"""),"reload_activity_decline_indicator")</f>
        <v>reload_activity_decline_indicator</v>
      </c>
      <c r="B761" s="258" t="str">
        <f>IFERROR(__xludf.DUMMYFUNCTION("""COMPUTED_VALUE"""),"Loyalty &amp; Retention")</f>
        <v>Loyalty &amp; Retention</v>
      </c>
      <c r="C761" s="258" t="str">
        <f>IFERROR(__xludf.DUMMYFUNCTION("""COMPUTED_VALUE"""),"Non-PII")</f>
        <v>Non-PII</v>
      </c>
      <c r="D761" s="258" t="str">
        <f>IFERROR(__xludf.DUMMYFUNCTION("""COMPUTED_VALUE"""),"Non-PII")</f>
        <v>Non-PII</v>
      </c>
      <c r="E761" s="258" t="str">
        <f>IFERROR(__xludf.DUMMYFUNCTION("""COMPUTED_VALUE"""),"Indicator if a subscriber's past month topup has declined by &gt;=70% vs average topup past 120 days prior to 30 days")</f>
        <v>Indicator if a subscriber's past month topup has declined by &gt;=70% vs average topup past 120 days prior to 30 days</v>
      </c>
      <c r="F761" s="258" t="str">
        <f>IFERROR(__xludf.DUMMYFUNCTION("""COMPUTED_VALUE"""),"Derived")</f>
        <v>Derived</v>
      </c>
      <c r="G761" s="258" t="str">
        <f>IFERROR(__xludf.DUMMYFUNCTION("""COMPUTED_VALUE"""),"boolean")</f>
        <v>boolean</v>
      </c>
      <c r="H761" s="258" t="b">
        <f>IFERROR(__xludf.DUMMYFUNCTION("""COMPUTED_VALUE"""),TRUE)</f>
        <v>1</v>
      </c>
      <c r="I761" s="258" t="str">
        <f>IFERROR(__xludf.DUMMYFUNCTION("""COMPUTED_VALUE"""),"CRM FVT")</f>
        <v>CRM FVT</v>
      </c>
      <c r="J761" s="258" t="str">
        <f>IFERROR(__xludf.DUMMYFUNCTION("""COMPUTED_VALUE"""),"Daily")</f>
        <v>Daily</v>
      </c>
      <c r="K761" s="258" t="str">
        <f>IFERROR(__xludf.DUMMYFUNCTION("""COMPUTED_VALUE"""),"")</f>
        <v/>
      </c>
      <c r="L761" s="258" t="str">
        <f>IFERROR(__xludf.DUMMYFUNCTION("""COMPUTED_VALUE"""),"GHP-PREPAID, TM, PW")</f>
        <v>GHP-PREPAID, TM, PW</v>
      </c>
      <c r="M761" s="258" t="str">
        <f>IFERROR(__xludf.DUMMYFUNCTION("""COMPUTED_VALUE"""),"Consumer, EG, SG, In house, IBG Traveler")</f>
        <v>Consumer, EG, SG, In house, IBG Traveler</v>
      </c>
      <c r="N761" s="258" t="str">
        <f>IFERROR(__xludf.DUMMYFUNCTION("""COMPUTED_VALUE"""),"reload")</f>
        <v>reload</v>
      </c>
      <c r="O761" s="258" t="str">
        <f>IFERROR(__xludf.DUMMYFUNCTION("""COMPUTED_VALUE"""),"reload_profile")</f>
        <v>reload_profile</v>
      </c>
      <c r="P761" s="258"/>
    </row>
    <row r="762">
      <c r="A762" s="257" t="str">
        <f>IFERROR(__xludf.DUMMYFUNCTION("""COMPUTED_VALUE"""),"gender_type_description_user")</f>
        <v>gender_type_description_user</v>
      </c>
      <c r="B762" s="258" t="str">
        <f>IFERROR(__xludf.DUMMYFUNCTION("""COMPUTED_VALUE"""),"Customer PII - Masked")</f>
        <v>Customer PII - Masked</v>
      </c>
      <c r="C762" s="258" t="str">
        <f>IFERROR(__xludf.DUMMYFUNCTION("""COMPUTED_VALUE"""),"Customer PII - Masked")</f>
        <v>Customer PII - Masked</v>
      </c>
      <c r="D762" s="258" t="str">
        <f>IFERROR(__xludf.DUMMYFUNCTION("""COMPUTED_VALUE"""),"Confidential")</f>
        <v>Confidential</v>
      </c>
      <c r="E762" s="258" t="str">
        <f>IFERROR(__xludf.DUMMYFUNCTION("""COMPUTED_VALUE"""),"Gender of the mobile user.")</f>
        <v>Gender of the mobile user.</v>
      </c>
      <c r="F762" s="258" t="str">
        <f>IFERROR(__xludf.DUMMYFUNCTION("""COMPUTED_VALUE"""),"Derived")</f>
        <v>Derived</v>
      </c>
      <c r="G762" s="258" t="str">
        <f>IFERROR(__xludf.DUMMYFUNCTION("""COMPUTED_VALUE"""),"varchar(1000)")</f>
        <v>varchar(1000)</v>
      </c>
      <c r="H762" s="258" t="str">
        <f>IFERROR(__xludf.DUMMYFUNCTION("""COMPUTED_VALUE"""),"Male")</f>
        <v>Male</v>
      </c>
      <c r="I762" s="258" t="str">
        <f>IFERROR(__xludf.DUMMYFUNCTION("""COMPUTED_VALUE"""),"EDO-AA")</f>
        <v>EDO-AA</v>
      </c>
      <c r="J762" s="258" t="str">
        <f>IFERROR(__xludf.DUMMYFUNCTION("""COMPUTED_VALUE"""),"Monthly")</f>
        <v>Monthly</v>
      </c>
      <c r="K762" s="258" t="str">
        <f>IFERROR(__xludf.DUMMYFUNCTION("""COMPUTED_VALUE"""),"")</f>
        <v/>
      </c>
      <c r="L762" s="258" t="str">
        <f>IFERROR(__xludf.DUMMYFUNCTION("""COMPUTED_VALUE"""),"GHP, GHP-PREPAID, TM, PW, GOMO")</f>
        <v>GHP, GHP-PREPAID, TM, PW, GOMO</v>
      </c>
      <c r="M762" s="258" t="str">
        <f>IFERROR(__xludf.DUMMYFUNCTION("""COMPUTED_VALUE"""),"Consumer, EG, SG, In house, IBG Traveler")</f>
        <v>Consumer, EG, SG, In house, IBG Traveler</v>
      </c>
      <c r="N762" s="258" t="str">
        <f>IFERROR(__xludf.DUMMYFUNCTION("""COMPUTED_VALUE"""),"customer")</f>
        <v>customer</v>
      </c>
      <c r="O762" s="258" t="str">
        <f>IFERROR(__xludf.DUMMYFUNCTION("""COMPUTED_VALUE"""),"customer_profile")</f>
        <v>customer_profile</v>
      </c>
      <c r="P762" s="258"/>
    </row>
    <row r="763">
      <c r="A763" s="257" t="str">
        <f>IFERROR(__xludf.DUMMYFUNCTION("""COMPUTED_VALUE"""),"civil_status")</f>
        <v>civil_status</v>
      </c>
      <c r="B763" s="258" t="str">
        <f>IFERROR(__xludf.DUMMYFUNCTION("""COMPUTED_VALUE"""),"Customer PII - Masked")</f>
        <v>Customer PII - Masked</v>
      </c>
      <c r="C763" s="258" t="str">
        <f>IFERROR(__xludf.DUMMYFUNCTION("""COMPUTED_VALUE"""),"Customer PII - Masked")</f>
        <v>Customer PII - Masked</v>
      </c>
      <c r="D763" s="258" t="str">
        <f>IFERROR(__xludf.DUMMYFUNCTION("""COMPUTED_VALUE"""),"Confidential")</f>
        <v>Confidential</v>
      </c>
      <c r="E763" s="258" t="str">
        <f>IFERROR(__xludf.DUMMYFUNCTION("""COMPUTED_VALUE"""),"Civil status of the contact.")</f>
        <v>Civil status of the contact.</v>
      </c>
      <c r="F763" s="258" t="str">
        <f>IFERROR(__xludf.DUMMYFUNCTION("""COMPUTED_VALUE"""),"Derived")</f>
        <v>Derived</v>
      </c>
      <c r="G763" s="258" t="str">
        <f>IFERROR(__xludf.DUMMYFUNCTION("""COMPUTED_VALUE"""),"varchar(1000)")</f>
        <v>varchar(1000)</v>
      </c>
      <c r="H763" s="258" t="str">
        <f>IFERROR(__xludf.DUMMYFUNCTION("""COMPUTED_VALUE"""),"Single")</f>
        <v>Single</v>
      </c>
      <c r="I763" s="258" t="str">
        <f>IFERROR(__xludf.DUMMYFUNCTION("""COMPUTED_VALUE"""),"EDO-UUP")</f>
        <v>EDO-UUP</v>
      </c>
      <c r="J763" s="258" t="str">
        <f>IFERROR(__xludf.DUMMYFUNCTION("""COMPUTED_VALUE"""),"Daily (Day-1)")</f>
        <v>Daily (Day-1)</v>
      </c>
      <c r="K763" s="258" t="str">
        <f>IFERROR(__xludf.DUMMYFUNCTION("""COMPUTED_VALUE"""),"")</f>
        <v/>
      </c>
      <c r="L763" s="258" t="str">
        <f>IFERROR(__xludf.DUMMYFUNCTION("""COMPUTED_VALUE"""),"GHP, GHP-PREPAID, TM, PW, WIRELINE, BAYAN, GLOBE")</f>
        <v>GHP, GHP-PREPAID, TM, PW, WIRELINE, BAYAN, GLOBE</v>
      </c>
      <c r="M763" s="258" t="str">
        <f>IFERROR(__xludf.DUMMYFUNCTION("""COMPUTED_VALUE"""),"Consumer, EG, SG, In house, IBG Traveler")</f>
        <v>Consumer, EG, SG, In house, IBG Traveler</v>
      </c>
      <c r="N763" s="258" t="str">
        <f>IFERROR(__xludf.DUMMYFUNCTION("""COMPUTED_VALUE"""),"customer")</f>
        <v>customer</v>
      </c>
      <c r="O763" s="258" t="str">
        <f>IFERROR(__xludf.DUMMYFUNCTION("""COMPUTED_VALUE"""),"customer_profile")</f>
        <v>customer_profile</v>
      </c>
      <c r="P763" s="258"/>
    </row>
    <row r="764">
      <c r="A764" s="257" t="str">
        <f>IFERROR(__xludf.DUMMYFUNCTION("""COMPUTED_VALUE"""),"civil_status_user")</f>
        <v>civil_status_user</v>
      </c>
      <c r="B764" s="258" t="str">
        <f>IFERROR(__xludf.DUMMYFUNCTION("""COMPUTED_VALUE"""),"Customer PII - Masked")</f>
        <v>Customer PII - Masked</v>
      </c>
      <c r="C764" s="258" t="str">
        <f>IFERROR(__xludf.DUMMYFUNCTION("""COMPUTED_VALUE"""),"Customer PII - Masked")</f>
        <v>Customer PII - Masked</v>
      </c>
      <c r="D764" s="258" t="str">
        <f>IFERROR(__xludf.DUMMYFUNCTION("""COMPUTED_VALUE"""),"Confidential")</f>
        <v>Confidential</v>
      </c>
      <c r="E764" s="258" t="str">
        <f>IFERROR(__xludf.DUMMYFUNCTION("""COMPUTED_VALUE"""),"Civil status of the mobile user.")</f>
        <v>Civil status of the mobile user.</v>
      </c>
      <c r="F764" s="258" t="str">
        <f>IFERROR(__xludf.DUMMYFUNCTION("""COMPUTED_VALUE"""),"Derived")</f>
        <v>Derived</v>
      </c>
      <c r="G764" s="258" t="str">
        <f>IFERROR(__xludf.DUMMYFUNCTION("""COMPUTED_VALUE"""),"varchar(1000)")</f>
        <v>varchar(1000)</v>
      </c>
      <c r="H764" s="258" t="str">
        <f>IFERROR(__xludf.DUMMYFUNCTION("""COMPUTED_VALUE"""),"Single")</f>
        <v>Single</v>
      </c>
      <c r="I764" s="258" t="str">
        <f>IFERROR(__xludf.DUMMYFUNCTION("""COMPUTED_VALUE"""),"EDO-AA")</f>
        <v>EDO-AA</v>
      </c>
      <c r="J764" s="258" t="str">
        <f>IFERROR(__xludf.DUMMYFUNCTION("""COMPUTED_VALUE"""),"Daily (Day-1)")</f>
        <v>Daily (Day-1)</v>
      </c>
      <c r="K764" s="258" t="str">
        <f>IFERROR(__xludf.DUMMYFUNCTION("""COMPUTED_VALUE"""),"")</f>
        <v/>
      </c>
      <c r="L764" s="258" t="str">
        <f>IFERROR(__xludf.DUMMYFUNCTION("""COMPUTED_VALUE"""),"GHP, GHP-PREPAID, TM, PW")</f>
        <v>GHP, GHP-PREPAID, TM, PW</v>
      </c>
      <c r="M764" s="258" t="str">
        <f>IFERROR(__xludf.DUMMYFUNCTION("""COMPUTED_VALUE"""),"Consumer, EG, SG, In house, IBG Traveler")</f>
        <v>Consumer, EG, SG, In house, IBG Traveler</v>
      </c>
      <c r="N764" s="258" t="str">
        <f>IFERROR(__xludf.DUMMYFUNCTION("""COMPUTED_VALUE"""),"customer")</f>
        <v>customer</v>
      </c>
      <c r="O764" s="258" t="str">
        <f>IFERROR(__xludf.DUMMYFUNCTION("""COMPUTED_VALUE"""),"customer_profile")</f>
        <v>customer_profile</v>
      </c>
      <c r="P764" s="258"/>
    </row>
    <row r="765">
      <c r="A765" s="257" t="str">
        <f>IFERROR(__xludf.DUMMYFUNCTION("""COMPUTED_VALUE"""),"online_seller_indicator")</f>
        <v>online_seller_indicator</v>
      </c>
      <c r="B765" s="258" t="str">
        <f>IFERROR(__xludf.DUMMYFUNCTION("""COMPUTED_VALUE"""),"Audience/Persona")</f>
        <v>Audience/Persona</v>
      </c>
      <c r="C765" s="258" t="str">
        <f>IFERROR(__xludf.DUMMYFUNCTION("""COMPUTED_VALUE"""),"Non-PII")</f>
        <v>Non-PII</v>
      </c>
      <c r="D765" s="258" t="str">
        <f>IFERROR(__xludf.DUMMYFUNCTION("""COMPUTED_VALUE"""),"Non-PII")</f>
        <v>Non-PII</v>
      </c>
      <c r="E765" s="258" t="str">
        <f>IFERROR(__xludf.DUMMYFUNCTION("""COMPUTED_VALUE"""),"Indicator if a subscriber visits online seller websites or apps such as lazada_seller_center, my_shopify, shopee_seller
 For wireline subscribers, only subscriptions within Metro Manila (including some areas in Rizal) and with DSL, VDSL and GPON technol"&amp;"ogy value are covered.")</f>
        <v>Indicator if a subscriber visits online seller websites or apps such as lazada_seller_center, my_shopify, shopee_seller
 For wireline subscribers, only subscriptions within Metro Manila (including some areas in Rizal) and with DSL, VDSL and GPON technology value are covered.</v>
      </c>
      <c r="F765" s="258" t="str">
        <f>IFERROR(__xludf.DUMMYFUNCTION("""COMPUTED_VALUE"""),"Derived")</f>
        <v>Derived</v>
      </c>
      <c r="G765" s="258" t="str">
        <f>IFERROR(__xludf.DUMMYFUNCTION("""COMPUTED_VALUE"""),"boolean")</f>
        <v>boolean</v>
      </c>
      <c r="H765" s="258" t="b">
        <f>IFERROR(__xludf.DUMMYFUNCTION("""COMPUTED_VALUE"""),TRUE)</f>
        <v>1</v>
      </c>
      <c r="I765" s="258" t="str">
        <f>IFERROR(__xludf.DUMMYFUNCTION("""COMPUTED_VALUE"""),"EDO-UUP")</f>
        <v>EDO-UUP</v>
      </c>
      <c r="J765" s="258" t="str">
        <f>IFERROR(__xludf.DUMMYFUNCTION("""COMPUTED_VALUE"""),"Daily (Day-1)")</f>
        <v>Daily (Day-1)</v>
      </c>
      <c r="K765" s="258" t="str">
        <f>IFERROR(__xludf.DUMMYFUNCTION("""COMPUTED_VALUE"""),"")</f>
        <v/>
      </c>
      <c r="L765" s="258" t="str">
        <f>IFERROR(__xludf.DUMMYFUNCTION("""COMPUTED_VALUE"""),"GHP, GHP-PREPAID, TM, PW, GOMO, WIRELINE, BAYAN, GLOBE")</f>
        <v>GHP, GHP-PREPAID, TM, PW, GOMO, WIRELINE, BAYAN, GLOBE</v>
      </c>
      <c r="M765" s="258" t="str">
        <f>IFERROR(__xludf.DUMMYFUNCTION("""COMPUTED_VALUE"""),"Consumer, EG, SG, In house, IBG Traveler")</f>
        <v>Consumer, EG, SG, In house, IBG Traveler</v>
      </c>
      <c r="N765" s="258" t="str">
        <f>IFERROR(__xludf.DUMMYFUNCTION("""COMPUTED_VALUE"""),"interest")</f>
        <v>interest</v>
      </c>
      <c r="O765" s="258" t="str">
        <f>IFERROR(__xludf.DUMMYFUNCTION("""COMPUTED_VALUE"""),"network_profile")</f>
        <v>network_profile</v>
      </c>
      <c r="P765" s="258"/>
    </row>
    <row r="766">
      <c r="A766" s="257" t="str">
        <f>IFERROR(__xludf.DUMMYFUNCTION("""COMPUTED_VALUE"""),"online_seller_bucket")</f>
        <v>online_seller_bucket</v>
      </c>
      <c r="B766" s="258" t="str">
        <f>IFERROR(__xludf.DUMMYFUNCTION("""COMPUTED_VALUE"""),"Audience/Persona")</f>
        <v>Audience/Persona</v>
      </c>
      <c r="C766" s="258" t="str">
        <f>IFERROR(__xludf.DUMMYFUNCTION("""COMPUTED_VALUE"""),"Non-PII")</f>
        <v>Non-PII</v>
      </c>
      <c r="D766" s="258" t="str">
        <f>IFERROR(__xludf.DUMMYFUNCTION("""COMPUTED_VALUE"""),"Non-PII")</f>
        <v>Non-PII</v>
      </c>
      <c r="E766" s="258" t="str">
        <f>IFERROR(__xludf.DUMMYFUNCTION("""COMPUTED_VALUE"""),"Bucketing based on identified metric for Online Seller profile
 Metric: Total Hits in a Month
 Valid values:
 LOW: &lt;= 20 hits
 MID: &gt;20 AND &lt;= 100 hits
 HIGH: &gt; 100 hits
 For wireline subscribers, only subscriptions within Metro Manila (including some"&amp;" areas in Rizal) and with DSL, VDSL and GPON technology value are covered.")</f>
        <v>Bucketing based on identified metric for Online Seller profile
 Metric: Total Hits in a Month
 Valid values:
 LOW: &lt;= 20 hits
 MID: &gt;20 AND &lt;= 100 hits
 HIGH: &gt; 100 hits
 For wireline subscribers, only subscriptions within Metro Manila (including some areas in Rizal) and with DSL, VDSL and GPON technology value are covered.</v>
      </c>
      <c r="F766" s="258" t="str">
        <f>IFERROR(__xludf.DUMMYFUNCTION("""COMPUTED_VALUE"""),"Direct Pull")</f>
        <v>Direct Pull</v>
      </c>
      <c r="G766" s="258" t="str">
        <f>IFERROR(__xludf.DUMMYFUNCTION("""COMPUTED_VALUE"""),"varchar(1000)")</f>
        <v>varchar(1000)</v>
      </c>
      <c r="H766" s="258" t="str">
        <f>IFERROR(__xludf.DUMMYFUNCTION("""COMPUTED_VALUE"""),"HIGH")</f>
        <v>HIGH</v>
      </c>
      <c r="I766" s="258" t="str">
        <f>IFERROR(__xludf.DUMMYFUNCTION("""COMPUTED_VALUE"""),"EDO-UUP")</f>
        <v>EDO-UUP</v>
      </c>
      <c r="J766" s="258" t="str">
        <f>IFERROR(__xludf.DUMMYFUNCTION("""COMPUTED_VALUE"""),"Daily (Day-1)")</f>
        <v>Daily (Day-1)</v>
      </c>
      <c r="K766" s="258" t="str">
        <f>IFERROR(__xludf.DUMMYFUNCTION("""COMPUTED_VALUE"""),"")</f>
        <v/>
      </c>
      <c r="L766" s="258" t="str">
        <f>IFERROR(__xludf.DUMMYFUNCTION("""COMPUTED_VALUE"""),"GHP, GHP-PREPAID, TM, PW, GOMO, WIRELINE, BAYAN, GLOBE")</f>
        <v>GHP, GHP-PREPAID, TM, PW, GOMO, WIRELINE, BAYAN, GLOBE</v>
      </c>
      <c r="M766" s="258" t="str">
        <f>IFERROR(__xludf.DUMMYFUNCTION("""COMPUTED_VALUE"""),"Consumer, EG, SG, In house, IBG Traveler")</f>
        <v>Consumer, EG, SG, In house, IBG Traveler</v>
      </c>
      <c r="N766" s="258" t="str">
        <f>IFERROR(__xludf.DUMMYFUNCTION("""COMPUTED_VALUE"""),"interest")</f>
        <v>interest</v>
      </c>
      <c r="O766" s="258" t="str">
        <f>IFERROR(__xludf.DUMMYFUNCTION("""COMPUTED_VALUE"""),"network_profile")</f>
        <v>network_profile</v>
      </c>
      <c r="P766" s="258"/>
    </row>
    <row r="767">
      <c r="A767" s="257" t="str">
        <f>IFERROR(__xludf.DUMMYFUNCTION("""COMPUTED_VALUE"""),"online_seller_details")</f>
        <v>online_seller_details</v>
      </c>
      <c r="B767" s="258" t="str">
        <f>IFERROR(__xludf.DUMMYFUNCTION("""COMPUTED_VALUE"""),"Audience/Persona")</f>
        <v>Audience/Persona</v>
      </c>
      <c r="C767" s="258" t="str">
        <f>IFERROR(__xludf.DUMMYFUNCTION("""COMPUTED_VALUE"""),"Non-PII")</f>
        <v>Non-PII</v>
      </c>
      <c r="D767" s="258" t="str">
        <f>IFERROR(__xludf.DUMMYFUNCTION("""COMPUTED_VALUE"""),"Non-PII")</f>
        <v>Non-PII</v>
      </c>
      <c r="E767" s="258" t="str">
        <f>IFERROR(__xludf.DUMMYFUNCTION("""COMPUTED_VALUE"""),"Metric used and value for Online Seller profile
 For wireline subscribers, only subscriptions within Metro Manila (including some areas in Rizal) and with DSL, VDSL and GPON technology value are covered.")</f>
        <v>Metric used and value for Online Seller profile
 For wireline subscribers, only subscriptions within Metro Manila (including some areas in Rizal) and with DSL, VDSL and GPON technology value are covered.</v>
      </c>
      <c r="F767" s="258" t="str">
        <f>IFERROR(__xludf.DUMMYFUNCTION("""COMPUTED_VALUE"""),"Derived")</f>
        <v>Derived</v>
      </c>
      <c r="G767" s="258" t="str">
        <f>IFERROR(__xludf.DUMMYFUNCTION("""COMPUTED_VALUE"""),"varchar(1000)")</f>
        <v>varchar(1000)</v>
      </c>
      <c r="H767" s="258" t="str">
        <f>IFERROR(__xludf.DUMMYFUNCTION("""COMPUTED_VALUE"""),"{\Total Hits in a Month\"": 107}")</f>
        <v>{\Total Hits in a Month\": 107}</v>
      </c>
      <c r="I767" s="258" t="str">
        <f>IFERROR(__xludf.DUMMYFUNCTION("""COMPUTED_VALUE"""),"EDO-UUP")</f>
        <v>EDO-UUP</v>
      </c>
      <c r="J767" s="258" t="str">
        <f>IFERROR(__xludf.DUMMYFUNCTION("""COMPUTED_VALUE"""),"Daily (Day-1)")</f>
        <v>Daily (Day-1)</v>
      </c>
      <c r="K767" s="258" t="str">
        <f>IFERROR(__xludf.DUMMYFUNCTION("""COMPUTED_VALUE"""),"")</f>
        <v/>
      </c>
      <c r="L767" s="258" t="str">
        <f>IFERROR(__xludf.DUMMYFUNCTION("""COMPUTED_VALUE"""),"GHP, GHP-PREPAID, TM, PW, GOMO, WIRELINE, BAYAN, GLOBE")</f>
        <v>GHP, GHP-PREPAID, TM, PW, GOMO, WIRELINE, BAYAN, GLOBE</v>
      </c>
      <c r="M767" s="258" t="str">
        <f>IFERROR(__xludf.DUMMYFUNCTION("""COMPUTED_VALUE"""),"Consumer, EG, SG, In house, IBG Traveler")</f>
        <v>Consumer, EG, SG, In house, IBG Traveler</v>
      </c>
      <c r="N767" s="258" t="str">
        <f>IFERROR(__xludf.DUMMYFUNCTION("""COMPUTED_VALUE"""),"interest")</f>
        <v>interest</v>
      </c>
      <c r="O767" s="258" t="str">
        <f>IFERROR(__xludf.DUMMYFUNCTION("""COMPUTED_VALUE"""),"network_profile")</f>
        <v>network_profile</v>
      </c>
      <c r="P767" s="258"/>
    </row>
    <row r="768">
      <c r="A768" s="257" t="str">
        <f>IFERROR(__xludf.DUMMYFUNCTION("""COMPUTED_VALUE"""),"online_seller_top1_app")</f>
        <v>online_seller_top1_app</v>
      </c>
      <c r="B768" s="258" t="str">
        <f>IFERROR(__xludf.DUMMYFUNCTION("""COMPUTED_VALUE"""),"Audience/Persona")</f>
        <v>Audience/Persona</v>
      </c>
      <c r="C768" s="258" t="str">
        <f>IFERROR(__xludf.DUMMYFUNCTION("""COMPUTED_VALUE"""),"Non-PII")</f>
        <v>Non-PII</v>
      </c>
      <c r="D768" s="258" t="str">
        <f>IFERROR(__xludf.DUMMYFUNCTION("""COMPUTED_VALUE"""),"Non-PII")</f>
        <v>Non-PII</v>
      </c>
      <c r="E768" s="258" t="str">
        <f>IFERROR(__xludf.DUMMYFUNCTION("""COMPUTED_VALUE"""),"Top 1 app/site by data burn and hits categorized under the Online Seller profile
 For wireline subscribers, only subscriptions within Metro Manila (including some areas in Rizal) and with DSL, VDSL and GPON technology value are covered.")</f>
        <v>Top 1 app/site by data burn and hits categorized under the Online Seller profile
 For wireline subscribers, only subscriptions within Metro Manila (including some areas in Rizal) and with DSL, VDSL and GPON technology value are covered.</v>
      </c>
      <c r="F768" s="258" t="str">
        <f>IFERROR(__xludf.DUMMYFUNCTION("""COMPUTED_VALUE"""),"Derived")</f>
        <v>Derived</v>
      </c>
      <c r="G768" s="258" t="str">
        <f>IFERROR(__xludf.DUMMYFUNCTION("""COMPUTED_VALUE"""),"varchar(1000)")</f>
        <v>varchar(1000)</v>
      </c>
      <c r="H768" s="258" t="str">
        <f>IFERROR(__xludf.DUMMYFUNCTION("""COMPUTED_VALUE"""),"shopee_seller")</f>
        <v>shopee_seller</v>
      </c>
      <c r="I768" s="258" t="str">
        <f>IFERROR(__xludf.DUMMYFUNCTION("""COMPUTED_VALUE"""),"EDO-UUP")</f>
        <v>EDO-UUP</v>
      </c>
      <c r="J768" s="258" t="str">
        <f>IFERROR(__xludf.DUMMYFUNCTION("""COMPUTED_VALUE"""),"Daily (Day-1)")</f>
        <v>Daily (Day-1)</v>
      </c>
      <c r="K768" s="258" t="str">
        <f>IFERROR(__xludf.DUMMYFUNCTION("""COMPUTED_VALUE"""),"")</f>
        <v/>
      </c>
      <c r="L768" s="258" t="str">
        <f>IFERROR(__xludf.DUMMYFUNCTION("""COMPUTED_VALUE"""),"GHP, GHP-PREPAID, TM, PW, GOMO, WIRELINE, BAYAN, GLOBE")</f>
        <v>GHP, GHP-PREPAID, TM, PW, GOMO, WIRELINE, BAYAN, GLOBE</v>
      </c>
      <c r="M768" s="258" t="str">
        <f>IFERROR(__xludf.DUMMYFUNCTION("""COMPUTED_VALUE"""),"Consumer, EG, SG, In house, IBG Traveler")</f>
        <v>Consumer, EG, SG, In house, IBG Traveler</v>
      </c>
      <c r="N768" s="258" t="str">
        <f>IFERROR(__xludf.DUMMYFUNCTION("""COMPUTED_VALUE"""),"network")</f>
        <v>network</v>
      </c>
      <c r="O768" s="258" t="str">
        <f>IFERROR(__xludf.DUMMYFUNCTION("""COMPUTED_VALUE"""),"network_profile")</f>
        <v>network_profile</v>
      </c>
      <c r="P768" s="258"/>
    </row>
    <row r="769">
      <c r="A769" s="257" t="str">
        <f>IFERROR(__xludf.DUMMYFUNCTION("""COMPUTED_VALUE"""),"hmo_member_indicator")</f>
        <v>hmo_member_indicator</v>
      </c>
      <c r="B769" s="258" t="str">
        <f>IFERROR(__xludf.DUMMYFUNCTION("""COMPUTED_VALUE"""),"Audience/Persona")</f>
        <v>Audience/Persona</v>
      </c>
      <c r="C769" s="258" t="str">
        <f>IFERROR(__xludf.DUMMYFUNCTION("""COMPUTED_VALUE"""),"Non-PII")</f>
        <v>Non-PII</v>
      </c>
      <c r="D769" s="258" t="str">
        <f>IFERROR(__xludf.DUMMYFUNCTION("""COMPUTED_VALUE"""),"Non-PII")</f>
        <v>Non-PII</v>
      </c>
      <c r="E769" s="258" t="str">
        <f>IFERROR(__xludf.DUMMYFUNCTION("""COMPUTED_VALUE"""),"Indicator if a subscriber visits/uses HMO applications or sites like Intellicare, Maxicare, Smile PH, etc
 For wireline subscribers, only subscriptions within Metro Manila (including some areas in Rizal) and with DSL, VDSL and GPON technology value are "&amp;"covered.")</f>
        <v>Indicator if a subscriber visits/uses HMO applications or sites like Intellicare, Maxicare, Smile PH, etc
 For wireline subscribers, only subscriptions within Metro Manila (including some areas in Rizal) and with DSL, VDSL and GPON technology value are covered.</v>
      </c>
      <c r="F769" s="258" t="str">
        <f>IFERROR(__xludf.DUMMYFUNCTION("""COMPUTED_VALUE"""),"Derived")</f>
        <v>Derived</v>
      </c>
      <c r="G769" s="258" t="str">
        <f>IFERROR(__xludf.DUMMYFUNCTION("""COMPUTED_VALUE"""),"boolean")</f>
        <v>boolean</v>
      </c>
      <c r="H769" s="258" t="b">
        <f>IFERROR(__xludf.DUMMYFUNCTION("""COMPUTED_VALUE"""),TRUE)</f>
        <v>1</v>
      </c>
      <c r="I769" s="258" t="str">
        <f>IFERROR(__xludf.DUMMYFUNCTION("""COMPUTED_VALUE"""),"EDO-UUP")</f>
        <v>EDO-UUP</v>
      </c>
      <c r="J769" s="258" t="str">
        <f>IFERROR(__xludf.DUMMYFUNCTION("""COMPUTED_VALUE"""),"Daily (Day-1)")</f>
        <v>Daily (Day-1)</v>
      </c>
      <c r="K769" s="258" t="str">
        <f>IFERROR(__xludf.DUMMYFUNCTION("""COMPUTED_VALUE"""),"")</f>
        <v/>
      </c>
      <c r="L769" s="258" t="str">
        <f>IFERROR(__xludf.DUMMYFUNCTION("""COMPUTED_VALUE"""),"GHP, GHP-PREPAID, TM, PW, GOMO, WIRELINE, BAYAN, GLOBE")</f>
        <v>GHP, GHP-PREPAID, TM, PW, GOMO, WIRELINE, BAYAN, GLOBE</v>
      </c>
      <c r="M769" s="258" t="str">
        <f>IFERROR(__xludf.DUMMYFUNCTION("""COMPUTED_VALUE"""),"Consumer, EG, SG, In house, IBG Traveler")</f>
        <v>Consumer, EG, SG, In house, IBG Traveler</v>
      </c>
      <c r="N769" s="258" t="str">
        <f>IFERROR(__xludf.DUMMYFUNCTION("""COMPUTED_VALUE"""),"interest")</f>
        <v>interest</v>
      </c>
      <c r="O769" s="258" t="str">
        <f>IFERROR(__xludf.DUMMYFUNCTION("""COMPUTED_VALUE"""),"network_profile")</f>
        <v>network_profile</v>
      </c>
      <c r="P769" s="258"/>
    </row>
    <row r="770">
      <c r="A770" s="257" t="str">
        <f>IFERROR(__xludf.DUMMYFUNCTION("""COMPUTED_VALUE"""),"hmo_member_bucket")</f>
        <v>hmo_member_bucket</v>
      </c>
      <c r="B770" s="258" t="str">
        <f>IFERROR(__xludf.DUMMYFUNCTION("""COMPUTED_VALUE"""),"Audience/Persona")</f>
        <v>Audience/Persona</v>
      </c>
      <c r="C770" s="258" t="str">
        <f>IFERROR(__xludf.DUMMYFUNCTION("""COMPUTED_VALUE"""),"Non-PII")</f>
        <v>Non-PII</v>
      </c>
      <c r="D770" s="258" t="str">
        <f>IFERROR(__xludf.DUMMYFUNCTION("""COMPUTED_VALUE"""),"Non-PII")</f>
        <v>Non-PII</v>
      </c>
      <c r="E770" s="258" t="str">
        <f>IFERROR(__xludf.DUMMYFUNCTION("""COMPUTED_VALUE"""),"Bucketing based on identified metric 
 Metric: Number of Hits in a Month
 Valid values: 
 LOW: &lt;= 2 hits
 MID: &gt; 2 &amp; &lt;=5 hits
 HIGH: &gt; 5 hits
 For wireline subscribers, only subscriptions within Metro Manila (including some areas in Rizal) and with DS"&amp;"L, VDSL and GPON technology value are covered.")</f>
        <v>Bucketing based on identified metric 
 Metric: Number of Hits in a Month
 Valid values: 
 LOW: &lt;= 2 hits
 MID: &gt; 2 &amp; &lt;=5 hits
 HIGH: &gt; 5 hits
 For wireline subscribers, only subscriptions within Metro Manila (including some areas in Rizal) and with DSL, VDSL and GPON technology value are covered.</v>
      </c>
      <c r="F770" s="258" t="str">
        <f>IFERROR(__xludf.DUMMYFUNCTION("""COMPUTED_VALUE"""),"Direct Pull")</f>
        <v>Direct Pull</v>
      </c>
      <c r="G770" s="258" t="str">
        <f>IFERROR(__xludf.DUMMYFUNCTION("""COMPUTED_VALUE"""),"varchar(1000)")</f>
        <v>varchar(1000)</v>
      </c>
      <c r="H770" s="258" t="str">
        <f>IFERROR(__xludf.DUMMYFUNCTION("""COMPUTED_VALUE"""),"HIGH")</f>
        <v>HIGH</v>
      </c>
      <c r="I770" s="258" t="str">
        <f>IFERROR(__xludf.DUMMYFUNCTION("""COMPUTED_VALUE"""),"EDO-UUP")</f>
        <v>EDO-UUP</v>
      </c>
      <c r="J770" s="258" t="str">
        <f>IFERROR(__xludf.DUMMYFUNCTION("""COMPUTED_VALUE"""),"Daily (Day-1)")</f>
        <v>Daily (Day-1)</v>
      </c>
      <c r="K770" s="258" t="str">
        <f>IFERROR(__xludf.DUMMYFUNCTION("""COMPUTED_VALUE"""),"")</f>
        <v/>
      </c>
      <c r="L770" s="258" t="str">
        <f>IFERROR(__xludf.DUMMYFUNCTION("""COMPUTED_VALUE"""),"GHP, GHP-PREPAID, TM, PW, GOMO, WIRELINE, BAYAN, GLOBE")</f>
        <v>GHP, GHP-PREPAID, TM, PW, GOMO, WIRELINE, BAYAN, GLOBE</v>
      </c>
      <c r="M770" s="258" t="str">
        <f>IFERROR(__xludf.DUMMYFUNCTION("""COMPUTED_VALUE"""),"Consumer, EG, SG, In house, IBG Traveler")</f>
        <v>Consumer, EG, SG, In house, IBG Traveler</v>
      </c>
      <c r="N770" s="258" t="str">
        <f>IFERROR(__xludf.DUMMYFUNCTION("""COMPUTED_VALUE"""),"interest")</f>
        <v>interest</v>
      </c>
      <c r="O770" s="258" t="str">
        <f>IFERROR(__xludf.DUMMYFUNCTION("""COMPUTED_VALUE"""),"network_profile")</f>
        <v>network_profile</v>
      </c>
      <c r="P770" s="258"/>
    </row>
    <row r="771">
      <c r="A771" s="257" t="str">
        <f>IFERROR(__xludf.DUMMYFUNCTION("""COMPUTED_VALUE"""),"hmo_member_details")</f>
        <v>hmo_member_details</v>
      </c>
      <c r="B771" s="258" t="str">
        <f>IFERROR(__xludf.DUMMYFUNCTION("""COMPUTED_VALUE"""),"Audience/Persona")</f>
        <v>Audience/Persona</v>
      </c>
      <c r="C771" s="258" t="str">
        <f>IFERROR(__xludf.DUMMYFUNCTION("""COMPUTED_VALUE"""),"Non-PII")</f>
        <v>Non-PII</v>
      </c>
      <c r="D771" s="258" t="str">
        <f>IFERROR(__xludf.DUMMYFUNCTION("""COMPUTED_VALUE"""),"Non-PII")</f>
        <v>Non-PII</v>
      </c>
      <c r="E771" s="258" t="str">
        <f>IFERROR(__xludf.DUMMYFUNCTION("""COMPUTED_VALUE"""),"Metric used and value for the HMO Member profile
 For wireline subscribers, only subscriptions within Metro Manila (including some areas in Rizal) and with DSL, VDSL and GPON technology value are covered.")</f>
        <v>Metric used and value for the HMO Member profile
 For wireline subscribers, only subscriptions within Metro Manila (including some areas in Rizal) and with DSL, VDSL and GPON technology value are covered.</v>
      </c>
      <c r="F771" s="258" t="str">
        <f>IFERROR(__xludf.DUMMYFUNCTION("""COMPUTED_VALUE"""),"Derived")</f>
        <v>Derived</v>
      </c>
      <c r="G771" s="258" t="str">
        <f>IFERROR(__xludf.DUMMYFUNCTION("""COMPUTED_VALUE"""),"varchar(1000)")</f>
        <v>varchar(1000)</v>
      </c>
      <c r="H771" s="258" t="str">
        <f>IFERROR(__xludf.DUMMYFUNCTION("""COMPUTED_VALUE"""),"{\Total Hits in a Month\"": 7}")</f>
        <v>{\Total Hits in a Month\": 7}</v>
      </c>
      <c r="I771" s="258" t="str">
        <f>IFERROR(__xludf.DUMMYFUNCTION("""COMPUTED_VALUE"""),"EDO-UUP")</f>
        <v>EDO-UUP</v>
      </c>
      <c r="J771" s="258" t="str">
        <f>IFERROR(__xludf.DUMMYFUNCTION("""COMPUTED_VALUE"""),"Daily (Day-1)")</f>
        <v>Daily (Day-1)</v>
      </c>
      <c r="K771" s="258" t="str">
        <f>IFERROR(__xludf.DUMMYFUNCTION("""COMPUTED_VALUE"""),"")</f>
        <v/>
      </c>
      <c r="L771" s="258" t="str">
        <f>IFERROR(__xludf.DUMMYFUNCTION("""COMPUTED_VALUE"""),"GHP, GHP-PREPAID, TM, PW, GOMO, WIRELINE, BAYAN, GLOBE")</f>
        <v>GHP, GHP-PREPAID, TM, PW, GOMO, WIRELINE, BAYAN, GLOBE</v>
      </c>
      <c r="M771" s="258" t="str">
        <f>IFERROR(__xludf.DUMMYFUNCTION("""COMPUTED_VALUE"""),"Consumer, EG, SG, In house, IBG Traveler")</f>
        <v>Consumer, EG, SG, In house, IBG Traveler</v>
      </c>
      <c r="N771" s="258" t="str">
        <f>IFERROR(__xludf.DUMMYFUNCTION("""COMPUTED_VALUE"""),"interest")</f>
        <v>interest</v>
      </c>
      <c r="O771" s="258" t="str">
        <f>IFERROR(__xludf.DUMMYFUNCTION("""COMPUTED_VALUE"""),"network_profile")</f>
        <v>network_profile</v>
      </c>
      <c r="P771" s="258"/>
    </row>
    <row r="772">
      <c r="A772" s="257" t="str">
        <f>IFERROR(__xludf.DUMMYFUNCTION("""COMPUTED_VALUE"""),"hmo_member_top1_app")</f>
        <v>hmo_member_top1_app</v>
      </c>
      <c r="B772" s="258" t="str">
        <f>IFERROR(__xludf.DUMMYFUNCTION("""COMPUTED_VALUE"""),"Audience/Persona")</f>
        <v>Audience/Persona</v>
      </c>
      <c r="C772" s="258" t="str">
        <f>IFERROR(__xludf.DUMMYFUNCTION("""COMPUTED_VALUE"""),"Non-PII")</f>
        <v>Non-PII</v>
      </c>
      <c r="D772" s="258" t="str">
        <f>IFERROR(__xludf.DUMMYFUNCTION("""COMPUTED_VALUE"""),"Non-PII")</f>
        <v>Non-PII</v>
      </c>
      <c r="E772" s="258" t="str">
        <f>IFERROR(__xludf.DUMMYFUNCTION("""COMPUTED_VALUE"""),"Top 1 app/site by data burn, total hits and active days categorized under the HMO Member profile
 For wireline subscribers, only subscriptions within Metro Manila (including some areas in Rizal) and with DSL, VDSL and GPON technology value are covered.")</f>
        <v>Top 1 app/site by data burn, total hits and active days categorized under the HMO Member profile
 For wireline subscribers, only subscriptions within Metro Manila (including some areas in Rizal) and with DSL, VDSL and GPON technology value are covered.</v>
      </c>
      <c r="F772" s="258" t="str">
        <f>IFERROR(__xludf.DUMMYFUNCTION("""COMPUTED_VALUE"""),"Derived")</f>
        <v>Derived</v>
      </c>
      <c r="G772" s="258" t="str">
        <f>IFERROR(__xludf.DUMMYFUNCTION("""COMPUTED_VALUE"""),"varchar(1000)")</f>
        <v>varchar(1000)</v>
      </c>
      <c r="H772" s="258" t="str">
        <f>IFERROR(__xludf.DUMMYFUNCTION("""COMPUTED_VALUE"""),"intellicare")</f>
        <v>intellicare</v>
      </c>
      <c r="I772" s="258" t="str">
        <f>IFERROR(__xludf.DUMMYFUNCTION("""COMPUTED_VALUE"""),"EDO-UUP")</f>
        <v>EDO-UUP</v>
      </c>
      <c r="J772" s="258" t="str">
        <f>IFERROR(__xludf.DUMMYFUNCTION("""COMPUTED_VALUE"""),"Daily (Day-1)")</f>
        <v>Daily (Day-1)</v>
      </c>
      <c r="K772" s="258" t="str">
        <f>IFERROR(__xludf.DUMMYFUNCTION("""COMPUTED_VALUE"""),"")</f>
        <v/>
      </c>
      <c r="L772" s="258" t="str">
        <f>IFERROR(__xludf.DUMMYFUNCTION("""COMPUTED_VALUE"""),"GHP, GHP-PREPAID, TM, PW, GOMO, WIRELINE, BAYAN, GLOBE")</f>
        <v>GHP, GHP-PREPAID, TM, PW, GOMO, WIRELINE, BAYAN, GLOBE</v>
      </c>
      <c r="M772" s="258" t="str">
        <f>IFERROR(__xludf.DUMMYFUNCTION("""COMPUTED_VALUE"""),"Consumer, EG, SG, In house, IBG Traveler")</f>
        <v>Consumer, EG, SG, In house, IBG Traveler</v>
      </c>
      <c r="N772" s="258" t="str">
        <f>IFERROR(__xludf.DUMMYFUNCTION("""COMPUTED_VALUE"""),"network")</f>
        <v>network</v>
      </c>
      <c r="O772" s="258" t="str">
        <f>IFERROR(__xludf.DUMMYFUNCTION("""COMPUTED_VALUE"""),"network_profile")</f>
        <v>network_profile</v>
      </c>
      <c r="P772" s="258"/>
    </row>
    <row r="773">
      <c r="A773" s="257" t="str">
        <f>IFERROR(__xludf.DUMMYFUNCTION("""COMPUTED_VALUE"""),"reload_total_topup_amount_past_7days")</f>
        <v>reload_total_topup_amount_past_7days</v>
      </c>
      <c r="B773" s="258" t="str">
        <f>IFERROR(__xludf.DUMMYFUNCTION("""COMPUTED_VALUE"""),"Behavioral")</f>
        <v>Behavioral</v>
      </c>
      <c r="C773" s="258" t="str">
        <f>IFERROR(__xludf.DUMMYFUNCTION("""COMPUTED_VALUE"""),"Non-PII")</f>
        <v>Non-PII</v>
      </c>
      <c r="D773" s="258" t="str">
        <f>IFERROR(__xludf.DUMMYFUNCTION("""COMPUTED_VALUE"""),"Non-PII")</f>
        <v>Non-PII</v>
      </c>
      <c r="E773" s="258" t="str">
        <f>IFERROR(__xludf.DUMMYFUNCTION("""COMPUTED_VALUE"""),"Total rolling topup amount of subscriber for the past 7 days.")</f>
        <v>Total rolling topup amount of subscriber for the past 7 days.</v>
      </c>
      <c r="F773" s="258" t="str">
        <f>IFERROR(__xludf.DUMMYFUNCTION("""COMPUTED_VALUE"""),"Derived")</f>
        <v>Derived</v>
      </c>
      <c r="G773" s="258" t="str">
        <f>IFERROR(__xludf.DUMMYFUNCTION("""COMPUTED_VALUE"""),"integer")</f>
        <v>integer</v>
      </c>
      <c r="H773" s="258">
        <f>IFERROR(__xludf.DUMMYFUNCTION("""COMPUTED_VALUE"""),40.0)</f>
        <v>40</v>
      </c>
      <c r="I773" s="258" t="str">
        <f>IFERROR(__xludf.DUMMYFUNCTION("""COMPUTED_VALUE"""),"MSH FVT")</f>
        <v>MSH FVT</v>
      </c>
      <c r="J773" s="258" t="str">
        <f>IFERROR(__xludf.DUMMYFUNCTION("""COMPUTED_VALUE"""),"Daily (Day-1)")</f>
        <v>Daily (Day-1)</v>
      </c>
      <c r="K773" s="258" t="str">
        <f>IFERROR(__xludf.DUMMYFUNCTION("""COMPUTED_VALUE"""),"")</f>
        <v/>
      </c>
      <c r="L773" s="258" t="str">
        <f>IFERROR(__xludf.DUMMYFUNCTION("""COMPUTED_VALUE"""),"GHP-PREPAID, TM, PW")</f>
        <v>GHP-PREPAID, TM, PW</v>
      </c>
      <c r="M773" s="258" t="str">
        <f>IFERROR(__xludf.DUMMYFUNCTION("""COMPUTED_VALUE"""),"Consumer, EG, SG, IBG Traveler")</f>
        <v>Consumer, EG, SG, IBG Traveler</v>
      </c>
      <c r="N773" s="258" t="str">
        <f>IFERROR(__xludf.DUMMYFUNCTION("""COMPUTED_VALUE"""),"reload")</f>
        <v>reload</v>
      </c>
      <c r="O773" s="258" t="str">
        <f>IFERROR(__xludf.DUMMYFUNCTION("""COMPUTED_VALUE"""),"reload_profile")</f>
        <v>reload_profile</v>
      </c>
      <c r="P773" s="258"/>
    </row>
    <row r="774">
      <c r="A774" s="257" t="str">
        <f>IFERROR(__xludf.DUMMYFUNCTION("""COMPUTED_VALUE"""),"occupation_text_user")</f>
        <v>occupation_text_user</v>
      </c>
      <c r="B774" s="258" t="str">
        <f>IFERROR(__xludf.DUMMYFUNCTION("""COMPUTED_VALUE"""),"Demographic/Affluence")</f>
        <v>Demographic/Affluence</v>
      </c>
      <c r="C774" s="258" t="str">
        <f>IFERROR(__xludf.DUMMYFUNCTION("""COMPUTED_VALUE"""),"Non-PII")</f>
        <v>Non-PII</v>
      </c>
      <c r="D774" s="258" t="str">
        <f>IFERROR(__xludf.DUMMYFUNCTION("""COMPUTED_VALUE"""),"Non-PII")</f>
        <v>Non-PII</v>
      </c>
      <c r="E774" s="258" t="str">
        <f>IFERROR(__xludf.DUMMYFUNCTION("""COMPUTED_VALUE"""),"Occupation of the GCash user.")</f>
        <v>Occupation of the GCash user.</v>
      </c>
      <c r="F774" s="258" t="str">
        <f>IFERROR(__xludf.DUMMYFUNCTION("""COMPUTED_VALUE"""),"Derived")</f>
        <v>Derived</v>
      </c>
      <c r="G774" s="258" t="str">
        <f>IFERROR(__xludf.DUMMYFUNCTION("""COMPUTED_VALUE"""),"varchar(1000)")</f>
        <v>varchar(1000)</v>
      </c>
      <c r="H774" s="258" t="str">
        <f>IFERROR(__xludf.DUMMYFUNCTION("""COMPUTED_VALUE"""),"MANUFACTURING AND PRODUCTION")</f>
        <v>MANUFACTURING AND PRODUCTION</v>
      </c>
      <c r="I774" s="258" t="str">
        <f>IFERROR(__xludf.DUMMYFUNCTION("""COMPUTED_VALUE"""),"EDO-UUP")</f>
        <v>EDO-UUP</v>
      </c>
      <c r="J774" s="258" t="str">
        <f>IFERROR(__xludf.DUMMYFUNCTION("""COMPUTED_VALUE"""),"Daily")</f>
        <v>Daily</v>
      </c>
      <c r="K774" s="258" t="str">
        <f>IFERROR(__xludf.DUMMYFUNCTION("""COMPUTED_VALUE"""),"")</f>
        <v/>
      </c>
      <c r="L774" s="258" t="str">
        <f>IFERROR(__xludf.DUMMYFUNCTION("""COMPUTED_VALUE"""),"GHP, GHP-PREPAID, TM, PW, GOMO")</f>
        <v>GHP, GHP-PREPAID, TM, PW, GOMO</v>
      </c>
      <c r="M774" s="258" t="str">
        <f>IFERROR(__xludf.DUMMYFUNCTION("""COMPUTED_VALUE"""),"Consumer, EG, SG, In house, IBG Traveler")</f>
        <v>Consumer, EG, SG, In house, IBG Traveler</v>
      </c>
      <c r="N774" s="258" t="str">
        <f>IFERROR(__xludf.DUMMYFUNCTION("""COMPUTED_VALUE"""),"customer")</f>
        <v>customer</v>
      </c>
      <c r="O774" s="258" t="str">
        <f>IFERROR(__xludf.DUMMYFUNCTION("""COMPUTED_VALUE"""),"customer_profile")</f>
        <v>customer_profile</v>
      </c>
      <c r="P774" s="258"/>
    </row>
    <row r="775">
      <c r="A775" s="257" t="str">
        <f>IFERROR(__xludf.DUMMYFUNCTION("""COMPUTED_VALUE"""),"occupation_text_user_categorized")</f>
        <v>occupation_text_user_categorized</v>
      </c>
      <c r="B775" s="258" t="str">
        <f>IFERROR(__xludf.DUMMYFUNCTION("""COMPUTED_VALUE"""),"Demographic/Affluence")</f>
        <v>Demographic/Affluence</v>
      </c>
      <c r="C775" s="258" t="str">
        <f>IFERROR(__xludf.DUMMYFUNCTION("""COMPUTED_VALUE"""),"Non-PII")</f>
        <v>Non-PII</v>
      </c>
      <c r="D775" s="258" t="str">
        <f>IFERROR(__xludf.DUMMYFUNCTION("""COMPUTED_VALUE"""),"Non-PII")</f>
        <v>Non-PII</v>
      </c>
      <c r="E775" s="258" t="str">
        <f>IFERROR(__xludf.DUMMYFUNCTION("""COMPUTED_VALUE"""),"Categorized occupation of the GCash user.")</f>
        <v>Categorized occupation of the GCash user.</v>
      </c>
      <c r="F775" s="258" t="str">
        <f>IFERROR(__xludf.DUMMYFUNCTION("""COMPUTED_VALUE"""),"Derived")</f>
        <v>Derived</v>
      </c>
      <c r="G775" s="258" t="str">
        <f>IFERROR(__xludf.DUMMYFUNCTION("""COMPUTED_VALUE"""),"varchar(1000)")</f>
        <v>varchar(1000)</v>
      </c>
      <c r="H775" s="258" t="str">
        <f>IFERROR(__xludf.DUMMYFUNCTION("""COMPUTED_VALUE"""),"4) Freelancer / Consultant / Self-employed")</f>
        <v>4) Freelancer / Consultant / Self-employed</v>
      </c>
      <c r="I775" s="258" t="str">
        <f>IFERROR(__xludf.DUMMYFUNCTION("""COMPUTED_VALUE"""),"EDO-UUP")</f>
        <v>EDO-UUP</v>
      </c>
      <c r="J775" s="258" t="str">
        <f>IFERROR(__xludf.DUMMYFUNCTION("""COMPUTED_VALUE"""),"Daily")</f>
        <v>Daily</v>
      </c>
      <c r="K775" s="258" t="str">
        <f>IFERROR(__xludf.DUMMYFUNCTION("""COMPUTED_VALUE"""),"")</f>
        <v/>
      </c>
      <c r="L775" s="258" t="str">
        <f>IFERROR(__xludf.DUMMYFUNCTION("""COMPUTED_VALUE"""),"GHP, GHP-PREPAID, TM, PW, GOMO")</f>
        <v>GHP, GHP-PREPAID, TM, PW, GOMO</v>
      </c>
      <c r="M775" s="258" t="str">
        <f>IFERROR(__xludf.DUMMYFUNCTION("""COMPUTED_VALUE"""),"Consumer, EG, SG, In house, IBG Traveler")</f>
        <v>Consumer, EG, SG, In house, IBG Traveler</v>
      </c>
      <c r="N775" s="258" t="str">
        <f>IFERROR(__xludf.DUMMYFUNCTION("""COMPUTED_VALUE"""),"customer")</f>
        <v>customer</v>
      </c>
      <c r="O775" s="258" t="str">
        <f>IFERROR(__xludf.DUMMYFUNCTION("""COMPUTED_VALUE"""),"customer_profile")</f>
        <v>customer_profile</v>
      </c>
      <c r="P775" s="258"/>
    </row>
    <row r="776">
      <c r="A776" s="257" t="str">
        <f>IFERROR(__xludf.DUMMYFUNCTION("""COMPUTED_VALUE"""),"email_address_user")</f>
        <v>email_address_user</v>
      </c>
      <c r="B776" s="258" t="str">
        <f>IFERROR(__xludf.DUMMYFUNCTION("""COMPUTED_VALUE"""),"Customer PII - Masked")</f>
        <v>Customer PII - Masked</v>
      </c>
      <c r="C776" s="258" t="str">
        <f>IFERROR(__xludf.DUMMYFUNCTION("""COMPUTED_VALUE"""),"Customer PII - Masked")</f>
        <v>Customer PII - Masked</v>
      </c>
      <c r="D776" s="258" t="str">
        <f>IFERROR(__xludf.DUMMYFUNCTION("""COMPUTED_VALUE"""),"Contact")</f>
        <v>Contact</v>
      </c>
      <c r="E776" s="258" t="str">
        <f>IFERROR(__xludf.DUMMYFUNCTION("""COMPUTED_VALUE"""),"Email address of the mobile user.")</f>
        <v>Email address of the mobile user.</v>
      </c>
      <c r="F776" s="258" t="str">
        <f>IFERROR(__xludf.DUMMYFUNCTION("""COMPUTED_VALUE"""),"Derived")</f>
        <v>Derived</v>
      </c>
      <c r="G776" s="258" t="str">
        <f>IFERROR(__xludf.DUMMYFUNCTION("""COMPUTED_VALUE"""),"varchar(1000)")</f>
        <v>varchar(1000)</v>
      </c>
      <c r="H776" s="258" t="str">
        <f>IFERROR(__xludf.DUMMYFUNCTION("""COMPUTED_VALUE"""),"juandelacruz@gmail.com")</f>
        <v>juandelacruz@gmail.com</v>
      </c>
      <c r="I776" s="258" t="str">
        <f>IFERROR(__xludf.DUMMYFUNCTION("""COMPUTED_VALUE"""),"EDO-UUP")</f>
        <v>EDO-UUP</v>
      </c>
      <c r="J776" s="258" t="str">
        <f>IFERROR(__xludf.DUMMYFUNCTION("""COMPUTED_VALUE"""),"Daily")</f>
        <v>Daily</v>
      </c>
      <c r="K776" s="258" t="str">
        <f>IFERROR(__xludf.DUMMYFUNCTION("""COMPUTED_VALUE"""),"")</f>
        <v/>
      </c>
      <c r="L776" s="258" t="str">
        <f>IFERROR(__xludf.DUMMYFUNCTION("""COMPUTED_VALUE"""),"GHP, GHP-PREPAID, TM, PW, GOMO")</f>
        <v>GHP, GHP-PREPAID, TM, PW, GOMO</v>
      </c>
      <c r="M776" s="258" t="str">
        <f>IFERROR(__xludf.DUMMYFUNCTION("""COMPUTED_VALUE"""),"Consumer, EG, SG, In house, IBG Traveler")</f>
        <v>Consumer, EG, SG, In house, IBG Traveler</v>
      </c>
      <c r="N776" s="258" t="str">
        <f>IFERROR(__xludf.DUMMYFUNCTION("""COMPUTED_VALUE"""),"customer")</f>
        <v>customer</v>
      </c>
      <c r="O776" s="258" t="str">
        <f>IFERROR(__xludf.DUMMYFUNCTION("""COMPUTED_VALUE"""),"customer_profile")</f>
        <v>customer_profile</v>
      </c>
      <c r="P776" s="258"/>
    </row>
    <row r="777">
      <c r="A777" s="257" t="str">
        <f>IFERROR(__xludf.DUMMYFUNCTION("""COMPUTED_VALUE"""),"insurance_app_indicator")</f>
        <v>insurance_app_indicator</v>
      </c>
      <c r="B777" s="258" t="str">
        <f>IFERROR(__xludf.DUMMYFUNCTION("""COMPUTED_VALUE"""),"Audience/Persona")</f>
        <v>Audience/Persona</v>
      </c>
      <c r="C777" s="258" t="str">
        <f>IFERROR(__xludf.DUMMYFUNCTION("""COMPUTED_VALUE"""),"Non-PII")</f>
        <v>Non-PII</v>
      </c>
      <c r="D777" s="258" t="str">
        <f>IFERROR(__xludf.DUMMYFUNCTION("""COMPUTED_VALUE"""),"Non-PII")</f>
        <v>Non-PII</v>
      </c>
      <c r="E777" s="258" t="str">
        <f>IFERROR(__xludf.DUMMYFUNCTION("""COMPUTED_VALUE"""),"Indicator if a subscriber uses insurance apps or websites such as bpi_philam, fwd, intellicare
 For wireline subscribers, only subscriptions within Metro Manila (including some areas in Rizal) and with DSL, VDSL and GPON technology value are covered.")</f>
        <v>Indicator if a subscriber uses insurance apps or websites such as bpi_philam, fwd, intellicare
 For wireline subscribers, only subscriptions within Metro Manila (including some areas in Rizal) and with DSL, VDSL and GPON technology value are covered.</v>
      </c>
      <c r="F777" s="258" t="str">
        <f>IFERROR(__xludf.DUMMYFUNCTION("""COMPUTED_VALUE"""),"Derived")</f>
        <v>Derived</v>
      </c>
      <c r="G777" s="258" t="str">
        <f>IFERROR(__xludf.DUMMYFUNCTION("""COMPUTED_VALUE"""),"boolean")</f>
        <v>boolean</v>
      </c>
      <c r="H777" s="258" t="b">
        <f>IFERROR(__xludf.DUMMYFUNCTION("""COMPUTED_VALUE"""),TRUE)</f>
        <v>1</v>
      </c>
      <c r="I777" s="258" t="str">
        <f>IFERROR(__xludf.DUMMYFUNCTION("""COMPUTED_VALUE"""),"EDO-UUP")</f>
        <v>EDO-UUP</v>
      </c>
      <c r="J777" s="258" t="str">
        <f>IFERROR(__xludf.DUMMYFUNCTION("""COMPUTED_VALUE"""),"Monthly")</f>
        <v>Monthly</v>
      </c>
      <c r="K777" s="258" t="str">
        <f>IFERROR(__xludf.DUMMYFUNCTION("""COMPUTED_VALUE"""),"")</f>
        <v/>
      </c>
      <c r="L777" s="258" t="str">
        <f>IFERROR(__xludf.DUMMYFUNCTION("""COMPUTED_VALUE"""),"GHP, GHP-PREPAID, TM, PW, GOMO, WIRELINE, BAYAN, GLOBE")</f>
        <v>GHP, GHP-PREPAID, TM, PW, GOMO, WIRELINE, BAYAN, GLOBE</v>
      </c>
      <c r="M777" s="258" t="str">
        <f>IFERROR(__xludf.DUMMYFUNCTION("""COMPUTED_VALUE"""),"Consumer, EG, SG, In house, IBG Traveler")</f>
        <v>Consumer, EG, SG, In house, IBG Traveler</v>
      </c>
      <c r="N777" s="258" t="str">
        <f>IFERROR(__xludf.DUMMYFUNCTION("""COMPUTED_VALUE"""),"interest")</f>
        <v>interest</v>
      </c>
      <c r="O777" s="258" t="str">
        <f>IFERROR(__xludf.DUMMYFUNCTION("""COMPUTED_VALUE"""),"network_profile")</f>
        <v>network_profile</v>
      </c>
      <c r="P777" s="258"/>
    </row>
    <row r="778">
      <c r="A778" s="257" t="str">
        <f>IFERROR(__xludf.DUMMYFUNCTION("""COMPUTED_VALUE"""),"insurance_app_bucket")</f>
        <v>insurance_app_bucket</v>
      </c>
      <c r="B778" s="258" t="str">
        <f>IFERROR(__xludf.DUMMYFUNCTION("""COMPUTED_VALUE"""),"Audience/Persona")</f>
        <v>Audience/Persona</v>
      </c>
      <c r="C778" s="258" t="str">
        <f>IFERROR(__xludf.DUMMYFUNCTION("""COMPUTED_VALUE"""),"Non-PII")</f>
        <v>Non-PII</v>
      </c>
      <c r="D778" s="258" t="str">
        <f>IFERROR(__xludf.DUMMYFUNCTION("""COMPUTED_VALUE"""),"Non-PII")</f>
        <v>Non-PII</v>
      </c>
      <c r="E778" s="258" t="str">
        <f>IFERROR(__xludf.DUMMYFUNCTION("""COMPUTED_VALUE"""),"Bucketing based on identified metric for Insurance App and Website User profile
 Metric: Total Hits in a Month
 Valid values: 
 LOW: &lt;= 3
 MID: &gt; 3 &amp; &lt;= 6 hits
 HIGH: &gt; 6 hits
 For wireline subscribers, only subscriptions within Metro Manila (includin"&amp;"g some areas in Rizal) and with DSL, VDSL and GPON technology value are covered.")</f>
        <v>Bucketing based on identified metric for Insurance App and Website User profile
 Metric: Total Hits in a Month
 Valid values: 
 LOW: &lt;= 3
 MID: &gt; 3 &amp; &lt;= 6 hits
 HIGH: &gt; 6 hits
 For wireline subscribers, only subscriptions within Metro Manila (including some areas in Rizal) and with DSL, VDSL and GPON technology value are covered.</v>
      </c>
      <c r="F778" s="258" t="str">
        <f>IFERROR(__xludf.DUMMYFUNCTION("""COMPUTED_VALUE"""),"Direct Pull")</f>
        <v>Direct Pull</v>
      </c>
      <c r="G778" s="258" t="str">
        <f>IFERROR(__xludf.DUMMYFUNCTION("""COMPUTED_VALUE"""),"varchar(1000)")</f>
        <v>varchar(1000)</v>
      </c>
      <c r="H778" s="258" t="str">
        <f>IFERROR(__xludf.DUMMYFUNCTION("""COMPUTED_VALUE"""),"LOW")</f>
        <v>LOW</v>
      </c>
      <c r="I778" s="258" t="str">
        <f>IFERROR(__xludf.DUMMYFUNCTION("""COMPUTED_VALUE"""),"EDO-UUP")</f>
        <v>EDO-UUP</v>
      </c>
      <c r="J778" s="258" t="str">
        <f>IFERROR(__xludf.DUMMYFUNCTION("""COMPUTED_VALUE"""),"Monthly")</f>
        <v>Monthly</v>
      </c>
      <c r="K778" s="258" t="str">
        <f>IFERROR(__xludf.DUMMYFUNCTION("""COMPUTED_VALUE"""),"")</f>
        <v/>
      </c>
      <c r="L778" s="258" t="str">
        <f>IFERROR(__xludf.DUMMYFUNCTION("""COMPUTED_VALUE"""),"GHP, GHP-PREPAID, TM, PW, GOMO, WIRELINE, BAYAN, GLOBE")</f>
        <v>GHP, GHP-PREPAID, TM, PW, GOMO, WIRELINE, BAYAN, GLOBE</v>
      </c>
      <c r="M778" s="258" t="str">
        <f>IFERROR(__xludf.DUMMYFUNCTION("""COMPUTED_VALUE"""),"Consumer, EG, SG, In house, IBG Traveler")</f>
        <v>Consumer, EG, SG, In house, IBG Traveler</v>
      </c>
      <c r="N778" s="258" t="str">
        <f>IFERROR(__xludf.DUMMYFUNCTION("""COMPUTED_VALUE"""),"interest")</f>
        <v>interest</v>
      </c>
      <c r="O778" s="258" t="str">
        <f>IFERROR(__xludf.DUMMYFUNCTION("""COMPUTED_VALUE"""),"network_profile")</f>
        <v>network_profile</v>
      </c>
      <c r="P778" s="258"/>
    </row>
    <row r="779">
      <c r="A779" s="257" t="str">
        <f>IFERROR(__xludf.DUMMYFUNCTION("""COMPUTED_VALUE"""),"insurance_app_details")</f>
        <v>insurance_app_details</v>
      </c>
      <c r="B779" s="258" t="str">
        <f>IFERROR(__xludf.DUMMYFUNCTION("""COMPUTED_VALUE"""),"Audience/Persona")</f>
        <v>Audience/Persona</v>
      </c>
      <c r="C779" s="258" t="str">
        <f>IFERROR(__xludf.DUMMYFUNCTION("""COMPUTED_VALUE"""),"Non-PII")</f>
        <v>Non-PII</v>
      </c>
      <c r="D779" s="258" t="str">
        <f>IFERROR(__xludf.DUMMYFUNCTION("""COMPUTED_VALUE"""),"Non-PII")</f>
        <v>Non-PII</v>
      </c>
      <c r="E779" s="258" t="str">
        <f>IFERROR(__xludf.DUMMYFUNCTION("""COMPUTED_VALUE"""),"Metric used and value for Insurance App and Website User profile
 For wireline subscribers, only subscriptions within Metro Manila (including some areas in Rizal) and with DSL, VDSL and GPON technology value are covered.")</f>
        <v>Metric used and value for Insurance App and Website User profile
 For wireline subscribers, only subscriptions within Metro Manila (including some areas in Rizal) and with DSL, VDSL and GPON technology value are covered.</v>
      </c>
      <c r="F779" s="258" t="str">
        <f>IFERROR(__xludf.DUMMYFUNCTION("""COMPUTED_VALUE"""),"Derived")</f>
        <v>Derived</v>
      </c>
      <c r="G779" s="258" t="str">
        <f>IFERROR(__xludf.DUMMYFUNCTION("""COMPUTED_VALUE"""),"varchar(1000)")</f>
        <v>varchar(1000)</v>
      </c>
      <c r="H779" s="258" t="str">
        <f>IFERROR(__xludf.DUMMYFUNCTION("""COMPUTED_VALUE"""),"{\Total Hits in a Month\"": 4}""")</f>
        <v>{\Total Hits in a Month\": 4}"</v>
      </c>
      <c r="I779" s="258" t="str">
        <f>IFERROR(__xludf.DUMMYFUNCTION("""COMPUTED_VALUE"""),"EDO-UUP")</f>
        <v>EDO-UUP</v>
      </c>
      <c r="J779" s="258" t="str">
        <f>IFERROR(__xludf.DUMMYFUNCTION("""COMPUTED_VALUE"""),"Monthly")</f>
        <v>Monthly</v>
      </c>
      <c r="K779" s="258" t="str">
        <f>IFERROR(__xludf.DUMMYFUNCTION("""COMPUTED_VALUE"""),"")</f>
        <v/>
      </c>
      <c r="L779" s="258" t="str">
        <f>IFERROR(__xludf.DUMMYFUNCTION("""COMPUTED_VALUE"""),"GHP, GHP-PREPAID, TM, PW, GOMO, WIRELINE, BAYAN, GLOBE")</f>
        <v>GHP, GHP-PREPAID, TM, PW, GOMO, WIRELINE, BAYAN, GLOBE</v>
      </c>
      <c r="M779" s="258" t="str">
        <f>IFERROR(__xludf.DUMMYFUNCTION("""COMPUTED_VALUE"""),"Consumer, EG, SG, In house, IBG Traveler")</f>
        <v>Consumer, EG, SG, In house, IBG Traveler</v>
      </c>
      <c r="N779" s="258" t="str">
        <f>IFERROR(__xludf.DUMMYFUNCTION("""COMPUTED_VALUE"""),"interest")</f>
        <v>interest</v>
      </c>
      <c r="O779" s="258" t="str">
        <f>IFERROR(__xludf.DUMMYFUNCTION("""COMPUTED_VALUE"""),"network_profile")</f>
        <v>network_profile</v>
      </c>
      <c r="P779" s="258"/>
    </row>
    <row r="780">
      <c r="A780" s="257" t="str">
        <f>IFERROR(__xludf.DUMMYFUNCTION("""COMPUTED_VALUE"""),"insurance_top_apps")</f>
        <v>insurance_top_apps</v>
      </c>
      <c r="B780" s="258" t="str">
        <f>IFERROR(__xludf.DUMMYFUNCTION("""COMPUTED_VALUE"""),"Audience/Persona")</f>
        <v>Audience/Persona</v>
      </c>
      <c r="C780" s="258" t="str">
        <f>IFERROR(__xludf.DUMMYFUNCTION("""COMPUTED_VALUE"""),"Non-PII")</f>
        <v>Non-PII</v>
      </c>
      <c r="D780" s="258" t="str">
        <f>IFERROR(__xludf.DUMMYFUNCTION("""COMPUTED_VALUE"""),"Non-PII")</f>
        <v>Non-PII</v>
      </c>
      <c r="E780" s="258" t="str">
        <f>IFERROR(__xludf.DUMMYFUNCTION("""COMPUTED_VALUE"""),"Top 1 app/site by data burn and hits categorized under the Insurance App and Website User profile
 For wireline subscribers, only subscriptions within Metro Manila (including some areas in Rizal) and with DSL, VDSL and GPON technology value are covered.")</f>
        <v>Top 1 app/site by data burn and hits categorized under the Insurance App and Website User profile
 For wireline subscribers, only subscriptions within Metro Manila (including some areas in Rizal) and with DSL, VDSL and GPON technology value are covered.</v>
      </c>
      <c r="F780" s="258" t="str">
        <f>IFERROR(__xludf.DUMMYFUNCTION("""COMPUTED_VALUE"""),"Derived")</f>
        <v>Derived</v>
      </c>
      <c r="G780" s="258" t="str">
        <f>IFERROR(__xludf.DUMMYFUNCTION("""COMPUTED_VALUE"""),"varchar(1000)")</f>
        <v>varchar(1000)</v>
      </c>
      <c r="H780" s="258" t="str">
        <f>IFERROR(__xludf.DUMMYFUNCTION("""COMPUTED_VALUE"""),"sunlife")</f>
        <v>sunlife</v>
      </c>
      <c r="I780" s="258" t="str">
        <f>IFERROR(__xludf.DUMMYFUNCTION("""COMPUTED_VALUE"""),"EDO-UUP")</f>
        <v>EDO-UUP</v>
      </c>
      <c r="J780" s="258" t="str">
        <f>IFERROR(__xludf.DUMMYFUNCTION("""COMPUTED_VALUE"""),"Monthly")</f>
        <v>Monthly</v>
      </c>
      <c r="K780" s="258" t="str">
        <f>IFERROR(__xludf.DUMMYFUNCTION("""COMPUTED_VALUE"""),"")</f>
        <v/>
      </c>
      <c r="L780" s="258" t="str">
        <f>IFERROR(__xludf.DUMMYFUNCTION("""COMPUTED_VALUE"""),"GHP, GHP-PREPAID, TM, PW, GOMO, WIRELINE, BAYAN, GLOBE")</f>
        <v>GHP, GHP-PREPAID, TM, PW, GOMO, WIRELINE, BAYAN, GLOBE</v>
      </c>
      <c r="M780" s="258" t="str">
        <f>IFERROR(__xludf.DUMMYFUNCTION("""COMPUTED_VALUE"""),"Consumer, EG, SG, In house, IBG Traveler")</f>
        <v>Consumer, EG, SG, In house, IBG Traveler</v>
      </c>
      <c r="N780" s="258" t="str">
        <f>IFERROR(__xludf.DUMMYFUNCTION("""COMPUTED_VALUE"""),"interest")</f>
        <v>interest</v>
      </c>
      <c r="O780" s="258" t="str">
        <f>IFERROR(__xludf.DUMMYFUNCTION("""COMPUTED_VALUE"""),"network_profile")</f>
        <v>network_profile</v>
      </c>
      <c r="P780" s="258"/>
    </row>
    <row r="781">
      <c r="A781" s="257" t="str">
        <f>IFERROR(__xludf.DUMMYFUNCTION("""COMPUTED_VALUE"""),"car_dealer_caller_mode")</f>
        <v>car_dealer_caller_mode</v>
      </c>
      <c r="B781" s="258" t="str">
        <f>IFERROR(__xludf.DUMMYFUNCTION("""COMPUTED_VALUE"""),"Audience/Persona")</f>
        <v>Audience/Persona</v>
      </c>
      <c r="C781" s="258" t="str">
        <f>IFERROR(__xludf.DUMMYFUNCTION("""COMPUTED_VALUE"""),"Non-PII")</f>
        <v>Non-PII</v>
      </c>
      <c r="D781" s="258" t="str">
        <f>IFERROR(__xludf.DUMMYFUNCTION("""COMPUTED_VALUE"""),"Non-PII")</f>
        <v>Non-PII</v>
      </c>
      <c r="E781" s="258" t="str">
        <f>IFERROR(__xludf.DUMMYFUNCTION("""COMPUTED_VALUE"""),"Top 1 tag by hits categorized under the Car Dealer Caller profile.")</f>
        <v>Top 1 tag by hits categorized under the Car Dealer Caller profile.</v>
      </c>
      <c r="F781" s="258" t="str">
        <f>IFERROR(__xludf.DUMMYFUNCTION("""COMPUTED_VALUE"""),"Derived")</f>
        <v>Derived</v>
      </c>
      <c r="G781" s="258" t="str">
        <f>IFERROR(__xludf.DUMMYFUNCTION("""COMPUTED_VALUE"""),"varchar(1000)")</f>
        <v>varchar(1000)</v>
      </c>
      <c r="H781" s="258" t="str">
        <f>IFERROR(__xludf.DUMMYFUNCTION("""COMPUTED_VALUE"""),"citi_motors")</f>
        <v>citi_motors</v>
      </c>
      <c r="I781" s="258" t="str">
        <f>IFERROR(__xludf.DUMMYFUNCTION("""COMPUTED_VALUE"""),"EDO-UUP")</f>
        <v>EDO-UUP</v>
      </c>
      <c r="J781" s="258" t="str">
        <f>IFERROR(__xludf.DUMMYFUNCTION("""COMPUTED_VALUE"""),"Monthly")</f>
        <v>Monthly</v>
      </c>
      <c r="K781" s="258" t="str">
        <f>IFERROR(__xludf.DUMMYFUNCTION("""COMPUTED_VALUE"""),"")</f>
        <v/>
      </c>
      <c r="L781" s="258" t="str">
        <f>IFERROR(__xludf.DUMMYFUNCTION("""COMPUTED_VALUE"""),"GHP, GHP-PREPAID, TM")</f>
        <v>GHP, GHP-PREPAID, TM</v>
      </c>
      <c r="M781" s="258" t="str">
        <f>IFERROR(__xludf.DUMMYFUNCTION("""COMPUTED_VALUE"""),"Consumer, EG, SG, In house, IBG Traveler")</f>
        <v>Consumer, EG, SG, In house, IBG Traveler</v>
      </c>
      <c r="N781" s="258" t="str">
        <f>IFERROR(__xludf.DUMMYFUNCTION("""COMPUTED_VALUE"""),"interest")</f>
        <v>interest</v>
      </c>
      <c r="O781" s="258" t="str">
        <f>IFERROR(__xludf.DUMMYFUNCTION("""COMPUTED_VALUE"""),"network_profile")</f>
        <v>network_profile</v>
      </c>
      <c r="P781" s="258"/>
    </row>
    <row r="782">
      <c r="A782" s="257" t="str">
        <f>IFERROR(__xludf.DUMMYFUNCTION("""COMPUTED_VALUE"""),"birth_date_user")</f>
        <v>birth_date_user</v>
      </c>
      <c r="B782" s="258" t="str">
        <f>IFERROR(__xludf.DUMMYFUNCTION("""COMPUTED_VALUE"""),"Customer PII - Masked")</f>
        <v>Customer PII - Masked</v>
      </c>
      <c r="C782" s="258" t="str">
        <f>IFERROR(__xludf.DUMMYFUNCTION("""COMPUTED_VALUE"""),"Customer PII - Masked")</f>
        <v>Customer PII - Masked</v>
      </c>
      <c r="D782" s="258" t="str">
        <f>IFERROR(__xludf.DUMMYFUNCTION("""COMPUTED_VALUE"""),"Birthdate")</f>
        <v>Birthdate</v>
      </c>
      <c r="E782" s="258" t="str">
        <f>IFERROR(__xludf.DUMMYFUNCTION("""COMPUTED_VALUE"""),"Date of birth of the mobile user.")</f>
        <v>Date of birth of the mobile user.</v>
      </c>
      <c r="F782" s="258" t="str">
        <f>IFERROR(__xludf.DUMMYFUNCTION("""COMPUTED_VALUE"""),"Derived")</f>
        <v>Derived</v>
      </c>
      <c r="G782" s="258" t="str">
        <f>IFERROR(__xludf.DUMMYFUNCTION("""COMPUTED_VALUE"""),"timestamp")</f>
        <v>timestamp</v>
      </c>
      <c r="H782" s="258">
        <f>IFERROR(__xludf.DUMMYFUNCTION("""COMPUTED_VALUE"""),35260.33)</f>
        <v>35260.33</v>
      </c>
      <c r="I782" s="258" t="str">
        <f>IFERROR(__xludf.DUMMYFUNCTION("""COMPUTED_VALUE"""),"EDO-UUP")</f>
        <v>EDO-UUP</v>
      </c>
      <c r="J782" s="258" t="str">
        <f>IFERROR(__xludf.DUMMYFUNCTION("""COMPUTED_VALUE"""),"Daily")</f>
        <v>Daily</v>
      </c>
      <c r="K782" s="258" t="str">
        <f>IFERROR(__xludf.DUMMYFUNCTION("""COMPUTED_VALUE"""),"")</f>
        <v/>
      </c>
      <c r="L782" s="258" t="str">
        <f>IFERROR(__xludf.DUMMYFUNCTION("""COMPUTED_VALUE"""),"GHP, GHP-PREPAID, TM, PW, GOMO")</f>
        <v>GHP, GHP-PREPAID, TM, PW, GOMO</v>
      </c>
      <c r="M782" s="258" t="str">
        <f>IFERROR(__xludf.DUMMYFUNCTION("""COMPUTED_VALUE"""),"Consumer, EG, SG, In house, IBG Traveler")</f>
        <v>Consumer, EG, SG, In house, IBG Traveler</v>
      </c>
      <c r="N782" s="258" t="str">
        <f>IFERROR(__xludf.DUMMYFUNCTION("""COMPUTED_VALUE"""),"customer")</f>
        <v>customer</v>
      </c>
      <c r="O782" s="258" t="str">
        <f>IFERROR(__xludf.DUMMYFUNCTION("""COMPUTED_VALUE"""),"customer_profile")</f>
        <v>customer_profile</v>
      </c>
      <c r="P782" s="258"/>
    </row>
    <row r="783">
      <c r="A783" s="257" t="str">
        <f>IFERROR(__xludf.DUMMYFUNCTION("""COMPUTED_VALUE"""),"age_bracket_name_user")</f>
        <v>age_bracket_name_user</v>
      </c>
      <c r="B783" s="258" t="str">
        <f>IFERROR(__xludf.DUMMYFUNCTION("""COMPUTED_VALUE"""),"Demographic/Affluence")</f>
        <v>Demographic/Affluence</v>
      </c>
      <c r="C783" s="258" t="str">
        <f>IFERROR(__xludf.DUMMYFUNCTION("""COMPUTED_VALUE"""),"Non-PII")</f>
        <v>Non-PII</v>
      </c>
      <c r="D783" s="258" t="str">
        <f>IFERROR(__xludf.DUMMYFUNCTION("""COMPUTED_VALUE"""),"Non-PII")</f>
        <v>Non-PII</v>
      </c>
      <c r="E783" s="258" t="str">
        <f>IFERROR(__xludf.DUMMYFUNCTION("""COMPUTED_VALUE"""),"Age bracket calculated from birth date of the mobile user.")</f>
        <v>Age bracket calculated from birth date of the mobile user.</v>
      </c>
      <c r="F783" s="258" t="str">
        <f>IFERROR(__xludf.DUMMYFUNCTION("""COMPUTED_VALUE"""),"Derived")</f>
        <v>Derived</v>
      </c>
      <c r="G783" s="258" t="str">
        <f>IFERROR(__xludf.DUMMYFUNCTION("""COMPUTED_VALUE"""),"varchar(1000)")</f>
        <v>varchar(1000)</v>
      </c>
      <c r="H783" s="258" t="str">
        <f>IFERROR(__xludf.DUMMYFUNCTION("""COMPUTED_VALUE"""),"20-25")</f>
        <v>20-25</v>
      </c>
      <c r="I783" s="258" t="str">
        <f>IFERROR(__xludf.DUMMYFUNCTION("""COMPUTED_VALUE"""),"EDO-AA")</f>
        <v>EDO-AA</v>
      </c>
      <c r="J783" s="258" t="str">
        <f>IFERROR(__xludf.DUMMYFUNCTION("""COMPUTED_VALUE"""),"Daily")</f>
        <v>Daily</v>
      </c>
      <c r="K783" s="258" t="str">
        <f>IFERROR(__xludf.DUMMYFUNCTION("""COMPUTED_VALUE"""),"")</f>
        <v/>
      </c>
      <c r="L783" s="258" t="str">
        <f>IFERROR(__xludf.DUMMYFUNCTION("""COMPUTED_VALUE"""),"GHP, GHP-PREPAID, TM, PW, GOMO")</f>
        <v>GHP, GHP-PREPAID, TM, PW, GOMO</v>
      </c>
      <c r="M783" s="258" t="str">
        <f>IFERROR(__xludf.DUMMYFUNCTION("""COMPUTED_VALUE"""),"Consumer, EG, SG, In house, IBG Traveler")</f>
        <v>Consumer, EG, SG, In house, IBG Traveler</v>
      </c>
      <c r="N783" s="258" t="str">
        <f>IFERROR(__xludf.DUMMYFUNCTION("""COMPUTED_VALUE"""),"customer")</f>
        <v>customer</v>
      </c>
      <c r="O783" s="258" t="str">
        <f>IFERROR(__xludf.DUMMYFUNCTION("""COMPUTED_VALUE"""),"customer_profile")</f>
        <v>customer_profile</v>
      </c>
      <c r="P783" s="258"/>
    </row>
    <row r="784">
      <c r="A784" s="257" t="str">
        <f>IFERROR(__xludf.DUMMYFUNCTION("""COMPUTED_VALUE"""),"derived_age_number_user")</f>
        <v>derived_age_number_user</v>
      </c>
      <c r="B784" s="258" t="str">
        <f>IFERROR(__xludf.DUMMYFUNCTION("""COMPUTED_VALUE"""),"Customer PII")</f>
        <v>Customer PII</v>
      </c>
      <c r="C784" s="258" t="str">
        <f>IFERROR(__xludf.DUMMYFUNCTION("""COMPUTED_VALUE"""),"Non-PII")</f>
        <v>Non-PII</v>
      </c>
      <c r="D784" s="258" t="str">
        <f>IFERROR(__xludf.DUMMYFUNCTION("""COMPUTED_VALUE"""),"Non-PII")</f>
        <v>Non-PII</v>
      </c>
      <c r="E784" s="258" t="str">
        <f>IFERROR(__xludf.DUMMYFUNCTION("""COMPUTED_VALUE"""),"Age calculated from birth date of the mobile user.")</f>
        <v>Age calculated from birth date of the mobile user.</v>
      </c>
      <c r="F784" s="258" t="str">
        <f>IFERROR(__xludf.DUMMYFUNCTION("""COMPUTED_VALUE"""),"Derived")</f>
        <v>Derived</v>
      </c>
      <c r="G784" s="258" t="str">
        <f>IFERROR(__xludf.DUMMYFUNCTION("""COMPUTED_VALUE"""),"integer")</f>
        <v>integer</v>
      </c>
      <c r="H784" s="258">
        <f>IFERROR(__xludf.DUMMYFUNCTION("""COMPUTED_VALUE"""),25.0)</f>
        <v>25</v>
      </c>
      <c r="I784" s="258" t="str">
        <f>IFERROR(__xludf.DUMMYFUNCTION("""COMPUTED_VALUE"""),"EDO-UUP")</f>
        <v>EDO-UUP</v>
      </c>
      <c r="J784" s="258" t="str">
        <f>IFERROR(__xludf.DUMMYFUNCTION("""COMPUTED_VALUE"""),"Daily")</f>
        <v>Daily</v>
      </c>
      <c r="K784" s="258" t="str">
        <f>IFERROR(__xludf.DUMMYFUNCTION("""COMPUTED_VALUE"""),"")</f>
        <v/>
      </c>
      <c r="L784" s="258" t="str">
        <f>IFERROR(__xludf.DUMMYFUNCTION("""COMPUTED_VALUE"""),"GHP, GHP-PREPAID, TM, PW, GOMO")</f>
        <v>GHP, GHP-PREPAID, TM, PW, GOMO</v>
      </c>
      <c r="M784" s="258" t="str">
        <f>IFERROR(__xludf.DUMMYFUNCTION("""COMPUTED_VALUE"""),"Consumer, EG, SG, In house, IBG Traveler")</f>
        <v>Consumer, EG, SG, In house, IBG Traveler</v>
      </c>
      <c r="N784" s="258" t="str">
        <f>IFERROR(__xludf.DUMMYFUNCTION("""COMPUTED_VALUE"""),"customer")</f>
        <v>customer</v>
      </c>
      <c r="O784" s="258" t="str">
        <f>IFERROR(__xludf.DUMMYFUNCTION("""COMPUTED_VALUE"""),"customer_profile")</f>
        <v>customer_profile</v>
      </c>
      <c r="P784" s="258"/>
    </row>
    <row r="785">
      <c r="A785" s="257" t="str">
        <f>IFERROR(__xludf.DUMMYFUNCTION("""COMPUTED_VALUE"""),"core_billing_offer_id")</f>
        <v>core_billing_offer_id</v>
      </c>
      <c r="B785" s="258" t="str">
        <f>IFERROR(__xludf.DUMMYFUNCTION("""COMPUTED_VALUE"""),"Profitability")</f>
        <v>Profitability</v>
      </c>
      <c r="C785" s="258" t="str">
        <f>IFERROR(__xludf.DUMMYFUNCTION("""COMPUTED_VALUE"""),"Non-PII")</f>
        <v>Non-PII</v>
      </c>
      <c r="D785" s="258" t="str">
        <f>IFERROR(__xludf.DUMMYFUNCTION("""COMPUTED_VALUE"""),"Non-PII")</f>
        <v>Non-PII</v>
      </c>
      <c r="E785" s="258" t="str">
        <f>IFERROR(__xludf.DUMMYFUNCTION("""COMPUTED_VALUE"""),"List of unique identifier of the voice and SMS offer plans assigned to the subscriber.")</f>
        <v>List of unique identifier of the voice and SMS offer plans assigned to the subscriber.</v>
      </c>
      <c r="F785" s="258" t="str">
        <f>IFERROR(__xludf.DUMMYFUNCTION("""COMPUTED_VALUE"""),"Derived")</f>
        <v>Derived</v>
      </c>
      <c r="G785" s="258" t="str">
        <f>IFERROR(__xludf.DUMMYFUNCTION("""COMPUTED_VALUE"""),"varchar(65535)")</f>
        <v>varchar(65535)</v>
      </c>
      <c r="H785" s="258" t="str">
        <f>IFERROR(__xludf.DUMMYFUNCTION("""COMPUTED_VALUE"""),"[15579906, 936017695]")</f>
        <v>[15579906, 936017695]</v>
      </c>
      <c r="I785" s="258" t="str">
        <f>IFERROR(__xludf.DUMMYFUNCTION("""COMPUTED_VALUE"""),"EDO-AA")</f>
        <v>EDO-AA</v>
      </c>
      <c r="J785" s="258" t="str">
        <f>IFERROR(__xludf.DUMMYFUNCTION("""COMPUTED_VALUE"""),"Daily (Day-1)")</f>
        <v>Daily (Day-1)</v>
      </c>
      <c r="K785" s="258" t="str">
        <f>IFERROR(__xludf.DUMMYFUNCTION("""COMPUTED_VALUE"""),"")</f>
        <v/>
      </c>
      <c r="L785" s="258" t="str">
        <f>IFERROR(__xludf.DUMMYFUNCTION("""COMPUTED_VALUE"""),"GHP, WIRELINE")</f>
        <v>GHP, WIRELINE</v>
      </c>
      <c r="M785" s="258" t="str">
        <f>IFERROR(__xludf.DUMMYFUNCTION("""COMPUTED_VALUE"""),"Consumer, EG, SG, In house")</f>
        <v>Consumer, EG, SG, In house</v>
      </c>
      <c r="N785" s="258" t="str">
        <f>IFERROR(__xludf.DUMMYFUNCTION("""COMPUTED_VALUE"""),"product")</f>
        <v>product</v>
      </c>
      <c r="O785" s="258" t="str">
        <f>IFERROR(__xludf.DUMMYFUNCTION("""COMPUTED_VALUE"""),"product_profile")</f>
        <v>product_profile</v>
      </c>
      <c r="P785" s="258"/>
    </row>
    <row r="786">
      <c r="A786" s="257" t="str">
        <f>IFERROR(__xludf.DUMMYFUNCTION("""COMPUTED_VALUE"""),"core_billing_offer_desc")</f>
        <v>core_billing_offer_desc</v>
      </c>
      <c r="B786" s="258" t="str">
        <f>IFERROR(__xludf.DUMMYFUNCTION("""COMPUTED_VALUE"""),"Profitability")</f>
        <v>Profitability</v>
      </c>
      <c r="C786" s="258" t="str">
        <f>IFERROR(__xludf.DUMMYFUNCTION("""COMPUTED_VALUE"""),"Non-PII")</f>
        <v>Non-PII</v>
      </c>
      <c r="D786" s="258" t="str">
        <f>IFERROR(__xludf.DUMMYFUNCTION("""COMPUTED_VALUE"""),"Non-PII")</f>
        <v>Non-PII</v>
      </c>
      <c r="E786" s="258" t="str">
        <f>IFERROR(__xludf.DUMMYFUNCTION("""COMPUTED_VALUE"""),"List of voice and SMS offer plans assigned to the subscriber.")</f>
        <v>List of voice and SMS offer plans assigned to the subscriber.</v>
      </c>
      <c r="F786" s="258" t="str">
        <f>IFERROR(__xludf.DUMMYFUNCTION("""COMPUTED_VALUE"""),"Derived")</f>
        <v>Derived</v>
      </c>
      <c r="G786" s="258" t="str">
        <f>IFERROR(__xludf.DUMMYFUNCTION("""COMPUTED_VALUE"""),"varchar(65535)")</f>
        <v>varchar(65535)</v>
      </c>
      <c r="H786" s="258" t="str">
        <f>IFERROR(__xludf.DUMMYFUNCTION("""COMPUTED_VALUE"""),"[Free Unli Calls to Globe/TM (24 Months), Unli Calls to Globe/TM for P99]")</f>
        <v>[Free Unli Calls to Globe/TM (24 Months), Unli Calls to Globe/TM for P99]</v>
      </c>
      <c r="I786" s="258" t="str">
        <f>IFERROR(__xludf.DUMMYFUNCTION("""COMPUTED_VALUE"""),"EDO-AA")</f>
        <v>EDO-AA</v>
      </c>
      <c r="J786" s="258" t="str">
        <f>IFERROR(__xludf.DUMMYFUNCTION("""COMPUTED_VALUE"""),"Daily (Day-1)")</f>
        <v>Daily (Day-1)</v>
      </c>
      <c r="K786" s="258" t="str">
        <f>IFERROR(__xludf.DUMMYFUNCTION("""COMPUTED_VALUE"""),"")</f>
        <v/>
      </c>
      <c r="L786" s="258" t="str">
        <f>IFERROR(__xludf.DUMMYFUNCTION("""COMPUTED_VALUE"""),"GHP, WIRELINE")</f>
        <v>GHP, WIRELINE</v>
      </c>
      <c r="M786" s="258" t="str">
        <f>IFERROR(__xludf.DUMMYFUNCTION("""COMPUTED_VALUE"""),"Consumer, EG, SG, In house")</f>
        <v>Consumer, EG, SG, In house</v>
      </c>
      <c r="N786" s="258" t="str">
        <f>IFERROR(__xludf.DUMMYFUNCTION("""COMPUTED_VALUE"""),"product")</f>
        <v>product</v>
      </c>
      <c r="O786" s="258" t="str">
        <f>IFERROR(__xludf.DUMMYFUNCTION("""COMPUTED_VALUE"""),"product_profile")</f>
        <v>product_profile</v>
      </c>
      <c r="P786" s="258"/>
    </row>
    <row r="787">
      <c r="A787" s="257" t="str">
        <f>IFERROR(__xludf.DUMMYFUNCTION("""COMPUTED_VALUE"""),"data_billing_offer_id")</f>
        <v>data_billing_offer_id</v>
      </c>
      <c r="B787" s="258" t="str">
        <f>IFERROR(__xludf.DUMMYFUNCTION("""COMPUTED_VALUE"""),"Profitability")</f>
        <v>Profitability</v>
      </c>
      <c r="C787" s="258" t="str">
        <f>IFERROR(__xludf.DUMMYFUNCTION("""COMPUTED_VALUE"""),"Non-PII")</f>
        <v>Non-PII</v>
      </c>
      <c r="D787" s="258" t="str">
        <f>IFERROR(__xludf.DUMMYFUNCTION("""COMPUTED_VALUE"""),"Non-PII")</f>
        <v>Non-PII</v>
      </c>
      <c r="E787" s="258" t="str">
        <f>IFERROR(__xludf.DUMMYFUNCTION("""COMPUTED_VALUE"""),"List of unique identifier of the data offer plans assigned to the subscriber.")</f>
        <v>List of unique identifier of the data offer plans assigned to the subscriber.</v>
      </c>
      <c r="F787" s="258" t="str">
        <f>IFERROR(__xludf.DUMMYFUNCTION("""COMPUTED_VALUE"""),"Derived")</f>
        <v>Derived</v>
      </c>
      <c r="G787" s="258" t="str">
        <f>IFERROR(__xludf.DUMMYFUNCTION("""COMPUTED_VALUE"""),"varchar(65535)")</f>
        <v>varchar(65535)</v>
      </c>
      <c r="H787" s="258" t="str">
        <f>IFERROR(__xludf.DUMMYFUNCTION("""COMPUTED_VALUE"""),"[10192026, 17194639, 4859026, 4859026, 4859026, 8870743, 940935048]")</f>
        <v>[10192026, 17194639, 4859026, 4859026, 4859026, 8870743, 940935048]</v>
      </c>
      <c r="I787" s="258" t="str">
        <f>IFERROR(__xludf.DUMMYFUNCTION("""COMPUTED_VALUE"""),"EDO-AA")</f>
        <v>EDO-AA</v>
      </c>
      <c r="J787" s="258" t="str">
        <f>IFERROR(__xludf.DUMMYFUNCTION("""COMPUTED_VALUE"""),"Daily (Day-1)")</f>
        <v>Daily (Day-1)</v>
      </c>
      <c r="K787" s="258" t="str">
        <f>IFERROR(__xludf.DUMMYFUNCTION("""COMPUTED_VALUE"""),"")</f>
        <v/>
      </c>
      <c r="L787" s="258" t="str">
        <f>IFERROR(__xludf.DUMMYFUNCTION("""COMPUTED_VALUE"""),"GHP")</f>
        <v>GHP</v>
      </c>
      <c r="M787" s="258" t="str">
        <f>IFERROR(__xludf.DUMMYFUNCTION("""COMPUTED_VALUE"""),"Consumer, EG, SG, In house")</f>
        <v>Consumer, EG, SG, In house</v>
      </c>
      <c r="N787" s="258" t="str">
        <f>IFERROR(__xludf.DUMMYFUNCTION("""COMPUTED_VALUE"""),"product")</f>
        <v>product</v>
      </c>
      <c r="O787" s="258" t="str">
        <f>IFERROR(__xludf.DUMMYFUNCTION("""COMPUTED_VALUE"""),"product_profile")</f>
        <v>product_profile</v>
      </c>
      <c r="P787" s="258"/>
    </row>
    <row r="788">
      <c r="A788" s="257" t="str">
        <f>IFERROR(__xludf.DUMMYFUNCTION("""COMPUTED_VALUE"""),"data_billing_offer_desc")</f>
        <v>data_billing_offer_desc</v>
      </c>
      <c r="B788" s="258" t="str">
        <f>IFERROR(__xludf.DUMMYFUNCTION("""COMPUTED_VALUE"""),"Profitability")</f>
        <v>Profitability</v>
      </c>
      <c r="C788" s="258" t="str">
        <f>IFERROR(__xludf.DUMMYFUNCTION("""COMPUTED_VALUE"""),"Non-PII")</f>
        <v>Non-PII</v>
      </c>
      <c r="D788" s="258" t="str">
        <f>IFERROR(__xludf.DUMMYFUNCTION("""COMPUTED_VALUE"""),"Non-PII")</f>
        <v>Non-PII</v>
      </c>
      <c r="E788" s="258" t="str">
        <f>IFERROR(__xludf.DUMMYFUNCTION("""COMPUTED_VALUE"""),"List of data offer plans assigned to the subscriber.")</f>
        <v>List of data offer plans assigned to the subscriber.</v>
      </c>
      <c r="F788" s="258" t="str">
        <f>IFERROR(__xludf.DUMMYFUNCTION("""COMPUTED_VALUE"""),"Derived")</f>
        <v>Derived</v>
      </c>
      <c r="G788" s="258" t="str">
        <f>IFERROR(__xludf.DUMMYFUNCTION("""COMPUTED_VALUE"""),"varchar(65535)")</f>
        <v>varchar(65535)</v>
      </c>
      <c r="H788" s="258" t="str">
        <f>IFERROR(__xludf.DUMMYFUNCTION("""COMPUTED_VALUE"""),"[Business Surf 599 with Rollover (4GB), Business Surf 299 with Rollover (1.5GB), Pack - Business Add Surf 99 (1GB)]")</f>
        <v>[Business Surf 599 with Rollover (4GB), Business Surf 299 with Rollover (1.5GB), Pack - Business Add Surf 99 (1GB)]</v>
      </c>
      <c r="I788" s="258" t="str">
        <f>IFERROR(__xludf.DUMMYFUNCTION("""COMPUTED_VALUE"""),"EDO-AA")</f>
        <v>EDO-AA</v>
      </c>
      <c r="J788" s="258" t="str">
        <f>IFERROR(__xludf.DUMMYFUNCTION("""COMPUTED_VALUE"""),"Daily (Day-1)")</f>
        <v>Daily (Day-1)</v>
      </c>
      <c r="K788" s="258" t="str">
        <f>IFERROR(__xludf.DUMMYFUNCTION("""COMPUTED_VALUE"""),"")</f>
        <v/>
      </c>
      <c r="L788" s="258" t="str">
        <f>IFERROR(__xludf.DUMMYFUNCTION("""COMPUTED_VALUE"""),"GHP")</f>
        <v>GHP</v>
      </c>
      <c r="M788" s="258" t="str">
        <f>IFERROR(__xludf.DUMMYFUNCTION("""COMPUTED_VALUE"""),"Consumer, EG, SG, In house")</f>
        <v>Consumer, EG, SG, In house</v>
      </c>
      <c r="N788" s="258" t="str">
        <f>IFERROR(__xludf.DUMMYFUNCTION("""COMPUTED_VALUE"""),"product")</f>
        <v>product</v>
      </c>
      <c r="O788" s="258" t="str">
        <f>IFERROR(__xludf.DUMMYFUNCTION("""COMPUTED_VALUE"""),"product_profile")</f>
        <v>product_profile</v>
      </c>
      <c r="P788" s="258"/>
    </row>
    <row r="789">
      <c r="A789" s="257" t="str">
        <f>IFERROR(__xludf.DUMMYFUNCTION("""COMPUTED_VALUE"""),"first_name_user")</f>
        <v>first_name_user</v>
      </c>
      <c r="B789" s="258" t="str">
        <f>IFERROR(__xludf.DUMMYFUNCTION("""COMPUTED_VALUE"""),"Customer PII - Masked")</f>
        <v>Customer PII - Masked</v>
      </c>
      <c r="C789" s="258" t="str">
        <f>IFERROR(__xludf.DUMMYFUNCTION("""COMPUTED_VALUE"""),"Customer PII - Masked")</f>
        <v>Customer PII - Masked</v>
      </c>
      <c r="D789" s="258" t="str">
        <f>IFERROR(__xludf.DUMMYFUNCTION("""COMPUTED_VALUE"""),"Contact")</f>
        <v>Contact</v>
      </c>
      <c r="E789" s="258" t="str">
        <f>IFERROR(__xludf.DUMMYFUNCTION("""COMPUTED_VALUE"""),"First name of the mobile user.")</f>
        <v>First name of the mobile user.</v>
      </c>
      <c r="F789" s="258" t="str">
        <f>IFERROR(__xludf.DUMMYFUNCTION("""COMPUTED_VALUE"""),"Derived")</f>
        <v>Derived</v>
      </c>
      <c r="G789" s="258" t="str">
        <f>IFERROR(__xludf.DUMMYFUNCTION("""COMPUTED_VALUE"""),"varchar(1000)")</f>
        <v>varchar(1000)</v>
      </c>
      <c r="H789" s="258" t="str">
        <f>IFERROR(__xludf.DUMMYFUNCTION("""COMPUTED_VALUE"""),"Juan")</f>
        <v>Juan</v>
      </c>
      <c r="I789" s="258" t="str">
        <f>IFERROR(__xludf.DUMMYFUNCTION("""COMPUTED_VALUE"""),"EDO-UUP")</f>
        <v>EDO-UUP</v>
      </c>
      <c r="J789" s="258" t="str">
        <f>IFERROR(__xludf.DUMMYFUNCTION("""COMPUTED_VALUE"""),"Daily (Day-1)")</f>
        <v>Daily (Day-1)</v>
      </c>
      <c r="K789" s="258" t="str">
        <f>IFERROR(__xludf.DUMMYFUNCTION("""COMPUTED_VALUE"""),"")</f>
        <v/>
      </c>
      <c r="L789" s="258" t="str">
        <f>IFERROR(__xludf.DUMMYFUNCTION("""COMPUTED_VALUE"""),"GHP, GHP-PREPAID, TM, PW, GOMO")</f>
        <v>GHP, GHP-PREPAID, TM, PW, GOMO</v>
      </c>
      <c r="M789" s="258" t="str">
        <f>IFERROR(__xludf.DUMMYFUNCTION("""COMPUTED_VALUE"""),"Consumer, EG, SG, In house, IBG Traveler")</f>
        <v>Consumer, EG, SG, In house, IBG Traveler</v>
      </c>
      <c r="N789" s="258" t="str">
        <f>IFERROR(__xludf.DUMMYFUNCTION("""COMPUTED_VALUE"""),"customer")</f>
        <v>customer</v>
      </c>
      <c r="O789" s="258" t="str">
        <f>IFERROR(__xludf.DUMMYFUNCTION("""COMPUTED_VALUE"""),"customer_profile")</f>
        <v>customer_profile</v>
      </c>
      <c r="P789" s="258"/>
    </row>
    <row r="790">
      <c r="A790" s="257" t="str">
        <f>IFERROR(__xludf.DUMMYFUNCTION("""COMPUTED_VALUE"""),"middle_name_user")</f>
        <v>middle_name_user</v>
      </c>
      <c r="B790" s="258" t="str">
        <f>IFERROR(__xludf.DUMMYFUNCTION("""COMPUTED_VALUE"""),"Customer PII - Masked")</f>
        <v>Customer PII - Masked</v>
      </c>
      <c r="C790" s="258" t="str">
        <f>IFERROR(__xludf.DUMMYFUNCTION("""COMPUTED_VALUE"""),"Customer PII - Masked")</f>
        <v>Customer PII - Masked</v>
      </c>
      <c r="D790" s="258" t="str">
        <f>IFERROR(__xludf.DUMMYFUNCTION("""COMPUTED_VALUE"""),"Contact")</f>
        <v>Contact</v>
      </c>
      <c r="E790" s="258" t="str">
        <f>IFERROR(__xludf.DUMMYFUNCTION("""COMPUTED_VALUE"""),"Middle name of the mobile user.")</f>
        <v>Middle name of the mobile user.</v>
      </c>
      <c r="F790" s="258" t="str">
        <f>IFERROR(__xludf.DUMMYFUNCTION("""COMPUTED_VALUE"""),"Derived")</f>
        <v>Derived</v>
      </c>
      <c r="G790" s="258" t="str">
        <f>IFERROR(__xludf.DUMMYFUNCTION("""COMPUTED_VALUE"""),"varchar(1000)")</f>
        <v>varchar(1000)</v>
      </c>
      <c r="H790" s="258" t="str">
        <f>IFERROR(__xludf.DUMMYFUNCTION("""COMPUTED_VALUE"""),"Santos")</f>
        <v>Santos</v>
      </c>
      <c r="I790" s="258" t="str">
        <f>IFERROR(__xludf.DUMMYFUNCTION("""COMPUTED_VALUE"""),"EDO-UUP")</f>
        <v>EDO-UUP</v>
      </c>
      <c r="J790" s="258" t="str">
        <f>IFERROR(__xludf.DUMMYFUNCTION("""COMPUTED_VALUE"""),"Daily (Day-1)")</f>
        <v>Daily (Day-1)</v>
      </c>
      <c r="K790" s="258" t="str">
        <f>IFERROR(__xludf.DUMMYFUNCTION("""COMPUTED_VALUE"""),"")</f>
        <v/>
      </c>
      <c r="L790" s="258" t="str">
        <f>IFERROR(__xludf.DUMMYFUNCTION("""COMPUTED_VALUE"""),"GHP, GHP-PREPAID, TM, PW, GOMO")</f>
        <v>GHP, GHP-PREPAID, TM, PW, GOMO</v>
      </c>
      <c r="M790" s="258" t="str">
        <f>IFERROR(__xludf.DUMMYFUNCTION("""COMPUTED_VALUE"""),"Consumer, EG, SG, In house, IBG Traveler")</f>
        <v>Consumer, EG, SG, In house, IBG Traveler</v>
      </c>
      <c r="N790" s="258" t="str">
        <f>IFERROR(__xludf.DUMMYFUNCTION("""COMPUTED_VALUE"""),"customer")</f>
        <v>customer</v>
      </c>
      <c r="O790" s="258" t="str">
        <f>IFERROR(__xludf.DUMMYFUNCTION("""COMPUTED_VALUE"""),"customer_profile")</f>
        <v>customer_profile</v>
      </c>
      <c r="P790" s="258"/>
    </row>
    <row r="791">
      <c r="A791" s="257" t="str">
        <f>IFERROR(__xludf.DUMMYFUNCTION("""COMPUTED_VALUE"""),"last_name_user")</f>
        <v>last_name_user</v>
      </c>
      <c r="B791" s="258" t="str">
        <f>IFERROR(__xludf.DUMMYFUNCTION("""COMPUTED_VALUE"""),"Customer PII - Masked")</f>
        <v>Customer PII - Masked</v>
      </c>
      <c r="C791" s="258" t="str">
        <f>IFERROR(__xludf.DUMMYFUNCTION("""COMPUTED_VALUE"""),"Customer PII - Masked")</f>
        <v>Customer PII - Masked</v>
      </c>
      <c r="D791" s="258" t="str">
        <f>IFERROR(__xludf.DUMMYFUNCTION("""COMPUTED_VALUE"""),"Contact")</f>
        <v>Contact</v>
      </c>
      <c r="E791" s="258" t="str">
        <f>IFERROR(__xludf.DUMMYFUNCTION("""COMPUTED_VALUE"""),"Last name of the mobile user.")</f>
        <v>Last name of the mobile user.</v>
      </c>
      <c r="F791" s="258" t="str">
        <f>IFERROR(__xludf.DUMMYFUNCTION("""COMPUTED_VALUE"""),"Derived")</f>
        <v>Derived</v>
      </c>
      <c r="G791" s="258" t="str">
        <f>IFERROR(__xludf.DUMMYFUNCTION("""COMPUTED_VALUE"""),"varchar(1000)")</f>
        <v>varchar(1000)</v>
      </c>
      <c r="H791" s="258" t="str">
        <f>IFERROR(__xludf.DUMMYFUNCTION("""COMPUTED_VALUE"""),"dela Cruz")</f>
        <v>dela Cruz</v>
      </c>
      <c r="I791" s="258" t="str">
        <f>IFERROR(__xludf.DUMMYFUNCTION("""COMPUTED_VALUE"""),"EDO-UUP")</f>
        <v>EDO-UUP</v>
      </c>
      <c r="J791" s="258" t="str">
        <f>IFERROR(__xludf.DUMMYFUNCTION("""COMPUTED_VALUE"""),"Daily (Day-1)")</f>
        <v>Daily (Day-1)</v>
      </c>
      <c r="K791" s="258" t="str">
        <f>IFERROR(__xludf.DUMMYFUNCTION("""COMPUTED_VALUE"""),"")</f>
        <v/>
      </c>
      <c r="L791" s="258" t="str">
        <f>IFERROR(__xludf.DUMMYFUNCTION("""COMPUTED_VALUE"""),"GHP, GHP-PREPAID, TM, PW, GOMO")</f>
        <v>GHP, GHP-PREPAID, TM, PW, GOMO</v>
      </c>
      <c r="M791" s="258" t="str">
        <f>IFERROR(__xludf.DUMMYFUNCTION("""COMPUTED_VALUE"""),"Consumer, EG, SG, In house, IBG Traveler")</f>
        <v>Consumer, EG, SG, In house, IBG Traveler</v>
      </c>
      <c r="N791" s="258" t="str">
        <f>IFERROR(__xludf.DUMMYFUNCTION("""COMPUTED_VALUE"""),"customer")</f>
        <v>customer</v>
      </c>
      <c r="O791" s="258" t="str">
        <f>IFERROR(__xludf.DUMMYFUNCTION("""COMPUTED_VALUE"""),"customer_profile")</f>
        <v>customer_profile</v>
      </c>
      <c r="P791" s="258"/>
    </row>
    <row r="792">
      <c r="A792" s="257" t="str">
        <f>IFERROR(__xludf.DUMMYFUNCTION("""COMPUTED_VALUE"""),"bb_app_active_user_30days_indicator")</f>
        <v>bb_app_active_user_30days_indicator</v>
      </c>
      <c r="B792" s="258" t="str">
        <f>IFERROR(__xludf.DUMMYFUNCTION("""COMPUTED_VALUE"""),"Behavioral")</f>
        <v>Behavioral</v>
      </c>
      <c r="C792" s="258" t="str">
        <f>IFERROR(__xludf.DUMMYFUNCTION("""COMPUTED_VALUE"""),"Non-PII")</f>
        <v>Non-PII</v>
      </c>
      <c r="D792" s="258" t="str">
        <f>IFERROR(__xludf.DUMMYFUNCTION("""COMPUTED_VALUE"""),"Non-PII")</f>
        <v>Non-PII</v>
      </c>
      <c r="E792" s="258" t="str">
        <f>IFERROR(__xludf.DUMMYFUNCTION("""COMPUTED_VALUE"""),"Monthly Active Users (MAUs) are BBAPP users with at least one transaction in the last 30 days except receive load.")</f>
        <v>Monthly Active Users (MAUs) are BBAPP users with at least one transaction in the last 30 days except receive load.</v>
      </c>
      <c r="F792" s="258" t="str">
        <f>IFERROR(__xludf.DUMMYFUNCTION("""COMPUTED_VALUE"""),"Derived")</f>
        <v>Derived</v>
      </c>
      <c r="G792" s="258" t="str">
        <f>IFERROR(__xludf.DUMMYFUNCTION("""COMPUTED_VALUE"""),"boolean")</f>
        <v>boolean</v>
      </c>
      <c r="H792" s="258" t="b">
        <f>IFERROR(__xludf.DUMMYFUNCTION("""COMPUTED_VALUE"""),TRUE)</f>
        <v>1</v>
      </c>
      <c r="I792" s="258" t="str">
        <f>IFERROR(__xludf.DUMMYFUNCTION("""COMPUTED_VALUE"""),"CRM FVT")</f>
        <v>CRM FVT</v>
      </c>
      <c r="J792" s="258" t="str">
        <f>IFERROR(__xludf.DUMMYFUNCTION("""COMPUTED_VALUE"""),"Monthly")</f>
        <v>Monthly</v>
      </c>
      <c r="K792" s="258" t="str">
        <f>IFERROR(__xludf.DUMMYFUNCTION("""COMPUTED_VALUE"""),"")</f>
        <v/>
      </c>
      <c r="L792" s="258" t="str">
        <f>IFERROR(__xludf.DUMMYFUNCTION("""COMPUTED_VALUE"""),"PW, WIRELINE, GLOBE")</f>
        <v>PW, WIRELINE, GLOBE</v>
      </c>
      <c r="M792" s="258" t="str">
        <f>IFERROR(__xludf.DUMMYFUNCTION("""COMPUTED_VALUE"""),"Consumer, SG")</f>
        <v>Consumer, SG</v>
      </c>
      <c r="N792" s="258" t="str">
        <f>IFERROR(__xludf.DUMMYFUNCTION("""COMPUTED_VALUE"""),"product")</f>
        <v>product</v>
      </c>
      <c r="O792" s="258" t="str">
        <f>IFERROR(__xludf.DUMMYFUNCTION("""COMPUTED_VALUE"""),"product_profile")</f>
        <v>product_profile</v>
      </c>
      <c r="P792" s="258"/>
    </row>
    <row r="793">
      <c r="A793" s="257" t="str">
        <f>IFERROR(__xludf.DUMMYFUNCTION("""COMPUTED_VALUE"""),"prepaid_topup_segment")</f>
        <v>prepaid_topup_segment</v>
      </c>
      <c r="B793" s="258" t="str">
        <f>IFERROR(__xludf.DUMMYFUNCTION("""COMPUTED_VALUE"""),"Behavioral")</f>
        <v>Behavioral</v>
      </c>
      <c r="C793" s="258" t="str">
        <f>IFERROR(__xludf.DUMMYFUNCTION("""COMPUTED_VALUE"""),"Non-PII")</f>
        <v>Non-PII</v>
      </c>
      <c r="D793" s="258" t="str">
        <f>IFERROR(__xludf.DUMMYFUNCTION("""COMPUTED_VALUE"""),"Non-PII")</f>
        <v>Non-PII</v>
      </c>
      <c r="E793" s="258" t="str">
        <f>IFERROR(__xludf.DUMMYFUNCTION("""COMPUTED_VALUE"""),"Topup segment based on the topup behavior of the prepaid subscriber in the last 6 months. Values are derived from the recalibrated segmentation model run through PySpark and refreshed weekly.
 Valid values:
 1 - RTC
 2 - Sporadic
 3 - Casual
 4 - Regula"&amp;"r (Weekly)
 5 - Frequent
 6 - Bulk")</f>
        <v>Topup segment based on the topup behavior of the prepaid subscriber in the last 6 months. Values are derived from the recalibrated segmentation model run through PySpark and refreshed weekly.
 Valid values:
 1 - RTC
 2 - Sporadic
 3 - Casual
 4 - Regular (Weekly)
 5 - Frequent
 6 - Bulk</v>
      </c>
      <c r="F793" s="258" t="str">
        <f>IFERROR(__xludf.DUMMYFUNCTION("""COMPUTED_VALUE"""),"Derived")</f>
        <v>Derived</v>
      </c>
      <c r="G793" s="258" t="str">
        <f>IFERROR(__xludf.DUMMYFUNCTION("""COMPUTED_VALUE"""),"integer")</f>
        <v>integer</v>
      </c>
      <c r="H793" s="258">
        <f>IFERROR(__xludf.DUMMYFUNCTION("""COMPUTED_VALUE"""),1.0)</f>
        <v>1</v>
      </c>
      <c r="I793" s="258" t="str">
        <f>IFERROR(__xludf.DUMMYFUNCTION("""COMPUTED_VALUE"""),"EDO-AA")</f>
        <v>EDO-AA</v>
      </c>
      <c r="J793" s="258" t="str">
        <f>IFERROR(__xludf.DUMMYFUNCTION("""COMPUTED_VALUE"""),"Daily")</f>
        <v>Daily</v>
      </c>
      <c r="K793" s="258" t="str">
        <f>IFERROR(__xludf.DUMMYFUNCTION("""COMPUTED_VALUE"""),"")</f>
        <v/>
      </c>
      <c r="L793" s="258" t="str">
        <f>IFERROR(__xludf.DUMMYFUNCTION("""COMPUTED_VALUE"""),"GHP-PREPAID, TM")</f>
        <v>GHP-PREPAID, TM</v>
      </c>
      <c r="M793" s="258" t="str">
        <f>IFERROR(__xludf.DUMMYFUNCTION("""COMPUTED_VALUE"""),"Consumer")</f>
        <v>Consumer</v>
      </c>
      <c r="N793" s="258" t="str">
        <f>IFERROR(__xludf.DUMMYFUNCTION("""COMPUTED_VALUE"""),"reload")</f>
        <v>reload</v>
      </c>
      <c r="O793" s="258" t="str">
        <f>IFERROR(__xludf.DUMMYFUNCTION("""COMPUTED_VALUE"""),"reload_profile")</f>
        <v>reload_profile</v>
      </c>
      <c r="P793" s="258"/>
    </row>
    <row r="794">
      <c r="A794" s="257" t="str">
        <f>IFERROR(__xludf.DUMMYFUNCTION("""COMPUTED_VALUE"""),"prepaid_total_spending_arpu_7days")</f>
        <v>prepaid_total_spending_arpu_7days</v>
      </c>
      <c r="B794" s="258" t="str">
        <f>IFERROR(__xludf.DUMMYFUNCTION("""COMPUTED_VALUE"""),"Behavioral")</f>
        <v>Behavioral</v>
      </c>
      <c r="C794" s="258" t="str">
        <f>IFERROR(__xludf.DUMMYFUNCTION("""COMPUTED_VALUE"""),"Non-PII")</f>
        <v>Non-PII</v>
      </c>
      <c r="D794" s="258" t="str">
        <f>IFERROR(__xludf.DUMMYFUNCTION("""COMPUTED_VALUE"""),"Non-PII")</f>
        <v>Non-PII</v>
      </c>
      <c r="E794" s="258" t="str">
        <f>IFERROR(__xludf.DUMMYFUNCTION("""COMPUTED_VALUE"""),"Total prepaid spending ARPU for 7 days (promo registrations, ppu, topup a promo)")</f>
        <v>Total prepaid spending ARPU for 7 days (promo registrations, ppu, topup a promo)</v>
      </c>
      <c r="F794" s="258" t="str">
        <f>IFERROR(__xludf.DUMMYFUNCTION("""COMPUTED_VALUE"""),"Derived")</f>
        <v>Derived</v>
      </c>
      <c r="G794" s="258" t="str">
        <f>IFERROR(__xludf.DUMMYFUNCTION("""COMPUTED_VALUE"""),"numeric(21,2)")</f>
        <v>numeric(21,2)</v>
      </c>
      <c r="H794" s="258">
        <f>IFERROR(__xludf.DUMMYFUNCTION("""COMPUTED_VALUE"""),100.0)</f>
        <v>100</v>
      </c>
      <c r="I794" s="258" t="str">
        <f>IFERROR(__xludf.DUMMYFUNCTION("""COMPUTED_VALUE"""),"MSH FVT")</f>
        <v>MSH FVT</v>
      </c>
      <c r="J794" s="258" t="str">
        <f>IFERROR(__xludf.DUMMYFUNCTION("""COMPUTED_VALUE"""),"Daily")</f>
        <v>Daily</v>
      </c>
      <c r="K794" s="258" t="str">
        <f>IFERROR(__xludf.DUMMYFUNCTION("""COMPUTED_VALUE"""),"")</f>
        <v/>
      </c>
      <c r="L794" s="258" t="str">
        <f>IFERROR(__xludf.DUMMYFUNCTION("""COMPUTED_VALUE"""),"GHP-PREPAID, TM, PW")</f>
        <v>GHP-PREPAID, TM, PW</v>
      </c>
      <c r="M794" s="258" t="str">
        <f>IFERROR(__xludf.DUMMYFUNCTION("""COMPUTED_VALUE"""),"Consumer, EG, SG, IBG Traveler")</f>
        <v>Consumer, EG, SG, IBG Traveler</v>
      </c>
      <c r="N794" s="258" t="str">
        <f>IFERROR(__xludf.DUMMYFUNCTION("""COMPUTED_VALUE"""),"revenue")</f>
        <v>revenue</v>
      </c>
      <c r="O794" s="258" t="str">
        <f>IFERROR(__xludf.DUMMYFUNCTION("""COMPUTED_VALUE"""),"revenue_profile")</f>
        <v>revenue_profile</v>
      </c>
      <c r="P794" s="258"/>
    </row>
    <row r="795">
      <c r="A795" s="257" t="str">
        <f>IFERROR(__xludf.DUMMYFUNCTION("""COMPUTED_VALUE"""),"lifestyle_app_indicator")</f>
        <v>lifestyle_app_indicator</v>
      </c>
      <c r="B795" s="258" t="str">
        <f>IFERROR(__xludf.DUMMYFUNCTION("""COMPUTED_VALUE"""),"Audience/Persona")</f>
        <v>Audience/Persona</v>
      </c>
      <c r="C795" s="258" t="str">
        <f>IFERROR(__xludf.DUMMYFUNCTION("""COMPUTED_VALUE"""),"Non-PII")</f>
        <v>Non-PII</v>
      </c>
      <c r="D795" s="258" t="str">
        <f>IFERROR(__xludf.DUMMYFUNCTION("""COMPUTED_VALUE"""),"Non-PII")</f>
        <v>Non-PII</v>
      </c>
      <c r="E795" s="258" t="str">
        <f>IFERROR(__xludf.DUMMYFUNCTION("""COMPUTED_VALUE"""),"Indicator if a subscriber visits/uses lifestyle applications or sites like Booky, Cashzine, Cosmopolitan, Esquire, etc
 For wireline subscribers, only subscriptions within Metro Manila (including some areas in Rizal) and with DSL, VDSL and GPON technolo"&amp;"gy value are covered.")</f>
        <v>Indicator if a subscriber visits/uses lifestyle applications or sites like Booky, Cashzine, Cosmopolitan, Esquire, etc
 For wireline subscribers, only subscriptions within Metro Manila (including some areas in Rizal) and with DSL, VDSL and GPON technology value are covered.</v>
      </c>
      <c r="F795" s="258" t="str">
        <f>IFERROR(__xludf.DUMMYFUNCTION("""COMPUTED_VALUE"""),"Derived")</f>
        <v>Derived</v>
      </c>
      <c r="G795" s="258" t="str">
        <f>IFERROR(__xludf.DUMMYFUNCTION("""COMPUTED_VALUE"""),"boolean")</f>
        <v>boolean</v>
      </c>
      <c r="H795" s="258" t="b">
        <f>IFERROR(__xludf.DUMMYFUNCTION("""COMPUTED_VALUE"""),TRUE)</f>
        <v>1</v>
      </c>
      <c r="I795" s="258" t="str">
        <f>IFERROR(__xludf.DUMMYFUNCTION("""COMPUTED_VALUE"""),"EDO-UUP")</f>
        <v>EDO-UUP</v>
      </c>
      <c r="J795" s="258" t="str">
        <f>IFERROR(__xludf.DUMMYFUNCTION("""COMPUTED_VALUE"""),"Monthly")</f>
        <v>Monthly</v>
      </c>
      <c r="K795" s="258" t="str">
        <f>IFERROR(__xludf.DUMMYFUNCTION("""COMPUTED_VALUE"""),"")</f>
        <v/>
      </c>
      <c r="L795" s="258" t="str">
        <f>IFERROR(__xludf.DUMMYFUNCTION("""COMPUTED_VALUE"""),"GHP, GHP-PREPAID, TM, PW, GOMO, WIRELINE, BAYAN, GLOBE")</f>
        <v>GHP, GHP-PREPAID, TM, PW, GOMO, WIRELINE, BAYAN, GLOBE</v>
      </c>
      <c r="M795" s="258" t="str">
        <f>IFERROR(__xludf.DUMMYFUNCTION("""COMPUTED_VALUE"""),"Consumer, EG, SG, In house, IBG Traveler")</f>
        <v>Consumer, EG, SG, In house, IBG Traveler</v>
      </c>
      <c r="N795" s="258" t="str">
        <f>IFERROR(__xludf.DUMMYFUNCTION("""COMPUTED_VALUE"""),"interest")</f>
        <v>interest</v>
      </c>
      <c r="O795" s="258" t="str">
        <f>IFERROR(__xludf.DUMMYFUNCTION("""COMPUTED_VALUE"""),"network_profile")</f>
        <v>network_profile</v>
      </c>
      <c r="P795" s="258"/>
    </row>
    <row r="796">
      <c r="A796" s="257" t="str">
        <f>IFERROR(__xludf.DUMMYFUNCTION("""COMPUTED_VALUE"""),"lifestyle_app_bucket")</f>
        <v>lifestyle_app_bucket</v>
      </c>
      <c r="B796" s="258" t="str">
        <f>IFERROR(__xludf.DUMMYFUNCTION("""COMPUTED_VALUE"""),"Audience/Persona")</f>
        <v>Audience/Persona</v>
      </c>
      <c r="C796" s="258" t="str">
        <f>IFERROR(__xludf.DUMMYFUNCTION("""COMPUTED_VALUE"""),"Non-PII")</f>
        <v>Non-PII</v>
      </c>
      <c r="D796" s="258" t="str">
        <f>IFERROR(__xludf.DUMMYFUNCTION("""COMPUTED_VALUE"""),"Non-PII")</f>
        <v>Non-PII</v>
      </c>
      <c r="E796" s="258" t="str">
        <f>IFERROR(__xludf.DUMMYFUNCTION("""COMPUTED_VALUE"""),"Bucketing based on identified metric 
 Metric: Number of Active Days in a Month
 Valid values: 
 LOW: &lt;=3 active days
 MID: &gt; 3 &amp; &lt;=10 active days
 HIGH: &gt; 10 active days
 For wireline subscribers, only subscriptions within Metro Manila (including som"&amp;"e areas in Rizal) and with DSL, VDSL and GPON technology value are covered.")</f>
        <v>Bucketing based on identified metric 
 Metric: Number of Active Days in a Month
 Valid values: 
 LOW: &lt;=3 active days
 MID: &gt; 3 &amp; &lt;=10 active days
 HIGH: &gt; 10 active days
 For wireline subscribers, only subscriptions within Metro Manila (including some areas in Rizal) and with DSL, VDSL and GPON technology value are covered.</v>
      </c>
      <c r="F796" s="258" t="str">
        <f>IFERROR(__xludf.DUMMYFUNCTION("""COMPUTED_VALUE"""),"Direct Pull")</f>
        <v>Direct Pull</v>
      </c>
      <c r="G796" s="258" t="str">
        <f>IFERROR(__xludf.DUMMYFUNCTION("""COMPUTED_VALUE"""),"varchar(1000)")</f>
        <v>varchar(1000)</v>
      </c>
      <c r="H796" s="258" t="str">
        <f>IFERROR(__xludf.DUMMYFUNCTION("""COMPUTED_VALUE"""),"MID")</f>
        <v>MID</v>
      </c>
      <c r="I796" s="258" t="str">
        <f>IFERROR(__xludf.DUMMYFUNCTION("""COMPUTED_VALUE"""),"EDO-UUP")</f>
        <v>EDO-UUP</v>
      </c>
      <c r="J796" s="258" t="str">
        <f>IFERROR(__xludf.DUMMYFUNCTION("""COMPUTED_VALUE"""),"Monthly")</f>
        <v>Monthly</v>
      </c>
      <c r="K796" s="258" t="str">
        <f>IFERROR(__xludf.DUMMYFUNCTION("""COMPUTED_VALUE"""),"")</f>
        <v/>
      </c>
      <c r="L796" s="258" t="str">
        <f>IFERROR(__xludf.DUMMYFUNCTION("""COMPUTED_VALUE"""),"GHP, GHP-PREPAID, TM, PW, GOMO, WIRELINE, BAYAN, GLOBE")</f>
        <v>GHP, GHP-PREPAID, TM, PW, GOMO, WIRELINE, BAYAN, GLOBE</v>
      </c>
      <c r="M796" s="258" t="str">
        <f>IFERROR(__xludf.DUMMYFUNCTION("""COMPUTED_VALUE"""),"Consumer, EG, SG, In house, IBG Traveler")</f>
        <v>Consumer, EG, SG, In house, IBG Traveler</v>
      </c>
      <c r="N796" s="258" t="str">
        <f>IFERROR(__xludf.DUMMYFUNCTION("""COMPUTED_VALUE"""),"interest")</f>
        <v>interest</v>
      </c>
      <c r="O796" s="258" t="str">
        <f>IFERROR(__xludf.DUMMYFUNCTION("""COMPUTED_VALUE"""),"network_profile")</f>
        <v>network_profile</v>
      </c>
      <c r="P796" s="258"/>
    </row>
    <row r="797">
      <c r="A797" s="257" t="str">
        <f>IFERROR(__xludf.DUMMYFUNCTION("""COMPUTED_VALUE"""),"lifestyle_app_details")</f>
        <v>lifestyle_app_details</v>
      </c>
      <c r="B797" s="258" t="str">
        <f>IFERROR(__xludf.DUMMYFUNCTION("""COMPUTED_VALUE"""),"Audience/Persona")</f>
        <v>Audience/Persona</v>
      </c>
      <c r="C797" s="258" t="str">
        <f>IFERROR(__xludf.DUMMYFUNCTION("""COMPUTED_VALUE"""),"Non-PII")</f>
        <v>Non-PII</v>
      </c>
      <c r="D797" s="258" t="str">
        <f>IFERROR(__xludf.DUMMYFUNCTION("""COMPUTED_VALUE"""),"Non-PII")</f>
        <v>Non-PII</v>
      </c>
      <c r="E797" s="258" t="str">
        <f>IFERROR(__xludf.DUMMYFUNCTION("""COMPUTED_VALUE"""),"Metric used and value for the Lifestyle App &amp; Web User profile
 For wireline subscribers, only subscriptions within Metro Manila (including some areas in Rizal) and with DSL, VDSL and GPON technology value are covered.")</f>
        <v>Metric used and value for the Lifestyle App &amp; Web User profile
 For wireline subscribers, only subscriptions within Metro Manila (including some areas in Rizal) and with DSL, VDSL and GPON technology value are covered.</v>
      </c>
      <c r="F797" s="258" t="str">
        <f>IFERROR(__xludf.DUMMYFUNCTION("""COMPUTED_VALUE"""),"Derived")</f>
        <v>Derived</v>
      </c>
      <c r="G797" s="258" t="str">
        <f>IFERROR(__xludf.DUMMYFUNCTION("""COMPUTED_VALUE"""),"varchar(1000)")</f>
        <v>varchar(1000)</v>
      </c>
      <c r="H797" s="258" t="str">
        <f>IFERROR(__xludf.DUMMYFUNCTION("""COMPUTED_VALUE"""),"{""Number of Active Days in a Month"": 7}")</f>
        <v>{"Number of Active Days in a Month": 7}</v>
      </c>
      <c r="I797" s="258" t="str">
        <f>IFERROR(__xludf.DUMMYFUNCTION("""COMPUTED_VALUE"""),"EDO-UUP")</f>
        <v>EDO-UUP</v>
      </c>
      <c r="J797" s="258" t="str">
        <f>IFERROR(__xludf.DUMMYFUNCTION("""COMPUTED_VALUE"""),"Monthly")</f>
        <v>Monthly</v>
      </c>
      <c r="K797" s="258" t="str">
        <f>IFERROR(__xludf.DUMMYFUNCTION("""COMPUTED_VALUE"""),"")</f>
        <v/>
      </c>
      <c r="L797" s="258" t="str">
        <f>IFERROR(__xludf.DUMMYFUNCTION("""COMPUTED_VALUE"""),"GHP, GHP-PREPAID, TM, PW, GOMO, WIRELINE, BAYAN, GLOBE")</f>
        <v>GHP, GHP-PREPAID, TM, PW, GOMO, WIRELINE, BAYAN, GLOBE</v>
      </c>
      <c r="M797" s="258" t="str">
        <f>IFERROR(__xludf.DUMMYFUNCTION("""COMPUTED_VALUE"""),"Consumer, EG, SG, In house, IBG Traveler")</f>
        <v>Consumer, EG, SG, In house, IBG Traveler</v>
      </c>
      <c r="N797" s="258" t="str">
        <f>IFERROR(__xludf.DUMMYFUNCTION("""COMPUTED_VALUE"""),"interest")</f>
        <v>interest</v>
      </c>
      <c r="O797" s="258" t="str">
        <f>IFERROR(__xludf.DUMMYFUNCTION("""COMPUTED_VALUE"""),"network_profile")</f>
        <v>network_profile</v>
      </c>
      <c r="P797" s="258"/>
    </row>
    <row r="798">
      <c r="A798" s="257" t="str">
        <f>IFERROR(__xludf.DUMMYFUNCTION("""COMPUTED_VALUE"""),"lifestyle_top_apps")</f>
        <v>lifestyle_top_apps</v>
      </c>
      <c r="B798" s="258" t="str">
        <f>IFERROR(__xludf.DUMMYFUNCTION("""COMPUTED_VALUE"""),"Audience/Persona")</f>
        <v>Audience/Persona</v>
      </c>
      <c r="C798" s="258" t="str">
        <f>IFERROR(__xludf.DUMMYFUNCTION("""COMPUTED_VALUE"""),"Non-PII")</f>
        <v>Non-PII</v>
      </c>
      <c r="D798" s="258" t="str">
        <f>IFERROR(__xludf.DUMMYFUNCTION("""COMPUTED_VALUE"""),"Non-PII")</f>
        <v>Non-PII</v>
      </c>
      <c r="E798" s="258" t="str">
        <f>IFERROR(__xludf.DUMMYFUNCTION("""COMPUTED_VALUE"""),"Top 1 app/site by data burn, total hits and active days categorized under the Lifestyle App &amp; Web User profile
 For wireline subscribers, only subscriptions within Metro Manila (including some areas in Rizal) and with DSL, VDSL and GPON technology value"&amp;" are covered.")</f>
        <v>Top 1 app/site by data burn, total hits and active days categorized under the Lifestyle App &amp; Web User profile
 For wireline subscribers, only subscriptions within Metro Manila (including some areas in Rizal) and with DSL, VDSL and GPON technology value are covered.</v>
      </c>
      <c r="F798" s="258" t="str">
        <f>IFERROR(__xludf.DUMMYFUNCTION("""COMPUTED_VALUE"""),"Derived")</f>
        <v>Derived</v>
      </c>
      <c r="G798" s="258" t="str">
        <f>IFERROR(__xludf.DUMMYFUNCTION("""COMPUTED_VALUE"""),"varchar(1000)")</f>
        <v>varchar(1000)</v>
      </c>
      <c r="H798" s="258" t="str">
        <f>IFERROR(__xludf.DUMMYFUNCTION("""COMPUTED_VALUE"""),"pinterest")</f>
        <v>pinterest</v>
      </c>
      <c r="I798" s="258" t="str">
        <f>IFERROR(__xludf.DUMMYFUNCTION("""COMPUTED_VALUE"""),"EDO-UUP")</f>
        <v>EDO-UUP</v>
      </c>
      <c r="J798" s="258" t="str">
        <f>IFERROR(__xludf.DUMMYFUNCTION("""COMPUTED_VALUE"""),"Monthly")</f>
        <v>Monthly</v>
      </c>
      <c r="K798" s="258" t="str">
        <f>IFERROR(__xludf.DUMMYFUNCTION("""COMPUTED_VALUE"""),"")</f>
        <v/>
      </c>
      <c r="L798" s="258" t="str">
        <f>IFERROR(__xludf.DUMMYFUNCTION("""COMPUTED_VALUE"""),"GHP, GHP-PREPAID, TM, PW, GOMO, WIRELINE, BAYAN, GLOBE")</f>
        <v>GHP, GHP-PREPAID, TM, PW, GOMO, WIRELINE, BAYAN, GLOBE</v>
      </c>
      <c r="M798" s="258" t="str">
        <f>IFERROR(__xludf.DUMMYFUNCTION("""COMPUTED_VALUE"""),"Consumer, EG, SG, In house, IBG Traveler")</f>
        <v>Consumer, EG, SG, In house, IBG Traveler</v>
      </c>
      <c r="N798" s="258" t="str">
        <f>IFERROR(__xludf.DUMMYFUNCTION("""COMPUTED_VALUE"""),"interest")</f>
        <v>interest</v>
      </c>
      <c r="O798" s="258" t="str">
        <f>IFERROR(__xludf.DUMMYFUNCTION("""COMPUTED_VALUE"""),"network_profile")</f>
        <v>network_profile</v>
      </c>
      <c r="P798" s="258"/>
    </row>
    <row r="799">
      <c r="A799" s="257" t="str">
        <f>IFERROR(__xludf.DUMMYFUNCTION("""COMPUTED_VALUE"""),"superapp_user_indicator")</f>
        <v>superapp_user_indicator</v>
      </c>
      <c r="B799" s="258" t="str">
        <f>IFERROR(__xludf.DUMMYFUNCTION("""COMPUTED_VALUE"""),"Behavioral")</f>
        <v>Behavioral</v>
      </c>
      <c r="C799" s="258" t="str">
        <f>IFERROR(__xludf.DUMMYFUNCTION("""COMPUTED_VALUE"""),"Non-PII")</f>
        <v>Non-PII</v>
      </c>
      <c r="D799" s="258" t="str">
        <f>IFERROR(__xludf.DUMMYFUNCTION("""COMPUTED_VALUE"""),"Non-PII")</f>
        <v>Non-PII</v>
      </c>
      <c r="E799" s="258" t="str">
        <f>IFERROR(__xludf.DUMMYFUNCTION("""COMPUTED_VALUE"""),"Identifies if the customer is enrolled to the New Globe One application (NG1 or SuperApp). 
Values is 'yes' if any of the customer's subscriptions is enrolled
Value is 'no' if there are no subscriptions enrolled in the app
Note:
Value may change from 'ye"&amp;"s' to 'no' if all subscriptions linked to a customer are unenrolled from the app ")</f>
        <v>Identifies if the customer is enrolled to the New Globe One application (NG1 or SuperApp). 
Values is 'yes' if any of the customer's subscriptions is enrolled
Value is 'no' if there are no subscriptions enrolled in the app
Note:
Value may change from 'yes' to 'no' if all subscriptions linked to a customer are unenrolled from the app </v>
      </c>
      <c r="F799" s="258" t="str">
        <f>IFERROR(__xludf.DUMMYFUNCTION("""COMPUTED_VALUE"""),"Derived")</f>
        <v>Derived</v>
      </c>
      <c r="G799" s="258" t="str">
        <f>IFERROR(__xludf.DUMMYFUNCTION("""COMPUTED_VALUE"""),"boolean")</f>
        <v>boolean</v>
      </c>
      <c r="H799" s="258" t="b">
        <f>IFERROR(__xludf.DUMMYFUNCTION("""COMPUTED_VALUE"""),TRUE)</f>
        <v>1</v>
      </c>
      <c r="I799" s="258" t="str">
        <f>IFERROR(__xludf.DUMMYFUNCTION("""COMPUTED_VALUE"""),"MSH CDA")</f>
        <v>MSH CDA</v>
      </c>
      <c r="J799" s="258" t="str">
        <f>IFERROR(__xludf.DUMMYFUNCTION("""COMPUTED_VALUE"""),"Daily")</f>
        <v>Daily</v>
      </c>
      <c r="K799" s="258" t="str">
        <f>IFERROR(__xludf.DUMMYFUNCTION("""COMPUTED_VALUE"""),"")</f>
        <v/>
      </c>
      <c r="L799" s="258" t="str">
        <f>IFERROR(__xludf.DUMMYFUNCTION("""COMPUTED_VALUE"""),"GHP, GHP-PREPAID, TM, PW")</f>
        <v>GHP, GHP-PREPAID, TM, PW</v>
      </c>
      <c r="M799" s="258" t="str">
        <f>IFERROR(__xludf.DUMMYFUNCTION("""COMPUTED_VALUE"""),"Consumer, EG, SG, In house, IBG Traveler")</f>
        <v>Consumer, EG, SG, In house, IBG Traveler</v>
      </c>
      <c r="N799" s="258" t="str">
        <f>IFERROR(__xludf.DUMMYFUNCTION("""COMPUTED_VALUE"""),"product")</f>
        <v>product</v>
      </c>
      <c r="O799" s="258" t="str">
        <f>IFERROR(__xludf.DUMMYFUNCTION("""COMPUTED_VALUE"""),"product_profile")</f>
        <v>product_profile</v>
      </c>
      <c r="P799" s="258"/>
    </row>
    <row r="800">
      <c r="A800" s="257" t="str">
        <f>IFERROR(__xludf.DUMMYFUNCTION("""COMPUTED_VALUE"""),"prepaid_migration_propensity_decile")</f>
        <v>prepaid_migration_propensity_decile</v>
      </c>
      <c r="B800" s="258" t="str">
        <f>IFERROR(__xludf.DUMMYFUNCTION("""COMPUTED_VALUE"""),"Profitability")</f>
        <v>Profitability</v>
      </c>
      <c r="C800" s="258" t="str">
        <f>IFERROR(__xludf.DUMMYFUNCTION("""COMPUTED_VALUE"""),"Non-PII")</f>
        <v>Non-PII</v>
      </c>
      <c r="D800" s="258" t="str">
        <f>IFERROR(__xludf.DUMMYFUNCTION("""COMPUTED_VALUE"""),"Non-PII")</f>
        <v>Non-PII</v>
      </c>
      <c r="E800" s="258" t="str">
        <f>IFERROR(__xludf.DUMMYFUNCTION("""COMPUTED_VALUE"""),"The propensity decile of prepaid customers to avail postpaid plans from 1 (most likely to migrate) to 10.")</f>
        <v>The propensity decile of prepaid customers to avail postpaid plans from 1 (most likely to migrate) to 10.</v>
      </c>
      <c r="F800" s="258" t="str">
        <f>IFERROR(__xludf.DUMMYFUNCTION("""COMPUTED_VALUE"""),"Derived")</f>
        <v>Derived</v>
      </c>
      <c r="G800" s="258" t="str">
        <f>IFERROR(__xludf.DUMMYFUNCTION("""COMPUTED_VALUE"""),"integer")</f>
        <v>integer</v>
      </c>
      <c r="H800" s="258">
        <f>IFERROR(__xludf.DUMMYFUNCTION("""COMPUTED_VALUE"""),10.0)</f>
        <v>10</v>
      </c>
      <c r="I800" s="258" t="str">
        <f>IFERROR(__xludf.DUMMYFUNCTION("""COMPUTED_VALUE"""),"EDO-AA")</f>
        <v>EDO-AA</v>
      </c>
      <c r="J800" s="258" t="str">
        <f>IFERROR(__xludf.DUMMYFUNCTION("""COMPUTED_VALUE"""),"Daily")</f>
        <v>Daily</v>
      </c>
      <c r="K800" s="258" t="str">
        <f>IFERROR(__xludf.DUMMYFUNCTION("""COMPUTED_VALUE"""),"")</f>
        <v/>
      </c>
      <c r="L800" s="258" t="str">
        <f>IFERROR(__xludf.DUMMYFUNCTION("""COMPUTED_VALUE"""),"GHP-PREPAID")</f>
        <v>GHP-PREPAID</v>
      </c>
      <c r="M800" s="258" t="str">
        <f>IFERROR(__xludf.DUMMYFUNCTION("""COMPUTED_VALUE"""),"Consumer")</f>
        <v>Consumer</v>
      </c>
      <c r="N800" s="258" t="str">
        <f>IFERROR(__xludf.DUMMYFUNCTION("""COMPUTED_VALUE"""),"revenue")</f>
        <v>revenue</v>
      </c>
      <c r="O800" s="258" t="str">
        <f>IFERROR(__xludf.DUMMYFUNCTION("""COMPUTED_VALUE"""),"revenue_profile")</f>
        <v>revenue_profile</v>
      </c>
      <c r="P800" s="258"/>
    </row>
    <row r="801">
      <c r="A801" s="257" t="str">
        <f>IFERROR(__xludf.DUMMYFUNCTION("""COMPUTED_VALUE"""),"reload_amount_mtd")</f>
        <v>reload_amount_mtd</v>
      </c>
      <c r="B801" s="258" t="str">
        <f>IFERROR(__xludf.DUMMYFUNCTION("""COMPUTED_VALUE"""),"Profitability")</f>
        <v>Profitability</v>
      </c>
      <c r="C801" s="258" t="str">
        <f>IFERROR(__xludf.DUMMYFUNCTION("""COMPUTED_VALUE"""),"Non-PII")</f>
        <v>Non-PII</v>
      </c>
      <c r="D801" s="258" t="str">
        <f>IFERROR(__xludf.DUMMYFUNCTION("""COMPUTED_VALUE"""),"Non-PII")</f>
        <v>Non-PII</v>
      </c>
      <c r="E801" s="258" t="str">
        <f>IFERROR(__xludf.DUMMYFUNCTION("""COMPUTED_VALUE"""),"Total month-to-date reload amount")</f>
        <v>Total month-to-date reload amount</v>
      </c>
      <c r="F801" s="258" t="str">
        <f>IFERROR(__xludf.DUMMYFUNCTION("""COMPUTED_VALUE"""),"Derived")</f>
        <v>Derived</v>
      </c>
      <c r="G801" s="258" t="str">
        <f>IFERROR(__xludf.DUMMYFUNCTION("""COMPUTED_VALUE"""),"integer")</f>
        <v>integer</v>
      </c>
      <c r="H801" s="258">
        <f>IFERROR(__xludf.DUMMYFUNCTION("""COMPUTED_VALUE"""),50.0)</f>
        <v>50</v>
      </c>
      <c r="I801" s="258" t="str">
        <f>IFERROR(__xludf.DUMMYFUNCTION("""COMPUTED_VALUE"""),"EDO-AA")</f>
        <v>EDO-AA</v>
      </c>
      <c r="J801" s="258" t="str">
        <f>IFERROR(__xludf.DUMMYFUNCTION("""COMPUTED_VALUE"""),"Daily")</f>
        <v>Daily</v>
      </c>
      <c r="K801" s="258" t="str">
        <f>IFERROR(__xludf.DUMMYFUNCTION("""COMPUTED_VALUE"""),"")</f>
        <v/>
      </c>
      <c r="L801" s="258" t="str">
        <f>IFERROR(__xludf.DUMMYFUNCTION("""COMPUTED_VALUE"""),"GHP-PREPAID, TM, PW")</f>
        <v>GHP-PREPAID, TM, PW</v>
      </c>
      <c r="M801" s="258" t="str">
        <f>IFERROR(__xludf.DUMMYFUNCTION("""COMPUTED_VALUE"""),"Consumer, EG, SG, IBG Traveler")</f>
        <v>Consumer, EG, SG, IBG Traveler</v>
      </c>
      <c r="N801" s="258" t="str">
        <f>IFERROR(__xludf.DUMMYFUNCTION("""COMPUTED_VALUE"""),"reload")</f>
        <v>reload</v>
      </c>
      <c r="O801" s="258" t="str">
        <f>IFERROR(__xludf.DUMMYFUNCTION("""COMPUTED_VALUE"""),"reload_profile")</f>
        <v>reload_profile</v>
      </c>
      <c r="P801" s="258"/>
    </row>
    <row r="802">
      <c r="A802" s="257" t="str">
        <f>IFERROR(__xludf.DUMMYFUNCTION("""COMPUTED_VALUE"""),"usage_data_shift_indicator")</f>
        <v>usage_data_shift_indicator</v>
      </c>
      <c r="B802" s="258" t="str">
        <f>IFERROR(__xludf.DUMMYFUNCTION("""COMPUTED_VALUE"""),"Behavioral")</f>
        <v>Behavioral</v>
      </c>
      <c r="C802" s="258" t="str">
        <f>IFERROR(__xludf.DUMMYFUNCTION("""COMPUTED_VALUE"""),"Non-PII")</f>
        <v>Non-PII</v>
      </c>
      <c r="D802" s="258" t="str">
        <f>IFERROR(__xludf.DUMMYFUNCTION("""COMPUTED_VALUE"""),"Non-PII")</f>
        <v>Non-PII</v>
      </c>
      <c r="E802" s="258" t="str">
        <f>IFERROR(__xludf.DUMMYFUNCTION("""COMPUTED_VALUE"""),"Indicator whether the subscriber has a shift in the voice usage behavior based from past 3 months of the subscriber's usages.")</f>
        <v>Indicator whether the subscriber has a shift in the voice usage behavior based from past 3 months of the subscriber's usages.</v>
      </c>
      <c r="F802" s="258" t="str">
        <f>IFERROR(__xludf.DUMMYFUNCTION("""COMPUTED_VALUE"""),"Derived")</f>
        <v>Derived</v>
      </c>
      <c r="G802" s="258" t="str">
        <f>IFERROR(__xludf.DUMMYFUNCTION("""COMPUTED_VALUE"""),"boolean")</f>
        <v>boolean</v>
      </c>
      <c r="H802" s="258" t="str">
        <f>IFERROR(__xludf.DUMMYFUNCTION("""COMPUTED_VALUE"""),"TRUE or FALSE")</f>
        <v>TRUE or FALSE</v>
      </c>
      <c r="I802" s="258" t="str">
        <f>IFERROR(__xludf.DUMMYFUNCTION("""COMPUTED_VALUE"""),"MSH FVT")</f>
        <v>MSH FVT</v>
      </c>
      <c r="J802" s="258" t="str">
        <f>IFERROR(__xludf.DUMMYFUNCTION("""COMPUTED_VALUE"""),"Daily")</f>
        <v>Daily</v>
      </c>
      <c r="K802" s="258" t="str">
        <f>IFERROR(__xludf.DUMMYFUNCTION("""COMPUTED_VALUE"""),"")</f>
        <v/>
      </c>
      <c r="L802" s="258" t="str">
        <f>IFERROR(__xludf.DUMMYFUNCTION("""COMPUTED_VALUE"""),"GHP, GHP-PREPAID, TM, PW")</f>
        <v>GHP, GHP-PREPAID, TM, PW</v>
      </c>
      <c r="M802" s="258" t="str">
        <f>IFERROR(__xludf.DUMMYFUNCTION("""COMPUTED_VALUE"""),"Consumer, EG, SG, In house, IBG Traveler")</f>
        <v>Consumer, EG, SG, In house, IBG Traveler</v>
      </c>
      <c r="N802" s="258" t="str">
        <f>IFERROR(__xludf.DUMMYFUNCTION("""COMPUTED_VALUE"""),"usage")</f>
        <v>usage</v>
      </c>
      <c r="O802" s="258" t="str">
        <f>IFERROR(__xludf.DUMMYFUNCTION("""COMPUTED_VALUE"""),"adjustment_profile")</f>
        <v>adjustment_profile</v>
      </c>
      <c r="P802" s="258"/>
    </row>
    <row r="803">
      <c r="A803" s="257" t="str">
        <f>IFERROR(__xludf.DUMMYFUNCTION("""COMPUTED_VALUE"""),"usage_sms_shift_indicator")</f>
        <v>usage_sms_shift_indicator</v>
      </c>
      <c r="B803" s="258" t="str">
        <f>IFERROR(__xludf.DUMMYFUNCTION("""COMPUTED_VALUE"""),"Behavioral")</f>
        <v>Behavioral</v>
      </c>
      <c r="C803" s="258" t="str">
        <f>IFERROR(__xludf.DUMMYFUNCTION("""COMPUTED_VALUE"""),"Non-PII")</f>
        <v>Non-PII</v>
      </c>
      <c r="D803" s="258" t="str">
        <f>IFERROR(__xludf.DUMMYFUNCTION("""COMPUTED_VALUE"""),"Non-PII")</f>
        <v>Non-PII</v>
      </c>
      <c r="E803" s="258" t="str">
        <f>IFERROR(__xludf.DUMMYFUNCTION("""COMPUTED_VALUE"""),"Indicator whether the subscriber has a shift in the SMS usage behavior based from past 3 months of the subscriber's usages.")</f>
        <v>Indicator whether the subscriber has a shift in the SMS usage behavior based from past 3 months of the subscriber's usages.</v>
      </c>
      <c r="F803" s="258" t="str">
        <f>IFERROR(__xludf.DUMMYFUNCTION("""COMPUTED_VALUE"""),"Derived")</f>
        <v>Derived</v>
      </c>
      <c r="G803" s="258" t="str">
        <f>IFERROR(__xludf.DUMMYFUNCTION("""COMPUTED_VALUE"""),"boolean")</f>
        <v>boolean</v>
      </c>
      <c r="H803" s="258" t="str">
        <f>IFERROR(__xludf.DUMMYFUNCTION("""COMPUTED_VALUE"""),"TRUE or FALSE")</f>
        <v>TRUE or FALSE</v>
      </c>
      <c r="I803" s="258" t="str">
        <f>IFERROR(__xludf.DUMMYFUNCTION("""COMPUTED_VALUE"""),"MSH FVT")</f>
        <v>MSH FVT</v>
      </c>
      <c r="J803" s="258" t="str">
        <f>IFERROR(__xludf.DUMMYFUNCTION("""COMPUTED_VALUE"""),"Daily")</f>
        <v>Daily</v>
      </c>
      <c r="K803" s="258" t="str">
        <f>IFERROR(__xludf.DUMMYFUNCTION("""COMPUTED_VALUE"""),"")</f>
        <v/>
      </c>
      <c r="L803" s="258" t="str">
        <f>IFERROR(__xludf.DUMMYFUNCTION("""COMPUTED_VALUE"""),"GHP, GHP-PREPAID, TM, PW")</f>
        <v>GHP, GHP-PREPAID, TM, PW</v>
      </c>
      <c r="M803" s="258" t="str">
        <f>IFERROR(__xludf.DUMMYFUNCTION("""COMPUTED_VALUE"""),"Consumer, EG, SG, In house, IBG Traveler")</f>
        <v>Consumer, EG, SG, In house, IBG Traveler</v>
      </c>
      <c r="N803" s="258" t="str">
        <f>IFERROR(__xludf.DUMMYFUNCTION("""COMPUTED_VALUE"""),"usage")</f>
        <v>usage</v>
      </c>
      <c r="O803" s="258" t="str">
        <f>IFERROR(__xludf.DUMMYFUNCTION("""COMPUTED_VALUE"""),"adjustment_profile")</f>
        <v>adjustment_profile</v>
      </c>
      <c r="P803" s="258"/>
    </row>
    <row r="804">
      <c r="A804" s="257" t="str">
        <f>IFERROR(__xludf.DUMMYFUNCTION("""COMPUTED_VALUE"""),"usage_voice_shift_indicator")</f>
        <v>usage_voice_shift_indicator</v>
      </c>
      <c r="B804" s="258" t="str">
        <f>IFERROR(__xludf.DUMMYFUNCTION("""COMPUTED_VALUE"""),"Behavioral")</f>
        <v>Behavioral</v>
      </c>
      <c r="C804" s="258" t="str">
        <f>IFERROR(__xludf.DUMMYFUNCTION("""COMPUTED_VALUE"""),"Non-PII")</f>
        <v>Non-PII</v>
      </c>
      <c r="D804" s="258" t="str">
        <f>IFERROR(__xludf.DUMMYFUNCTION("""COMPUTED_VALUE"""),"Non-PII")</f>
        <v>Non-PII</v>
      </c>
      <c r="E804" s="258" t="str">
        <f>IFERROR(__xludf.DUMMYFUNCTION("""COMPUTED_VALUE"""),"Indicator whether the subscriber has a shift in the voice usage behavior based from past 3 months of the subscriber's usages.")</f>
        <v>Indicator whether the subscriber has a shift in the voice usage behavior based from past 3 months of the subscriber's usages.</v>
      </c>
      <c r="F804" s="258" t="str">
        <f>IFERROR(__xludf.DUMMYFUNCTION("""COMPUTED_VALUE"""),"Derived")</f>
        <v>Derived</v>
      </c>
      <c r="G804" s="258" t="str">
        <f>IFERROR(__xludf.DUMMYFUNCTION("""COMPUTED_VALUE"""),"boolean")</f>
        <v>boolean</v>
      </c>
      <c r="H804" s="258" t="str">
        <f>IFERROR(__xludf.DUMMYFUNCTION("""COMPUTED_VALUE"""),"TRUE or FALSE")</f>
        <v>TRUE or FALSE</v>
      </c>
      <c r="I804" s="258" t="str">
        <f>IFERROR(__xludf.DUMMYFUNCTION("""COMPUTED_VALUE"""),"MSH FVT")</f>
        <v>MSH FVT</v>
      </c>
      <c r="J804" s="258" t="str">
        <f>IFERROR(__xludf.DUMMYFUNCTION("""COMPUTED_VALUE"""),"Daily")</f>
        <v>Daily</v>
      </c>
      <c r="K804" s="258" t="str">
        <f>IFERROR(__xludf.DUMMYFUNCTION("""COMPUTED_VALUE"""),"")</f>
        <v/>
      </c>
      <c r="L804" s="258" t="str">
        <f>IFERROR(__xludf.DUMMYFUNCTION("""COMPUTED_VALUE"""),"GHP, GHP-PREPAID, TM, WIRELINE")</f>
        <v>GHP, GHP-PREPAID, TM, WIRELINE</v>
      </c>
      <c r="M804" s="258" t="str">
        <f>IFERROR(__xludf.DUMMYFUNCTION("""COMPUTED_VALUE"""),"Consumer, EG, SG, In house, IBG Traveler")</f>
        <v>Consumer, EG, SG, In house, IBG Traveler</v>
      </c>
      <c r="N804" s="258" t="str">
        <f>IFERROR(__xludf.DUMMYFUNCTION("""COMPUTED_VALUE"""),"usage")</f>
        <v>usage</v>
      </c>
      <c r="O804" s="258" t="str">
        <f>IFERROR(__xludf.DUMMYFUNCTION("""COMPUTED_VALUE"""),"adjustment_profile")</f>
        <v>adjustment_profile</v>
      </c>
      <c r="P804" s="258"/>
    </row>
    <row r="805">
      <c r="A805" s="257" t="str">
        <f>IFERROR(__xludf.DUMMYFUNCTION("""COMPUTED_VALUE"""),"reload_amount_past_mo1")</f>
        <v>reload_amount_past_mo1</v>
      </c>
      <c r="B805" s="258" t="str">
        <f>IFERROR(__xludf.DUMMYFUNCTION("""COMPUTED_VALUE"""),"Profitability")</f>
        <v>Profitability</v>
      </c>
      <c r="C805" s="258" t="str">
        <f>IFERROR(__xludf.DUMMYFUNCTION("""COMPUTED_VALUE"""),"Non-PII")</f>
        <v>Non-PII</v>
      </c>
      <c r="D805" s="258" t="str">
        <f>IFERROR(__xludf.DUMMYFUNCTION("""COMPUTED_VALUE"""),"Non-PII")</f>
        <v>Non-PII</v>
      </c>
      <c r="E805" s="258" t="str">
        <f>IFERROR(__xludf.DUMMYFUNCTION("""COMPUTED_VALUE"""),"Total reload amount for the past month")</f>
        <v>Total reload amount for the past month</v>
      </c>
      <c r="F805" s="258" t="str">
        <f>IFERROR(__xludf.DUMMYFUNCTION("""COMPUTED_VALUE"""),"Derived")</f>
        <v>Derived</v>
      </c>
      <c r="G805" s="258" t="str">
        <f>IFERROR(__xludf.DUMMYFUNCTION("""COMPUTED_VALUE"""),"numeric(21,2)")</f>
        <v>numeric(21,2)</v>
      </c>
      <c r="H805" s="258">
        <f>IFERROR(__xludf.DUMMYFUNCTION("""COMPUTED_VALUE"""),10.0)</f>
        <v>10</v>
      </c>
      <c r="I805" s="258" t="str">
        <f>IFERROR(__xludf.DUMMYFUNCTION("""COMPUTED_VALUE"""),"EDO-AA")</f>
        <v>EDO-AA</v>
      </c>
      <c r="J805" s="258" t="str">
        <f>IFERROR(__xludf.DUMMYFUNCTION("""COMPUTED_VALUE"""),"Monthly")</f>
        <v>Monthly</v>
      </c>
      <c r="K805" s="258" t="str">
        <f>IFERROR(__xludf.DUMMYFUNCTION("""COMPUTED_VALUE"""),"")</f>
        <v/>
      </c>
      <c r="L805" s="258" t="str">
        <f>IFERROR(__xludf.DUMMYFUNCTION("""COMPUTED_VALUE"""),"GHP-PREPAID, TM, PW")</f>
        <v>GHP-PREPAID, TM, PW</v>
      </c>
      <c r="M805" s="258" t="str">
        <f>IFERROR(__xludf.DUMMYFUNCTION("""COMPUTED_VALUE"""),"Consumer, EG, SG, IBG Traveler")</f>
        <v>Consumer, EG, SG, IBG Traveler</v>
      </c>
      <c r="N805" s="258" t="str">
        <f>IFERROR(__xludf.DUMMYFUNCTION("""COMPUTED_VALUE"""),"reload")</f>
        <v>reload</v>
      </c>
      <c r="O805" s="258" t="str">
        <f>IFERROR(__xludf.DUMMYFUNCTION("""COMPUTED_VALUE"""),"reload_profile")</f>
        <v>reload_profile</v>
      </c>
      <c r="P805" s="258"/>
    </row>
    <row r="806">
      <c r="A806" s="257" t="str">
        <f>IFERROR(__xludf.DUMMYFUNCTION("""COMPUTED_VALUE"""),"reload_amount_past_mo2")</f>
        <v>reload_amount_past_mo2</v>
      </c>
      <c r="B806" s="258" t="str">
        <f>IFERROR(__xludf.DUMMYFUNCTION("""COMPUTED_VALUE"""),"Profitability")</f>
        <v>Profitability</v>
      </c>
      <c r="C806" s="258" t="str">
        <f>IFERROR(__xludf.DUMMYFUNCTION("""COMPUTED_VALUE"""),"Non-PII")</f>
        <v>Non-PII</v>
      </c>
      <c r="D806" s="258" t="str">
        <f>IFERROR(__xludf.DUMMYFUNCTION("""COMPUTED_VALUE"""),"Non-PII")</f>
        <v>Non-PII</v>
      </c>
      <c r="E806" s="258" t="str">
        <f>IFERROR(__xludf.DUMMYFUNCTION("""COMPUTED_VALUE"""),"Total reload amount for the past second month")</f>
        <v>Total reload amount for the past second month</v>
      </c>
      <c r="F806" s="258" t="str">
        <f>IFERROR(__xludf.DUMMYFUNCTION("""COMPUTED_VALUE"""),"Derived")</f>
        <v>Derived</v>
      </c>
      <c r="G806" s="258" t="str">
        <f>IFERROR(__xludf.DUMMYFUNCTION("""COMPUTED_VALUE"""),"numeric(21,2)")</f>
        <v>numeric(21,2)</v>
      </c>
      <c r="H806" s="258">
        <f>IFERROR(__xludf.DUMMYFUNCTION("""COMPUTED_VALUE"""),20.0)</f>
        <v>20</v>
      </c>
      <c r="I806" s="258" t="str">
        <f>IFERROR(__xludf.DUMMYFUNCTION("""COMPUTED_VALUE"""),"EDO-AA")</f>
        <v>EDO-AA</v>
      </c>
      <c r="J806" s="258" t="str">
        <f>IFERROR(__xludf.DUMMYFUNCTION("""COMPUTED_VALUE"""),"Monthly")</f>
        <v>Monthly</v>
      </c>
      <c r="K806" s="258" t="str">
        <f>IFERROR(__xludf.DUMMYFUNCTION("""COMPUTED_VALUE"""),"")</f>
        <v/>
      </c>
      <c r="L806" s="258" t="str">
        <f>IFERROR(__xludf.DUMMYFUNCTION("""COMPUTED_VALUE"""),"GHP-PREPAID, TM, PW")</f>
        <v>GHP-PREPAID, TM, PW</v>
      </c>
      <c r="M806" s="258" t="str">
        <f>IFERROR(__xludf.DUMMYFUNCTION("""COMPUTED_VALUE"""),"Consumer, EG, SG, IBG Traveler")</f>
        <v>Consumer, EG, SG, IBG Traveler</v>
      </c>
      <c r="N806" s="258" t="str">
        <f>IFERROR(__xludf.DUMMYFUNCTION("""COMPUTED_VALUE"""),"reload")</f>
        <v>reload</v>
      </c>
      <c r="O806" s="258" t="str">
        <f>IFERROR(__xludf.DUMMYFUNCTION("""COMPUTED_VALUE"""),"reload_profile")</f>
        <v>reload_profile</v>
      </c>
      <c r="P806" s="258"/>
    </row>
    <row r="807">
      <c r="A807" s="257" t="str">
        <f>IFERROR(__xludf.DUMMYFUNCTION("""COMPUTED_VALUE"""),"reload_amount_past_mo3")</f>
        <v>reload_amount_past_mo3</v>
      </c>
      <c r="B807" s="258" t="str">
        <f>IFERROR(__xludf.DUMMYFUNCTION("""COMPUTED_VALUE"""),"Profitability")</f>
        <v>Profitability</v>
      </c>
      <c r="C807" s="258" t="str">
        <f>IFERROR(__xludf.DUMMYFUNCTION("""COMPUTED_VALUE"""),"Non-PII")</f>
        <v>Non-PII</v>
      </c>
      <c r="D807" s="258" t="str">
        <f>IFERROR(__xludf.DUMMYFUNCTION("""COMPUTED_VALUE"""),"Non-PII")</f>
        <v>Non-PII</v>
      </c>
      <c r="E807" s="258" t="str">
        <f>IFERROR(__xludf.DUMMYFUNCTION("""COMPUTED_VALUE"""),"Total reload amount for the past third month")</f>
        <v>Total reload amount for the past third month</v>
      </c>
      <c r="F807" s="258" t="str">
        <f>IFERROR(__xludf.DUMMYFUNCTION("""COMPUTED_VALUE"""),"Derived")</f>
        <v>Derived</v>
      </c>
      <c r="G807" s="258" t="str">
        <f>IFERROR(__xludf.DUMMYFUNCTION("""COMPUTED_VALUE"""),"numeric(21,2)")</f>
        <v>numeric(21,2)</v>
      </c>
      <c r="H807" s="258">
        <f>IFERROR(__xludf.DUMMYFUNCTION("""COMPUTED_VALUE"""),30.0)</f>
        <v>30</v>
      </c>
      <c r="I807" s="258" t="str">
        <f>IFERROR(__xludf.DUMMYFUNCTION("""COMPUTED_VALUE"""),"EDO-AA")</f>
        <v>EDO-AA</v>
      </c>
      <c r="J807" s="258" t="str">
        <f>IFERROR(__xludf.DUMMYFUNCTION("""COMPUTED_VALUE"""),"Monthly")</f>
        <v>Monthly</v>
      </c>
      <c r="K807" s="258" t="str">
        <f>IFERROR(__xludf.DUMMYFUNCTION("""COMPUTED_VALUE"""),"")</f>
        <v/>
      </c>
      <c r="L807" s="258" t="str">
        <f>IFERROR(__xludf.DUMMYFUNCTION("""COMPUTED_VALUE"""),"GHP-PREPAID, TM, PW")</f>
        <v>GHP-PREPAID, TM, PW</v>
      </c>
      <c r="M807" s="258" t="str">
        <f>IFERROR(__xludf.DUMMYFUNCTION("""COMPUTED_VALUE"""),"Consumer, EG, SG, IBG Traveler")</f>
        <v>Consumer, EG, SG, IBG Traveler</v>
      </c>
      <c r="N807" s="258" t="str">
        <f>IFERROR(__xludf.DUMMYFUNCTION("""COMPUTED_VALUE"""),"reload")</f>
        <v>reload</v>
      </c>
      <c r="O807" s="258" t="str">
        <f>IFERROR(__xludf.DUMMYFUNCTION("""COMPUTED_VALUE"""),"reload_profile")</f>
        <v>reload_profile</v>
      </c>
      <c r="P807" s="258"/>
    </row>
    <row r="808">
      <c r="A808" s="257" t="str">
        <f>IFERROR(__xludf.DUMMYFUNCTION("""COMPUTED_VALUE"""),"reload_amount_past_mo4")</f>
        <v>reload_amount_past_mo4</v>
      </c>
      <c r="B808" s="258" t="str">
        <f>IFERROR(__xludf.DUMMYFUNCTION("""COMPUTED_VALUE"""),"Profitability")</f>
        <v>Profitability</v>
      </c>
      <c r="C808" s="258" t="str">
        <f>IFERROR(__xludf.DUMMYFUNCTION("""COMPUTED_VALUE"""),"Non-PII")</f>
        <v>Non-PII</v>
      </c>
      <c r="D808" s="258" t="str">
        <f>IFERROR(__xludf.DUMMYFUNCTION("""COMPUTED_VALUE"""),"Non-PII")</f>
        <v>Non-PII</v>
      </c>
      <c r="E808" s="258" t="str">
        <f>IFERROR(__xludf.DUMMYFUNCTION("""COMPUTED_VALUE"""),"Total reload amount for the past fourth month")</f>
        <v>Total reload amount for the past fourth month</v>
      </c>
      <c r="F808" s="258" t="str">
        <f>IFERROR(__xludf.DUMMYFUNCTION("""COMPUTED_VALUE"""),"Derived")</f>
        <v>Derived</v>
      </c>
      <c r="G808" s="258" t="str">
        <f>IFERROR(__xludf.DUMMYFUNCTION("""COMPUTED_VALUE"""),"numeric(21,2)")</f>
        <v>numeric(21,2)</v>
      </c>
      <c r="H808" s="258">
        <f>IFERROR(__xludf.DUMMYFUNCTION("""COMPUTED_VALUE"""),40.0)</f>
        <v>40</v>
      </c>
      <c r="I808" s="258" t="str">
        <f>IFERROR(__xludf.DUMMYFUNCTION("""COMPUTED_VALUE"""),"EDO-AA")</f>
        <v>EDO-AA</v>
      </c>
      <c r="J808" s="258" t="str">
        <f>IFERROR(__xludf.DUMMYFUNCTION("""COMPUTED_VALUE"""),"Monthly")</f>
        <v>Monthly</v>
      </c>
      <c r="K808" s="258" t="str">
        <f>IFERROR(__xludf.DUMMYFUNCTION("""COMPUTED_VALUE"""),"")</f>
        <v/>
      </c>
      <c r="L808" s="258" t="str">
        <f>IFERROR(__xludf.DUMMYFUNCTION("""COMPUTED_VALUE"""),"GHP-PREPAID, TM, PW")</f>
        <v>GHP-PREPAID, TM, PW</v>
      </c>
      <c r="M808" s="258" t="str">
        <f>IFERROR(__xludf.DUMMYFUNCTION("""COMPUTED_VALUE"""),"Consumer, EG, SG, IBG Traveler")</f>
        <v>Consumer, EG, SG, IBG Traveler</v>
      </c>
      <c r="N808" s="258" t="str">
        <f>IFERROR(__xludf.DUMMYFUNCTION("""COMPUTED_VALUE"""),"reload")</f>
        <v>reload</v>
      </c>
      <c r="O808" s="258" t="str">
        <f>IFERROR(__xludf.DUMMYFUNCTION("""COMPUTED_VALUE"""),"reload_profile")</f>
        <v>reload_profile</v>
      </c>
      <c r="P808" s="258"/>
    </row>
    <row r="809">
      <c r="A809" s="257" t="str">
        <f>IFERROR(__xludf.DUMMYFUNCTION("""COMPUTED_VALUE"""),"reload_amount_past_mo5")</f>
        <v>reload_amount_past_mo5</v>
      </c>
      <c r="B809" s="258" t="str">
        <f>IFERROR(__xludf.DUMMYFUNCTION("""COMPUTED_VALUE"""),"Profitability")</f>
        <v>Profitability</v>
      </c>
      <c r="C809" s="258" t="str">
        <f>IFERROR(__xludf.DUMMYFUNCTION("""COMPUTED_VALUE"""),"Non-PII")</f>
        <v>Non-PII</v>
      </c>
      <c r="D809" s="258" t="str">
        <f>IFERROR(__xludf.DUMMYFUNCTION("""COMPUTED_VALUE"""),"Non-PII")</f>
        <v>Non-PII</v>
      </c>
      <c r="E809" s="258" t="str">
        <f>IFERROR(__xludf.DUMMYFUNCTION("""COMPUTED_VALUE"""),"Total reload amount for the past fifth month")</f>
        <v>Total reload amount for the past fifth month</v>
      </c>
      <c r="F809" s="258" t="str">
        <f>IFERROR(__xludf.DUMMYFUNCTION("""COMPUTED_VALUE"""),"Derived")</f>
        <v>Derived</v>
      </c>
      <c r="G809" s="258" t="str">
        <f>IFERROR(__xludf.DUMMYFUNCTION("""COMPUTED_VALUE"""),"numeric(21,2)")</f>
        <v>numeric(21,2)</v>
      </c>
      <c r="H809" s="258">
        <f>IFERROR(__xludf.DUMMYFUNCTION("""COMPUTED_VALUE"""),50.0)</f>
        <v>50</v>
      </c>
      <c r="I809" s="258" t="str">
        <f>IFERROR(__xludf.DUMMYFUNCTION("""COMPUTED_VALUE"""),"EDO-AA")</f>
        <v>EDO-AA</v>
      </c>
      <c r="J809" s="258" t="str">
        <f>IFERROR(__xludf.DUMMYFUNCTION("""COMPUTED_VALUE"""),"Monthly")</f>
        <v>Monthly</v>
      </c>
      <c r="K809" s="258" t="str">
        <f>IFERROR(__xludf.DUMMYFUNCTION("""COMPUTED_VALUE"""),"")</f>
        <v/>
      </c>
      <c r="L809" s="258" t="str">
        <f>IFERROR(__xludf.DUMMYFUNCTION("""COMPUTED_VALUE"""),"GHP-PREPAID, TM, PW")</f>
        <v>GHP-PREPAID, TM, PW</v>
      </c>
      <c r="M809" s="258" t="str">
        <f>IFERROR(__xludf.DUMMYFUNCTION("""COMPUTED_VALUE"""),"Consumer, EG, SG, IBG Traveler")</f>
        <v>Consumer, EG, SG, IBG Traveler</v>
      </c>
      <c r="N809" s="258" t="str">
        <f>IFERROR(__xludf.DUMMYFUNCTION("""COMPUTED_VALUE"""),"reload")</f>
        <v>reload</v>
      </c>
      <c r="O809" s="258" t="str">
        <f>IFERROR(__xludf.DUMMYFUNCTION("""COMPUTED_VALUE"""),"reload_profile")</f>
        <v>reload_profile</v>
      </c>
      <c r="P809" s="258"/>
    </row>
    <row r="810">
      <c r="A810" s="257" t="str">
        <f>IFERROR(__xludf.DUMMYFUNCTION("""COMPUTED_VALUE"""),"reload_amount_past_mo6")</f>
        <v>reload_amount_past_mo6</v>
      </c>
      <c r="B810" s="258" t="str">
        <f>IFERROR(__xludf.DUMMYFUNCTION("""COMPUTED_VALUE"""),"Profitability")</f>
        <v>Profitability</v>
      </c>
      <c r="C810" s="258" t="str">
        <f>IFERROR(__xludf.DUMMYFUNCTION("""COMPUTED_VALUE"""),"Non-PII")</f>
        <v>Non-PII</v>
      </c>
      <c r="D810" s="258" t="str">
        <f>IFERROR(__xludf.DUMMYFUNCTION("""COMPUTED_VALUE"""),"Non-PII")</f>
        <v>Non-PII</v>
      </c>
      <c r="E810" s="258" t="str">
        <f>IFERROR(__xludf.DUMMYFUNCTION("""COMPUTED_VALUE"""),"Total reload amount for the past sixth month")</f>
        <v>Total reload amount for the past sixth month</v>
      </c>
      <c r="F810" s="258" t="str">
        <f>IFERROR(__xludf.DUMMYFUNCTION("""COMPUTED_VALUE"""),"Derived")</f>
        <v>Derived</v>
      </c>
      <c r="G810" s="258" t="str">
        <f>IFERROR(__xludf.DUMMYFUNCTION("""COMPUTED_VALUE"""),"numeric(21,2)")</f>
        <v>numeric(21,2)</v>
      </c>
      <c r="H810" s="258">
        <f>IFERROR(__xludf.DUMMYFUNCTION("""COMPUTED_VALUE"""),60.0)</f>
        <v>60</v>
      </c>
      <c r="I810" s="258" t="str">
        <f>IFERROR(__xludf.DUMMYFUNCTION("""COMPUTED_VALUE"""),"EDO-AA")</f>
        <v>EDO-AA</v>
      </c>
      <c r="J810" s="258" t="str">
        <f>IFERROR(__xludf.DUMMYFUNCTION("""COMPUTED_VALUE"""),"Monthly")</f>
        <v>Monthly</v>
      </c>
      <c r="K810" s="258" t="str">
        <f>IFERROR(__xludf.DUMMYFUNCTION("""COMPUTED_VALUE"""),"")</f>
        <v/>
      </c>
      <c r="L810" s="258" t="str">
        <f>IFERROR(__xludf.DUMMYFUNCTION("""COMPUTED_VALUE"""),"GHP-PREPAID, TM, PW")</f>
        <v>GHP-PREPAID, TM, PW</v>
      </c>
      <c r="M810" s="258" t="str">
        <f>IFERROR(__xludf.DUMMYFUNCTION("""COMPUTED_VALUE"""),"Consumer, EG, SG, IBG Traveler")</f>
        <v>Consumer, EG, SG, IBG Traveler</v>
      </c>
      <c r="N810" s="258" t="str">
        <f>IFERROR(__xludf.DUMMYFUNCTION("""COMPUTED_VALUE"""),"reload")</f>
        <v>reload</v>
      </c>
      <c r="O810" s="258" t="str">
        <f>IFERROR(__xludf.DUMMYFUNCTION("""COMPUTED_VALUE"""),"reload_profile")</f>
        <v>reload_profile</v>
      </c>
      <c r="P810" s="258"/>
    </row>
    <row r="811">
      <c r="A811" s="257" t="str">
        <f>IFERROR(__xludf.DUMMYFUNCTION("""COMPUTED_VALUE"""),"reload_amount_past_mo7")</f>
        <v>reload_amount_past_mo7</v>
      </c>
      <c r="B811" s="258" t="str">
        <f>IFERROR(__xludf.DUMMYFUNCTION("""COMPUTED_VALUE"""),"Profitability")</f>
        <v>Profitability</v>
      </c>
      <c r="C811" s="258" t="str">
        <f>IFERROR(__xludf.DUMMYFUNCTION("""COMPUTED_VALUE"""),"Non-PII")</f>
        <v>Non-PII</v>
      </c>
      <c r="D811" s="258" t="str">
        <f>IFERROR(__xludf.DUMMYFUNCTION("""COMPUTED_VALUE"""),"Non-PII")</f>
        <v>Non-PII</v>
      </c>
      <c r="E811" s="258" t="str">
        <f>IFERROR(__xludf.DUMMYFUNCTION("""COMPUTED_VALUE"""),"Total reload amount for the past seventh month")</f>
        <v>Total reload amount for the past seventh month</v>
      </c>
      <c r="F811" s="258" t="str">
        <f>IFERROR(__xludf.DUMMYFUNCTION("""COMPUTED_VALUE"""),"Derived")</f>
        <v>Derived</v>
      </c>
      <c r="G811" s="258" t="str">
        <f>IFERROR(__xludf.DUMMYFUNCTION("""COMPUTED_VALUE"""),"numeric(21,2)")</f>
        <v>numeric(21,2)</v>
      </c>
      <c r="H811" s="258">
        <f>IFERROR(__xludf.DUMMYFUNCTION("""COMPUTED_VALUE"""),70.0)</f>
        <v>70</v>
      </c>
      <c r="I811" s="258" t="str">
        <f>IFERROR(__xludf.DUMMYFUNCTION("""COMPUTED_VALUE"""),"EDO-AA")</f>
        <v>EDO-AA</v>
      </c>
      <c r="J811" s="258" t="str">
        <f>IFERROR(__xludf.DUMMYFUNCTION("""COMPUTED_VALUE"""),"Monthly")</f>
        <v>Monthly</v>
      </c>
      <c r="K811" s="258" t="str">
        <f>IFERROR(__xludf.DUMMYFUNCTION("""COMPUTED_VALUE"""),"")</f>
        <v/>
      </c>
      <c r="L811" s="258" t="str">
        <f>IFERROR(__xludf.DUMMYFUNCTION("""COMPUTED_VALUE"""),"GHP-PREPAID, TM, PW")</f>
        <v>GHP-PREPAID, TM, PW</v>
      </c>
      <c r="M811" s="258" t="str">
        <f>IFERROR(__xludf.DUMMYFUNCTION("""COMPUTED_VALUE"""),"Consumer, EG, SG, IBG Traveler")</f>
        <v>Consumer, EG, SG, IBG Traveler</v>
      </c>
      <c r="N811" s="258" t="str">
        <f>IFERROR(__xludf.DUMMYFUNCTION("""COMPUTED_VALUE"""),"reload")</f>
        <v>reload</v>
      </c>
      <c r="O811" s="258" t="str">
        <f>IFERROR(__xludf.DUMMYFUNCTION("""COMPUTED_VALUE"""),"reload_profile")</f>
        <v>reload_profile</v>
      </c>
      <c r="P811" s="258"/>
    </row>
    <row r="812">
      <c r="A812" s="257" t="str">
        <f>IFERROR(__xludf.DUMMYFUNCTION("""COMPUTED_VALUE"""),"reload_amount_past_mo8")</f>
        <v>reload_amount_past_mo8</v>
      </c>
      <c r="B812" s="258" t="str">
        <f>IFERROR(__xludf.DUMMYFUNCTION("""COMPUTED_VALUE"""),"Profitability")</f>
        <v>Profitability</v>
      </c>
      <c r="C812" s="258" t="str">
        <f>IFERROR(__xludf.DUMMYFUNCTION("""COMPUTED_VALUE"""),"Non-PII")</f>
        <v>Non-PII</v>
      </c>
      <c r="D812" s="258" t="str">
        <f>IFERROR(__xludf.DUMMYFUNCTION("""COMPUTED_VALUE"""),"Non-PII")</f>
        <v>Non-PII</v>
      </c>
      <c r="E812" s="258" t="str">
        <f>IFERROR(__xludf.DUMMYFUNCTION("""COMPUTED_VALUE"""),"Total reload amount for the past eighth month")</f>
        <v>Total reload amount for the past eighth month</v>
      </c>
      <c r="F812" s="258" t="str">
        <f>IFERROR(__xludf.DUMMYFUNCTION("""COMPUTED_VALUE"""),"Derived")</f>
        <v>Derived</v>
      </c>
      <c r="G812" s="258" t="str">
        <f>IFERROR(__xludf.DUMMYFUNCTION("""COMPUTED_VALUE"""),"numeric(21,2)")</f>
        <v>numeric(21,2)</v>
      </c>
      <c r="H812" s="258">
        <f>IFERROR(__xludf.DUMMYFUNCTION("""COMPUTED_VALUE"""),80.0)</f>
        <v>80</v>
      </c>
      <c r="I812" s="258" t="str">
        <f>IFERROR(__xludf.DUMMYFUNCTION("""COMPUTED_VALUE"""),"EDO-AA")</f>
        <v>EDO-AA</v>
      </c>
      <c r="J812" s="258" t="str">
        <f>IFERROR(__xludf.DUMMYFUNCTION("""COMPUTED_VALUE"""),"Monthly")</f>
        <v>Monthly</v>
      </c>
      <c r="K812" s="258" t="str">
        <f>IFERROR(__xludf.DUMMYFUNCTION("""COMPUTED_VALUE"""),"")</f>
        <v/>
      </c>
      <c r="L812" s="258" t="str">
        <f>IFERROR(__xludf.DUMMYFUNCTION("""COMPUTED_VALUE"""),"GHP-PREPAID, TM, PW")</f>
        <v>GHP-PREPAID, TM, PW</v>
      </c>
      <c r="M812" s="258" t="str">
        <f>IFERROR(__xludf.DUMMYFUNCTION("""COMPUTED_VALUE"""),"Consumer, EG, SG, IBG Traveler")</f>
        <v>Consumer, EG, SG, IBG Traveler</v>
      </c>
      <c r="N812" s="258" t="str">
        <f>IFERROR(__xludf.DUMMYFUNCTION("""COMPUTED_VALUE"""),"reload")</f>
        <v>reload</v>
      </c>
      <c r="O812" s="258" t="str">
        <f>IFERROR(__xludf.DUMMYFUNCTION("""COMPUTED_VALUE"""),"reload_profile")</f>
        <v>reload_profile</v>
      </c>
      <c r="P812" s="258"/>
    </row>
    <row r="813">
      <c r="A813" s="257" t="str">
        <f>IFERROR(__xludf.DUMMYFUNCTION("""COMPUTED_VALUE"""),"reload_amount_past_mo9")</f>
        <v>reload_amount_past_mo9</v>
      </c>
      <c r="B813" s="258" t="str">
        <f>IFERROR(__xludf.DUMMYFUNCTION("""COMPUTED_VALUE"""),"Profitability")</f>
        <v>Profitability</v>
      </c>
      <c r="C813" s="258" t="str">
        <f>IFERROR(__xludf.DUMMYFUNCTION("""COMPUTED_VALUE"""),"Non-PII")</f>
        <v>Non-PII</v>
      </c>
      <c r="D813" s="258" t="str">
        <f>IFERROR(__xludf.DUMMYFUNCTION("""COMPUTED_VALUE"""),"Non-PII")</f>
        <v>Non-PII</v>
      </c>
      <c r="E813" s="258" t="str">
        <f>IFERROR(__xludf.DUMMYFUNCTION("""COMPUTED_VALUE"""),"Total reload amount for the past ninth month")</f>
        <v>Total reload amount for the past ninth month</v>
      </c>
      <c r="F813" s="258" t="str">
        <f>IFERROR(__xludf.DUMMYFUNCTION("""COMPUTED_VALUE"""),"Derived")</f>
        <v>Derived</v>
      </c>
      <c r="G813" s="258" t="str">
        <f>IFERROR(__xludf.DUMMYFUNCTION("""COMPUTED_VALUE"""),"numeric(21,2)")</f>
        <v>numeric(21,2)</v>
      </c>
      <c r="H813" s="258">
        <f>IFERROR(__xludf.DUMMYFUNCTION("""COMPUTED_VALUE"""),90.0)</f>
        <v>90</v>
      </c>
      <c r="I813" s="258" t="str">
        <f>IFERROR(__xludf.DUMMYFUNCTION("""COMPUTED_VALUE"""),"EDO-AA")</f>
        <v>EDO-AA</v>
      </c>
      <c r="J813" s="258" t="str">
        <f>IFERROR(__xludf.DUMMYFUNCTION("""COMPUTED_VALUE"""),"Monthly")</f>
        <v>Monthly</v>
      </c>
      <c r="K813" s="258" t="str">
        <f>IFERROR(__xludf.DUMMYFUNCTION("""COMPUTED_VALUE"""),"")</f>
        <v/>
      </c>
      <c r="L813" s="258" t="str">
        <f>IFERROR(__xludf.DUMMYFUNCTION("""COMPUTED_VALUE"""),"GHP-PREPAID, TM, PW")</f>
        <v>GHP-PREPAID, TM, PW</v>
      </c>
      <c r="M813" s="258" t="str">
        <f>IFERROR(__xludf.DUMMYFUNCTION("""COMPUTED_VALUE"""),"Consumer, EG, SG, IBG Traveler")</f>
        <v>Consumer, EG, SG, IBG Traveler</v>
      </c>
      <c r="N813" s="258" t="str">
        <f>IFERROR(__xludf.DUMMYFUNCTION("""COMPUTED_VALUE"""),"reload")</f>
        <v>reload</v>
      </c>
      <c r="O813" s="258" t="str">
        <f>IFERROR(__xludf.DUMMYFUNCTION("""COMPUTED_VALUE"""),"reload_profile")</f>
        <v>reload_profile</v>
      </c>
      <c r="P813" s="258"/>
    </row>
    <row r="814">
      <c r="A814" s="257" t="str">
        <f>IFERROR(__xludf.DUMMYFUNCTION("""COMPUTED_VALUE"""),"reload_amount_past_mo10")</f>
        <v>reload_amount_past_mo10</v>
      </c>
      <c r="B814" s="258" t="str">
        <f>IFERROR(__xludf.DUMMYFUNCTION("""COMPUTED_VALUE"""),"Profitability")</f>
        <v>Profitability</v>
      </c>
      <c r="C814" s="258" t="str">
        <f>IFERROR(__xludf.DUMMYFUNCTION("""COMPUTED_VALUE"""),"Non-PII")</f>
        <v>Non-PII</v>
      </c>
      <c r="D814" s="258" t="str">
        <f>IFERROR(__xludf.DUMMYFUNCTION("""COMPUTED_VALUE"""),"Non-PII")</f>
        <v>Non-PII</v>
      </c>
      <c r="E814" s="258" t="str">
        <f>IFERROR(__xludf.DUMMYFUNCTION("""COMPUTED_VALUE"""),"Total reload amount for the past tenth month")</f>
        <v>Total reload amount for the past tenth month</v>
      </c>
      <c r="F814" s="258" t="str">
        <f>IFERROR(__xludf.DUMMYFUNCTION("""COMPUTED_VALUE"""),"Derived")</f>
        <v>Derived</v>
      </c>
      <c r="G814" s="258" t="str">
        <f>IFERROR(__xludf.DUMMYFUNCTION("""COMPUTED_VALUE"""),"numeric(21,2)")</f>
        <v>numeric(21,2)</v>
      </c>
      <c r="H814" s="258">
        <f>IFERROR(__xludf.DUMMYFUNCTION("""COMPUTED_VALUE"""),100.0)</f>
        <v>100</v>
      </c>
      <c r="I814" s="258" t="str">
        <f>IFERROR(__xludf.DUMMYFUNCTION("""COMPUTED_VALUE"""),"EDO-AA")</f>
        <v>EDO-AA</v>
      </c>
      <c r="J814" s="258" t="str">
        <f>IFERROR(__xludf.DUMMYFUNCTION("""COMPUTED_VALUE"""),"Monthly")</f>
        <v>Monthly</v>
      </c>
      <c r="K814" s="258" t="str">
        <f>IFERROR(__xludf.DUMMYFUNCTION("""COMPUTED_VALUE"""),"")</f>
        <v/>
      </c>
      <c r="L814" s="258" t="str">
        <f>IFERROR(__xludf.DUMMYFUNCTION("""COMPUTED_VALUE"""),"GHP-PREPAID, TM, PW")</f>
        <v>GHP-PREPAID, TM, PW</v>
      </c>
      <c r="M814" s="258" t="str">
        <f>IFERROR(__xludf.DUMMYFUNCTION("""COMPUTED_VALUE"""),"Consumer, EG, SG, IBG Traveler")</f>
        <v>Consumer, EG, SG, IBG Traveler</v>
      </c>
      <c r="N814" s="258" t="str">
        <f>IFERROR(__xludf.DUMMYFUNCTION("""COMPUTED_VALUE"""),"reload")</f>
        <v>reload</v>
      </c>
      <c r="O814" s="258" t="str">
        <f>IFERROR(__xludf.DUMMYFUNCTION("""COMPUTED_VALUE"""),"reload_profile")</f>
        <v>reload_profile</v>
      </c>
      <c r="P814" s="258"/>
    </row>
    <row r="815">
      <c r="A815" s="257" t="str">
        <f>IFERROR(__xludf.DUMMYFUNCTION("""COMPUTED_VALUE"""),"reload_amount_past_mo11")</f>
        <v>reload_amount_past_mo11</v>
      </c>
      <c r="B815" s="258" t="str">
        <f>IFERROR(__xludf.DUMMYFUNCTION("""COMPUTED_VALUE"""),"Profitability")</f>
        <v>Profitability</v>
      </c>
      <c r="C815" s="258" t="str">
        <f>IFERROR(__xludf.DUMMYFUNCTION("""COMPUTED_VALUE"""),"Non-PII")</f>
        <v>Non-PII</v>
      </c>
      <c r="D815" s="258" t="str">
        <f>IFERROR(__xludf.DUMMYFUNCTION("""COMPUTED_VALUE"""),"Non-PII")</f>
        <v>Non-PII</v>
      </c>
      <c r="E815" s="258" t="str">
        <f>IFERROR(__xludf.DUMMYFUNCTION("""COMPUTED_VALUE"""),"Total reload amount for the past eleventh month")</f>
        <v>Total reload amount for the past eleventh month</v>
      </c>
      <c r="F815" s="258" t="str">
        <f>IFERROR(__xludf.DUMMYFUNCTION("""COMPUTED_VALUE"""),"Derived")</f>
        <v>Derived</v>
      </c>
      <c r="G815" s="258" t="str">
        <f>IFERROR(__xludf.DUMMYFUNCTION("""COMPUTED_VALUE"""),"numeric(21,2)")</f>
        <v>numeric(21,2)</v>
      </c>
      <c r="H815" s="258">
        <f>IFERROR(__xludf.DUMMYFUNCTION("""COMPUTED_VALUE"""),110.0)</f>
        <v>110</v>
      </c>
      <c r="I815" s="258" t="str">
        <f>IFERROR(__xludf.DUMMYFUNCTION("""COMPUTED_VALUE"""),"EDO-AA")</f>
        <v>EDO-AA</v>
      </c>
      <c r="J815" s="258" t="str">
        <f>IFERROR(__xludf.DUMMYFUNCTION("""COMPUTED_VALUE"""),"Monthly")</f>
        <v>Monthly</v>
      </c>
      <c r="K815" s="258" t="str">
        <f>IFERROR(__xludf.DUMMYFUNCTION("""COMPUTED_VALUE"""),"")</f>
        <v/>
      </c>
      <c r="L815" s="258" t="str">
        <f>IFERROR(__xludf.DUMMYFUNCTION("""COMPUTED_VALUE"""),"GHP-PREPAID, TM, PW")</f>
        <v>GHP-PREPAID, TM, PW</v>
      </c>
      <c r="M815" s="258" t="str">
        <f>IFERROR(__xludf.DUMMYFUNCTION("""COMPUTED_VALUE"""),"Consumer, EG, SG, IBG Traveler")</f>
        <v>Consumer, EG, SG, IBG Traveler</v>
      </c>
      <c r="N815" s="258" t="str">
        <f>IFERROR(__xludf.DUMMYFUNCTION("""COMPUTED_VALUE"""),"reload")</f>
        <v>reload</v>
      </c>
      <c r="O815" s="258" t="str">
        <f>IFERROR(__xludf.DUMMYFUNCTION("""COMPUTED_VALUE"""),"reload_profile")</f>
        <v>reload_profile</v>
      </c>
      <c r="P815" s="258"/>
    </row>
    <row r="816">
      <c r="A816" s="257" t="str">
        <f>IFERROR(__xludf.DUMMYFUNCTION("""COMPUTED_VALUE"""),"reload_amount_past_mo12")</f>
        <v>reload_amount_past_mo12</v>
      </c>
      <c r="B816" s="258" t="str">
        <f>IFERROR(__xludf.DUMMYFUNCTION("""COMPUTED_VALUE"""),"Profitability")</f>
        <v>Profitability</v>
      </c>
      <c r="C816" s="258" t="str">
        <f>IFERROR(__xludf.DUMMYFUNCTION("""COMPUTED_VALUE"""),"Non-PII")</f>
        <v>Non-PII</v>
      </c>
      <c r="D816" s="258" t="str">
        <f>IFERROR(__xludf.DUMMYFUNCTION("""COMPUTED_VALUE"""),"Non-PII")</f>
        <v>Non-PII</v>
      </c>
      <c r="E816" s="258" t="str">
        <f>IFERROR(__xludf.DUMMYFUNCTION("""COMPUTED_VALUE"""),"Total reload amount for the past twelfth month")</f>
        <v>Total reload amount for the past twelfth month</v>
      </c>
      <c r="F816" s="258" t="str">
        <f>IFERROR(__xludf.DUMMYFUNCTION("""COMPUTED_VALUE"""),"Derived")</f>
        <v>Derived</v>
      </c>
      <c r="G816" s="258" t="str">
        <f>IFERROR(__xludf.DUMMYFUNCTION("""COMPUTED_VALUE"""),"numeric(21,2)")</f>
        <v>numeric(21,2)</v>
      </c>
      <c r="H816" s="258">
        <f>IFERROR(__xludf.DUMMYFUNCTION("""COMPUTED_VALUE"""),120.0)</f>
        <v>120</v>
      </c>
      <c r="I816" s="258" t="str">
        <f>IFERROR(__xludf.DUMMYFUNCTION("""COMPUTED_VALUE"""),"EDO-AA")</f>
        <v>EDO-AA</v>
      </c>
      <c r="J816" s="258" t="str">
        <f>IFERROR(__xludf.DUMMYFUNCTION("""COMPUTED_VALUE"""),"Monthly")</f>
        <v>Monthly</v>
      </c>
      <c r="K816" s="258" t="str">
        <f>IFERROR(__xludf.DUMMYFUNCTION("""COMPUTED_VALUE"""),"")</f>
        <v/>
      </c>
      <c r="L816" s="258" t="str">
        <f>IFERROR(__xludf.DUMMYFUNCTION("""COMPUTED_VALUE"""),"GHP-PREPAID, TM, PW")</f>
        <v>GHP-PREPAID, TM, PW</v>
      </c>
      <c r="M816" s="258" t="str">
        <f>IFERROR(__xludf.DUMMYFUNCTION("""COMPUTED_VALUE"""),"Consumer, EG, SG, IBG Traveler")</f>
        <v>Consumer, EG, SG, IBG Traveler</v>
      </c>
      <c r="N816" s="258" t="str">
        <f>IFERROR(__xludf.DUMMYFUNCTION("""COMPUTED_VALUE"""),"reload")</f>
        <v>reload</v>
      </c>
      <c r="O816" s="258" t="str">
        <f>IFERROR(__xludf.DUMMYFUNCTION("""COMPUTED_VALUE"""),"reload_profile")</f>
        <v>reload_profile</v>
      </c>
      <c r="P816" s="258"/>
    </row>
    <row r="817">
      <c r="A817" s="257" t="str">
        <f>IFERROR(__xludf.DUMMYFUNCTION("""COMPUTED_VALUE"""),"interaction_top_desc_30days")</f>
        <v>interaction_top_desc_30days</v>
      </c>
      <c r="B817" s="258" t="str">
        <f>IFERROR(__xludf.DUMMYFUNCTION("""COMPUTED_VALUE"""),"Globe ID")</f>
        <v>Globe ID</v>
      </c>
      <c r="C817" s="258" t="str">
        <f>IFERROR(__xludf.DUMMYFUNCTION("""COMPUTED_VALUE"""),"Non-PII")</f>
        <v>Non-PII</v>
      </c>
      <c r="D817" s="258" t="str">
        <f>IFERROR(__xludf.DUMMYFUNCTION("""COMPUTED_VALUE"""),"Non-PII")</f>
        <v>Non-PII</v>
      </c>
      <c r="E817" s="258" t="str">
        <f>IFERROR(__xludf.DUMMYFUNCTION("""COMPUTED_VALUE"""),"Channel with the top number of interactions between the subscriber and the CSR for the past 30 days")</f>
        <v>Channel with the top number of interactions between the subscriber and the CSR for the past 30 days</v>
      </c>
      <c r="F817" s="258" t="str">
        <f>IFERROR(__xludf.DUMMYFUNCTION("""COMPUTED_VALUE"""),"Derived")</f>
        <v>Derived</v>
      </c>
      <c r="G817" s="258" t="str">
        <f>IFERROR(__xludf.DUMMYFUNCTION("""COMPUTED_VALUE"""),"varchar(1000)")</f>
        <v>varchar(1000)</v>
      </c>
      <c r="H817" s="258" t="str">
        <f>IFERROR(__xludf.DUMMYFUNCTION("""COMPUTED_VALUE"""),"ACCOUNT DETAILS")</f>
        <v>ACCOUNT DETAILS</v>
      </c>
      <c r="I817" s="258" t="str">
        <f>IFERROR(__xludf.DUMMYFUNCTION("""COMPUTED_VALUE"""),"EDO-UUP")</f>
        <v>EDO-UUP</v>
      </c>
      <c r="J817" s="258" t="str">
        <f>IFERROR(__xludf.DUMMYFUNCTION("""COMPUTED_VALUE"""),"Daily")</f>
        <v>Daily</v>
      </c>
      <c r="K817" s="258" t="str">
        <f>IFERROR(__xludf.DUMMYFUNCTION("""COMPUTED_VALUE"""),"")</f>
        <v/>
      </c>
      <c r="L817" s="258" t="str">
        <f>IFERROR(__xludf.DUMMYFUNCTION("""COMPUTED_VALUE"""),"GHP, GHP-PREPAID, TM, PW, WIRELINE, BAYAN, GLOBE")</f>
        <v>GHP, GHP-PREPAID, TM, PW, WIRELINE, BAYAN, GLOBE</v>
      </c>
      <c r="M817" s="258" t="str">
        <f>IFERROR(__xludf.DUMMYFUNCTION("""COMPUTED_VALUE"""),"Consumer, EG, SG, In house, IBG Traveler")</f>
        <v>Consumer, EG, SG, In house, IBG Traveler</v>
      </c>
      <c r="N817" s="258" t="str">
        <f>IFERROR(__xludf.DUMMYFUNCTION("""COMPUTED_VALUE"""),"customer_service")</f>
        <v>customer_service</v>
      </c>
      <c r="O817" s="258" t="str">
        <f>IFERROR(__xludf.DUMMYFUNCTION("""COMPUTED_VALUE"""),"customer_service_profile")</f>
        <v>customer_service_profile</v>
      </c>
      <c r="P817" s="258"/>
    </row>
    <row r="818">
      <c r="A818" s="257" t="str">
        <f>IFERROR(__xludf.DUMMYFUNCTION("""COMPUTED_VALUE"""),"interaction_top_desc_count_30days")</f>
        <v>interaction_top_desc_count_30days</v>
      </c>
      <c r="B818" s="258" t="str">
        <f>IFERROR(__xludf.DUMMYFUNCTION("""COMPUTED_VALUE"""),"Behavioral")</f>
        <v>Behavioral</v>
      </c>
      <c r="C818" s="258" t="str">
        <f>IFERROR(__xludf.DUMMYFUNCTION("""COMPUTED_VALUE"""),"Non-PII")</f>
        <v>Non-PII</v>
      </c>
      <c r="D818" s="258" t="str">
        <f>IFERROR(__xludf.DUMMYFUNCTION("""COMPUTED_VALUE"""),"Non-PII")</f>
        <v>Non-PII</v>
      </c>
      <c r="E818" s="258" t="str">
        <f>IFERROR(__xludf.DUMMYFUNCTION("""COMPUTED_VALUE"""),"Channel with the top number of interactions between the subscriber and the CSR for the past 30 days")</f>
        <v>Channel with the top number of interactions between the subscriber and the CSR for the past 30 days</v>
      </c>
      <c r="F818" s="258" t="str">
        <f>IFERROR(__xludf.DUMMYFUNCTION("""COMPUTED_VALUE"""),"Derived")</f>
        <v>Derived</v>
      </c>
      <c r="G818" s="258" t="str">
        <f>IFERROR(__xludf.DUMMYFUNCTION("""COMPUTED_VALUE"""),"integer")</f>
        <v>integer</v>
      </c>
      <c r="H818" s="258">
        <f>IFERROR(__xludf.DUMMYFUNCTION("""COMPUTED_VALUE"""),1.0)</f>
        <v>1</v>
      </c>
      <c r="I818" s="258" t="str">
        <f>IFERROR(__xludf.DUMMYFUNCTION("""COMPUTED_VALUE"""),"EDO-UUP")</f>
        <v>EDO-UUP</v>
      </c>
      <c r="J818" s="258" t="str">
        <f>IFERROR(__xludf.DUMMYFUNCTION("""COMPUTED_VALUE"""),"Daily")</f>
        <v>Daily</v>
      </c>
      <c r="K818" s="258" t="str">
        <f>IFERROR(__xludf.DUMMYFUNCTION("""COMPUTED_VALUE"""),"")</f>
        <v/>
      </c>
      <c r="L818" s="258" t="str">
        <f>IFERROR(__xludf.DUMMYFUNCTION("""COMPUTED_VALUE"""),"GHP, GHP-PREPAID, TM, PW, WIRELINE, BAYAN, GLOBE")</f>
        <v>GHP, GHP-PREPAID, TM, PW, WIRELINE, BAYAN, GLOBE</v>
      </c>
      <c r="M818" s="258" t="str">
        <f>IFERROR(__xludf.DUMMYFUNCTION("""COMPUTED_VALUE"""),"Consumer, EG, SG, In house, IBG Traveler")</f>
        <v>Consumer, EG, SG, In house, IBG Traveler</v>
      </c>
      <c r="N818" s="258" t="str">
        <f>IFERROR(__xludf.DUMMYFUNCTION("""COMPUTED_VALUE"""),"customer_service")</f>
        <v>customer_service</v>
      </c>
      <c r="O818" s="258" t="str">
        <f>IFERROR(__xludf.DUMMYFUNCTION("""COMPUTED_VALUE"""),"customer_service_profile")</f>
        <v>customer_service_profile</v>
      </c>
      <c r="P818" s="258"/>
    </row>
    <row r="819">
      <c r="A819" s="257" t="str">
        <f>IFERROR(__xludf.DUMMYFUNCTION("""COMPUTED_VALUE"""),"top_data_cell_site_capability")</f>
        <v>top_data_cell_site_capability</v>
      </c>
      <c r="B819" s="258" t="str">
        <f>IFERROR(__xludf.DUMMYFUNCTION("""COMPUTED_VALUE"""),"Globe ID")</f>
        <v>Globe ID</v>
      </c>
      <c r="C819" s="258" t="str">
        <f>IFERROR(__xludf.DUMMYFUNCTION("""COMPUTED_VALUE"""),"Non-PII")</f>
        <v>Non-PII</v>
      </c>
      <c r="D819" s="258" t="str">
        <f>IFERROR(__xludf.DUMMYFUNCTION("""COMPUTED_VALUE"""),"Non-PII")</f>
        <v>Non-PII</v>
      </c>
      <c r="E819" s="258" t="str">
        <f>IFERROR(__xludf.DUMMYFUNCTION("""COMPUTED_VALUE"""),"Capability of the top cell site where the subscriber's data usages usually latch for the previous month.")</f>
        <v>Capability of the top cell site where the subscriber's data usages usually latch for the previous month.</v>
      </c>
      <c r="F819" s="258" t="str">
        <f>IFERROR(__xludf.DUMMYFUNCTION("""COMPUTED_VALUE"""),"Derived")</f>
        <v>Derived</v>
      </c>
      <c r="G819" s="258" t="str">
        <f>IFERROR(__xludf.DUMMYFUNCTION("""COMPUTED_VALUE"""),"varchar(1000)")</f>
        <v>varchar(1000)</v>
      </c>
      <c r="H819" s="258" t="str">
        <f>IFERROR(__xludf.DUMMYFUNCTION("""COMPUTED_VALUE"""),"5G")</f>
        <v>5G</v>
      </c>
      <c r="I819" s="258" t="str">
        <f>IFERROR(__xludf.DUMMYFUNCTION("""COMPUTED_VALUE"""),"MSH FVT")</f>
        <v>MSH FVT</v>
      </c>
      <c r="J819" s="258" t="str">
        <f>IFERROR(__xludf.DUMMYFUNCTION("""COMPUTED_VALUE"""),"Monthly")</f>
        <v>Monthly</v>
      </c>
      <c r="K819" s="258" t="str">
        <f>IFERROR(__xludf.DUMMYFUNCTION("""COMPUTED_VALUE"""),"")</f>
        <v/>
      </c>
      <c r="L819" s="258" t="str">
        <f>IFERROR(__xludf.DUMMYFUNCTION("""COMPUTED_VALUE"""),"GHP, GHP-PREPAID, TM, PW, GOMO, WIRELINE")</f>
        <v>GHP, GHP-PREPAID, TM, PW, GOMO, WIRELINE</v>
      </c>
      <c r="M819" s="258" t="str">
        <f>IFERROR(__xludf.DUMMYFUNCTION("""COMPUTED_VALUE"""),"Consumer, EG, SG, In house, IBG Traveler")</f>
        <v>Consumer, EG, SG, In house, IBG Traveler</v>
      </c>
      <c r="N819" s="258" t="str">
        <f>IFERROR(__xludf.DUMMYFUNCTION("""COMPUTED_VALUE"""),"network")</f>
        <v>network</v>
      </c>
      <c r="O819" s="258" t="str">
        <f>IFERROR(__xludf.DUMMYFUNCTION("""COMPUTED_VALUE"""),"network_profile")</f>
        <v>network_profile</v>
      </c>
      <c r="P819" s="258"/>
    </row>
    <row r="820">
      <c r="A820" s="257" t="str">
        <f>IFERROR(__xludf.DUMMYFUNCTION("""COMPUTED_VALUE"""),"latest_handset_capability")</f>
        <v>latest_handset_capability</v>
      </c>
      <c r="B820" s="258" t="str">
        <f>IFERROR(__xludf.DUMMYFUNCTION("""COMPUTED_VALUE"""),"Globe ID")</f>
        <v>Globe ID</v>
      </c>
      <c r="C820" s="258" t="str">
        <f>IFERROR(__xludf.DUMMYFUNCTION("""COMPUTED_VALUE"""),"Non-PII")</f>
        <v>Non-PII</v>
      </c>
      <c r="D820" s="258" t="str">
        <f>IFERROR(__xludf.DUMMYFUNCTION("""COMPUTED_VALUE"""),"Non-PII")</f>
        <v>Non-PII</v>
      </c>
      <c r="E820" s="258" t="str">
        <f>IFERROR(__xludf.DUMMYFUNCTION("""COMPUTED_VALUE"""),"Capability of the subscriber's latest handset based on data usages for the last 90 days.")</f>
        <v>Capability of the subscriber's latest handset based on data usages for the last 90 days.</v>
      </c>
      <c r="F820" s="258" t="str">
        <f>IFERROR(__xludf.DUMMYFUNCTION("""COMPUTED_VALUE"""),"Derived")</f>
        <v>Derived</v>
      </c>
      <c r="G820" s="258" t="str">
        <f>IFERROR(__xludf.DUMMYFUNCTION("""COMPUTED_VALUE"""),"varchar(1000)")</f>
        <v>varchar(1000)</v>
      </c>
      <c r="H820" s="258" t="str">
        <f>IFERROR(__xludf.DUMMYFUNCTION("""COMPUTED_VALUE"""),"2G")</f>
        <v>2G</v>
      </c>
      <c r="I820" s="258" t="str">
        <f>IFERROR(__xludf.DUMMYFUNCTION("""COMPUTED_VALUE"""),"MSH FVT")</f>
        <v>MSH FVT</v>
      </c>
      <c r="J820" s="258" t="str">
        <f>IFERROR(__xludf.DUMMYFUNCTION("""COMPUTED_VALUE"""),"Daily")</f>
        <v>Daily</v>
      </c>
      <c r="K820" s="258" t="str">
        <f>IFERROR(__xludf.DUMMYFUNCTION("""COMPUTED_VALUE"""),"day-7")</f>
        <v>day-7</v>
      </c>
      <c r="L820" s="258" t="str">
        <f>IFERROR(__xludf.DUMMYFUNCTION("""COMPUTED_VALUE"""),"GHP, GHP-PREPAID, TM, PW, GOMO")</f>
        <v>GHP, GHP-PREPAID, TM, PW, GOMO</v>
      </c>
      <c r="M820" s="258" t="str">
        <f>IFERROR(__xludf.DUMMYFUNCTION("""COMPUTED_VALUE"""),"Consumer, EG, SG, In house, IBG Traveler")</f>
        <v>Consumer, EG, SG, In house, IBG Traveler</v>
      </c>
      <c r="N820" s="258" t="str">
        <f>IFERROR(__xludf.DUMMYFUNCTION("""COMPUTED_VALUE"""),"network")</f>
        <v>network</v>
      </c>
      <c r="O820" s="258" t="str">
        <f>IFERROR(__xludf.DUMMYFUNCTION("""COMPUTED_VALUE"""),"network_profile")</f>
        <v>network_profile</v>
      </c>
      <c r="P820" s="258"/>
    </row>
    <row r="821">
      <c r="A821" s="257" t="str">
        <f>IFERROR(__xludf.DUMMYFUNCTION("""COMPUTED_VALUE"""),"open_service_request_count_30days")</f>
        <v>open_service_request_count_30days</v>
      </c>
      <c r="B821" s="258" t="str">
        <f>IFERROR(__xludf.DUMMYFUNCTION("""COMPUTED_VALUE"""),"Globe ID")</f>
        <v>Globe ID</v>
      </c>
      <c r="C821" s="258" t="str">
        <f>IFERROR(__xludf.DUMMYFUNCTION("""COMPUTED_VALUE"""),"Non-PII")</f>
        <v>Non-PII</v>
      </c>
      <c r="D821" s="258" t="str">
        <f>IFERROR(__xludf.DUMMYFUNCTION("""COMPUTED_VALUE"""),"Non-PII")</f>
        <v>Non-PII</v>
      </c>
      <c r="E821" s="258" t="str">
        <f>IFERROR(__xludf.DUMMYFUNCTION("""COMPUTED_VALUE"""),"Number of open service requests in the past 30 days")</f>
        <v>Number of open service requests in the past 30 days</v>
      </c>
      <c r="F821" s="258" t="str">
        <f>IFERROR(__xludf.DUMMYFUNCTION("""COMPUTED_VALUE"""),"Derived")</f>
        <v>Derived</v>
      </c>
      <c r="G821" s="258" t="str">
        <f>IFERROR(__xludf.DUMMYFUNCTION("""COMPUTED_VALUE"""),"integer")</f>
        <v>integer</v>
      </c>
      <c r="H821" s="258">
        <f>IFERROR(__xludf.DUMMYFUNCTION("""COMPUTED_VALUE"""),88.0)</f>
        <v>88</v>
      </c>
      <c r="I821" s="258" t="str">
        <f>IFERROR(__xludf.DUMMYFUNCTION("""COMPUTED_VALUE"""),"EDO-UUP")</f>
        <v>EDO-UUP</v>
      </c>
      <c r="J821" s="258" t="str">
        <f>IFERROR(__xludf.DUMMYFUNCTION("""COMPUTED_VALUE"""),"Daily")</f>
        <v>Daily</v>
      </c>
      <c r="K821" s="258" t="str">
        <f>IFERROR(__xludf.DUMMYFUNCTION("""COMPUTED_VALUE"""),"")</f>
        <v/>
      </c>
      <c r="L821" s="258" t="str">
        <f>IFERROR(__xludf.DUMMYFUNCTION("""COMPUTED_VALUE"""),"GHP, GHP-PREPAID, TM, PW, WIRELINE")</f>
        <v>GHP, GHP-PREPAID, TM, PW, WIRELINE</v>
      </c>
      <c r="M821" s="258" t="str">
        <f>IFERROR(__xludf.DUMMYFUNCTION("""COMPUTED_VALUE"""),"Consumer, EG, SG, In house, IBG Traveler")</f>
        <v>Consumer, EG, SG, In house, IBG Traveler</v>
      </c>
      <c r="N821" s="258" t="str">
        <f>IFERROR(__xludf.DUMMYFUNCTION("""COMPUTED_VALUE"""),"customer_service")</f>
        <v>customer_service</v>
      </c>
      <c r="O821" s="258" t="str">
        <f>IFERROR(__xludf.DUMMYFUNCTION("""COMPUTED_VALUE"""),"customer_service_profile")</f>
        <v>customer_service_profile</v>
      </c>
      <c r="P821" s="258"/>
    </row>
    <row r="822">
      <c r="A822" s="257" t="str">
        <f>IFERROR(__xludf.DUMMYFUNCTION("""COMPUTED_VALUE"""),"service_request_ave_tat_30days")</f>
        <v>service_request_ave_tat_30days</v>
      </c>
      <c r="B822" s="258" t="str">
        <f>IFERROR(__xludf.DUMMYFUNCTION("""COMPUTED_VALUE"""),"Globe ID")</f>
        <v>Globe ID</v>
      </c>
      <c r="C822" s="258" t="str">
        <f>IFERROR(__xludf.DUMMYFUNCTION("""COMPUTED_VALUE"""),"Non-PII")</f>
        <v>Non-PII</v>
      </c>
      <c r="D822" s="258" t="str">
        <f>IFERROR(__xludf.DUMMYFUNCTION("""COMPUTED_VALUE"""),"Non-PII")</f>
        <v>Non-PII</v>
      </c>
      <c r="E822" s="258" t="str">
        <f>IFERROR(__xludf.DUMMYFUNCTION("""COMPUTED_VALUE"""),"Average turnaround time (in days) of closed service request cases for the past 30 days")</f>
        <v>Average turnaround time (in days) of closed service request cases for the past 30 days</v>
      </c>
      <c r="F822" s="258" t="str">
        <f>IFERROR(__xludf.DUMMYFUNCTION("""COMPUTED_VALUE"""),"Derived")</f>
        <v>Derived</v>
      </c>
      <c r="G822" s="258" t="str">
        <f>IFERROR(__xludf.DUMMYFUNCTION("""COMPUTED_VALUE"""),"numeric(21,2)")</f>
        <v>numeric(21,2)</v>
      </c>
      <c r="H822" s="258">
        <f>IFERROR(__xludf.DUMMYFUNCTION("""COMPUTED_VALUE"""),27.0)</f>
        <v>27</v>
      </c>
      <c r="I822" s="258" t="str">
        <f>IFERROR(__xludf.DUMMYFUNCTION("""COMPUTED_VALUE"""),"EDO-UUP")</f>
        <v>EDO-UUP</v>
      </c>
      <c r="J822" s="258" t="str">
        <f>IFERROR(__xludf.DUMMYFUNCTION("""COMPUTED_VALUE"""),"Daily")</f>
        <v>Daily</v>
      </c>
      <c r="K822" s="258" t="str">
        <f>IFERROR(__xludf.DUMMYFUNCTION("""COMPUTED_VALUE"""),"")</f>
        <v/>
      </c>
      <c r="L822" s="258" t="str">
        <f>IFERROR(__xludf.DUMMYFUNCTION("""COMPUTED_VALUE"""),"GHP, GHP-PREPAID, TM, PW, WIRELINE")</f>
        <v>GHP, GHP-PREPAID, TM, PW, WIRELINE</v>
      </c>
      <c r="M822" s="258" t="str">
        <f>IFERROR(__xludf.DUMMYFUNCTION("""COMPUTED_VALUE"""),"Consumer, EG, SG, In house, IBG Traveler")</f>
        <v>Consumer, EG, SG, In house, IBG Traveler</v>
      </c>
      <c r="N822" s="258" t="str">
        <f>IFERROR(__xludf.DUMMYFUNCTION("""COMPUTED_VALUE"""),"customer_service")</f>
        <v>customer_service</v>
      </c>
      <c r="O822" s="258" t="str">
        <f>IFERROR(__xludf.DUMMYFUNCTION("""COMPUTED_VALUE"""),"customer_service_profile")</f>
        <v>customer_service_profile</v>
      </c>
      <c r="P822" s="258"/>
    </row>
    <row r="823">
      <c r="A823" s="257" t="str">
        <f>IFERROR(__xludf.DUMMYFUNCTION("""COMPUTED_VALUE"""),"predicted_arpu_change")</f>
        <v>predicted_arpu_change</v>
      </c>
      <c r="B823" s="258" t="str">
        <f>IFERROR(__xludf.DUMMYFUNCTION("""COMPUTED_VALUE"""),"Behavioral")</f>
        <v>Behavioral</v>
      </c>
      <c r="C823" s="258" t="str">
        <f>IFERROR(__xludf.DUMMYFUNCTION("""COMPUTED_VALUE"""),"Non-PII")</f>
        <v>Non-PII</v>
      </c>
      <c r="D823" s="258" t="str">
        <f>IFERROR(__xludf.DUMMYFUNCTION("""COMPUTED_VALUE"""),"Non-PII")</f>
        <v>Non-PII</v>
      </c>
      <c r="E823" s="258" t="str">
        <f>IFERROR(__xludf.DUMMYFUNCTION("""COMPUTED_VALUE"""),"Predicted ARPU change of the sub identified by the HPW's stretch model. (final_decile in AA)
  Decreasing - high likelihood of decreasing average promo spend 
  Increasing - high likelihood of increasing average promo spend; tagging used only in freque"&amp;"nt cohort
  Stable Plus - high likelihood of stable average promo spend (no change to minimal increase); tagging used only in frequent cohort
  Stable Min - high likelihood of stable average promo spend (no change to minimal decrease); tagging used only i"&amp;"n frequent cohort
  Non-Decreasing - high likelihood of non-decreasing promo spend; tagging used only in infrequent cohort​")</f>
        <v>Predicted ARPU change of the sub identified by the HPW's stretch model. (final_decile in AA)
  Decreasing - high likelihood of decreasing average promo spend 
  Increasing - high likelihood of increasing average promo spend; tagging used only in frequent cohort
  Stable Plus - high likelihood of stable average promo spend (no change to minimal increase); tagging used only in frequent cohort
  Stable Min - high likelihood of stable average promo spend (no change to minimal decrease); tagging used only in frequent cohort
  Non-Decreasing - high likelihood of non-decreasing promo spend; tagging used only in infrequent cohort​</v>
      </c>
      <c r="F823" s="258" t="str">
        <f>IFERROR(__xludf.DUMMYFUNCTION("""COMPUTED_VALUE"""),"Derived")</f>
        <v>Derived</v>
      </c>
      <c r="G823" s="258" t="str">
        <f>IFERROR(__xludf.DUMMYFUNCTION("""COMPUTED_VALUE"""),"varchar(1000)")</f>
        <v>varchar(1000)</v>
      </c>
      <c r="H823" s="258" t="str">
        <f>IFERROR(__xludf.DUMMYFUNCTION("""COMPUTED_VALUE"""),"Stable Plus")</f>
        <v>Stable Plus</v>
      </c>
      <c r="I823" s="258" t="str">
        <f>IFERROR(__xludf.DUMMYFUNCTION("""COMPUTED_VALUE"""),"MSH")</f>
        <v>MSH</v>
      </c>
      <c r="J823" s="258" t="str">
        <f>IFERROR(__xludf.DUMMYFUNCTION("""COMPUTED_VALUE"""),"Weekly")</f>
        <v>Weekly</v>
      </c>
      <c r="K823" s="258" t="str">
        <f>IFERROR(__xludf.DUMMYFUNCTION("""COMPUTED_VALUE"""),"")</f>
        <v/>
      </c>
      <c r="L823" s="258" t="str">
        <f>IFERROR(__xludf.DUMMYFUNCTION("""COMPUTED_VALUE"""),"PW")</f>
        <v>PW</v>
      </c>
      <c r="M823" s="258" t="str">
        <f>IFERROR(__xludf.DUMMYFUNCTION("""COMPUTED_VALUE"""),"Consumer")</f>
        <v>Consumer</v>
      </c>
      <c r="N823" s="258" t="str">
        <f>IFERROR(__xludf.DUMMYFUNCTION("""COMPUTED_VALUE"""),"reload")</f>
        <v>reload</v>
      </c>
      <c r="O823" s="258" t="str">
        <f>IFERROR(__xludf.DUMMYFUNCTION("""COMPUTED_VALUE"""),"reload_profile")</f>
        <v>reload_profile</v>
      </c>
      <c r="P823" s="258"/>
    </row>
    <row r="824">
      <c r="A824" s="257" t="str">
        <f>IFERROR(__xludf.DUMMYFUNCTION("""COMPUTED_VALUE"""),"prepaid_topup_cohort")</f>
        <v>prepaid_topup_cohort</v>
      </c>
      <c r="B824" s="258" t="str">
        <f>IFERROR(__xludf.DUMMYFUNCTION("""COMPUTED_VALUE"""),"Behavioral")</f>
        <v>Behavioral</v>
      </c>
      <c r="C824" s="258" t="str">
        <f>IFERROR(__xludf.DUMMYFUNCTION("""COMPUTED_VALUE"""),"Non-PII")</f>
        <v>Non-PII</v>
      </c>
      <c r="D824" s="258" t="str">
        <f>IFERROR(__xludf.DUMMYFUNCTION("""COMPUTED_VALUE"""),"Non-PII")</f>
        <v>Non-PII</v>
      </c>
      <c r="E824" s="258" t="str">
        <f>IFERROR(__xludf.DUMMYFUNCTION("""COMPUTED_VALUE"""),"HPW's stretch model identified type of loader. (cohort in AA)
  Frequent - subs with more frequent transactions or higher ARPU
  Infrequent - subs with less frequent transactions")</f>
        <v>HPW's stretch model identified type of loader. (cohort in AA)
  Frequent - subs with more frequent transactions or higher ARPU
  Infrequent - subs with less frequent transactions</v>
      </c>
      <c r="F824" s="258" t="str">
        <f>IFERROR(__xludf.DUMMYFUNCTION("""COMPUTED_VALUE"""),"Derived")</f>
        <v>Derived</v>
      </c>
      <c r="G824" s="258" t="str">
        <f>IFERROR(__xludf.DUMMYFUNCTION("""COMPUTED_VALUE"""),"varchar(1000)")</f>
        <v>varchar(1000)</v>
      </c>
      <c r="H824" s="258" t="str">
        <f>IFERROR(__xludf.DUMMYFUNCTION("""COMPUTED_VALUE"""),"Frequent")</f>
        <v>Frequent</v>
      </c>
      <c r="I824" s="258" t="str">
        <f>IFERROR(__xludf.DUMMYFUNCTION("""COMPUTED_VALUE"""),"MSH")</f>
        <v>MSH</v>
      </c>
      <c r="J824" s="258" t="str">
        <f>IFERROR(__xludf.DUMMYFUNCTION("""COMPUTED_VALUE"""),"Weekly")</f>
        <v>Weekly</v>
      </c>
      <c r="K824" s="258" t="str">
        <f>IFERROR(__xludf.DUMMYFUNCTION("""COMPUTED_VALUE"""),"")</f>
        <v/>
      </c>
      <c r="L824" s="258" t="str">
        <f>IFERROR(__xludf.DUMMYFUNCTION("""COMPUTED_VALUE"""),"PW")</f>
        <v>PW</v>
      </c>
      <c r="M824" s="258" t="str">
        <f>IFERROR(__xludf.DUMMYFUNCTION("""COMPUTED_VALUE"""),"Consumer")</f>
        <v>Consumer</v>
      </c>
      <c r="N824" s="258" t="str">
        <f>IFERROR(__xludf.DUMMYFUNCTION("""COMPUTED_VALUE"""),"reload")</f>
        <v>reload</v>
      </c>
      <c r="O824" s="258" t="str">
        <f>IFERROR(__xludf.DUMMYFUNCTION("""COMPUTED_VALUE"""),"reload_profile")</f>
        <v>reload_profile</v>
      </c>
      <c r="P824" s="258"/>
    </row>
    <row r="825">
      <c r="A825" s="257" t="str">
        <f>IFERROR(__xludf.DUMMYFUNCTION("""COMPUTED_VALUE"""),"hpw_prepaid_topup_segment")</f>
        <v>hpw_prepaid_topup_segment</v>
      </c>
      <c r="B825" s="258" t="str">
        <f>IFERROR(__xludf.DUMMYFUNCTION("""COMPUTED_VALUE"""),"Behavioral")</f>
        <v>Behavioral</v>
      </c>
      <c r="C825" s="258" t="str">
        <f>IFERROR(__xludf.DUMMYFUNCTION("""COMPUTED_VALUE"""),"Non-PII")</f>
        <v>Non-PII</v>
      </c>
      <c r="D825" s="258" t="str">
        <f>IFERROR(__xludf.DUMMYFUNCTION("""COMPUTED_VALUE"""),"Non-PII")</f>
        <v>Non-PII</v>
      </c>
      <c r="E825" s="258" t="str">
        <f>IFERROR(__xludf.DUMMYFUNCTION("""COMPUTED_VALUE"""),"Topup segment based on the topup behavior of the HPW subscriber. Values are derived from the recalibrated HPW topup segmentation model based on the variables used in the old model and also including average monthly amount, average days between topup and r"&amp;"atio of the recent month amount for active HPW subscribers with at least three months tenure and either one topup or one Surf4All transaction in the last 3 months and refreshed weekly.
 Valid values:
 Low - Topup once every 3 months
 Mid - Topup 1-2 tim"&amp;"es per month
 Weekly - Topup once a week
 Frequent - Topup twice a week with lowest amount per topup
 Bulk - Topup once a month with highest amount per topup")</f>
        <v>Topup segment based on the topup behavior of the HPW subscriber. Values are derived from the recalibrated HPW topup segmentation model based on the variables used in the old model and also including average monthly amount, average days between topup and ratio of the recent month amount for active HPW subscribers with at least three months tenure and either one topup or one Surf4All transaction in the last 3 months and refreshed weekly.
 Valid values:
 Low - Topup once every 3 months
 Mid - Topup 1-2 times per month
 Weekly - Topup once a week
 Frequent - Topup twice a week with lowest amount per topup
 Bulk - Topup once a month with highest amount per topup</v>
      </c>
      <c r="F825" s="258" t="str">
        <f>IFERROR(__xludf.DUMMYFUNCTION("""COMPUTED_VALUE"""),"Derived")</f>
        <v>Derived</v>
      </c>
      <c r="G825" s="258" t="str">
        <f>IFERROR(__xludf.DUMMYFUNCTION("""COMPUTED_VALUE"""),"varchar(1000)")</f>
        <v>varchar(1000)</v>
      </c>
      <c r="H825" s="258" t="str">
        <f>IFERROR(__xludf.DUMMYFUNCTION("""COMPUTED_VALUE"""),"Frequent")</f>
        <v>Frequent</v>
      </c>
      <c r="I825" s="258" t="str">
        <f>IFERROR(__xludf.DUMMYFUNCTION("""COMPUTED_VALUE"""),"EDO-AA")</f>
        <v>EDO-AA</v>
      </c>
      <c r="J825" s="258" t="str">
        <f>IFERROR(__xludf.DUMMYFUNCTION("""COMPUTED_VALUE"""),"Weekly")</f>
        <v>Weekly</v>
      </c>
      <c r="K825" s="258" t="str">
        <f>IFERROR(__xludf.DUMMYFUNCTION("""COMPUTED_VALUE"""),"")</f>
        <v/>
      </c>
      <c r="L825" s="258" t="str">
        <f>IFERROR(__xludf.DUMMYFUNCTION("""COMPUTED_VALUE"""),"PW")</f>
        <v>PW</v>
      </c>
      <c r="M825" s="258" t="str">
        <f>IFERROR(__xludf.DUMMYFUNCTION("""COMPUTED_VALUE"""),"Consumer")</f>
        <v>Consumer</v>
      </c>
      <c r="N825" s="258" t="str">
        <f>IFERROR(__xludf.DUMMYFUNCTION("""COMPUTED_VALUE"""),"reload")</f>
        <v>reload</v>
      </c>
      <c r="O825" s="258" t="str">
        <f>IFERROR(__xludf.DUMMYFUNCTION("""COMPUTED_VALUE"""),"reload_profile")</f>
        <v>reload_profile</v>
      </c>
      <c r="P825" s="258"/>
    </row>
    <row r="826">
      <c r="A826" s="257" t="str">
        <f>IFERROR(__xludf.DUMMYFUNCTION("""COMPUTED_VALUE"""),"broadcast_exclude_indicator")</f>
        <v>broadcast_exclude_indicator</v>
      </c>
      <c r="B826" s="258" t="str">
        <f>IFERROR(__xludf.DUMMYFUNCTION("""COMPUTED_VALUE"""),"Audience/Persona")</f>
        <v>Audience/Persona</v>
      </c>
      <c r="C826" s="258" t="str">
        <f>IFERROR(__xludf.DUMMYFUNCTION("""COMPUTED_VALUE"""),"Non-PII")</f>
        <v>Non-PII</v>
      </c>
      <c r="D826" s="258" t="str">
        <f>IFERROR(__xludf.DUMMYFUNCTION("""COMPUTED_VALUE"""),"Non-PII")</f>
        <v>Non-PII</v>
      </c>
      <c r="E826" s="258" t="str">
        <f>IFERROR(__xludf.DUMMYFUNCTION("""COMPUTED_VALUE"""),"Indicator whether the subscriber is excluded in campaign blasts.")</f>
        <v>Indicator whether the subscriber is excluded in campaign blasts.</v>
      </c>
      <c r="F826" s="258" t="str">
        <f>IFERROR(__xludf.DUMMYFUNCTION("""COMPUTED_VALUE"""),"Derived")</f>
        <v>Derived</v>
      </c>
      <c r="G826" s="258" t="str">
        <f>IFERROR(__xludf.DUMMYFUNCTION("""COMPUTED_VALUE"""),"boolean")</f>
        <v>boolean</v>
      </c>
      <c r="H826" s="258" t="b">
        <f>IFERROR(__xludf.DUMMYFUNCTION("""COMPUTED_VALUE"""),TRUE)</f>
        <v>1</v>
      </c>
      <c r="I826" s="258" t="str">
        <f>IFERROR(__xludf.DUMMYFUNCTION("""COMPUTED_VALUE"""),"MSH CDA")</f>
        <v>MSH CDA</v>
      </c>
      <c r="J826" s="258" t="str">
        <f>IFERROR(__xludf.DUMMYFUNCTION("""COMPUTED_VALUE"""),"Monthly")</f>
        <v>Monthly</v>
      </c>
      <c r="K826" s="258" t="str">
        <f>IFERROR(__xludf.DUMMYFUNCTION("""COMPUTED_VALUE"""),"")</f>
        <v/>
      </c>
      <c r="L826" s="258" t="str">
        <f>IFERROR(__xludf.DUMMYFUNCTION("""COMPUTED_VALUE"""),"GHP, GHP-PREPAID, TM, PW")</f>
        <v>GHP, GHP-PREPAID, TM, PW</v>
      </c>
      <c r="M826" s="258" t="str">
        <f>IFERROR(__xludf.DUMMYFUNCTION("""COMPUTED_VALUE"""),"Consumer, EG, SG, In house, IBG Traveler")</f>
        <v>Consumer, EG, SG, In house, IBG Traveler</v>
      </c>
      <c r="N826" s="258" t="str">
        <f>IFERROR(__xludf.DUMMYFUNCTION("""COMPUTED_VALUE"""),"customer")</f>
        <v>customer</v>
      </c>
      <c r="O826" s="258" t="str">
        <f>IFERROR(__xludf.DUMMYFUNCTION("""COMPUTED_VALUE"""),"customer_profile")</f>
        <v>customer_profile</v>
      </c>
      <c r="P826" s="258"/>
    </row>
    <row r="827">
      <c r="A827" s="257" t="str">
        <f>IFERROR(__xludf.DUMMYFUNCTION("""COMPUTED_VALUE"""),"survival_regression_score_6mos")</f>
        <v>survival_regression_score_6mos</v>
      </c>
      <c r="B827" s="258" t="str">
        <f>IFERROR(__xludf.DUMMYFUNCTION("""COMPUTED_VALUE"""),"Behavioral")</f>
        <v>Behavioral</v>
      </c>
      <c r="C827" s="258" t="str">
        <f>IFERROR(__xludf.DUMMYFUNCTION("""COMPUTED_VALUE"""),"Non-PII")</f>
        <v>Non-PII</v>
      </c>
      <c r="D827" s="258" t="str">
        <f>IFERROR(__xludf.DUMMYFUNCTION("""COMPUTED_VALUE"""),"Non-PII")</f>
        <v>Non-PII</v>
      </c>
      <c r="E827" s="258" t="str">
        <f>IFERROR(__xludf.DUMMYFUNCTION("""COMPUTED_VALUE"""),"Estimated survival/retention probability in 6 months. The higher the value, most likely to survived by 6th month. 
Note: As of now what is available in UUP is only the 6th month data, the other months (1-24 months) is available at source (AA Model)")</f>
        <v>Estimated survival/retention probability in 6 months. The higher the value, most likely to survived by 6th month. 
Note: As of now what is available in UUP is only the 6th month data, the other months (1-24 months) is available at source (AA Model)</v>
      </c>
      <c r="F827" s="258" t="str">
        <f>IFERROR(__xludf.DUMMYFUNCTION("""COMPUTED_VALUE"""),"Derived")</f>
        <v>Derived</v>
      </c>
      <c r="G827" s="258" t="str">
        <f>IFERROR(__xludf.DUMMYFUNCTION("""COMPUTED_VALUE"""),"numeric(21,2)")</f>
        <v>numeric(21,2)</v>
      </c>
      <c r="H827" s="258">
        <f>IFERROR(__xludf.DUMMYFUNCTION("""COMPUTED_VALUE"""),0.12)</f>
        <v>0.12</v>
      </c>
      <c r="I827" s="258" t="str">
        <f>IFERROR(__xludf.DUMMYFUNCTION("""COMPUTED_VALUE"""),"EDO-AA")</f>
        <v>EDO-AA</v>
      </c>
      <c r="J827" s="258" t="str">
        <f>IFERROR(__xludf.DUMMYFUNCTION("""COMPUTED_VALUE"""),"Monthly")</f>
        <v>Monthly</v>
      </c>
      <c r="K827" s="258" t="str">
        <f>IFERROR(__xludf.DUMMYFUNCTION("""COMPUTED_VALUE"""),"")</f>
        <v/>
      </c>
      <c r="L827" s="258" t="str">
        <f>IFERROR(__xludf.DUMMYFUNCTION("""COMPUTED_VALUE"""),"GHP, GHP-PREPAID, TM")</f>
        <v>GHP, GHP-PREPAID, TM</v>
      </c>
      <c r="M827" s="258" t="str">
        <f>IFERROR(__xludf.DUMMYFUNCTION("""COMPUTED_VALUE"""),"Consumer")</f>
        <v>Consumer</v>
      </c>
      <c r="N827" s="258" t="str">
        <f>IFERROR(__xludf.DUMMYFUNCTION("""COMPUTED_VALUE"""),"revenue")</f>
        <v>revenue</v>
      </c>
      <c r="O827" s="258" t="str">
        <f>IFERROR(__xludf.DUMMYFUNCTION("""COMPUTED_VALUE"""),"revenue_profile")</f>
        <v>revenue_profile</v>
      </c>
      <c r="P827" s="258"/>
    </row>
    <row r="828">
      <c r="A828" s="257" t="str">
        <f>IFERROR(__xludf.DUMMYFUNCTION("""COMPUTED_VALUE"""),"interaction_ave_daily_duration_90days")</f>
        <v>interaction_ave_daily_duration_90days</v>
      </c>
      <c r="B828" s="258" t="str">
        <f>IFERROR(__xludf.DUMMYFUNCTION("""COMPUTED_VALUE"""),"Behavioral")</f>
        <v>Behavioral</v>
      </c>
      <c r="C828" s="258" t="str">
        <f>IFERROR(__xludf.DUMMYFUNCTION("""COMPUTED_VALUE"""),"Non-PII")</f>
        <v>Non-PII</v>
      </c>
      <c r="D828" s="258" t="str">
        <f>IFERROR(__xludf.DUMMYFUNCTION("""COMPUTED_VALUE"""),"Non-PII")</f>
        <v>Non-PII</v>
      </c>
      <c r="E828" s="258" t="str">
        <f>IFERROR(__xludf.DUMMYFUNCTION("""COMPUTED_VALUE"""),"Average daily duration of interactions (in minutes) with the subscriber for the past 90 days")</f>
        <v>Average daily duration of interactions (in minutes) with the subscriber for the past 90 days</v>
      </c>
      <c r="F828" s="258" t="str">
        <f>IFERROR(__xludf.DUMMYFUNCTION("""COMPUTED_VALUE"""),"Derived")</f>
        <v>Derived</v>
      </c>
      <c r="G828" s="258" t="str">
        <f>IFERROR(__xludf.DUMMYFUNCTION("""COMPUTED_VALUE"""),"numeric(21,2)")</f>
        <v>numeric(21,2)</v>
      </c>
      <c r="H828" s="258">
        <f>IFERROR(__xludf.DUMMYFUNCTION("""COMPUTED_VALUE"""),0.23)</f>
        <v>0.23</v>
      </c>
      <c r="I828" s="258" t="str">
        <f>IFERROR(__xludf.DUMMYFUNCTION("""COMPUTED_VALUE"""),"EDO-UUP")</f>
        <v>EDO-UUP</v>
      </c>
      <c r="J828" s="258" t="str">
        <f>IFERROR(__xludf.DUMMYFUNCTION("""COMPUTED_VALUE"""),"Daily")</f>
        <v>Daily</v>
      </c>
      <c r="K828" s="258" t="str">
        <f>IFERROR(__xludf.DUMMYFUNCTION("""COMPUTED_VALUE"""),"")</f>
        <v/>
      </c>
      <c r="L828" s="258" t="str">
        <f>IFERROR(__xludf.DUMMYFUNCTION("""COMPUTED_VALUE"""),"GHP, GHP-PREPAID, TM, PW, WIRELINE, BAYAN, GLOBE")</f>
        <v>GHP, GHP-PREPAID, TM, PW, WIRELINE, BAYAN, GLOBE</v>
      </c>
      <c r="M828" s="258" t="str">
        <f>IFERROR(__xludf.DUMMYFUNCTION("""COMPUTED_VALUE"""),"Consumer, EG, SG, In house, IBG Traveler")</f>
        <v>Consumer, EG, SG, In house, IBG Traveler</v>
      </c>
      <c r="N828" s="258" t="str">
        <f>IFERROR(__xludf.DUMMYFUNCTION("""COMPUTED_VALUE"""),"customer_service")</f>
        <v>customer_service</v>
      </c>
      <c r="O828" s="258" t="str">
        <f>IFERROR(__xludf.DUMMYFUNCTION("""COMPUTED_VALUE"""),"customer_service_profile")</f>
        <v>customer_service_profile</v>
      </c>
      <c r="P828" s="258"/>
    </row>
    <row r="829">
      <c r="A829" s="257" t="str">
        <f>IFERROR(__xludf.DUMMYFUNCTION("""COMPUTED_VALUE"""),"platinum_migration_score")</f>
        <v>platinum_migration_score</v>
      </c>
      <c r="B829" s="258" t="str">
        <f>IFERROR(__xludf.DUMMYFUNCTION("""COMPUTED_VALUE"""),"Profitability")</f>
        <v>Profitability</v>
      </c>
      <c r="C829" s="258" t="str">
        <f>IFERROR(__xludf.DUMMYFUNCTION("""COMPUTED_VALUE"""),"Non-PII")</f>
        <v>Non-PII</v>
      </c>
      <c r="D829" s="258" t="str">
        <f>IFERROR(__xludf.DUMMYFUNCTION("""COMPUTED_VALUE"""),"Non-PII")</f>
        <v>Non-PII</v>
      </c>
      <c r="E829" s="258" t="str">
        <f>IFERROR(__xludf.DUMMYFUNCTION("""COMPUTED_VALUE"""),"The propensity score of postpaid subscribers to migrate to Platinum plans")</f>
        <v>The propensity score of postpaid subscribers to migrate to Platinum plans</v>
      </c>
      <c r="F829" s="258" t="str">
        <f>IFERROR(__xludf.DUMMYFUNCTION("""COMPUTED_VALUE"""),"Inferred")</f>
        <v>Inferred</v>
      </c>
      <c r="G829" s="258" t="str">
        <f>IFERROR(__xludf.DUMMYFUNCTION("""COMPUTED_VALUE"""),"numeric(21,2)")</f>
        <v>numeric(21,2)</v>
      </c>
      <c r="H829" s="258">
        <f>IFERROR(__xludf.DUMMYFUNCTION("""COMPUTED_VALUE"""),0.12)</f>
        <v>0.12</v>
      </c>
      <c r="I829" s="258" t="str">
        <f>IFERROR(__xludf.DUMMYFUNCTION("""COMPUTED_VALUE"""),"EDO-AA")</f>
        <v>EDO-AA</v>
      </c>
      <c r="J829" s="258" t="str">
        <f>IFERROR(__xludf.DUMMYFUNCTION("""COMPUTED_VALUE"""),"Monthly")</f>
        <v>Monthly</v>
      </c>
      <c r="K829" s="258" t="str">
        <f>IFERROR(__xludf.DUMMYFUNCTION("""COMPUTED_VALUE"""),"")</f>
        <v/>
      </c>
      <c r="L829" s="258" t="str">
        <f>IFERROR(__xludf.DUMMYFUNCTION("""COMPUTED_VALUE"""),"GHP")</f>
        <v>GHP</v>
      </c>
      <c r="M829" s="258" t="str">
        <f>IFERROR(__xludf.DUMMYFUNCTION("""COMPUTED_VALUE"""),"Consumer")</f>
        <v>Consumer</v>
      </c>
      <c r="N829" s="258" t="str">
        <f>IFERROR(__xludf.DUMMYFUNCTION("""COMPUTED_VALUE"""),"revenue")</f>
        <v>revenue</v>
      </c>
      <c r="O829" s="258" t="str">
        <f>IFERROR(__xludf.DUMMYFUNCTION("""COMPUTED_VALUE"""),"revenue_profile")</f>
        <v>revenue_profile</v>
      </c>
      <c r="P829" s="258"/>
    </row>
    <row r="830">
      <c r="A830" s="257" t="str">
        <f>IFERROR(__xludf.DUMMYFUNCTION("""COMPUTED_VALUE"""),"platinum_migration_decile")</f>
        <v>platinum_migration_decile</v>
      </c>
      <c r="B830" s="258" t="str">
        <f>IFERROR(__xludf.DUMMYFUNCTION("""COMPUTED_VALUE"""),"Profitability")</f>
        <v>Profitability</v>
      </c>
      <c r="C830" s="258" t="str">
        <f>IFERROR(__xludf.DUMMYFUNCTION("""COMPUTED_VALUE"""),"Non-PII")</f>
        <v>Non-PII</v>
      </c>
      <c r="D830" s="258" t="str">
        <f>IFERROR(__xludf.DUMMYFUNCTION("""COMPUTED_VALUE"""),"Non-PII")</f>
        <v>Non-PII</v>
      </c>
      <c r="E830" s="258" t="str">
        <f>IFERROR(__xludf.DUMMYFUNCTION("""COMPUTED_VALUE"""),"The propensity decile of postpaid subscribers to migrate to Platinum plans")</f>
        <v>The propensity decile of postpaid subscribers to migrate to Platinum plans</v>
      </c>
      <c r="F830" s="258" t="str">
        <f>IFERROR(__xludf.DUMMYFUNCTION("""COMPUTED_VALUE"""),"Inferred")</f>
        <v>Inferred</v>
      </c>
      <c r="G830" s="258" t="str">
        <f>IFERROR(__xludf.DUMMYFUNCTION("""COMPUTED_VALUE"""),"integer")</f>
        <v>integer</v>
      </c>
      <c r="H830" s="258">
        <f>IFERROR(__xludf.DUMMYFUNCTION("""COMPUTED_VALUE"""),2.0)</f>
        <v>2</v>
      </c>
      <c r="I830" s="258" t="str">
        <f>IFERROR(__xludf.DUMMYFUNCTION("""COMPUTED_VALUE"""),"EDO-AA")</f>
        <v>EDO-AA</v>
      </c>
      <c r="J830" s="258" t="str">
        <f>IFERROR(__xludf.DUMMYFUNCTION("""COMPUTED_VALUE"""),"Monthly")</f>
        <v>Monthly</v>
      </c>
      <c r="K830" s="258" t="str">
        <f>IFERROR(__xludf.DUMMYFUNCTION("""COMPUTED_VALUE"""),"")</f>
        <v/>
      </c>
      <c r="L830" s="258" t="str">
        <f>IFERROR(__xludf.DUMMYFUNCTION("""COMPUTED_VALUE"""),"GHP")</f>
        <v>GHP</v>
      </c>
      <c r="M830" s="258" t="str">
        <f>IFERROR(__xludf.DUMMYFUNCTION("""COMPUTED_VALUE"""),"Consumer")</f>
        <v>Consumer</v>
      </c>
      <c r="N830" s="258" t="str">
        <f>IFERROR(__xludf.DUMMYFUNCTION("""COMPUTED_VALUE"""),"revenue")</f>
        <v>revenue</v>
      </c>
      <c r="O830" s="258" t="str">
        <f>IFERROR(__xludf.DUMMYFUNCTION("""COMPUTED_VALUE"""),"revenue_profile")</f>
        <v>revenue_profile</v>
      </c>
      <c r="P830" s="258"/>
    </row>
    <row r="831">
      <c r="A831" s="257" t="str">
        <f>IFERROR(__xludf.DUMMYFUNCTION("""COMPUTED_VALUE"""),"prepaid_spending_arpu_12weeks")</f>
        <v>prepaid_spending_arpu_12weeks</v>
      </c>
      <c r="B831" s="258" t="str">
        <f>IFERROR(__xludf.DUMMYFUNCTION("""COMPUTED_VALUE"""),"Behavioral")</f>
        <v>Behavioral</v>
      </c>
      <c r="C831" s="258" t="str">
        <f>IFERROR(__xludf.DUMMYFUNCTION("""COMPUTED_VALUE"""),"Non-PII")</f>
        <v>Non-PII</v>
      </c>
      <c r="D831" s="258" t="str">
        <f>IFERROR(__xludf.DUMMYFUNCTION("""COMPUTED_VALUE"""),"Non-PII")</f>
        <v>Non-PII</v>
      </c>
      <c r="E831" s="258" t="str">
        <f>IFERROR(__xludf.DUMMYFUNCTION("""COMPUTED_VALUE"""),"Average weekly prepaid spending ARPU for the past 2nd to 13th week (promo registrations, ppu, topup a promo)")</f>
        <v>Average weekly prepaid spending ARPU for the past 2nd to 13th week (promo registrations, ppu, topup a promo)</v>
      </c>
      <c r="F831" s="258" t="str">
        <f>IFERROR(__xludf.DUMMYFUNCTION("""COMPUTED_VALUE"""),"Derived")</f>
        <v>Derived</v>
      </c>
      <c r="G831" s="258" t="str">
        <f>IFERROR(__xludf.DUMMYFUNCTION("""COMPUTED_VALUE"""),"numeric(21,2)")</f>
        <v>numeric(21,2)</v>
      </c>
      <c r="H831" s="258">
        <f>IFERROR(__xludf.DUMMYFUNCTION("""COMPUTED_VALUE"""),0.13)</f>
        <v>0.13</v>
      </c>
      <c r="I831" s="258" t="str">
        <f>IFERROR(__xludf.DUMMYFUNCTION("""COMPUTED_VALUE"""),"MSH FVT")</f>
        <v>MSH FVT</v>
      </c>
      <c r="J831" s="258" t="str">
        <f>IFERROR(__xludf.DUMMYFUNCTION("""COMPUTED_VALUE"""),"Daily")</f>
        <v>Daily</v>
      </c>
      <c r="K831" s="258" t="str">
        <f>IFERROR(__xludf.DUMMYFUNCTION("""COMPUTED_VALUE"""),"")</f>
        <v/>
      </c>
      <c r="L831" s="258" t="str">
        <f>IFERROR(__xludf.DUMMYFUNCTION("""COMPUTED_VALUE"""),"GHP-PREPAID, TM, PW")</f>
        <v>GHP-PREPAID, TM, PW</v>
      </c>
      <c r="M831" s="258" t="str">
        <f>IFERROR(__xludf.DUMMYFUNCTION("""COMPUTED_VALUE"""),"Consumer, EG, SG, IBG Traveler")</f>
        <v>Consumer, EG, SG, IBG Traveler</v>
      </c>
      <c r="N831" s="258" t="str">
        <f>IFERROR(__xludf.DUMMYFUNCTION("""COMPUTED_VALUE"""),"revenue")</f>
        <v>revenue</v>
      </c>
      <c r="O831" s="258" t="str">
        <f>IFERROR(__xludf.DUMMYFUNCTION("""COMPUTED_VALUE"""),"revenue_profile")</f>
        <v>revenue_profile</v>
      </c>
      <c r="P831" s="258"/>
    </row>
    <row r="832">
      <c r="A832" s="257" t="str">
        <f>IFERROR(__xludf.DUMMYFUNCTION("""COMPUTED_VALUE"""),"area_prioritization_number")</f>
        <v>area_prioritization_number</v>
      </c>
      <c r="B832" s="258" t="str">
        <f>IFERROR(__xludf.DUMMYFUNCTION("""COMPUTED_VALUE"""),"Behavioral")</f>
        <v>Behavioral</v>
      </c>
      <c r="C832" s="258" t="str">
        <f>IFERROR(__xludf.DUMMYFUNCTION("""COMPUTED_VALUE"""),"Non-PII")</f>
        <v>Non-PII</v>
      </c>
      <c r="D832" s="258" t="str">
        <f>IFERROR(__xludf.DUMMYFUNCTION("""COMPUTED_VALUE"""),"Non-PII")</f>
        <v>Non-PII</v>
      </c>
      <c r="E832" s="258" t="str">
        <f>IFERROR(__xludf.DUMMYFUNCTION("""COMPUTED_VALUE"""),"Town prioritization of NTG where the migration will happen.")</f>
        <v>Town prioritization of NTG where the migration will happen.</v>
      </c>
      <c r="F832" s="258" t="str">
        <f>IFERROR(__xludf.DUMMYFUNCTION("""COMPUTED_VALUE"""),"Direct Pull")</f>
        <v>Direct Pull</v>
      </c>
      <c r="G832" s="258" t="str">
        <f>IFERROR(__xludf.DUMMYFUNCTION("""COMPUTED_VALUE"""),"varchar(1000)")</f>
        <v>varchar(1000)</v>
      </c>
      <c r="H832" s="258" t="str">
        <f>IFERROR(__xludf.DUMMYFUNCTION("""COMPUTED_VALUE"""),"Batch 1, Batch 2, . . .")</f>
        <v>Batch 1, Batch 2, . . .</v>
      </c>
      <c r="I832" s="258" t="str">
        <f>IFERROR(__xludf.DUMMYFUNCTION("""COMPUTED_VALUE"""),"EDO-UUP")</f>
        <v>EDO-UUP</v>
      </c>
      <c r="J832" s="258" t="str">
        <f>IFERROR(__xludf.DUMMYFUNCTION("""COMPUTED_VALUE"""),"Monthly")</f>
        <v>Monthly</v>
      </c>
      <c r="K832" s="258" t="str">
        <f>IFERROR(__xludf.DUMMYFUNCTION("""COMPUTED_VALUE"""),"")</f>
        <v/>
      </c>
      <c r="L832" s="258" t="str">
        <f>IFERROR(__xludf.DUMMYFUNCTION("""COMPUTED_VALUE"""),"GHP, GHP-PREPAID, TM, PW, GOMO, WIRELINE")</f>
        <v>GHP, GHP-PREPAID, TM, PW, GOMO, WIRELINE</v>
      </c>
      <c r="M832" s="258" t="str">
        <f>IFERROR(__xludf.DUMMYFUNCTION("""COMPUTED_VALUE"""),"Consumer, EG, SG, In house, IBG Traveler")</f>
        <v>Consumer, EG, SG, In house, IBG Traveler</v>
      </c>
      <c r="N832" s="258" t="str">
        <f>IFERROR(__xludf.DUMMYFUNCTION("""COMPUTED_VALUE"""),"adjustment")</f>
        <v>adjustment</v>
      </c>
      <c r="O832" s="258" t="str">
        <f>IFERROR(__xludf.DUMMYFUNCTION("""COMPUTED_VALUE"""),"adjustment_profile")</f>
        <v>adjustment_profile</v>
      </c>
      <c r="P832" s="258"/>
    </row>
    <row r="833">
      <c r="A833" s="257" t="str">
        <f>IFERROR(__xludf.DUMMYFUNCTION("""COMPUTED_VALUE"""),"sim_device_migration_description")</f>
        <v>sim_device_migration_description</v>
      </c>
      <c r="B833" s="258" t="str">
        <f>IFERROR(__xludf.DUMMYFUNCTION("""COMPUTED_VALUE"""),"Behavioral")</f>
        <v>Behavioral</v>
      </c>
      <c r="C833" s="258" t="str">
        <f>IFERROR(__xludf.DUMMYFUNCTION("""COMPUTED_VALUE"""),"Non-PII")</f>
        <v>Non-PII</v>
      </c>
      <c r="D833" s="258" t="str">
        <f>IFERROR(__xludf.DUMMYFUNCTION("""COMPUTED_VALUE"""),"Non-PII")</f>
        <v>Non-PII</v>
      </c>
      <c r="E833" s="258" t="str">
        <f>IFERROR(__xludf.DUMMYFUNCTION("""COMPUTED_VALUE"""),"A cohort of MSH to show the priority subscribers which will be needing Device and SIM migration. This is based on device capability (frequency level) and sim capability of the subscriber.")</f>
        <v>A cohort of MSH to show the priority subscribers which will be needing Device and SIM migration. This is based on device capability (frequency level) and sim capability of the subscriber.</v>
      </c>
      <c r="F833" s="258" t="str">
        <f>IFERROR(__xludf.DUMMYFUNCTION("""COMPUTED_VALUE"""),"Direct Pull")</f>
        <v>Direct Pull</v>
      </c>
      <c r="G833" s="258" t="str">
        <f>IFERROR(__xludf.DUMMYFUNCTION("""COMPUTED_VALUE"""),"varchar(1000)")</f>
        <v>varchar(1000)</v>
      </c>
      <c r="H833" s="258" t="str">
        <f>IFERROR(__xludf.DUMMYFUNCTION("""COMPUTED_VALUE"""),"LTE,SIM MIGRATION,5G LTE,SIM + DEVICE MIGRATION,DEVICE MIGRATION")</f>
        <v>LTE,SIM MIGRATION,5G LTE,SIM + DEVICE MIGRATION,DEVICE MIGRATION</v>
      </c>
      <c r="I833" s="258" t="str">
        <f>IFERROR(__xludf.DUMMYFUNCTION("""COMPUTED_VALUE"""),"EDO-UUP")</f>
        <v>EDO-UUP</v>
      </c>
      <c r="J833" s="258" t="str">
        <f>IFERROR(__xludf.DUMMYFUNCTION("""COMPUTED_VALUE"""),"Monthly")</f>
        <v>Monthly</v>
      </c>
      <c r="K833" s="258" t="str">
        <f>IFERROR(__xludf.DUMMYFUNCTION("""COMPUTED_VALUE"""),"")</f>
        <v/>
      </c>
      <c r="L833" s="258" t="str">
        <f>IFERROR(__xludf.DUMMYFUNCTION("""COMPUTED_VALUE"""),"GHP, GHP-PREPAID, TM, PW, GOMO, WIRELINE")</f>
        <v>GHP, GHP-PREPAID, TM, PW, GOMO, WIRELINE</v>
      </c>
      <c r="M833" s="258" t="str">
        <f>IFERROR(__xludf.DUMMYFUNCTION("""COMPUTED_VALUE"""),"Consumer, EG, SG, In house, IBG Traveler")</f>
        <v>Consumer, EG, SG, In house, IBG Traveler</v>
      </c>
      <c r="N833" s="258" t="str">
        <f>IFERROR(__xludf.DUMMYFUNCTION("""COMPUTED_VALUE"""),"adjustment")</f>
        <v>adjustment</v>
      </c>
      <c r="O833" s="258" t="str">
        <f>IFERROR(__xludf.DUMMYFUNCTION("""COMPUTED_VALUE"""),"adjustment_profile")</f>
        <v>adjustment_profile</v>
      </c>
      <c r="P833" s="258"/>
    </row>
    <row r="834">
      <c r="A834" s="257" t="str">
        <f>IFERROR(__xludf.DUMMYFUNCTION("""COMPUTED_VALUE"""),"business_priority_bucket_description")</f>
        <v>business_priority_bucket_description</v>
      </c>
      <c r="B834" s="258" t="str">
        <f>IFERROR(__xludf.DUMMYFUNCTION("""COMPUTED_VALUE"""),"Behavioral")</f>
        <v>Behavioral</v>
      </c>
      <c r="C834" s="258" t="str">
        <f>IFERROR(__xludf.DUMMYFUNCTION("""COMPUTED_VALUE"""),"Non-PII")</f>
        <v>Non-PII</v>
      </c>
      <c r="D834" s="258" t="str">
        <f>IFERROR(__xludf.DUMMYFUNCTION("""COMPUTED_VALUE"""),"Non-PII")</f>
        <v>Non-PII</v>
      </c>
      <c r="E834" s="258" t="str">
        <f>IFERROR(__xludf.DUMMYFUNCTION("""COMPUTED_VALUE"""),"A cohort of MSH to show the priority subscribers in terms of assumed/calculated revenue and tenure.")</f>
        <v>A cohort of MSH to show the priority subscribers in terms of assumed/calculated revenue and tenure.</v>
      </c>
      <c r="F834" s="258" t="str">
        <f>IFERROR(__xludf.DUMMYFUNCTION("""COMPUTED_VALUE"""),"Direct Pull")</f>
        <v>Direct Pull</v>
      </c>
      <c r="G834" s="258" t="str">
        <f>IFERROR(__xludf.DUMMYFUNCTION("""COMPUTED_VALUE"""),"varchar(1000)")</f>
        <v>varchar(1000)</v>
      </c>
      <c r="H834" s="258" t="str">
        <f>IFERROR(__xludf.DUMMYFUNCTION("""COMPUTED_VALUE"""),"PRIO 1, PRIO 2, . . .")</f>
        <v>PRIO 1, PRIO 2, . . .</v>
      </c>
      <c r="I834" s="258" t="str">
        <f>IFERROR(__xludf.DUMMYFUNCTION("""COMPUTED_VALUE"""),"EDO-UUP")</f>
        <v>EDO-UUP</v>
      </c>
      <c r="J834" s="258" t="str">
        <f>IFERROR(__xludf.DUMMYFUNCTION("""COMPUTED_VALUE"""),"Monthly")</f>
        <v>Monthly</v>
      </c>
      <c r="K834" s="258" t="str">
        <f>IFERROR(__xludf.DUMMYFUNCTION("""COMPUTED_VALUE"""),"")</f>
        <v/>
      </c>
      <c r="L834" s="258" t="str">
        <f>IFERROR(__xludf.DUMMYFUNCTION("""COMPUTED_VALUE"""),"GHP, GHP-PREPAID, TM, PW, GOMO, WIRELINE")</f>
        <v>GHP, GHP-PREPAID, TM, PW, GOMO, WIRELINE</v>
      </c>
      <c r="M834" s="258" t="str">
        <f>IFERROR(__xludf.DUMMYFUNCTION("""COMPUTED_VALUE"""),"Consumer, EG, SG, In house, IBG Traveler")</f>
        <v>Consumer, EG, SG, In house, IBG Traveler</v>
      </c>
      <c r="N834" s="258" t="str">
        <f>IFERROR(__xludf.DUMMYFUNCTION("""COMPUTED_VALUE"""),"adjustment")</f>
        <v>adjustment</v>
      </c>
      <c r="O834" s="258" t="str">
        <f>IFERROR(__xludf.DUMMYFUNCTION("""COMPUTED_VALUE"""),"adjustment_profile")</f>
        <v>adjustment_profile</v>
      </c>
      <c r="P834" s="258"/>
    </row>
    <row r="835">
      <c r="A835" s="257" t="str">
        <f>IFERROR(__xludf.DUMMYFUNCTION("""COMPUTED_VALUE"""),"change_sim_3g_4g_indicator")</f>
        <v>change_sim_3g_4g_indicator</v>
      </c>
      <c r="B835" s="258" t="str">
        <f>IFERROR(__xludf.DUMMYFUNCTION("""COMPUTED_VALUE"""),"Behavioral")</f>
        <v>Behavioral</v>
      </c>
      <c r="C835" s="258" t="str">
        <f>IFERROR(__xludf.DUMMYFUNCTION("""COMPUTED_VALUE"""),"Non-PII")</f>
        <v>Non-PII</v>
      </c>
      <c r="D835" s="258" t="str">
        <f>IFERROR(__xludf.DUMMYFUNCTION("""COMPUTED_VALUE"""),"Non-PII")</f>
        <v>Non-PII</v>
      </c>
      <c r="E835" s="258" t="str">
        <f>IFERROR(__xludf.DUMMYFUNCTION("""COMPUTED_VALUE"""),"Indicator if the subscriber changed their SIM from 2G/3G to 4G/5G during the observation period.")</f>
        <v>Indicator if the subscriber changed their SIM from 2G/3G to 4G/5G during the observation period.</v>
      </c>
      <c r="F835" s="258" t="str">
        <f>IFERROR(__xludf.DUMMYFUNCTION("""COMPUTED_VALUE"""),"Derived")</f>
        <v>Derived</v>
      </c>
      <c r="G835" s="258" t="str">
        <f>IFERROR(__xludf.DUMMYFUNCTION("""COMPUTED_VALUE"""),"boolean")</f>
        <v>boolean</v>
      </c>
      <c r="H835" s="258" t="str">
        <f>IFERROR(__xludf.DUMMYFUNCTION("""COMPUTED_VALUE"""),"TRUE/FALSE")</f>
        <v>TRUE/FALSE</v>
      </c>
      <c r="I835" s="258" t="str">
        <f>IFERROR(__xludf.DUMMYFUNCTION("""COMPUTED_VALUE"""),"EDO-UUP")</f>
        <v>EDO-UUP</v>
      </c>
      <c r="J835" s="258" t="str">
        <f>IFERROR(__xludf.DUMMYFUNCTION("""COMPUTED_VALUE"""),"Monthly")</f>
        <v>Monthly</v>
      </c>
      <c r="K835" s="258" t="str">
        <f>IFERROR(__xludf.DUMMYFUNCTION("""COMPUTED_VALUE"""),"")</f>
        <v/>
      </c>
      <c r="L835" s="258" t="str">
        <f>IFERROR(__xludf.DUMMYFUNCTION("""COMPUTED_VALUE"""),"GHP, GHP-PREPAID, TM")</f>
        <v>GHP, GHP-PREPAID, TM</v>
      </c>
      <c r="M835" s="258" t="str">
        <f>IFERROR(__xludf.DUMMYFUNCTION("""COMPUTED_VALUE"""),"Consumer, EG, SG, In house, IBG Traveler")</f>
        <v>Consumer, EG, SG, In house, IBG Traveler</v>
      </c>
      <c r="N835" s="258" t="str">
        <f>IFERROR(__xludf.DUMMYFUNCTION("""COMPUTED_VALUE"""),"adjustment")</f>
        <v>adjustment</v>
      </c>
      <c r="O835" s="258" t="str">
        <f>IFERROR(__xludf.DUMMYFUNCTION("""COMPUTED_VALUE"""),"adjustment_profile")</f>
        <v>adjustment_profile</v>
      </c>
      <c r="P835" s="258"/>
    </row>
    <row r="836">
      <c r="A836" s="257" t="str">
        <f>IFERROR(__xludf.DUMMYFUNCTION("""COMPUTED_VALUE"""),"sim_migration_whitelist_indicator")</f>
        <v>sim_migration_whitelist_indicator</v>
      </c>
      <c r="B836" s="258" t="str">
        <f>IFERROR(__xludf.DUMMYFUNCTION("""COMPUTED_VALUE"""),"Behavioral")</f>
        <v>Behavioral</v>
      </c>
      <c r="C836" s="258" t="str">
        <f>IFERROR(__xludf.DUMMYFUNCTION("""COMPUTED_VALUE"""),"Non-PII")</f>
        <v>Non-PII</v>
      </c>
      <c r="D836" s="258" t="str">
        <f>IFERROR(__xludf.DUMMYFUNCTION("""COMPUTED_VALUE"""),"Non-PII")</f>
        <v>Non-PII</v>
      </c>
      <c r="E836" s="258" t="str">
        <f>IFERROR(__xludf.DUMMYFUNCTION("""COMPUTED_VALUE"""),"Identified subscribers for SIM migration.")</f>
        <v>Identified subscribers for SIM migration.</v>
      </c>
      <c r="F836" s="258" t="str">
        <f>IFERROR(__xludf.DUMMYFUNCTION("""COMPUTED_VALUE"""),"Derived")</f>
        <v>Derived</v>
      </c>
      <c r="G836" s="258" t="str">
        <f>IFERROR(__xludf.DUMMYFUNCTION("""COMPUTED_VALUE"""),"boolean")</f>
        <v>boolean</v>
      </c>
      <c r="H836" s="258" t="str">
        <f>IFERROR(__xludf.DUMMYFUNCTION("""COMPUTED_VALUE"""),"TRUE/FALSE")</f>
        <v>TRUE/FALSE</v>
      </c>
      <c r="I836" s="258" t="str">
        <f>IFERROR(__xludf.DUMMYFUNCTION("""COMPUTED_VALUE"""),"EDO-UUP")</f>
        <v>EDO-UUP</v>
      </c>
      <c r="J836" s="258" t="str">
        <f>IFERROR(__xludf.DUMMYFUNCTION("""COMPUTED_VALUE"""),"Monthly")</f>
        <v>Monthly</v>
      </c>
      <c r="K836" s="258" t="str">
        <f>IFERROR(__xludf.DUMMYFUNCTION("""COMPUTED_VALUE"""),"")</f>
        <v/>
      </c>
      <c r="L836" s="258" t="str">
        <f>IFERROR(__xludf.DUMMYFUNCTION("""COMPUTED_VALUE"""),"GHP, GHP-PREPAID, TM")</f>
        <v>GHP, GHP-PREPAID, TM</v>
      </c>
      <c r="M836" s="258" t="str">
        <f>IFERROR(__xludf.DUMMYFUNCTION("""COMPUTED_VALUE"""),"Consumer, EG, SG, In house, IBG Traveler")</f>
        <v>Consumer, EG, SG, In house, IBG Traveler</v>
      </c>
      <c r="N836" s="258" t="str">
        <f>IFERROR(__xludf.DUMMYFUNCTION("""COMPUTED_VALUE"""),"adjustment")</f>
        <v>adjustment</v>
      </c>
      <c r="O836" s="258" t="str">
        <f>IFERROR(__xludf.DUMMYFUNCTION("""COMPUTED_VALUE"""),"adjustment_profile")</f>
        <v>adjustment_profile</v>
      </c>
      <c r="P836" s="258"/>
    </row>
    <row r="837">
      <c r="A837" s="257" t="str">
        <f>IFERROR(__xludf.DUMMYFUNCTION("""COMPUTED_VALUE"""),"passion_point_entertainment_indicator")</f>
        <v>passion_point_entertainment_indicator</v>
      </c>
      <c r="B837" s="258" t="str">
        <f>IFERROR(__xludf.DUMMYFUNCTION("""COMPUTED_VALUE"""),"Behavioral")</f>
        <v>Behavioral</v>
      </c>
      <c r="C837" s="258" t="str">
        <f>IFERROR(__xludf.DUMMYFUNCTION("""COMPUTED_VALUE"""),"Non-PII")</f>
        <v>Non-PII</v>
      </c>
      <c r="D837" s="258" t="str">
        <f>IFERROR(__xludf.DUMMYFUNCTION("""COMPUTED_VALUE"""),"Non-PII")</f>
        <v>Non-PII</v>
      </c>
      <c r="E837" s="258" t="str">
        <f>IFERROR(__xludf.DUMMYFUNCTION("""COMPUTED_VALUE"""),"Indicator if entertainment is a passion point of the subscriber based from Interest AI and the Postpaid Rightsizing model")</f>
        <v>Indicator if entertainment is a passion point of the subscriber based from Interest AI and the Postpaid Rightsizing model</v>
      </c>
      <c r="F837" s="258" t="str">
        <f>IFERROR(__xludf.DUMMYFUNCTION("""COMPUTED_VALUE"""),"Inferred")</f>
        <v>Inferred</v>
      </c>
      <c r="G837" s="258" t="str">
        <f>IFERROR(__xludf.DUMMYFUNCTION("""COMPUTED_VALUE"""),"boolean")</f>
        <v>boolean</v>
      </c>
      <c r="H837" s="258" t="b">
        <f>IFERROR(__xludf.DUMMYFUNCTION("""COMPUTED_VALUE"""),TRUE)</f>
        <v>1</v>
      </c>
      <c r="I837" s="258" t="str">
        <f>IFERROR(__xludf.DUMMYFUNCTION("""COMPUTED_VALUE"""),"MSH")</f>
        <v>MSH</v>
      </c>
      <c r="J837" s="258" t="str">
        <f>IFERROR(__xludf.DUMMYFUNCTION("""COMPUTED_VALUE"""),"Monthly")</f>
        <v>Monthly</v>
      </c>
      <c r="K837" s="258" t="str">
        <f>IFERROR(__xludf.DUMMYFUNCTION("""COMPUTED_VALUE"""),"")</f>
        <v/>
      </c>
      <c r="L837" s="258" t="str">
        <f>IFERROR(__xludf.DUMMYFUNCTION("""COMPUTED_VALUE"""),"GHP, GHP-PREPAID, TM, GOMO")</f>
        <v>GHP, GHP-PREPAID, TM, GOMO</v>
      </c>
      <c r="M837" s="258" t="str">
        <f>IFERROR(__xludf.DUMMYFUNCTION("""COMPUTED_VALUE"""),"Consumer, EG, SG, In house, IBG Traveler")</f>
        <v>Consumer, EG, SG, In house, IBG Traveler</v>
      </c>
      <c r="N837" s="258" t="str">
        <f>IFERROR(__xludf.DUMMYFUNCTION("""COMPUTED_VALUE"""),"network")</f>
        <v>network</v>
      </c>
      <c r="O837" s="258" t="str">
        <f>IFERROR(__xludf.DUMMYFUNCTION("""COMPUTED_VALUE"""),"network_profile")</f>
        <v>network_profile</v>
      </c>
      <c r="P837" s="258"/>
    </row>
    <row r="838">
      <c r="A838" s="257" t="str">
        <f>IFERROR(__xludf.DUMMYFUNCTION("""COMPUTED_VALUE"""),"passion_point_essentials_indicator")</f>
        <v>passion_point_essentials_indicator</v>
      </c>
      <c r="B838" s="258" t="str">
        <f>IFERROR(__xludf.DUMMYFUNCTION("""COMPUTED_VALUE"""),"Behavioral")</f>
        <v>Behavioral</v>
      </c>
      <c r="C838" s="258" t="str">
        <f>IFERROR(__xludf.DUMMYFUNCTION("""COMPUTED_VALUE"""),"Non-PII")</f>
        <v>Non-PII</v>
      </c>
      <c r="D838" s="258" t="str">
        <f>IFERROR(__xludf.DUMMYFUNCTION("""COMPUTED_VALUE"""),"Non-PII")</f>
        <v>Non-PII</v>
      </c>
      <c r="E838" s="258" t="str">
        <f>IFERROR(__xludf.DUMMYFUNCTION("""COMPUTED_VALUE"""),"Indicator if essentials is a passion point of the subscriber based from Interest AI and the Postpaid Rightsizing model")</f>
        <v>Indicator if essentials is a passion point of the subscriber based from Interest AI and the Postpaid Rightsizing model</v>
      </c>
      <c r="F838" s="258" t="str">
        <f>IFERROR(__xludf.DUMMYFUNCTION("""COMPUTED_VALUE"""),"Inferred")</f>
        <v>Inferred</v>
      </c>
      <c r="G838" s="258" t="str">
        <f>IFERROR(__xludf.DUMMYFUNCTION("""COMPUTED_VALUE"""),"boolean")</f>
        <v>boolean</v>
      </c>
      <c r="H838" s="258" t="b">
        <f>IFERROR(__xludf.DUMMYFUNCTION("""COMPUTED_VALUE"""),TRUE)</f>
        <v>1</v>
      </c>
      <c r="I838" s="258" t="str">
        <f>IFERROR(__xludf.DUMMYFUNCTION("""COMPUTED_VALUE"""),"MSH")</f>
        <v>MSH</v>
      </c>
      <c r="J838" s="258" t="str">
        <f>IFERROR(__xludf.DUMMYFUNCTION("""COMPUTED_VALUE"""),"Monthly")</f>
        <v>Monthly</v>
      </c>
      <c r="K838" s="258" t="str">
        <f>IFERROR(__xludf.DUMMYFUNCTION("""COMPUTED_VALUE"""),"")</f>
        <v/>
      </c>
      <c r="L838" s="258" t="str">
        <f>IFERROR(__xludf.DUMMYFUNCTION("""COMPUTED_VALUE"""),"GHP, GHP-PREPAID, TM, GOMO")</f>
        <v>GHP, GHP-PREPAID, TM, GOMO</v>
      </c>
      <c r="M838" s="258" t="str">
        <f>IFERROR(__xludf.DUMMYFUNCTION("""COMPUTED_VALUE"""),"Consumer, EG, SG, In house, IBG Traveler")</f>
        <v>Consumer, EG, SG, In house, IBG Traveler</v>
      </c>
      <c r="N838" s="258" t="str">
        <f>IFERROR(__xludf.DUMMYFUNCTION("""COMPUTED_VALUE"""),"network")</f>
        <v>network</v>
      </c>
      <c r="O838" s="258" t="str">
        <f>IFERROR(__xludf.DUMMYFUNCTION("""COMPUTED_VALUE"""),"network_profile")</f>
        <v>network_profile</v>
      </c>
      <c r="P838" s="258"/>
    </row>
    <row r="839">
      <c r="A839" s="257" t="str">
        <f>IFERROR(__xludf.DUMMYFUNCTION("""COMPUTED_VALUE"""),"passion_point_gaming_indicator")</f>
        <v>passion_point_gaming_indicator</v>
      </c>
      <c r="B839" s="258" t="str">
        <f>IFERROR(__xludf.DUMMYFUNCTION("""COMPUTED_VALUE"""),"Behavioral")</f>
        <v>Behavioral</v>
      </c>
      <c r="C839" s="258" t="str">
        <f>IFERROR(__xludf.DUMMYFUNCTION("""COMPUTED_VALUE"""),"Non-PII")</f>
        <v>Non-PII</v>
      </c>
      <c r="D839" s="258" t="str">
        <f>IFERROR(__xludf.DUMMYFUNCTION("""COMPUTED_VALUE"""),"Non-PII")</f>
        <v>Non-PII</v>
      </c>
      <c r="E839" s="258" t="str">
        <f>IFERROR(__xludf.DUMMYFUNCTION("""COMPUTED_VALUE"""),"Indicator if gaming is a passion point of the subscriber based from Interest AI and the Postpaid Rightsizing model")</f>
        <v>Indicator if gaming is a passion point of the subscriber based from Interest AI and the Postpaid Rightsizing model</v>
      </c>
      <c r="F839" s="258" t="str">
        <f>IFERROR(__xludf.DUMMYFUNCTION("""COMPUTED_VALUE"""),"Inferred")</f>
        <v>Inferred</v>
      </c>
      <c r="G839" s="258" t="str">
        <f>IFERROR(__xludf.DUMMYFUNCTION("""COMPUTED_VALUE"""),"boolean")</f>
        <v>boolean</v>
      </c>
      <c r="H839" s="258" t="b">
        <f>IFERROR(__xludf.DUMMYFUNCTION("""COMPUTED_VALUE"""),FALSE)</f>
        <v>0</v>
      </c>
      <c r="I839" s="258" t="str">
        <f>IFERROR(__xludf.DUMMYFUNCTION("""COMPUTED_VALUE"""),"MSH")</f>
        <v>MSH</v>
      </c>
      <c r="J839" s="258" t="str">
        <f>IFERROR(__xludf.DUMMYFUNCTION("""COMPUTED_VALUE"""),"Monthly")</f>
        <v>Monthly</v>
      </c>
      <c r="K839" s="258" t="str">
        <f>IFERROR(__xludf.DUMMYFUNCTION("""COMPUTED_VALUE"""),"")</f>
        <v/>
      </c>
      <c r="L839" s="258" t="str">
        <f>IFERROR(__xludf.DUMMYFUNCTION("""COMPUTED_VALUE"""),"GHP, GHP-PREPAID, TM, GOMO")</f>
        <v>GHP, GHP-PREPAID, TM, GOMO</v>
      </c>
      <c r="M839" s="258" t="str">
        <f>IFERROR(__xludf.DUMMYFUNCTION("""COMPUTED_VALUE"""),"Consumer, EG, SG, In house, IBG Traveler")</f>
        <v>Consumer, EG, SG, In house, IBG Traveler</v>
      </c>
      <c r="N839" s="258" t="str">
        <f>IFERROR(__xludf.DUMMYFUNCTION("""COMPUTED_VALUE"""),"network")</f>
        <v>network</v>
      </c>
      <c r="O839" s="258" t="str">
        <f>IFERROR(__xludf.DUMMYFUNCTION("""COMPUTED_VALUE"""),"network_profile")</f>
        <v>network_profile</v>
      </c>
      <c r="P839" s="258"/>
    </row>
    <row r="840">
      <c r="A840" s="257" t="str">
        <f>IFERROR(__xludf.DUMMYFUNCTION("""COMPUTED_VALUE"""),"passion_point_learning_indicator")</f>
        <v>passion_point_learning_indicator</v>
      </c>
      <c r="B840" s="258" t="str">
        <f>IFERROR(__xludf.DUMMYFUNCTION("""COMPUTED_VALUE"""),"Behavioral")</f>
        <v>Behavioral</v>
      </c>
      <c r="C840" s="258" t="str">
        <f>IFERROR(__xludf.DUMMYFUNCTION("""COMPUTED_VALUE"""),"Non-PII")</f>
        <v>Non-PII</v>
      </c>
      <c r="D840" s="258" t="str">
        <f>IFERROR(__xludf.DUMMYFUNCTION("""COMPUTED_VALUE"""),"Non-PII")</f>
        <v>Non-PII</v>
      </c>
      <c r="E840" s="258" t="str">
        <f>IFERROR(__xludf.DUMMYFUNCTION("""COMPUTED_VALUE"""),"Indicator if learning is a passion point of the subscriber based from Interest AI and the Postpaid Rightsizing model")</f>
        <v>Indicator if learning is a passion point of the subscriber based from Interest AI and the Postpaid Rightsizing model</v>
      </c>
      <c r="F840" s="258" t="str">
        <f>IFERROR(__xludf.DUMMYFUNCTION("""COMPUTED_VALUE"""),"Inferred")</f>
        <v>Inferred</v>
      </c>
      <c r="G840" s="258" t="str">
        <f>IFERROR(__xludf.DUMMYFUNCTION("""COMPUTED_VALUE"""),"boolean")</f>
        <v>boolean</v>
      </c>
      <c r="H840" s="258" t="b">
        <f>IFERROR(__xludf.DUMMYFUNCTION("""COMPUTED_VALUE"""),TRUE)</f>
        <v>1</v>
      </c>
      <c r="I840" s="258" t="str">
        <f>IFERROR(__xludf.DUMMYFUNCTION("""COMPUTED_VALUE"""),"MSH")</f>
        <v>MSH</v>
      </c>
      <c r="J840" s="258" t="str">
        <f>IFERROR(__xludf.DUMMYFUNCTION("""COMPUTED_VALUE"""),"Monthly")</f>
        <v>Monthly</v>
      </c>
      <c r="K840" s="258" t="str">
        <f>IFERROR(__xludf.DUMMYFUNCTION("""COMPUTED_VALUE"""),"")</f>
        <v/>
      </c>
      <c r="L840" s="258" t="str">
        <f>IFERROR(__xludf.DUMMYFUNCTION("""COMPUTED_VALUE"""),"GHP, GHP-PREPAID, TM, GOMO")</f>
        <v>GHP, GHP-PREPAID, TM, GOMO</v>
      </c>
      <c r="M840" s="258" t="str">
        <f>IFERROR(__xludf.DUMMYFUNCTION("""COMPUTED_VALUE"""),"Consumer, EG, SG, In house, IBG Traveler")</f>
        <v>Consumer, EG, SG, In house, IBG Traveler</v>
      </c>
      <c r="N840" s="258" t="str">
        <f>IFERROR(__xludf.DUMMYFUNCTION("""COMPUTED_VALUE"""),"network")</f>
        <v>network</v>
      </c>
      <c r="O840" s="258" t="str">
        <f>IFERROR(__xludf.DUMMYFUNCTION("""COMPUTED_VALUE"""),"network_profile")</f>
        <v>network_profile</v>
      </c>
      <c r="P840" s="258"/>
    </row>
    <row r="841">
      <c r="A841" s="257" t="str">
        <f>IFERROR(__xludf.DUMMYFUNCTION("""COMPUTED_VALUE"""),"passion_point_sports_indicator")</f>
        <v>passion_point_sports_indicator</v>
      </c>
      <c r="B841" s="258" t="str">
        <f>IFERROR(__xludf.DUMMYFUNCTION("""COMPUTED_VALUE"""),"Behavioral")</f>
        <v>Behavioral</v>
      </c>
      <c r="C841" s="258" t="str">
        <f>IFERROR(__xludf.DUMMYFUNCTION("""COMPUTED_VALUE"""),"Non-PII")</f>
        <v>Non-PII</v>
      </c>
      <c r="D841" s="258" t="str">
        <f>IFERROR(__xludf.DUMMYFUNCTION("""COMPUTED_VALUE"""),"Non-PII")</f>
        <v>Non-PII</v>
      </c>
      <c r="E841" s="258" t="str">
        <f>IFERROR(__xludf.DUMMYFUNCTION("""COMPUTED_VALUE"""),"Indicator if sports is a passion point of the subscriber based from Interest AI and the Postpaid Rightsizing model")</f>
        <v>Indicator if sports is a passion point of the subscriber based from Interest AI and the Postpaid Rightsizing model</v>
      </c>
      <c r="F841" s="258" t="str">
        <f>IFERROR(__xludf.DUMMYFUNCTION("""COMPUTED_VALUE"""),"Inferred")</f>
        <v>Inferred</v>
      </c>
      <c r="G841" s="258" t="str">
        <f>IFERROR(__xludf.DUMMYFUNCTION("""COMPUTED_VALUE"""),"boolean")</f>
        <v>boolean</v>
      </c>
      <c r="H841" s="258" t="b">
        <f>IFERROR(__xludf.DUMMYFUNCTION("""COMPUTED_VALUE"""),TRUE)</f>
        <v>1</v>
      </c>
      <c r="I841" s="258" t="str">
        <f>IFERROR(__xludf.DUMMYFUNCTION("""COMPUTED_VALUE"""),"MSH")</f>
        <v>MSH</v>
      </c>
      <c r="J841" s="258" t="str">
        <f>IFERROR(__xludf.DUMMYFUNCTION("""COMPUTED_VALUE"""),"Monthly")</f>
        <v>Monthly</v>
      </c>
      <c r="K841" s="258" t="str">
        <f>IFERROR(__xludf.DUMMYFUNCTION("""COMPUTED_VALUE"""),"")</f>
        <v/>
      </c>
      <c r="L841" s="258" t="str">
        <f>IFERROR(__xludf.DUMMYFUNCTION("""COMPUTED_VALUE"""),"GHP, GHP-PREPAID, TM, GOMO")</f>
        <v>GHP, GHP-PREPAID, TM, GOMO</v>
      </c>
      <c r="M841" s="258" t="str">
        <f>IFERROR(__xludf.DUMMYFUNCTION("""COMPUTED_VALUE"""),"Consumer, EG, SG, In house, IBG Traveler")</f>
        <v>Consumer, EG, SG, In house, IBG Traveler</v>
      </c>
      <c r="N841" s="258" t="str">
        <f>IFERROR(__xludf.DUMMYFUNCTION("""COMPUTED_VALUE"""),"network")</f>
        <v>network</v>
      </c>
      <c r="O841" s="258" t="str">
        <f>IFERROR(__xludf.DUMMYFUNCTION("""COMPUTED_VALUE"""),"network_profile")</f>
        <v>network_profile</v>
      </c>
      <c r="P841" s="258"/>
    </row>
    <row r="842">
      <c r="A842" s="257" t="str">
        <f>IFERROR(__xludf.DUMMYFUNCTION("""COMPUTED_VALUE"""),"passion_point_travel_indicator")</f>
        <v>passion_point_travel_indicator</v>
      </c>
      <c r="B842" s="258" t="str">
        <f>IFERROR(__xludf.DUMMYFUNCTION("""COMPUTED_VALUE"""),"Behavioral")</f>
        <v>Behavioral</v>
      </c>
      <c r="C842" s="258" t="str">
        <f>IFERROR(__xludf.DUMMYFUNCTION("""COMPUTED_VALUE"""),"Non-PII")</f>
        <v>Non-PII</v>
      </c>
      <c r="D842" s="258" t="str">
        <f>IFERROR(__xludf.DUMMYFUNCTION("""COMPUTED_VALUE"""),"Non-PII")</f>
        <v>Non-PII</v>
      </c>
      <c r="E842" s="258" t="str">
        <f>IFERROR(__xludf.DUMMYFUNCTION("""COMPUTED_VALUE"""),"Indicator if traveling is a passion point of the subscriber based from Interest AI and the Postpaid Rightsizing model")</f>
        <v>Indicator if traveling is a passion point of the subscriber based from Interest AI and the Postpaid Rightsizing model</v>
      </c>
      <c r="F842" s="258" t="str">
        <f>IFERROR(__xludf.DUMMYFUNCTION("""COMPUTED_VALUE"""),"Inferred")</f>
        <v>Inferred</v>
      </c>
      <c r="G842" s="258" t="str">
        <f>IFERROR(__xludf.DUMMYFUNCTION("""COMPUTED_VALUE"""),"boolean")</f>
        <v>boolean</v>
      </c>
      <c r="H842" s="258" t="b">
        <f>IFERROR(__xludf.DUMMYFUNCTION("""COMPUTED_VALUE"""),TRUE)</f>
        <v>1</v>
      </c>
      <c r="I842" s="258" t="str">
        <f>IFERROR(__xludf.DUMMYFUNCTION("""COMPUTED_VALUE"""),"MSH")</f>
        <v>MSH</v>
      </c>
      <c r="J842" s="258" t="str">
        <f>IFERROR(__xludf.DUMMYFUNCTION("""COMPUTED_VALUE"""),"Monthly")</f>
        <v>Monthly</v>
      </c>
      <c r="K842" s="258" t="str">
        <f>IFERROR(__xludf.DUMMYFUNCTION("""COMPUTED_VALUE"""),"")</f>
        <v/>
      </c>
      <c r="L842" s="258" t="str">
        <f>IFERROR(__xludf.DUMMYFUNCTION("""COMPUTED_VALUE"""),"GHP, GHP-PREPAID, TM, GOMO")</f>
        <v>GHP, GHP-PREPAID, TM, GOMO</v>
      </c>
      <c r="M842" s="258" t="str">
        <f>IFERROR(__xludf.DUMMYFUNCTION("""COMPUTED_VALUE"""),"Consumer, EG, SG, IBG Traveler")</f>
        <v>Consumer, EG, SG, IBG Traveler</v>
      </c>
      <c r="N842" s="258" t="str">
        <f>IFERROR(__xludf.DUMMYFUNCTION("""COMPUTED_VALUE"""),"network")</f>
        <v>network</v>
      </c>
      <c r="O842" s="258" t="str">
        <f>IFERROR(__xludf.DUMMYFUNCTION("""COMPUTED_VALUE"""),"network_profile")</f>
        <v>network_profile</v>
      </c>
      <c r="P842" s="258"/>
    </row>
    <row r="843">
      <c r="A843" s="257" t="str">
        <f>IFERROR(__xludf.DUMMYFUNCTION("""COMPUTED_VALUE"""),"passion_point_work_indicator")</f>
        <v>passion_point_work_indicator</v>
      </c>
      <c r="B843" s="258" t="str">
        <f>IFERROR(__xludf.DUMMYFUNCTION("""COMPUTED_VALUE"""),"Behavioral")</f>
        <v>Behavioral</v>
      </c>
      <c r="C843" s="258" t="str">
        <f>IFERROR(__xludf.DUMMYFUNCTION("""COMPUTED_VALUE"""),"Non-PII")</f>
        <v>Non-PII</v>
      </c>
      <c r="D843" s="258" t="str">
        <f>IFERROR(__xludf.DUMMYFUNCTION("""COMPUTED_VALUE"""),"Non-PII")</f>
        <v>Non-PII</v>
      </c>
      <c r="E843" s="258" t="str">
        <f>IFERROR(__xludf.DUMMYFUNCTION("""COMPUTED_VALUE"""),"Indicator if working is a passion point of the subscriber based from Interest AI and the Postpaid Rightsizing model")</f>
        <v>Indicator if working is a passion point of the subscriber based from Interest AI and the Postpaid Rightsizing model</v>
      </c>
      <c r="F843" s="258" t="str">
        <f>IFERROR(__xludf.DUMMYFUNCTION("""COMPUTED_VALUE"""),"Inferred")</f>
        <v>Inferred</v>
      </c>
      <c r="G843" s="258" t="str">
        <f>IFERROR(__xludf.DUMMYFUNCTION("""COMPUTED_VALUE"""),"boolean")</f>
        <v>boolean</v>
      </c>
      <c r="H843" s="258" t="b">
        <f>IFERROR(__xludf.DUMMYFUNCTION("""COMPUTED_VALUE"""),FALSE)</f>
        <v>0</v>
      </c>
      <c r="I843" s="258" t="str">
        <f>IFERROR(__xludf.DUMMYFUNCTION("""COMPUTED_VALUE"""),"MSH")</f>
        <v>MSH</v>
      </c>
      <c r="J843" s="258" t="str">
        <f>IFERROR(__xludf.DUMMYFUNCTION("""COMPUTED_VALUE"""),"Monthly")</f>
        <v>Monthly</v>
      </c>
      <c r="K843" s="258" t="str">
        <f>IFERROR(__xludf.DUMMYFUNCTION("""COMPUTED_VALUE"""),"")</f>
        <v/>
      </c>
      <c r="L843" s="258" t="str">
        <f>IFERROR(__xludf.DUMMYFUNCTION("""COMPUTED_VALUE"""),"GHP, GHP-PREPAID, TM, GOMO")</f>
        <v>GHP, GHP-PREPAID, TM, GOMO</v>
      </c>
      <c r="M843" s="258" t="str">
        <f>IFERROR(__xludf.DUMMYFUNCTION("""COMPUTED_VALUE"""),"Consumer, EG, SG, In house, IBG Traveler")</f>
        <v>Consumer, EG, SG, In house, IBG Traveler</v>
      </c>
      <c r="N843" s="258" t="str">
        <f>IFERROR(__xludf.DUMMYFUNCTION("""COMPUTED_VALUE"""),"network")</f>
        <v>network</v>
      </c>
      <c r="O843" s="258" t="str">
        <f>IFERROR(__xludf.DUMMYFUNCTION("""COMPUTED_VALUE"""),"network_profile")</f>
        <v>network_profile</v>
      </c>
      <c r="P843" s="258"/>
    </row>
    <row r="844">
      <c r="A844" s="257" t="str">
        <f>IFERROR(__xludf.DUMMYFUNCTION("""COMPUTED_VALUE"""),"passion_point_social_indicator")</f>
        <v>passion_point_social_indicator</v>
      </c>
      <c r="B844" s="258" t="str">
        <f>IFERROR(__xludf.DUMMYFUNCTION("""COMPUTED_VALUE"""),"Behavioral")</f>
        <v>Behavioral</v>
      </c>
      <c r="C844" s="258" t="str">
        <f>IFERROR(__xludf.DUMMYFUNCTION("""COMPUTED_VALUE"""),"Non-PII")</f>
        <v>Non-PII</v>
      </c>
      <c r="D844" s="258" t="str">
        <f>IFERROR(__xludf.DUMMYFUNCTION("""COMPUTED_VALUE"""),"Non-PII")</f>
        <v>Non-PII</v>
      </c>
      <c r="E844" s="258" t="str">
        <f>IFERROR(__xludf.DUMMYFUNCTION("""COMPUTED_VALUE"""),"Indicator if being social is a passion point of the subscriber based from Interest AI and the Postpaid Rightsizing model")</f>
        <v>Indicator if being social is a passion point of the subscriber based from Interest AI and the Postpaid Rightsizing model</v>
      </c>
      <c r="F844" s="258" t="str">
        <f>IFERROR(__xludf.DUMMYFUNCTION("""COMPUTED_VALUE"""),"Inferred")</f>
        <v>Inferred</v>
      </c>
      <c r="G844" s="258" t="str">
        <f>IFERROR(__xludf.DUMMYFUNCTION("""COMPUTED_VALUE"""),"boolean")</f>
        <v>boolean</v>
      </c>
      <c r="H844" s="258" t="b">
        <f>IFERROR(__xludf.DUMMYFUNCTION("""COMPUTED_VALUE"""),TRUE)</f>
        <v>1</v>
      </c>
      <c r="I844" s="258" t="str">
        <f>IFERROR(__xludf.DUMMYFUNCTION("""COMPUTED_VALUE"""),"MSH")</f>
        <v>MSH</v>
      </c>
      <c r="J844" s="258" t="str">
        <f>IFERROR(__xludf.DUMMYFUNCTION("""COMPUTED_VALUE"""),"Monthly")</f>
        <v>Monthly</v>
      </c>
      <c r="K844" s="258" t="str">
        <f>IFERROR(__xludf.DUMMYFUNCTION("""COMPUTED_VALUE"""),"")</f>
        <v/>
      </c>
      <c r="L844" s="258" t="str">
        <f>IFERROR(__xludf.DUMMYFUNCTION("""COMPUTED_VALUE"""),"GHP, GHP-PREPAID, TM, GOMO")</f>
        <v>GHP, GHP-PREPAID, TM, GOMO</v>
      </c>
      <c r="M844" s="258" t="str">
        <f>IFERROR(__xludf.DUMMYFUNCTION("""COMPUTED_VALUE"""),"Consumer, EG, SG, In house, IBG Traveler")</f>
        <v>Consumer, EG, SG, In house, IBG Traveler</v>
      </c>
      <c r="N844" s="258" t="str">
        <f>IFERROR(__xludf.DUMMYFUNCTION("""COMPUTED_VALUE"""),"network")</f>
        <v>network</v>
      </c>
      <c r="O844" s="258" t="str">
        <f>IFERROR(__xludf.DUMMYFUNCTION("""COMPUTED_VALUE"""),"network_profile")</f>
        <v>network_profile</v>
      </c>
      <c r="P844" s="258"/>
    </row>
    <row r="845">
      <c r="A845" s="257" t="str">
        <f>IFERROR(__xludf.DUMMYFUNCTION("""COMPUTED_VALUE"""),"work_location_urbanity_code")</f>
        <v>work_location_urbanity_code</v>
      </c>
      <c r="B845" s="258" t="str">
        <f>IFERROR(__xludf.DUMMYFUNCTION("""COMPUTED_VALUE"""),"Geographics")</f>
        <v>Geographics</v>
      </c>
      <c r="C845" s="258" t="str">
        <f>IFERROR(__xludf.DUMMYFUNCTION("""COMPUTED_VALUE"""),"Non-PII")</f>
        <v>Non-PII</v>
      </c>
      <c r="D845" s="258" t="str">
        <f>IFERROR(__xludf.DUMMYFUNCTION("""COMPUTED_VALUE"""),"Non-PII")</f>
        <v>Non-PII</v>
      </c>
      <c r="E845" s="258" t="str">
        <f>IFERROR(__xludf.DUMMYFUNCTION("""COMPUTED_VALUE"""),"Indicates if the user works in an urban area.
  R - Rural
  U - Urban")</f>
        <v>Indicates if the user works in an urban area.
  R - Rural
  U - Urban</v>
      </c>
      <c r="F845" s="258" t="str">
        <f>IFERROR(__xludf.DUMMYFUNCTION("""COMPUTED_VALUE"""),"Derived")</f>
        <v>Derived</v>
      </c>
      <c r="G845" s="258" t="str">
        <f>IFERROR(__xludf.DUMMYFUNCTION("""COMPUTED_VALUE"""),"varchar(1000)")</f>
        <v>varchar(1000)</v>
      </c>
      <c r="H845" s="258" t="str">
        <f>IFERROR(__xludf.DUMMYFUNCTION("""COMPUTED_VALUE"""),"R")</f>
        <v>R</v>
      </c>
      <c r="I845" s="258" t="str">
        <f>IFERROR(__xludf.DUMMYFUNCTION("""COMPUTED_VALUE"""),"917V")</f>
        <v>917V</v>
      </c>
      <c r="J845" s="258" t="str">
        <f>IFERROR(__xludf.DUMMYFUNCTION("""COMPUTED_VALUE"""),"Monthly")</f>
        <v>Monthly</v>
      </c>
      <c r="K845" s="258" t="str">
        <f>IFERROR(__xludf.DUMMYFUNCTION("""COMPUTED_VALUE"""),"")</f>
        <v/>
      </c>
      <c r="L845" s="258" t="str">
        <f>IFERROR(__xludf.DUMMYFUNCTION("""COMPUTED_VALUE"""),"GHP, GHP-PREPAID, TM, PW, GOMO, WIRELINE")</f>
        <v>GHP, GHP-PREPAID, TM, PW, GOMO, WIRELINE</v>
      </c>
      <c r="M845" s="258" t="str">
        <f>IFERROR(__xludf.DUMMYFUNCTION("""COMPUTED_VALUE"""),"Consumer, EG, SG, In house, IBG Traveler")</f>
        <v>Consumer, EG, SG, In house, IBG Traveler</v>
      </c>
      <c r="N845" s="258" t="str">
        <f>IFERROR(__xludf.DUMMYFUNCTION("""COMPUTED_VALUE"""),"network")</f>
        <v>network</v>
      </c>
      <c r="O845" s="258" t="str">
        <f>IFERROR(__xludf.DUMMYFUNCTION("""COMPUTED_VALUE"""),"network_profile")</f>
        <v>network_profile</v>
      </c>
      <c r="P845" s="258"/>
    </row>
    <row r="846">
      <c r="A846" s="257" t="str">
        <f>IFERROR(__xludf.DUMMYFUNCTION("""COMPUTED_VALUE"""),"home_location_urbanity_code")</f>
        <v>home_location_urbanity_code</v>
      </c>
      <c r="B846" s="258" t="str">
        <f>IFERROR(__xludf.DUMMYFUNCTION("""COMPUTED_VALUE"""),"Geographics")</f>
        <v>Geographics</v>
      </c>
      <c r="C846" s="258" t="str">
        <f>IFERROR(__xludf.DUMMYFUNCTION("""COMPUTED_VALUE"""),"Non-PII")</f>
        <v>Non-PII</v>
      </c>
      <c r="D846" s="258" t="str">
        <f>IFERROR(__xludf.DUMMYFUNCTION("""COMPUTED_VALUE"""),"Non-PII")</f>
        <v>Non-PII</v>
      </c>
      <c r="E846" s="258" t="str">
        <f>IFERROR(__xludf.DUMMYFUNCTION("""COMPUTED_VALUE"""),"Indicates if the user lives in an urban area.
  R - Rural
  U - Urban")</f>
        <v>Indicates if the user lives in an urban area.
  R - Rural
  U - Urban</v>
      </c>
      <c r="F846" s="258" t="str">
        <f>IFERROR(__xludf.DUMMYFUNCTION("""COMPUTED_VALUE"""),"Derived")</f>
        <v>Derived</v>
      </c>
      <c r="G846" s="258" t="str">
        <f>IFERROR(__xludf.DUMMYFUNCTION("""COMPUTED_VALUE"""),"varchar(1000)")</f>
        <v>varchar(1000)</v>
      </c>
      <c r="H846" s="258" t="str">
        <f>IFERROR(__xludf.DUMMYFUNCTION("""COMPUTED_VALUE"""),"U")</f>
        <v>U</v>
      </c>
      <c r="I846" s="258" t="str">
        <f>IFERROR(__xludf.DUMMYFUNCTION("""COMPUTED_VALUE"""),"917V")</f>
        <v>917V</v>
      </c>
      <c r="J846" s="258" t="str">
        <f>IFERROR(__xludf.DUMMYFUNCTION("""COMPUTED_VALUE"""),"Monthly")</f>
        <v>Monthly</v>
      </c>
      <c r="K846" s="258" t="str">
        <f>IFERROR(__xludf.DUMMYFUNCTION("""COMPUTED_VALUE"""),"")</f>
        <v/>
      </c>
      <c r="L846" s="258" t="str">
        <f>IFERROR(__xludf.DUMMYFUNCTION("""COMPUTED_VALUE"""),"GHP, GHP-PREPAID, TM, PW, GOMO, WIRELINE")</f>
        <v>GHP, GHP-PREPAID, TM, PW, GOMO, WIRELINE</v>
      </c>
      <c r="M846" s="258" t="str">
        <f>IFERROR(__xludf.DUMMYFUNCTION("""COMPUTED_VALUE"""),"Consumer, EG, SG, In house, IBG Traveler")</f>
        <v>Consumer, EG, SG, In house, IBG Traveler</v>
      </c>
      <c r="N846" s="258" t="str">
        <f>IFERROR(__xludf.DUMMYFUNCTION("""COMPUTED_VALUE"""),"network")</f>
        <v>network</v>
      </c>
      <c r="O846" s="258" t="str">
        <f>IFERROR(__xludf.DUMMYFUNCTION("""COMPUTED_VALUE"""),"network_profile")</f>
        <v>network_profile</v>
      </c>
      <c r="P846" s="258"/>
    </row>
    <row r="847">
      <c r="A847" s="257" t="str">
        <f>IFERROR(__xludf.DUMMYFUNCTION("""COMPUTED_VALUE"""),"latest_surf_alert_status_30days")</f>
        <v>latest_surf_alert_status_30days</v>
      </c>
      <c r="B847" s="258" t="str">
        <f>IFERROR(__xludf.DUMMYFUNCTION("""COMPUTED_VALUE"""),"Behavioral")</f>
        <v>Behavioral</v>
      </c>
      <c r="C847" s="258" t="str">
        <f>IFERROR(__xludf.DUMMYFUNCTION("""COMPUTED_VALUE"""),"Non-PII")</f>
        <v>Non-PII</v>
      </c>
      <c r="D847" s="258" t="str">
        <f>IFERROR(__xludf.DUMMYFUNCTION("""COMPUTED_VALUE"""),"Non-PII")</f>
        <v>Non-PII</v>
      </c>
      <c r="E847" s="258" t="str">
        <f>IFERROR(__xludf.DUMMYFUNCTION("""COMPUTED_VALUE"""),"The latest surf alert status of the subscriber for the past 30 days.")</f>
        <v>The latest surf alert status of the subscriber for the past 30 days.</v>
      </c>
      <c r="F847" s="258" t="str">
        <f>IFERROR(__xludf.DUMMYFUNCTION("""COMPUTED_VALUE"""),"Derived")</f>
        <v>Derived</v>
      </c>
      <c r="G847" s="258" t="str">
        <f>IFERROR(__xludf.DUMMYFUNCTION("""COMPUTED_VALUE"""),"varchar(1000)")</f>
        <v>varchar(1000)</v>
      </c>
      <c r="H847" s="258" t="str">
        <f>IFERROR(__xludf.DUMMYFUNCTION("""COMPUTED_VALUE"""),"ON")</f>
        <v>ON</v>
      </c>
      <c r="I847" s="258" t="str">
        <f>IFERROR(__xludf.DUMMYFUNCTION("""COMPUTED_VALUE"""),"MSH FVT")</f>
        <v>MSH FVT</v>
      </c>
      <c r="J847" s="258" t="str">
        <f>IFERROR(__xludf.DUMMYFUNCTION("""COMPUTED_VALUE"""),"Daily")</f>
        <v>Daily</v>
      </c>
      <c r="K847" s="258" t="str">
        <f>IFERROR(__xludf.DUMMYFUNCTION("""COMPUTED_VALUE"""),"")</f>
        <v/>
      </c>
      <c r="L847" s="258" t="str">
        <f>IFERROR(__xludf.DUMMYFUNCTION("""COMPUTED_VALUE"""),"GHP-PREPAID, TM, PW")</f>
        <v>GHP-PREPAID, TM, PW</v>
      </c>
      <c r="M847" s="258" t="str">
        <f>IFERROR(__xludf.DUMMYFUNCTION("""COMPUTED_VALUE"""),"Consumer, EG, SG, IBG Traveler")</f>
        <v>Consumer, EG, SG, IBG Traveler</v>
      </c>
      <c r="N847" s="258" t="str">
        <f>IFERROR(__xludf.DUMMYFUNCTION("""COMPUTED_VALUE"""),"availment")</f>
        <v>availment</v>
      </c>
      <c r="O847" s="258" t="str">
        <f>IFERROR(__xludf.DUMMYFUNCTION("""COMPUTED_VALUE"""),"availment_profile")</f>
        <v>availment_profile</v>
      </c>
      <c r="P847" s="258"/>
    </row>
    <row r="848">
      <c r="A848" s="257" t="str">
        <f>IFERROR(__xludf.DUMMYFUNCTION("""COMPUTED_VALUE"""),"globeone_active_user_180days_indicator")</f>
        <v>globeone_active_user_180days_indicator</v>
      </c>
      <c r="B848" s="258" t="str">
        <f>IFERROR(__xludf.DUMMYFUNCTION("""COMPUTED_VALUE"""),"Behavioral")</f>
        <v>Behavioral</v>
      </c>
      <c r="C848" s="258" t="str">
        <f>IFERROR(__xludf.DUMMYFUNCTION("""COMPUTED_VALUE"""),"Non-PII")</f>
        <v>Non-PII</v>
      </c>
      <c r="D848" s="258" t="str">
        <f>IFERROR(__xludf.DUMMYFUNCTION("""COMPUTED_VALUE"""),"Non-PII")</f>
        <v>Non-PII</v>
      </c>
      <c r="E848" s="258" t="str">
        <f>IFERROR(__xludf.DUMMYFUNCTION("""COMPUTED_VALUE"""),"Indicator if a user has any transaction in the GlobeOne App in the current to past 180 days")</f>
        <v>Indicator if a user has any transaction in the GlobeOne App in the current to past 180 days</v>
      </c>
      <c r="F848" s="258" t="str">
        <f>IFERROR(__xludf.DUMMYFUNCTION("""COMPUTED_VALUE"""),"Direct Pull")</f>
        <v>Direct Pull</v>
      </c>
      <c r="G848" s="258" t="str">
        <f>IFERROR(__xludf.DUMMYFUNCTION("""COMPUTED_VALUE"""),"boolean")</f>
        <v>boolean</v>
      </c>
      <c r="H848" s="258" t="b">
        <f>IFERROR(__xludf.DUMMYFUNCTION("""COMPUTED_VALUE"""),TRUE)</f>
        <v>1</v>
      </c>
      <c r="I848" s="258" t="str">
        <f>IFERROR(__xludf.DUMMYFUNCTION("""COMPUTED_VALUE"""),"DGT")</f>
        <v>DGT</v>
      </c>
      <c r="J848" s="258" t="str">
        <f>IFERROR(__xludf.DUMMYFUNCTION("""COMPUTED_VALUE"""),"Streaming")</f>
        <v>Streaming</v>
      </c>
      <c r="K848" s="258" t="str">
        <f>IFERROR(__xludf.DUMMYFUNCTION("""COMPUTED_VALUE"""),"")</f>
        <v/>
      </c>
      <c r="L848" s="258" t="str">
        <f>IFERROR(__xludf.DUMMYFUNCTION("""COMPUTED_VALUE"""),"GHP, GHP-PREPAID, TM, PW, WIRELINE, GLOBE")</f>
        <v>GHP, GHP-PREPAID, TM, PW, WIRELINE, GLOBE</v>
      </c>
      <c r="M848" s="258" t="str">
        <f>IFERROR(__xludf.DUMMYFUNCTION("""COMPUTED_VALUE"""),"Consumer, EG, SG, In house, IBG Traveler")</f>
        <v>Consumer, EG, SG, In house, IBG Traveler</v>
      </c>
      <c r="N848" s="258" t="str">
        <f>IFERROR(__xludf.DUMMYFUNCTION("""COMPUTED_VALUE"""),"channel")</f>
        <v>channel</v>
      </c>
      <c r="O848" s="258" t="str">
        <f>IFERROR(__xludf.DUMMYFUNCTION("""COMPUTED_VALUE"""),"channel_profile")</f>
        <v>channel_profile</v>
      </c>
      <c r="P848" s="258"/>
    </row>
    <row r="849">
      <c r="A849" s="257" t="str">
        <f>IFERROR(__xludf.DUMMYFUNCTION("""COMPUTED_VALUE"""),"globeone_active_user_60days_indicator")</f>
        <v>globeone_active_user_60days_indicator</v>
      </c>
      <c r="B849" s="258" t="str">
        <f>IFERROR(__xludf.DUMMYFUNCTION("""COMPUTED_VALUE"""),"Behavioral")</f>
        <v>Behavioral</v>
      </c>
      <c r="C849" s="258" t="str">
        <f>IFERROR(__xludf.DUMMYFUNCTION("""COMPUTED_VALUE"""),"Non-PII")</f>
        <v>Non-PII</v>
      </c>
      <c r="D849" s="258" t="str">
        <f>IFERROR(__xludf.DUMMYFUNCTION("""COMPUTED_VALUE"""),"Non-PII")</f>
        <v>Non-PII</v>
      </c>
      <c r="E849" s="258" t="str">
        <f>IFERROR(__xludf.DUMMYFUNCTION("""COMPUTED_VALUE"""),"Indicator if a user has any transaction in the GlobeOne App in the past 31 to 60 days")</f>
        <v>Indicator if a user has any transaction in the GlobeOne App in the past 31 to 60 days</v>
      </c>
      <c r="F849" s="258" t="str">
        <f>IFERROR(__xludf.DUMMYFUNCTION("""COMPUTED_VALUE"""),"Direct Pull")</f>
        <v>Direct Pull</v>
      </c>
      <c r="G849" s="258" t="str">
        <f>IFERROR(__xludf.DUMMYFUNCTION("""COMPUTED_VALUE"""),"boolean")</f>
        <v>boolean</v>
      </c>
      <c r="H849" s="258" t="b">
        <f>IFERROR(__xludf.DUMMYFUNCTION("""COMPUTED_VALUE"""),TRUE)</f>
        <v>1</v>
      </c>
      <c r="I849" s="258" t="str">
        <f>IFERROR(__xludf.DUMMYFUNCTION("""COMPUTED_VALUE"""),"DGT")</f>
        <v>DGT</v>
      </c>
      <c r="J849" s="258" t="str">
        <f>IFERROR(__xludf.DUMMYFUNCTION("""COMPUTED_VALUE"""),"Streaming")</f>
        <v>Streaming</v>
      </c>
      <c r="K849" s="258" t="str">
        <f>IFERROR(__xludf.DUMMYFUNCTION("""COMPUTED_VALUE"""),"")</f>
        <v/>
      </c>
      <c r="L849" s="258" t="str">
        <f>IFERROR(__xludf.DUMMYFUNCTION("""COMPUTED_VALUE"""),"GHP, GHP-PREPAID, TM, PW, WIRELINE, GLOBE")</f>
        <v>GHP, GHP-PREPAID, TM, PW, WIRELINE, GLOBE</v>
      </c>
      <c r="M849" s="258" t="str">
        <f>IFERROR(__xludf.DUMMYFUNCTION("""COMPUTED_VALUE"""),"Consumer, EG, SG, In house, IBG Traveler")</f>
        <v>Consumer, EG, SG, In house, IBG Traveler</v>
      </c>
      <c r="N849" s="258" t="str">
        <f>IFERROR(__xludf.DUMMYFUNCTION("""COMPUTED_VALUE"""),"channel")</f>
        <v>channel</v>
      </c>
      <c r="O849" s="258" t="str">
        <f>IFERROR(__xludf.DUMMYFUNCTION("""COMPUTED_VALUE"""),"channel_profile")</f>
        <v>channel_profile</v>
      </c>
      <c r="P849" s="258"/>
    </row>
    <row r="850">
      <c r="A850" s="257" t="str">
        <f>IFERROR(__xludf.DUMMYFUNCTION("""COMPUTED_VALUE"""),"globeone_active_user_30days_indicator")</f>
        <v>globeone_active_user_30days_indicator</v>
      </c>
      <c r="B850" s="258" t="str">
        <f>IFERROR(__xludf.DUMMYFUNCTION("""COMPUTED_VALUE"""),"Behavioral")</f>
        <v>Behavioral</v>
      </c>
      <c r="C850" s="258" t="str">
        <f>IFERROR(__xludf.DUMMYFUNCTION("""COMPUTED_VALUE"""),"Non-PII")</f>
        <v>Non-PII</v>
      </c>
      <c r="D850" s="258" t="str">
        <f>IFERROR(__xludf.DUMMYFUNCTION("""COMPUTED_VALUE"""),"Non-PII")</f>
        <v>Non-PII</v>
      </c>
      <c r="E850" s="258" t="str">
        <f>IFERROR(__xludf.DUMMYFUNCTION("""COMPUTED_VALUE"""),"Indicator if a user has any transaction in the GlobeOne App in the past 30 days")</f>
        <v>Indicator if a user has any transaction in the GlobeOne App in the past 30 days</v>
      </c>
      <c r="F850" s="258" t="str">
        <f>IFERROR(__xludf.DUMMYFUNCTION("""COMPUTED_VALUE"""),"Direct Pull")</f>
        <v>Direct Pull</v>
      </c>
      <c r="G850" s="258" t="str">
        <f>IFERROR(__xludf.DUMMYFUNCTION("""COMPUTED_VALUE"""),"boolean")</f>
        <v>boolean</v>
      </c>
      <c r="H850" s="258" t="b">
        <f>IFERROR(__xludf.DUMMYFUNCTION("""COMPUTED_VALUE"""),TRUE)</f>
        <v>1</v>
      </c>
      <c r="I850" s="258" t="str">
        <f>IFERROR(__xludf.DUMMYFUNCTION("""COMPUTED_VALUE"""),"DGT")</f>
        <v>DGT</v>
      </c>
      <c r="J850" s="258" t="str">
        <f>IFERROR(__xludf.DUMMYFUNCTION("""COMPUTED_VALUE"""),"Streaming")</f>
        <v>Streaming</v>
      </c>
      <c r="K850" s="258" t="str">
        <f>IFERROR(__xludf.DUMMYFUNCTION("""COMPUTED_VALUE"""),"")</f>
        <v/>
      </c>
      <c r="L850" s="258" t="str">
        <f>IFERROR(__xludf.DUMMYFUNCTION("""COMPUTED_VALUE"""),"GHP, GHP-PREPAID, TM, PW, WIRELINE, GLOBE")</f>
        <v>GHP, GHP-PREPAID, TM, PW, WIRELINE, GLOBE</v>
      </c>
      <c r="M850" s="258" t="str">
        <f>IFERROR(__xludf.DUMMYFUNCTION("""COMPUTED_VALUE"""),"Consumer, EG, SG, In house, IBG Traveler")</f>
        <v>Consumer, EG, SG, In house, IBG Traveler</v>
      </c>
      <c r="N850" s="258" t="str">
        <f>IFERROR(__xludf.DUMMYFUNCTION("""COMPUTED_VALUE"""),"channel")</f>
        <v>channel</v>
      </c>
      <c r="O850" s="258" t="str">
        <f>IFERROR(__xludf.DUMMYFUNCTION("""COMPUTED_VALUE"""),"channel_profile")</f>
        <v>channel_profile</v>
      </c>
      <c r="P850" s="258"/>
    </row>
    <row r="851">
      <c r="A851" s="257" t="str">
        <f>IFERROR(__xludf.DUMMYFUNCTION("""COMPUTED_VALUE"""),"usage_data_mb_past_mo1")</f>
        <v>usage_data_mb_past_mo1</v>
      </c>
      <c r="B851" s="258" t="str">
        <f>IFERROR(__xludf.DUMMYFUNCTION("""COMPUTED_VALUE"""),"Behavioral")</f>
        <v>Behavioral</v>
      </c>
      <c r="C851" s="258" t="str">
        <f>IFERROR(__xludf.DUMMYFUNCTION("""COMPUTED_VALUE"""),"Non-PII")</f>
        <v>Non-PII</v>
      </c>
      <c r="D851" s="258" t="str">
        <f>IFERROR(__xludf.DUMMYFUNCTION("""COMPUTED_VALUE"""),"Non-PII")</f>
        <v>Non-PII</v>
      </c>
      <c r="E851" s="258" t="str">
        <f>IFERROR(__xludf.DUMMYFUNCTION("""COMPUTED_VALUE"""),"Total volume of data usage in megabytes for the past month")</f>
        <v>Total volume of data usage in megabytes for the past month</v>
      </c>
      <c r="F851" s="258" t="str">
        <f>IFERROR(__xludf.DUMMYFUNCTION("""COMPUTED_VALUE"""),"Derived")</f>
        <v>Derived</v>
      </c>
      <c r="G851" s="258" t="str">
        <f>IFERROR(__xludf.DUMMYFUNCTION("""COMPUTED_VALUE"""),"numeric(21,2)")</f>
        <v>numeric(21,2)</v>
      </c>
      <c r="H851" s="258">
        <f>IFERROR(__xludf.DUMMYFUNCTION("""COMPUTED_VALUE"""),857.0)</f>
        <v>857</v>
      </c>
      <c r="I851" s="258" t="str">
        <f>IFERROR(__xludf.DUMMYFUNCTION("""COMPUTED_VALUE"""),"Broadband Marketing")</f>
        <v>Broadband Marketing</v>
      </c>
      <c r="J851" s="258" t="str">
        <f>IFERROR(__xludf.DUMMYFUNCTION("""COMPUTED_VALUE"""),"Monthy")</f>
        <v>Monthy</v>
      </c>
      <c r="K851" s="258" t="str">
        <f>IFERROR(__xludf.DUMMYFUNCTION("""COMPUTED_VALUE"""),"")</f>
        <v/>
      </c>
      <c r="L851" s="258" t="str">
        <f>IFERROR(__xludf.DUMMYFUNCTION("""COMPUTED_VALUE"""),"GHP, GHP-PREPAID, TM, PW, GOMO, WIRELINE, BAYAN, GLOBE")</f>
        <v>GHP, GHP-PREPAID, TM, PW, GOMO, WIRELINE, BAYAN, GLOBE</v>
      </c>
      <c r="M851" s="258" t="str">
        <f>IFERROR(__xludf.DUMMYFUNCTION("""COMPUTED_VALUE"""),"Consumer, EG, SG, In house, IBG Traveler")</f>
        <v>Consumer, EG, SG, In house, IBG Traveler</v>
      </c>
      <c r="N851" s="258" t="str">
        <f>IFERROR(__xludf.DUMMYFUNCTION("""COMPUTED_VALUE"""),"usage")</f>
        <v>usage</v>
      </c>
      <c r="O851" s="258" t="str">
        <f>IFERROR(__xludf.DUMMYFUNCTION("""COMPUTED_VALUE"""),"adjustment_profile")</f>
        <v>adjustment_profile</v>
      </c>
      <c r="P851" s="258"/>
    </row>
    <row r="852">
      <c r="A852" s="257" t="str">
        <f>IFERROR(__xludf.DUMMYFUNCTION("""COMPUTED_VALUE"""),"gid_b2b")</f>
        <v>gid_b2b</v>
      </c>
      <c r="B852" s="258" t="str">
        <f>IFERROR(__xludf.DUMMYFUNCTION("""COMPUTED_VALUE"""),"Globe ID")</f>
        <v>Globe ID</v>
      </c>
      <c r="C852" s="258" t="str">
        <f>IFERROR(__xludf.DUMMYFUNCTION("""COMPUTED_VALUE"""),"Non-PII")</f>
        <v>Non-PII</v>
      </c>
      <c r="D852" s="258" t="str">
        <f>IFERROR(__xludf.DUMMYFUNCTION("""COMPUTED_VALUE"""),"Non-PII")</f>
        <v>Non-PII</v>
      </c>
      <c r="E852" s="258" t="str">
        <f>IFERROR(__xludf.DUMMYFUNCTION("""COMPUTED_VALUE"""),"Globe ID inferred from business-to-business (B2B) model")</f>
        <v>Globe ID inferred from business-to-business (B2B) model</v>
      </c>
      <c r="F852" s="258" t="str">
        <f>IFERROR(__xludf.DUMMYFUNCTION("""COMPUTED_VALUE"""),"Direct Pull")</f>
        <v>Direct Pull</v>
      </c>
      <c r="G852" s="258" t="str">
        <f>IFERROR(__xludf.DUMMYFUNCTION("""COMPUTED_VALUE"""),"String")</f>
        <v>String</v>
      </c>
      <c r="H852" s="258">
        <f>IFERROR(__xludf.DUMMYFUNCTION("""COMPUTED_VALUE"""),36.0)</f>
        <v>36</v>
      </c>
      <c r="I852" s="258" t="str">
        <f>IFERROR(__xludf.DUMMYFUNCTION("""COMPUTED_VALUE"""),"CSSG-CDA")</f>
        <v>CSSG-CDA</v>
      </c>
      <c r="J852" s="258" t="str">
        <f>IFERROR(__xludf.DUMMYFUNCTION("""COMPUTED_VALUE"""),"Monthy")</f>
        <v>Monthy</v>
      </c>
      <c r="K852" s="258" t="str">
        <f>IFERROR(__xludf.DUMMYFUNCTION("""COMPUTED_VALUE"""),"")</f>
        <v/>
      </c>
      <c r="L852" s="258" t="str">
        <f>IFERROR(__xludf.DUMMYFUNCTION("""COMPUTED_VALUE"""),"BAYAN
GHP
GHP-PREPAID
GLOBE
PW
TM
WIRELINE")</f>
        <v>BAYAN
GHP
GHP-PREPAID
GLOBE
PW
TM
WIRELINE</v>
      </c>
      <c r="M852" s="258" t="str">
        <f>IFERROR(__xludf.DUMMYFUNCTION("""COMPUTED_VALUE"""),"EG, SG")</f>
        <v>EG, SG</v>
      </c>
      <c r="N852" s="258" t="str">
        <f>IFERROR(__xludf.DUMMYFUNCTION("""COMPUTED_VALUE"""),"customer")</f>
        <v>customer</v>
      </c>
      <c r="O852" s="258" t="str">
        <f>IFERROR(__xludf.DUMMYFUNCTION("""COMPUTED_VALUE"""),"customer_profile")</f>
        <v>customer_profile</v>
      </c>
      <c r="P852" s="258"/>
    </row>
    <row r="853">
      <c r="A853" s="257" t="str">
        <f>IFERROR(__xludf.DUMMYFUNCTION("""COMPUTED_VALUE"""),"mobility_index_daily")</f>
        <v>mobility_index_daily</v>
      </c>
      <c r="B853" s="258" t="str">
        <f>IFERROR(__xludf.DUMMYFUNCTION("""COMPUTED_VALUE"""),"Behavioral")</f>
        <v>Behavioral</v>
      </c>
      <c r="C853" s="258" t="str">
        <f>IFERROR(__xludf.DUMMYFUNCTION("""COMPUTED_VALUE"""),"Non-PII")</f>
        <v>Non-PII</v>
      </c>
      <c r="D853" s="258" t="str">
        <f>IFERROR(__xludf.DUMMYFUNCTION("""COMPUTED_VALUE"""),"Non-PII")</f>
        <v>Non-PII</v>
      </c>
      <c r="E853" s="258" t="str">
        <f>IFERROR(__xludf.DUMMYFUNCTION("""COMPUTED_VALUE"""),"Computed mobility index based on radius of gyration, travelled distance, and activity entropy based on daily top locations")</f>
        <v>Computed mobility index based on radius of gyration, travelled distance, and activity entropy based on daily top locations</v>
      </c>
      <c r="F853" s="258" t="str">
        <f>IFERROR(__xludf.DUMMYFUNCTION("""COMPUTED_VALUE"""),"Derived")</f>
        <v>Derived</v>
      </c>
      <c r="G853" s="258" t="str">
        <f>IFERROR(__xludf.DUMMYFUNCTION("""COMPUTED_VALUE"""),"numeric(19,4)")</f>
        <v>numeric(19,4)</v>
      </c>
      <c r="H853" s="258">
        <f>IFERROR(__xludf.DUMMYFUNCTION("""COMPUTED_VALUE"""),1.0)</f>
        <v>1</v>
      </c>
      <c r="I853" s="258" t="str">
        <f>IFERROR(__xludf.DUMMYFUNCTION("""COMPUTED_VALUE"""),"EDO-AA")</f>
        <v>EDO-AA</v>
      </c>
      <c r="J853" s="258" t="str">
        <f>IFERROR(__xludf.DUMMYFUNCTION("""COMPUTED_VALUE"""),"Daily")</f>
        <v>Daily</v>
      </c>
      <c r="K853" s="258" t="str">
        <f>IFERROR(__xludf.DUMMYFUNCTION("""COMPUTED_VALUE"""),"day-8")</f>
        <v>day-8</v>
      </c>
      <c r="L853" s="258" t="str">
        <f>IFERROR(__xludf.DUMMYFUNCTION("""COMPUTED_VALUE"""),"GHP, GHP-PREPAID, TM, PW, GOMO, WIRELINE")</f>
        <v>GHP, GHP-PREPAID, TM, PW, GOMO, WIRELINE</v>
      </c>
      <c r="M853" s="258" t="str">
        <f>IFERROR(__xludf.DUMMYFUNCTION("""COMPUTED_VALUE"""),"Consumer, EG, SG, In house, IBG Traveler")</f>
        <v>Consumer, EG, SG, In house, IBG Traveler</v>
      </c>
      <c r="N853" s="258" t="str">
        <f>IFERROR(__xludf.DUMMYFUNCTION("""COMPUTED_VALUE"""),"network")</f>
        <v>network</v>
      </c>
      <c r="O853" s="258" t="str">
        <f>IFERROR(__xludf.DUMMYFUNCTION("""COMPUTED_VALUE"""),"network_profile")</f>
        <v>network_profile</v>
      </c>
      <c r="P853" s="258"/>
    </row>
    <row r="854">
      <c r="A854" s="257" t="str">
        <f>IFERROR(__xludf.DUMMYFUNCTION("""COMPUTED_VALUE"""),"mobility_class_daily")</f>
        <v>mobility_class_daily</v>
      </c>
      <c r="B854" s="258" t="str">
        <f>IFERROR(__xludf.DUMMYFUNCTION("""COMPUTED_VALUE"""),"Behavioral")</f>
        <v>Behavioral</v>
      </c>
      <c r="C854" s="258" t="str">
        <f>IFERROR(__xludf.DUMMYFUNCTION("""COMPUTED_VALUE"""),"Non-PII")</f>
        <v>Non-PII</v>
      </c>
      <c r="D854" s="258" t="str">
        <f>IFERROR(__xludf.DUMMYFUNCTION("""COMPUTED_VALUE"""),"Non-PII")</f>
        <v>Non-PII</v>
      </c>
      <c r="E854" s="258" t="str">
        <f>IFERROR(__xludf.DUMMYFUNCTION("""COMPUTED_VALUE"""),"Mobility class bucket of the computed mobility index based on daily top locations whether LOW, MID or HIGH.")</f>
        <v>Mobility class bucket of the computed mobility index based on daily top locations whether LOW, MID or HIGH.</v>
      </c>
      <c r="F854" s="258" t="str">
        <f>IFERROR(__xludf.DUMMYFUNCTION("""COMPUTED_VALUE"""),"Inferred")</f>
        <v>Inferred</v>
      </c>
      <c r="G854" s="258" t="str">
        <f>IFERROR(__xludf.DUMMYFUNCTION("""COMPUTED_VALUE"""),"varchar(1000)")</f>
        <v>varchar(1000)</v>
      </c>
      <c r="H854" s="258" t="str">
        <f>IFERROR(__xludf.DUMMYFUNCTION("""COMPUTED_VALUE"""),"High")</f>
        <v>High</v>
      </c>
      <c r="I854" s="258" t="str">
        <f>IFERROR(__xludf.DUMMYFUNCTION("""COMPUTED_VALUE"""),"EDO-AA")</f>
        <v>EDO-AA</v>
      </c>
      <c r="J854" s="258" t="str">
        <f>IFERROR(__xludf.DUMMYFUNCTION("""COMPUTED_VALUE"""),"Daily")</f>
        <v>Daily</v>
      </c>
      <c r="K854" s="258" t="str">
        <f>IFERROR(__xludf.DUMMYFUNCTION("""COMPUTED_VALUE"""),"day-8")</f>
        <v>day-8</v>
      </c>
      <c r="L854" s="258" t="str">
        <f>IFERROR(__xludf.DUMMYFUNCTION("""COMPUTED_VALUE"""),"GHP, GHP-PREPAID, TM, PW, GOMO, WIRELINE")</f>
        <v>GHP, GHP-PREPAID, TM, PW, GOMO, WIRELINE</v>
      </c>
      <c r="M854" s="258" t="str">
        <f>IFERROR(__xludf.DUMMYFUNCTION("""COMPUTED_VALUE"""),"Consumer, EG, SG, In house, IBG Traveler")</f>
        <v>Consumer, EG, SG, In house, IBG Traveler</v>
      </c>
      <c r="N854" s="258" t="str">
        <f>IFERROR(__xludf.DUMMYFUNCTION("""COMPUTED_VALUE"""),"network")</f>
        <v>network</v>
      </c>
      <c r="O854" s="258" t="str">
        <f>IFERROR(__xludf.DUMMYFUNCTION("""COMPUTED_VALUE"""),"network_profile")</f>
        <v>network_profile</v>
      </c>
      <c r="P854" s="258"/>
    </row>
    <row r="855">
      <c r="A855" s="257" t="str">
        <f>IFERROR(__xludf.DUMMYFUNCTION("""COMPUTED_VALUE"""),"mobility_index_weekly")</f>
        <v>mobility_index_weekly</v>
      </c>
      <c r="B855" s="258" t="str">
        <f>IFERROR(__xludf.DUMMYFUNCTION("""COMPUTED_VALUE"""),"Behavioral")</f>
        <v>Behavioral</v>
      </c>
      <c r="C855" s="258" t="str">
        <f>IFERROR(__xludf.DUMMYFUNCTION("""COMPUTED_VALUE"""),"Non-PII")</f>
        <v>Non-PII</v>
      </c>
      <c r="D855" s="258" t="str">
        <f>IFERROR(__xludf.DUMMYFUNCTION("""COMPUTED_VALUE"""),"Non-PII")</f>
        <v>Non-PII</v>
      </c>
      <c r="E855" s="258" t="str">
        <f>IFERROR(__xludf.DUMMYFUNCTION("""COMPUTED_VALUE"""),"Computed mobility index based on radius of gyration, travelled distance, and activity entropy based on top locations in the last seven days")</f>
        <v>Computed mobility index based on radius of gyration, travelled distance, and activity entropy based on top locations in the last seven days</v>
      </c>
      <c r="F855" s="258" t="str">
        <f>IFERROR(__xludf.DUMMYFUNCTION("""COMPUTED_VALUE"""),"Inferred")</f>
        <v>Inferred</v>
      </c>
      <c r="G855" s="258" t="str">
        <f>IFERROR(__xludf.DUMMYFUNCTION("""COMPUTED_VALUE"""),"numeric(19,4)")</f>
        <v>numeric(19,4)</v>
      </c>
      <c r="H855" s="258">
        <f>IFERROR(__xludf.DUMMYFUNCTION("""COMPUTED_VALUE"""),1.0)</f>
        <v>1</v>
      </c>
      <c r="I855" s="258" t="str">
        <f>IFERROR(__xludf.DUMMYFUNCTION("""COMPUTED_VALUE"""),"EDO-AA")</f>
        <v>EDO-AA</v>
      </c>
      <c r="J855" s="258" t="str">
        <f>IFERROR(__xludf.DUMMYFUNCTION("""COMPUTED_VALUE"""),"Weekly")</f>
        <v>Weekly</v>
      </c>
      <c r="K855" s="258" t="str">
        <f>IFERROR(__xludf.DUMMYFUNCTION("""COMPUTED_VALUE"""),"mo-1")</f>
        <v>mo-1</v>
      </c>
      <c r="L855" s="258" t="str">
        <f>IFERROR(__xludf.DUMMYFUNCTION("""COMPUTED_VALUE"""),"GHP, GHP-PREPAID, TM, PW, GOMO, WIRELINE")</f>
        <v>GHP, GHP-PREPAID, TM, PW, GOMO, WIRELINE</v>
      </c>
      <c r="M855" s="258" t="str">
        <f>IFERROR(__xludf.DUMMYFUNCTION("""COMPUTED_VALUE"""),"Consumer, EG, SG, In house, IBG Traveler")</f>
        <v>Consumer, EG, SG, In house, IBG Traveler</v>
      </c>
      <c r="N855" s="258" t="str">
        <f>IFERROR(__xludf.DUMMYFUNCTION("""COMPUTED_VALUE"""),"network")</f>
        <v>network</v>
      </c>
      <c r="O855" s="258" t="str">
        <f>IFERROR(__xludf.DUMMYFUNCTION("""COMPUTED_VALUE"""),"network_profile")</f>
        <v>network_profile</v>
      </c>
      <c r="P855" s="258"/>
    </row>
    <row r="856">
      <c r="A856" s="257" t="str">
        <f>IFERROR(__xludf.DUMMYFUNCTION("""COMPUTED_VALUE"""),"mobility_class_weekly")</f>
        <v>mobility_class_weekly</v>
      </c>
      <c r="B856" s="258" t="str">
        <f>IFERROR(__xludf.DUMMYFUNCTION("""COMPUTED_VALUE"""),"Behavioral")</f>
        <v>Behavioral</v>
      </c>
      <c r="C856" s="258" t="str">
        <f>IFERROR(__xludf.DUMMYFUNCTION("""COMPUTED_VALUE"""),"Non-PII")</f>
        <v>Non-PII</v>
      </c>
      <c r="D856" s="258" t="str">
        <f>IFERROR(__xludf.DUMMYFUNCTION("""COMPUTED_VALUE"""),"Non-PII")</f>
        <v>Non-PII</v>
      </c>
      <c r="E856" s="258" t="str">
        <f>IFERROR(__xludf.DUMMYFUNCTION("""COMPUTED_VALUE"""),"Mobility class bucket of the computed mobility index based on top locations in the last seven days whether LOW, MID or HIGH.")</f>
        <v>Mobility class bucket of the computed mobility index based on top locations in the last seven days whether LOW, MID or HIGH.</v>
      </c>
      <c r="F856" s="258" t="str">
        <f>IFERROR(__xludf.DUMMYFUNCTION("""COMPUTED_VALUE"""),"Inferred")</f>
        <v>Inferred</v>
      </c>
      <c r="G856" s="258" t="str">
        <f>IFERROR(__xludf.DUMMYFUNCTION("""COMPUTED_VALUE"""),"varchar(1000)")</f>
        <v>varchar(1000)</v>
      </c>
      <c r="H856" s="258" t="str">
        <f>IFERROR(__xludf.DUMMYFUNCTION("""COMPUTED_VALUE"""),"High")</f>
        <v>High</v>
      </c>
      <c r="I856" s="258" t="str">
        <f>IFERROR(__xludf.DUMMYFUNCTION("""COMPUTED_VALUE"""),"EDO-AA")</f>
        <v>EDO-AA</v>
      </c>
      <c r="J856" s="258" t="str">
        <f>IFERROR(__xludf.DUMMYFUNCTION("""COMPUTED_VALUE"""),"Weekly")</f>
        <v>Weekly</v>
      </c>
      <c r="K856" s="258" t="str">
        <f>IFERROR(__xludf.DUMMYFUNCTION("""COMPUTED_VALUE"""),"mo-1")</f>
        <v>mo-1</v>
      </c>
      <c r="L856" s="258" t="str">
        <f>IFERROR(__xludf.DUMMYFUNCTION("""COMPUTED_VALUE"""),"GHP, GHP-PREPAID, TM, PW, GOMO, WIRELINE")</f>
        <v>GHP, GHP-PREPAID, TM, PW, GOMO, WIRELINE</v>
      </c>
      <c r="M856" s="258" t="str">
        <f>IFERROR(__xludf.DUMMYFUNCTION("""COMPUTED_VALUE"""),"Consumer, EG, SG, In house, IBG Traveler")</f>
        <v>Consumer, EG, SG, In house, IBG Traveler</v>
      </c>
      <c r="N856" s="258" t="str">
        <f>IFERROR(__xludf.DUMMYFUNCTION("""COMPUTED_VALUE"""),"network")</f>
        <v>network</v>
      </c>
      <c r="O856" s="258" t="str">
        <f>IFERROR(__xludf.DUMMYFUNCTION("""COMPUTED_VALUE"""),"network_profile")</f>
        <v>network_profile</v>
      </c>
      <c r="P856" s="258"/>
    </row>
    <row r="857">
      <c r="A857" s="257" t="str">
        <f>IFERROR(__xludf.DUMMYFUNCTION("""COMPUTED_VALUE"""),"mobility_index_monthly")</f>
        <v>mobility_index_monthly</v>
      </c>
      <c r="B857" s="258" t="str">
        <f>IFERROR(__xludf.DUMMYFUNCTION("""COMPUTED_VALUE"""),"Behavioral")</f>
        <v>Behavioral</v>
      </c>
      <c r="C857" s="258" t="str">
        <f>IFERROR(__xludf.DUMMYFUNCTION("""COMPUTED_VALUE"""),"Non-PII")</f>
        <v>Non-PII</v>
      </c>
      <c r="D857" s="258" t="str">
        <f>IFERROR(__xludf.DUMMYFUNCTION("""COMPUTED_VALUE"""),"Non-PII")</f>
        <v>Non-PII</v>
      </c>
      <c r="E857" s="258" t="str">
        <f>IFERROR(__xludf.DUMMYFUNCTION("""COMPUTED_VALUE"""),"Computed mobility index based on radius of gyration, travelled distance, and activity entropy based on top locations in the last month")</f>
        <v>Computed mobility index based on radius of gyration, travelled distance, and activity entropy based on top locations in the last month</v>
      </c>
      <c r="F857" s="258" t="str">
        <f>IFERROR(__xludf.DUMMYFUNCTION("""COMPUTED_VALUE"""),"Inferred")</f>
        <v>Inferred</v>
      </c>
      <c r="G857" s="258" t="str">
        <f>IFERROR(__xludf.DUMMYFUNCTION("""COMPUTED_VALUE"""),"numeric(19,4)")</f>
        <v>numeric(19,4)</v>
      </c>
      <c r="H857" s="258">
        <f>IFERROR(__xludf.DUMMYFUNCTION("""COMPUTED_VALUE"""),1.0)</f>
        <v>1</v>
      </c>
      <c r="I857" s="258" t="str">
        <f>IFERROR(__xludf.DUMMYFUNCTION("""COMPUTED_VALUE"""),"EDO-AA")</f>
        <v>EDO-AA</v>
      </c>
      <c r="J857" s="258" t="str">
        <f>IFERROR(__xludf.DUMMYFUNCTION("""COMPUTED_VALUE"""),"Monthly")</f>
        <v>Monthly</v>
      </c>
      <c r="K857" s="258" t="str">
        <f>IFERROR(__xludf.DUMMYFUNCTION("""COMPUTED_VALUE"""),"mo-1")</f>
        <v>mo-1</v>
      </c>
      <c r="L857" s="258" t="str">
        <f>IFERROR(__xludf.DUMMYFUNCTION("""COMPUTED_VALUE"""),"GHP, GHP-PREPAID, TM, PW, WIRELINE")</f>
        <v>GHP, GHP-PREPAID, TM, PW, WIRELINE</v>
      </c>
      <c r="M857" s="258" t="str">
        <f>IFERROR(__xludf.DUMMYFUNCTION("""COMPUTED_VALUE"""),"Consumer, EG, SG, In house, IBG Traveler")</f>
        <v>Consumer, EG, SG, In house, IBG Traveler</v>
      </c>
      <c r="N857" s="258" t="str">
        <f>IFERROR(__xludf.DUMMYFUNCTION("""COMPUTED_VALUE"""),"network")</f>
        <v>network</v>
      </c>
      <c r="O857" s="258" t="str">
        <f>IFERROR(__xludf.DUMMYFUNCTION("""COMPUTED_VALUE"""),"network_profile")</f>
        <v>network_profile</v>
      </c>
      <c r="P857" s="258"/>
    </row>
    <row r="858">
      <c r="A858" s="257" t="str">
        <f>IFERROR(__xludf.DUMMYFUNCTION("""COMPUTED_VALUE"""),"mobility_class_monthly")</f>
        <v>mobility_class_monthly</v>
      </c>
      <c r="B858" s="258" t="str">
        <f>IFERROR(__xludf.DUMMYFUNCTION("""COMPUTED_VALUE"""),"Behavioral")</f>
        <v>Behavioral</v>
      </c>
      <c r="C858" s="258" t="str">
        <f>IFERROR(__xludf.DUMMYFUNCTION("""COMPUTED_VALUE"""),"Non-PII")</f>
        <v>Non-PII</v>
      </c>
      <c r="D858" s="258" t="str">
        <f>IFERROR(__xludf.DUMMYFUNCTION("""COMPUTED_VALUE"""),"Non-PII")</f>
        <v>Non-PII</v>
      </c>
      <c r="E858" s="258" t="str">
        <f>IFERROR(__xludf.DUMMYFUNCTION("""COMPUTED_VALUE"""),"Mobility class bucket of the computed mobility index based on top locations in the last month whether LOW, MID or HIGH.")</f>
        <v>Mobility class bucket of the computed mobility index based on top locations in the last month whether LOW, MID or HIGH.</v>
      </c>
      <c r="F858" s="258" t="str">
        <f>IFERROR(__xludf.DUMMYFUNCTION("""COMPUTED_VALUE"""),"Inferred")</f>
        <v>Inferred</v>
      </c>
      <c r="G858" s="258" t="str">
        <f>IFERROR(__xludf.DUMMYFUNCTION("""COMPUTED_VALUE"""),"varchar(1000)")</f>
        <v>varchar(1000)</v>
      </c>
      <c r="H858" s="258" t="str">
        <f>IFERROR(__xludf.DUMMYFUNCTION("""COMPUTED_VALUE"""),"High")</f>
        <v>High</v>
      </c>
      <c r="I858" s="258" t="str">
        <f>IFERROR(__xludf.DUMMYFUNCTION("""COMPUTED_VALUE"""),"EDO-AA")</f>
        <v>EDO-AA</v>
      </c>
      <c r="J858" s="258" t="str">
        <f>IFERROR(__xludf.DUMMYFUNCTION("""COMPUTED_VALUE"""),"Monthly")</f>
        <v>Monthly</v>
      </c>
      <c r="K858" s="258" t="str">
        <f>IFERROR(__xludf.DUMMYFUNCTION("""COMPUTED_VALUE"""),"mo-1")</f>
        <v>mo-1</v>
      </c>
      <c r="L858" s="258" t="str">
        <f>IFERROR(__xludf.DUMMYFUNCTION("""COMPUTED_VALUE"""),"GHP, GHP-PREPAID, TM, PW, WIRELINE")</f>
        <v>GHP, GHP-PREPAID, TM, PW, WIRELINE</v>
      </c>
      <c r="M858" s="258" t="str">
        <f>IFERROR(__xludf.DUMMYFUNCTION("""COMPUTED_VALUE"""),"Consumer, EG, SG, In house, IBG Traveler")</f>
        <v>Consumer, EG, SG, In house, IBG Traveler</v>
      </c>
      <c r="N858" s="258" t="str">
        <f>IFERROR(__xludf.DUMMYFUNCTION("""COMPUTED_VALUE"""),"network")</f>
        <v>network</v>
      </c>
      <c r="O858" s="258" t="str">
        <f>IFERROR(__xludf.DUMMYFUNCTION("""COMPUTED_VALUE"""),"network_profile")</f>
        <v>network_profile</v>
      </c>
      <c r="P858" s="258"/>
    </row>
    <row r="859">
      <c r="A859" s="257" t="str">
        <f>IFERROR(__xludf.DUMMYFUNCTION("""COMPUTED_VALUE"""),"clv_survival_quarterly_segment")</f>
        <v>clv_survival_quarterly_segment</v>
      </c>
      <c r="B859" s="258" t="str">
        <f>IFERROR(__xludf.DUMMYFUNCTION("""COMPUTED_VALUE"""),"Loyalty &amp; Retention")</f>
        <v>Loyalty &amp; Retention</v>
      </c>
      <c r="C859" s="258" t="str">
        <f>IFERROR(__xludf.DUMMYFUNCTION("""COMPUTED_VALUE"""),"Non-PII")</f>
        <v>Non-PII</v>
      </c>
      <c r="D859" s="258" t="str">
        <f>IFERROR(__xludf.DUMMYFUNCTION("""COMPUTED_VALUE"""),"Non-PII")</f>
        <v>Non-PII</v>
      </c>
      <c r="E859" s="258" t="str">
        <f>IFERROR(__xludf.DUMMYFUNCTION("""COMPUTED_VALUE"""),"Inferred clv segment of subscribers based on their profile, updated quarterly and scored based on tenure")</f>
        <v>Inferred clv segment of subscribers based on their profile, updated quarterly and scored based on tenure</v>
      </c>
      <c r="F859" s="258" t="str">
        <f>IFERROR(__xludf.DUMMYFUNCTION("""COMPUTED_VALUE"""),"Inferred")</f>
        <v>Inferred</v>
      </c>
      <c r="G859" s="258" t="str">
        <f>IFERROR(__xludf.DUMMYFUNCTION("""COMPUTED_VALUE"""),"integer")</f>
        <v>integer</v>
      </c>
      <c r="H859" s="258">
        <f>IFERROR(__xludf.DUMMYFUNCTION("""COMPUTED_VALUE"""),8.0)</f>
        <v>8</v>
      </c>
      <c r="I859" s="258" t="str">
        <f>IFERROR(__xludf.DUMMYFUNCTION("""COMPUTED_VALUE"""),"EDO-AA")</f>
        <v>EDO-AA</v>
      </c>
      <c r="J859" s="258" t="str">
        <f>IFERROR(__xludf.DUMMYFUNCTION("""COMPUTED_VALUE"""),"Monthly")</f>
        <v>Monthly</v>
      </c>
      <c r="K859" s="258" t="str">
        <f>IFERROR(__xludf.DUMMYFUNCTION("""COMPUTED_VALUE"""),"")</f>
        <v/>
      </c>
      <c r="L859" s="258" t="str">
        <f>IFERROR(__xludf.DUMMYFUNCTION("""COMPUTED_VALUE"""),"GHP, GHP-PREPAID, TM")</f>
        <v>GHP, GHP-PREPAID, TM</v>
      </c>
      <c r="M859" s="258" t="str">
        <f>IFERROR(__xludf.DUMMYFUNCTION("""COMPUTED_VALUE"""),"Consumer")</f>
        <v>Consumer</v>
      </c>
      <c r="N859" s="258" t="str">
        <f>IFERROR(__xludf.DUMMYFUNCTION("""COMPUTED_VALUE"""),"revenue")</f>
        <v>revenue</v>
      </c>
      <c r="O859" s="258" t="str">
        <f>IFERROR(__xludf.DUMMYFUNCTION("""COMPUTED_VALUE"""),"revenue_profile")</f>
        <v>revenue_profile</v>
      </c>
      <c r="P859" s="258"/>
    </row>
    <row r="860">
      <c r="A860" s="257" t="str">
        <f>IFERROR(__xludf.DUMMYFUNCTION("""COMPUTED_VALUE"""),"clv_survival_quarterly_mo1")</f>
        <v>clv_survival_quarterly_mo1</v>
      </c>
      <c r="B860" s="258" t="str">
        <f>IFERROR(__xludf.DUMMYFUNCTION("""COMPUTED_VALUE"""),"Loyalty &amp; Retention")</f>
        <v>Loyalty &amp; Retention</v>
      </c>
      <c r="C860" s="258" t="str">
        <f>IFERROR(__xludf.DUMMYFUNCTION("""COMPUTED_VALUE"""),"Non-PII")</f>
        <v>Non-PII</v>
      </c>
      <c r="D860" s="258" t="str">
        <f>IFERROR(__xludf.DUMMYFUNCTION("""COMPUTED_VALUE"""),"Non-PII")</f>
        <v>Non-PII</v>
      </c>
      <c r="E860" s="258" t="str">
        <f>IFERROR(__xludf.DUMMYFUNCTION("""COMPUTED_VALUE"""),"Inferred probability of a subscriber's survival to the next month according to his/her identified cohort, updated quarterly and scored based on tenure")</f>
        <v>Inferred probability of a subscriber's survival to the next month according to his/her identified cohort, updated quarterly and scored based on tenure</v>
      </c>
      <c r="F860" s="258" t="str">
        <f>IFERROR(__xludf.DUMMYFUNCTION("""COMPUTED_VALUE"""),"Inferred")</f>
        <v>Inferred</v>
      </c>
      <c r="G860" s="258" t="str">
        <f>IFERROR(__xludf.DUMMYFUNCTION("""COMPUTED_VALUE"""),"numeric(21,2)")</f>
        <v>numeric(21,2)</v>
      </c>
      <c r="H860" s="258">
        <f>IFERROR(__xludf.DUMMYFUNCTION("""COMPUTED_VALUE"""),0.123456)</f>
        <v>0.123456</v>
      </c>
      <c r="I860" s="258" t="str">
        <f>IFERROR(__xludf.DUMMYFUNCTION("""COMPUTED_VALUE"""),"EDO-AA")</f>
        <v>EDO-AA</v>
      </c>
      <c r="J860" s="258" t="str">
        <f>IFERROR(__xludf.DUMMYFUNCTION("""COMPUTED_VALUE"""),"Monthly")</f>
        <v>Monthly</v>
      </c>
      <c r="K860" s="258" t="str">
        <f>IFERROR(__xludf.DUMMYFUNCTION("""COMPUTED_VALUE"""),"")</f>
        <v/>
      </c>
      <c r="L860" s="258" t="str">
        <f>IFERROR(__xludf.DUMMYFUNCTION("""COMPUTED_VALUE"""),"GHP, GHP-PREPAID, TM")</f>
        <v>GHP, GHP-PREPAID, TM</v>
      </c>
      <c r="M860" s="258" t="str">
        <f>IFERROR(__xludf.DUMMYFUNCTION("""COMPUTED_VALUE"""),"Consumer")</f>
        <v>Consumer</v>
      </c>
      <c r="N860" s="258" t="str">
        <f>IFERROR(__xludf.DUMMYFUNCTION("""COMPUTED_VALUE"""),"revenue")</f>
        <v>revenue</v>
      </c>
      <c r="O860" s="258" t="str">
        <f>IFERROR(__xludf.DUMMYFUNCTION("""COMPUTED_VALUE"""),"revenue_profile")</f>
        <v>revenue_profile</v>
      </c>
      <c r="P860" s="258"/>
    </row>
    <row r="861">
      <c r="A861" s="257" t="str">
        <f>IFERROR(__xludf.DUMMYFUNCTION("""COMPUTED_VALUE"""),"clv_survival_quarterly_mo2")</f>
        <v>clv_survival_quarterly_mo2</v>
      </c>
      <c r="B861" s="258" t="str">
        <f>IFERROR(__xludf.DUMMYFUNCTION("""COMPUTED_VALUE"""),"Loyalty &amp; Retention")</f>
        <v>Loyalty &amp; Retention</v>
      </c>
      <c r="C861" s="258" t="str">
        <f>IFERROR(__xludf.DUMMYFUNCTION("""COMPUTED_VALUE"""),"Non-PII")</f>
        <v>Non-PII</v>
      </c>
      <c r="D861" s="258" t="str">
        <f>IFERROR(__xludf.DUMMYFUNCTION("""COMPUTED_VALUE"""),"Non-PII")</f>
        <v>Non-PII</v>
      </c>
      <c r="E861" s="258" t="str">
        <f>IFERROR(__xludf.DUMMYFUNCTION("""COMPUTED_VALUE"""),"Inferred probability of a subscriber's survival to the next 2 months based on his/her identified cohort, updated quarterly and scored based on tenure")</f>
        <v>Inferred probability of a subscriber's survival to the next 2 months based on his/her identified cohort, updated quarterly and scored based on tenure</v>
      </c>
      <c r="F861" s="258" t="str">
        <f>IFERROR(__xludf.DUMMYFUNCTION("""COMPUTED_VALUE"""),"Inferred")</f>
        <v>Inferred</v>
      </c>
      <c r="G861" s="258" t="str">
        <f>IFERROR(__xludf.DUMMYFUNCTION("""COMPUTED_VALUE"""),"numeric(21,2)")</f>
        <v>numeric(21,2)</v>
      </c>
      <c r="H861" s="258">
        <f>IFERROR(__xludf.DUMMYFUNCTION("""COMPUTED_VALUE"""),0.123456)</f>
        <v>0.123456</v>
      </c>
      <c r="I861" s="258" t="str">
        <f>IFERROR(__xludf.DUMMYFUNCTION("""COMPUTED_VALUE"""),"EDO-AA")</f>
        <v>EDO-AA</v>
      </c>
      <c r="J861" s="258" t="str">
        <f>IFERROR(__xludf.DUMMYFUNCTION("""COMPUTED_VALUE"""),"Monthly")</f>
        <v>Monthly</v>
      </c>
      <c r="K861" s="258" t="str">
        <f>IFERROR(__xludf.DUMMYFUNCTION("""COMPUTED_VALUE"""),"")</f>
        <v/>
      </c>
      <c r="L861" s="258" t="str">
        <f>IFERROR(__xludf.DUMMYFUNCTION("""COMPUTED_VALUE"""),"GHP, GHP-PREPAID, TM")</f>
        <v>GHP, GHP-PREPAID, TM</v>
      </c>
      <c r="M861" s="258" t="str">
        <f>IFERROR(__xludf.DUMMYFUNCTION("""COMPUTED_VALUE"""),"Consumer")</f>
        <v>Consumer</v>
      </c>
      <c r="N861" s="258" t="str">
        <f>IFERROR(__xludf.DUMMYFUNCTION("""COMPUTED_VALUE"""),"revenue")</f>
        <v>revenue</v>
      </c>
      <c r="O861" s="258" t="str">
        <f>IFERROR(__xludf.DUMMYFUNCTION("""COMPUTED_VALUE"""),"revenue_profile")</f>
        <v>revenue_profile</v>
      </c>
      <c r="P861" s="258"/>
    </row>
    <row r="862">
      <c r="A862" s="257" t="str">
        <f>IFERROR(__xludf.DUMMYFUNCTION("""COMPUTED_VALUE"""),"clv_survival_quarterly_mo3")</f>
        <v>clv_survival_quarterly_mo3</v>
      </c>
      <c r="B862" s="258" t="str">
        <f>IFERROR(__xludf.DUMMYFUNCTION("""COMPUTED_VALUE"""),"Loyalty &amp; Retention")</f>
        <v>Loyalty &amp; Retention</v>
      </c>
      <c r="C862" s="258" t="str">
        <f>IFERROR(__xludf.DUMMYFUNCTION("""COMPUTED_VALUE"""),"Non-PII")</f>
        <v>Non-PII</v>
      </c>
      <c r="D862" s="258" t="str">
        <f>IFERROR(__xludf.DUMMYFUNCTION("""COMPUTED_VALUE"""),"Non-PII")</f>
        <v>Non-PII</v>
      </c>
      <c r="E862" s="258" t="str">
        <f>IFERROR(__xludf.DUMMYFUNCTION("""COMPUTED_VALUE"""),"Inferred probability of a subscriber's survival to the next 3 months based on his/her identified cohort, updated quarterly and scored based on tenure")</f>
        <v>Inferred probability of a subscriber's survival to the next 3 months based on his/her identified cohort, updated quarterly and scored based on tenure</v>
      </c>
      <c r="F862" s="258" t="str">
        <f>IFERROR(__xludf.DUMMYFUNCTION("""COMPUTED_VALUE"""),"Inferred")</f>
        <v>Inferred</v>
      </c>
      <c r="G862" s="258" t="str">
        <f>IFERROR(__xludf.DUMMYFUNCTION("""COMPUTED_VALUE"""),"numeric(21,2)")</f>
        <v>numeric(21,2)</v>
      </c>
      <c r="H862" s="258">
        <f>IFERROR(__xludf.DUMMYFUNCTION("""COMPUTED_VALUE"""),0.123456)</f>
        <v>0.123456</v>
      </c>
      <c r="I862" s="258" t="str">
        <f>IFERROR(__xludf.DUMMYFUNCTION("""COMPUTED_VALUE"""),"EDO-AA")</f>
        <v>EDO-AA</v>
      </c>
      <c r="J862" s="258" t="str">
        <f>IFERROR(__xludf.DUMMYFUNCTION("""COMPUTED_VALUE"""),"Monthly")</f>
        <v>Monthly</v>
      </c>
      <c r="K862" s="258" t="str">
        <f>IFERROR(__xludf.DUMMYFUNCTION("""COMPUTED_VALUE"""),"")</f>
        <v/>
      </c>
      <c r="L862" s="258" t="str">
        <f>IFERROR(__xludf.DUMMYFUNCTION("""COMPUTED_VALUE"""),"GHP, GHP-PREPAID, TM")</f>
        <v>GHP, GHP-PREPAID, TM</v>
      </c>
      <c r="M862" s="258" t="str">
        <f>IFERROR(__xludf.DUMMYFUNCTION("""COMPUTED_VALUE"""),"Consumer")</f>
        <v>Consumer</v>
      </c>
      <c r="N862" s="258" t="str">
        <f>IFERROR(__xludf.DUMMYFUNCTION("""COMPUTED_VALUE"""),"revenue")</f>
        <v>revenue</v>
      </c>
      <c r="O862" s="258" t="str">
        <f>IFERROR(__xludf.DUMMYFUNCTION("""COMPUTED_VALUE"""),"revenue_profile")</f>
        <v>revenue_profile</v>
      </c>
      <c r="P862" s="258"/>
    </row>
    <row r="863">
      <c r="A863" s="257" t="str">
        <f>IFERROR(__xludf.DUMMYFUNCTION("""COMPUTED_VALUE"""),"clv_survival_quarterly_mo4")</f>
        <v>clv_survival_quarterly_mo4</v>
      </c>
      <c r="B863" s="258" t="str">
        <f>IFERROR(__xludf.DUMMYFUNCTION("""COMPUTED_VALUE"""),"Loyalty &amp; Retention")</f>
        <v>Loyalty &amp; Retention</v>
      </c>
      <c r="C863" s="258" t="str">
        <f>IFERROR(__xludf.DUMMYFUNCTION("""COMPUTED_VALUE"""),"Non-PII")</f>
        <v>Non-PII</v>
      </c>
      <c r="D863" s="258" t="str">
        <f>IFERROR(__xludf.DUMMYFUNCTION("""COMPUTED_VALUE"""),"Non-PII")</f>
        <v>Non-PII</v>
      </c>
      <c r="E863" s="258" t="str">
        <f>IFERROR(__xludf.DUMMYFUNCTION("""COMPUTED_VALUE"""),"Inferred probability of a subscriber's survival to the next 4 months based on his/her identified cohort, updated quarterly and scored based on tenure")</f>
        <v>Inferred probability of a subscriber's survival to the next 4 months based on his/her identified cohort, updated quarterly and scored based on tenure</v>
      </c>
      <c r="F863" s="258" t="str">
        <f>IFERROR(__xludf.DUMMYFUNCTION("""COMPUTED_VALUE"""),"Inferred")</f>
        <v>Inferred</v>
      </c>
      <c r="G863" s="258" t="str">
        <f>IFERROR(__xludf.DUMMYFUNCTION("""COMPUTED_VALUE"""),"numeric(21,2)")</f>
        <v>numeric(21,2)</v>
      </c>
      <c r="H863" s="258">
        <f>IFERROR(__xludf.DUMMYFUNCTION("""COMPUTED_VALUE"""),0.123456)</f>
        <v>0.123456</v>
      </c>
      <c r="I863" s="258" t="str">
        <f>IFERROR(__xludf.DUMMYFUNCTION("""COMPUTED_VALUE"""),"EDO-AA")</f>
        <v>EDO-AA</v>
      </c>
      <c r="J863" s="258" t="str">
        <f>IFERROR(__xludf.DUMMYFUNCTION("""COMPUTED_VALUE"""),"Monthly")</f>
        <v>Monthly</v>
      </c>
      <c r="K863" s="258" t="str">
        <f>IFERROR(__xludf.DUMMYFUNCTION("""COMPUTED_VALUE"""),"")</f>
        <v/>
      </c>
      <c r="L863" s="258" t="str">
        <f>IFERROR(__xludf.DUMMYFUNCTION("""COMPUTED_VALUE"""),"GHP, GHP-PREPAID, TM")</f>
        <v>GHP, GHP-PREPAID, TM</v>
      </c>
      <c r="M863" s="258" t="str">
        <f>IFERROR(__xludf.DUMMYFUNCTION("""COMPUTED_VALUE"""),"Consumer")</f>
        <v>Consumer</v>
      </c>
      <c r="N863" s="258" t="str">
        <f>IFERROR(__xludf.DUMMYFUNCTION("""COMPUTED_VALUE"""),"revenue")</f>
        <v>revenue</v>
      </c>
      <c r="O863" s="258" t="str">
        <f>IFERROR(__xludf.DUMMYFUNCTION("""COMPUTED_VALUE"""),"revenue_profile")</f>
        <v>revenue_profile</v>
      </c>
      <c r="P863" s="258"/>
    </row>
    <row r="864">
      <c r="A864" s="257" t="str">
        <f>IFERROR(__xludf.DUMMYFUNCTION("""COMPUTED_VALUE"""),"clv_survival_quarterly_mo5")</f>
        <v>clv_survival_quarterly_mo5</v>
      </c>
      <c r="B864" s="258" t="str">
        <f>IFERROR(__xludf.DUMMYFUNCTION("""COMPUTED_VALUE"""),"Loyalty &amp; Retention")</f>
        <v>Loyalty &amp; Retention</v>
      </c>
      <c r="C864" s="258" t="str">
        <f>IFERROR(__xludf.DUMMYFUNCTION("""COMPUTED_VALUE"""),"Non-PII")</f>
        <v>Non-PII</v>
      </c>
      <c r="D864" s="258" t="str">
        <f>IFERROR(__xludf.DUMMYFUNCTION("""COMPUTED_VALUE"""),"Non-PII")</f>
        <v>Non-PII</v>
      </c>
      <c r="E864" s="258" t="str">
        <f>IFERROR(__xludf.DUMMYFUNCTION("""COMPUTED_VALUE"""),"Inferred probability of a subscriber's survival to the next 5 months based on his/her identified cohort, updated quarterly and scored based on tenure")</f>
        <v>Inferred probability of a subscriber's survival to the next 5 months based on his/her identified cohort, updated quarterly and scored based on tenure</v>
      </c>
      <c r="F864" s="258" t="str">
        <f>IFERROR(__xludf.DUMMYFUNCTION("""COMPUTED_VALUE"""),"Inferred")</f>
        <v>Inferred</v>
      </c>
      <c r="G864" s="258" t="str">
        <f>IFERROR(__xludf.DUMMYFUNCTION("""COMPUTED_VALUE"""),"numeric(21,2)")</f>
        <v>numeric(21,2)</v>
      </c>
      <c r="H864" s="258">
        <f>IFERROR(__xludf.DUMMYFUNCTION("""COMPUTED_VALUE"""),0.123456)</f>
        <v>0.123456</v>
      </c>
      <c r="I864" s="258" t="str">
        <f>IFERROR(__xludf.DUMMYFUNCTION("""COMPUTED_VALUE"""),"EDO-AA")</f>
        <v>EDO-AA</v>
      </c>
      <c r="J864" s="258" t="str">
        <f>IFERROR(__xludf.DUMMYFUNCTION("""COMPUTED_VALUE"""),"Monthly")</f>
        <v>Monthly</v>
      </c>
      <c r="K864" s="258" t="str">
        <f>IFERROR(__xludf.DUMMYFUNCTION("""COMPUTED_VALUE"""),"")</f>
        <v/>
      </c>
      <c r="L864" s="258" t="str">
        <f>IFERROR(__xludf.DUMMYFUNCTION("""COMPUTED_VALUE"""),"GHP, GHP-PREPAID, TM")</f>
        <v>GHP, GHP-PREPAID, TM</v>
      </c>
      <c r="M864" s="258" t="str">
        <f>IFERROR(__xludf.DUMMYFUNCTION("""COMPUTED_VALUE"""),"Consumer")</f>
        <v>Consumer</v>
      </c>
      <c r="N864" s="258" t="str">
        <f>IFERROR(__xludf.DUMMYFUNCTION("""COMPUTED_VALUE"""),"revenue")</f>
        <v>revenue</v>
      </c>
      <c r="O864" s="258" t="str">
        <f>IFERROR(__xludf.DUMMYFUNCTION("""COMPUTED_VALUE"""),"revenue_profile")</f>
        <v>revenue_profile</v>
      </c>
      <c r="P864" s="258"/>
    </row>
    <row r="865">
      <c r="A865" s="257" t="str">
        <f>IFERROR(__xludf.DUMMYFUNCTION("""COMPUTED_VALUE"""),"clv_survival_quarterly_mo6")</f>
        <v>clv_survival_quarterly_mo6</v>
      </c>
      <c r="B865" s="258" t="str">
        <f>IFERROR(__xludf.DUMMYFUNCTION("""COMPUTED_VALUE"""),"Loyalty &amp; Retention")</f>
        <v>Loyalty &amp; Retention</v>
      </c>
      <c r="C865" s="258" t="str">
        <f>IFERROR(__xludf.DUMMYFUNCTION("""COMPUTED_VALUE"""),"Non-PII")</f>
        <v>Non-PII</v>
      </c>
      <c r="D865" s="258" t="str">
        <f>IFERROR(__xludf.DUMMYFUNCTION("""COMPUTED_VALUE"""),"Non-PII")</f>
        <v>Non-PII</v>
      </c>
      <c r="E865" s="258" t="str">
        <f>IFERROR(__xludf.DUMMYFUNCTION("""COMPUTED_VALUE"""),"Inferred probability of a subscriber's survival to the next 6 months based on his/her identified cohort, updated quarterly and scored based on tenure")</f>
        <v>Inferred probability of a subscriber's survival to the next 6 months based on his/her identified cohort, updated quarterly and scored based on tenure</v>
      </c>
      <c r="F865" s="258" t="str">
        <f>IFERROR(__xludf.DUMMYFUNCTION("""COMPUTED_VALUE"""),"Inferred")</f>
        <v>Inferred</v>
      </c>
      <c r="G865" s="258" t="str">
        <f>IFERROR(__xludf.DUMMYFUNCTION("""COMPUTED_VALUE"""),"numeric(21,2)")</f>
        <v>numeric(21,2)</v>
      </c>
      <c r="H865" s="258">
        <f>IFERROR(__xludf.DUMMYFUNCTION("""COMPUTED_VALUE"""),0.123456)</f>
        <v>0.123456</v>
      </c>
      <c r="I865" s="258" t="str">
        <f>IFERROR(__xludf.DUMMYFUNCTION("""COMPUTED_VALUE"""),"EDO-AA")</f>
        <v>EDO-AA</v>
      </c>
      <c r="J865" s="258" t="str">
        <f>IFERROR(__xludf.DUMMYFUNCTION("""COMPUTED_VALUE"""),"Monthly")</f>
        <v>Monthly</v>
      </c>
      <c r="K865" s="258" t="str">
        <f>IFERROR(__xludf.DUMMYFUNCTION("""COMPUTED_VALUE"""),"")</f>
        <v/>
      </c>
      <c r="L865" s="258" t="str">
        <f>IFERROR(__xludf.DUMMYFUNCTION("""COMPUTED_VALUE"""),"GHP, GHP-PREPAID, TM")</f>
        <v>GHP, GHP-PREPAID, TM</v>
      </c>
      <c r="M865" s="258" t="str">
        <f>IFERROR(__xludf.DUMMYFUNCTION("""COMPUTED_VALUE"""),"Consumer")</f>
        <v>Consumer</v>
      </c>
      <c r="N865" s="258" t="str">
        <f>IFERROR(__xludf.DUMMYFUNCTION("""COMPUTED_VALUE"""),"revenue")</f>
        <v>revenue</v>
      </c>
      <c r="O865" s="258" t="str">
        <f>IFERROR(__xludf.DUMMYFUNCTION("""COMPUTED_VALUE"""),"revenue_profile")</f>
        <v>revenue_profile</v>
      </c>
      <c r="P865" s="258"/>
    </row>
    <row r="866">
      <c r="A866" s="257" t="str">
        <f>IFERROR(__xludf.DUMMYFUNCTION("""COMPUTED_VALUE"""),"clv_survival_quarterly_mo7")</f>
        <v>clv_survival_quarterly_mo7</v>
      </c>
      <c r="B866" s="258" t="str">
        <f>IFERROR(__xludf.DUMMYFUNCTION("""COMPUTED_VALUE"""),"Loyalty &amp; Retention")</f>
        <v>Loyalty &amp; Retention</v>
      </c>
      <c r="C866" s="258" t="str">
        <f>IFERROR(__xludf.DUMMYFUNCTION("""COMPUTED_VALUE"""),"Non-PII")</f>
        <v>Non-PII</v>
      </c>
      <c r="D866" s="258" t="str">
        <f>IFERROR(__xludf.DUMMYFUNCTION("""COMPUTED_VALUE"""),"Non-PII")</f>
        <v>Non-PII</v>
      </c>
      <c r="E866" s="258" t="str">
        <f>IFERROR(__xludf.DUMMYFUNCTION("""COMPUTED_VALUE"""),"Inferred probability of a subscriber's survival to the next 7 months based on his/her identified cohort, updated quarterly and scored based on tenure")</f>
        <v>Inferred probability of a subscriber's survival to the next 7 months based on his/her identified cohort, updated quarterly and scored based on tenure</v>
      </c>
      <c r="F866" s="258" t="str">
        <f>IFERROR(__xludf.DUMMYFUNCTION("""COMPUTED_VALUE"""),"Inferred")</f>
        <v>Inferred</v>
      </c>
      <c r="G866" s="258" t="str">
        <f>IFERROR(__xludf.DUMMYFUNCTION("""COMPUTED_VALUE"""),"numeric(21,2)")</f>
        <v>numeric(21,2)</v>
      </c>
      <c r="H866" s="258">
        <f>IFERROR(__xludf.DUMMYFUNCTION("""COMPUTED_VALUE"""),0.123456)</f>
        <v>0.123456</v>
      </c>
      <c r="I866" s="258" t="str">
        <f>IFERROR(__xludf.DUMMYFUNCTION("""COMPUTED_VALUE"""),"EDO-AA")</f>
        <v>EDO-AA</v>
      </c>
      <c r="J866" s="258" t="str">
        <f>IFERROR(__xludf.DUMMYFUNCTION("""COMPUTED_VALUE"""),"Monthly")</f>
        <v>Monthly</v>
      </c>
      <c r="K866" s="258" t="str">
        <f>IFERROR(__xludf.DUMMYFUNCTION("""COMPUTED_VALUE"""),"")</f>
        <v/>
      </c>
      <c r="L866" s="258" t="str">
        <f>IFERROR(__xludf.DUMMYFUNCTION("""COMPUTED_VALUE"""),"GHP, GHP-PREPAID, TM")</f>
        <v>GHP, GHP-PREPAID, TM</v>
      </c>
      <c r="M866" s="258" t="str">
        <f>IFERROR(__xludf.DUMMYFUNCTION("""COMPUTED_VALUE"""),"Consumer")</f>
        <v>Consumer</v>
      </c>
      <c r="N866" s="258" t="str">
        <f>IFERROR(__xludf.DUMMYFUNCTION("""COMPUTED_VALUE"""),"revenue")</f>
        <v>revenue</v>
      </c>
      <c r="O866" s="258" t="str">
        <f>IFERROR(__xludf.DUMMYFUNCTION("""COMPUTED_VALUE"""),"revenue_profile")</f>
        <v>revenue_profile</v>
      </c>
      <c r="P866" s="258"/>
    </row>
    <row r="867">
      <c r="A867" s="257" t="str">
        <f>IFERROR(__xludf.DUMMYFUNCTION("""COMPUTED_VALUE"""),"clv_survival_quarterly_mo8")</f>
        <v>clv_survival_quarterly_mo8</v>
      </c>
      <c r="B867" s="258" t="str">
        <f>IFERROR(__xludf.DUMMYFUNCTION("""COMPUTED_VALUE"""),"Loyalty &amp; Retention")</f>
        <v>Loyalty &amp; Retention</v>
      </c>
      <c r="C867" s="258" t="str">
        <f>IFERROR(__xludf.DUMMYFUNCTION("""COMPUTED_VALUE"""),"Non-PII")</f>
        <v>Non-PII</v>
      </c>
      <c r="D867" s="258" t="str">
        <f>IFERROR(__xludf.DUMMYFUNCTION("""COMPUTED_VALUE"""),"Non-PII")</f>
        <v>Non-PII</v>
      </c>
      <c r="E867" s="258" t="str">
        <f>IFERROR(__xludf.DUMMYFUNCTION("""COMPUTED_VALUE"""),"Inferred probability of a subscriber's survival to the next 8 months based on his/her identified cohort, updated quarterly and scored based on tenure")</f>
        <v>Inferred probability of a subscriber's survival to the next 8 months based on his/her identified cohort, updated quarterly and scored based on tenure</v>
      </c>
      <c r="F867" s="258" t="str">
        <f>IFERROR(__xludf.DUMMYFUNCTION("""COMPUTED_VALUE"""),"Inferred")</f>
        <v>Inferred</v>
      </c>
      <c r="G867" s="258" t="str">
        <f>IFERROR(__xludf.DUMMYFUNCTION("""COMPUTED_VALUE"""),"numeric(21,2)")</f>
        <v>numeric(21,2)</v>
      </c>
      <c r="H867" s="258">
        <f>IFERROR(__xludf.DUMMYFUNCTION("""COMPUTED_VALUE"""),0.123456)</f>
        <v>0.123456</v>
      </c>
      <c r="I867" s="258" t="str">
        <f>IFERROR(__xludf.DUMMYFUNCTION("""COMPUTED_VALUE"""),"EDO-AA")</f>
        <v>EDO-AA</v>
      </c>
      <c r="J867" s="258" t="str">
        <f>IFERROR(__xludf.DUMMYFUNCTION("""COMPUTED_VALUE"""),"Monthly")</f>
        <v>Monthly</v>
      </c>
      <c r="K867" s="258" t="str">
        <f>IFERROR(__xludf.DUMMYFUNCTION("""COMPUTED_VALUE"""),"")</f>
        <v/>
      </c>
      <c r="L867" s="258" t="str">
        <f>IFERROR(__xludf.DUMMYFUNCTION("""COMPUTED_VALUE"""),"GHP, GHP-PREPAID, TM")</f>
        <v>GHP, GHP-PREPAID, TM</v>
      </c>
      <c r="M867" s="258" t="str">
        <f>IFERROR(__xludf.DUMMYFUNCTION("""COMPUTED_VALUE"""),"Consumer")</f>
        <v>Consumer</v>
      </c>
      <c r="N867" s="258" t="str">
        <f>IFERROR(__xludf.DUMMYFUNCTION("""COMPUTED_VALUE"""),"revenue")</f>
        <v>revenue</v>
      </c>
      <c r="O867" s="258" t="str">
        <f>IFERROR(__xludf.DUMMYFUNCTION("""COMPUTED_VALUE"""),"revenue_profile")</f>
        <v>revenue_profile</v>
      </c>
      <c r="P867" s="258"/>
    </row>
    <row r="868">
      <c r="A868" s="257" t="str">
        <f>IFERROR(__xludf.DUMMYFUNCTION("""COMPUTED_VALUE"""),"clv_survival_quarterly_mo9")</f>
        <v>clv_survival_quarterly_mo9</v>
      </c>
      <c r="B868" s="258" t="str">
        <f>IFERROR(__xludf.DUMMYFUNCTION("""COMPUTED_VALUE"""),"Loyalty &amp; Retention")</f>
        <v>Loyalty &amp; Retention</v>
      </c>
      <c r="C868" s="258" t="str">
        <f>IFERROR(__xludf.DUMMYFUNCTION("""COMPUTED_VALUE"""),"Non-PII")</f>
        <v>Non-PII</v>
      </c>
      <c r="D868" s="258" t="str">
        <f>IFERROR(__xludf.DUMMYFUNCTION("""COMPUTED_VALUE"""),"Non-PII")</f>
        <v>Non-PII</v>
      </c>
      <c r="E868" s="258" t="str">
        <f>IFERROR(__xludf.DUMMYFUNCTION("""COMPUTED_VALUE"""),"Inferred probability of a subscriber's survival to the next 9 months based on his/her identified cohort, updated quarterly and scored based on tenure")</f>
        <v>Inferred probability of a subscriber's survival to the next 9 months based on his/her identified cohort, updated quarterly and scored based on tenure</v>
      </c>
      <c r="F868" s="258" t="str">
        <f>IFERROR(__xludf.DUMMYFUNCTION("""COMPUTED_VALUE"""),"Inferred")</f>
        <v>Inferred</v>
      </c>
      <c r="G868" s="258" t="str">
        <f>IFERROR(__xludf.DUMMYFUNCTION("""COMPUTED_VALUE"""),"numeric(21,2)")</f>
        <v>numeric(21,2)</v>
      </c>
      <c r="H868" s="258">
        <f>IFERROR(__xludf.DUMMYFUNCTION("""COMPUTED_VALUE"""),0.123456)</f>
        <v>0.123456</v>
      </c>
      <c r="I868" s="258" t="str">
        <f>IFERROR(__xludf.DUMMYFUNCTION("""COMPUTED_VALUE"""),"EDO-AA")</f>
        <v>EDO-AA</v>
      </c>
      <c r="J868" s="258" t="str">
        <f>IFERROR(__xludf.DUMMYFUNCTION("""COMPUTED_VALUE"""),"Monthly")</f>
        <v>Monthly</v>
      </c>
      <c r="K868" s="258" t="str">
        <f>IFERROR(__xludf.DUMMYFUNCTION("""COMPUTED_VALUE"""),"")</f>
        <v/>
      </c>
      <c r="L868" s="258" t="str">
        <f>IFERROR(__xludf.DUMMYFUNCTION("""COMPUTED_VALUE"""),"GHP, GHP-PREPAID, TM")</f>
        <v>GHP, GHP-PREPAID, TM</v>
      </c>
      <c r="M868" s="258" t="str">
        <f>IFERROR(__xludf.DUMMYFUNCTION("""COMPUTED_VALUE"""),"Consumer")</f>
        <v>Consumer</v>
      </c>
      <c r="N868" s="258" t="str">
        <f>IFERROR(__xludf.DUMMYFUNCTION("""COMPUTED_VALUE"""),"revenue")</f>
        <v>revenue</v>
      </c>
      <c r="O868" s="258" t="str">
        <f>IFERROR(__xludf.DUMMYFUNCTION("""COMPUTED_VALUE"""),"revenue_profile")</f>
        <v>revenue_profile</v>
      </c>
      <c r="P868" s="258"/>
    </row>
    <row r="869">
      <c r="A869" s="257" t="str">
        <f>IFERROR(__xludf.DUMMYFUNCTION("""COMPUTED_VALUE"""),"clv_survival_quarterly_mo10")</f>
        <v>clv_survival_quarterly_mo10</v>
      </c>
      <c r="B869" s="258" t="str">
        <f>IFERROR(__xludf.DUMMYFUNCTION("""COMPUTED_VALUE"""),"Loyalty &amp; Retention")</f>
        <v>Loyalty &amp; Retention</v>
      </c>
      <c r="C869" s="258" t="str">
        <f>IFERROR(__xludf.DUMMYFUNCTION("""COMPUTED_VALUE"""),"Non-PII")</f>
        <v>Non-PII</v>
      </c>
      <c r="D869" s="258" t="str">
        <f>IFERROR(__xludf.DUMMYFUNCTION("""COMPUTED_VALUE"""),"Non-PII")</f>
        <v>Non-PII</v>
      </c>
      <c r="E869" s="258" t="str">
        <f>IFERROR(__xludf.DUMMYFUNCTION("""COMPUTED_VALUE"""),"Inferred probability of a subscriber's survival to the next 10 months based on his/her identified cohort, updated quarterly and scored based on tenure")</f>
        <v>Inferred probability of a subscriber's survival to the next 10 months based on his/her identified cohort, updated quarterly and scored based on tenure</v>
      </c>
      <c r="F869" s="258" t="str">
        <f>IFERROR(__xludf.DUMMYFUNCTION("""COMPUTED_VALUE"""),"Inferred")</f>
        <v>Inferred</v>
      </c>
      <c r="G869" s="258" t="str">
        <f>IFERROR(__xludf.DUMMYFUNCTION("""COMPUTED_VALUE"""),"numeric(21,2)")</f>
        <v>numeric(21,2)</v>
      </c>
      <c r="H869" s="258">
        <f>IFERROR(__xludf.DUMMYFUNCTION("""COMPUTED_VALUE"""),0.123456)</f>
        <v>0.123456</v>
      </c>
      <c r="I869" s="258" t="str">
        <f>IFERROR(__xludf.DUMMYFUNCTION("""COMPUTED_VALUE"""),"EDO-AA")</f>
        <v>EDO-AA</v>
      </c>
      <c r="J869" s="258" t="str">
        <f>IFERROR(__xludf.DUMMYFUNCTION("""COMPUTED_VALUE"""),"Monthly")</f>
        <v>Monthly</v>
      </c>
      <c r="K869" s="258" t="str">
        <f>IFERROR(__xludf.DUMMYFUNCTION("""COMPUTED_VALUE"""),"")</f>
        <v/>
      </c>
      <c r="L869" s="258" t="str">
        <f>IFERROR(__xludf.DUMMYFUNCTION("""COMPUTED_VALUE"""),"GHP, GHP-PREPAID, TM")</f>
        <v>GHP, GHP-PREPAID, TM</v>
      </c>
      <c r="M869" s="258" t="str">
        <f>IFERROR(__xludf.DUMMYFUNCTION("""COMPUTED_VALUE"""),"Consumer")</f>
        <v>Consumer</v>
      </c>
      <c r="N869" s="258" t="str">
        <f>IFERROR(__xludf.DUMMYFUNCTION("""COMPUTED_VALUE"""),"revenue")</f>
        <v>revenue</v>
      </c>
      <c r="O869" s="258" t="str">
        <f>IFERROR(__xludf.DUMMYFUNCTION("""COMPUTED_VALUE"""),"revenue_profile")</f>
        <v>revenue_profile</v>
      </c>
      <c r="P869" s="258"/>
    </row>
    <row r="870">
      <c r="A870" s="257" t="str">
        <f>IFERROR(__xludf.DUMMYFUNCTION("""COMPUTED_VALUE"""),"clv_survival_quarterly_mo11")</f>
        <v>clv_survival_quarterly_mo11</v>
      </c>
      <c r="B870" s="258" t="str">
        <f>IFERROR(__xludf.DUMMYFUNCTION("""COMPUTED_VALUE"""),"Loyalty &amp; Retention")</f>
        <v>Loyalty &amp; Retention</v>
      </c>
      <c r="C870" s="258" t="str">
        <f>IFERROR(__xludf.DUMMYFUNCTION("""COMPUTED_VALUE"""),"Non-PII")</f>
        <v>Non-PII</v>
      </c>
      <c r="D870" s="258" t="str">
        <f>IFERROR(__xludf.DUMMYFUNCTION("""COMPUTED_VALUE"""),"Non-PII")</f>
        <v>Non-PII</v>
      </c>
      <c r="E870" s="258" t="str">
        <f>IFERROR(__xludf.DUMMYFUNCTION("""COMPUTED_VALUE"""),"Inferred probability of a subscriber's survival to the next 11 months based on his/her identified cohort, updated quarterly and scored based on tenure")</f>
        <v>Inferred probability of a subscriber's survival to the next 11 months based on his/her identified cohort, updated quarterly and scored based on tenure</v>
      </c>
      <c r="F870" s="258" t="str">
        <f>IFERROR(__xludf.DUMMYFUNCTION("""COMPUTED_VALUE"""),"Inferred")</f>
        <v>Inferred</v>
      </c>
      <c r="G870" s="258" t="str">
        <f>IFERROR(__xludf.DUMMYFUNCTION("""COMPUTED_VALUE"""),"numeric(21,2)")</f>
        <v>numeric(21,2)</v>
      </c>
      <c r="H870" s="258">
        <f>IFERROR(__xludf.DUMMYFUNCTION("""COMPUTED_VALUE"""),0.123456)</f>
        <v>0.123456</v>
      </c>
      <c r="I870" s="258" t="str">
        <f>IFERROR(__xludf.DUMMYFUNCTION("""COMPUTED_VALUE"""),"EDO-AA")</f>
        <v>EDO-AA</v>
      </c>
      <c r="J870" s="258" t="str">
        <f>IFERROR(__xludf.DUMMYFUNCTION("""COMPUTED_VALUE"""),"Monthly")</f>
        <v>Monthly</v>
      </c>
      <c r="K870" s="258" t="str">
        <f>IFERROR(__xludf.DUMMYFUNCTION("""COMPUTED_VALUE"""),"")</f>
        <v/>
      </c>
      <c r="L870" s="258" t="str">
        <f>IFERROR(__xludf.DUMMYFUNCTION("""COMPUTED_VALUE"""),"GHP, GHP-PREPAID, TM")</f>
        <v>GHP, GHP-PREPAID, TM</v>
      </c>
      <c r="M870" s="258" t="str">
        <f>IFERROR(__xludf.DUMMYFUNCTION("""COMPUTED_VALUE"""),"Consumer")</f>
        <v>Consumer</v>
      </c>
      <c r="N870" s="258" t="str">
        <f>IFERROR(__xludf.DUMMYFUNCTION("""COMPUTED_VALUE"""),"revenue")</f>
        <v>revenue</v>
      </c>
      <c r="O870" s="258" t="str">
        <f>IFERROR(__xludf.DUMMYFUNCTION("""COMPUTED_VALUE"""),"revenue_profile")</f>
        <v>revenue_profile</v>
      </c>
      <c r="P870" s="258"/>
    </row>
    <row r="871">
      <c r="A871" s="257" t="str">
        <f>IFERROR(__xludf.DUMMYFUNCTION("""COMPUTED_VALUE"""),"clv_survival_quarterly_mo12")</f>
        <v>clv_survival_quarterly_mo12</v>
      </c>
      <c r="B871" s="258" t="str">
        <f>IFERROR(__xludf.DUMMYFUNCTION("""COMPUTED_VALUE"""),"Loyalty &amp; Retention")</f>
        <v>Loyalty &amp; Retention</v>
      </c>
      <c r="C871" s="258" t="str">
        <f>IFERROR(__xludf.DUMMYFUNCTION("""COMPUTED_VALUE"""),"Non-PII")</f>
        <v>Non-PII</v>
      </c>
      <c r="D871" s="258" t="str">
        <f>IFERROR(__xludf.DUMMYFUNCTION("""COMPUTED_VALUE"""),"Non-PII")</f>
        <v>Non-PII</v>
      </c>
      <c r="E871" s="258" t="str">
        <f>IFERROR(__xludf.DUMMYFUNCTION("""COMPUTED_VALUE"""),"Inferred probability of a subscriber's survival to the next 12 months based on his/her identified cohort, updated quarterly and scored based on tenure")</f>
        <v>Inferred probability of a subscriber's survival to the next 12 months based on his/her identified cohort, updated quarterly and scored based on tenure</v>
      </c>
      <c r="F871" s="258" t="str">
        <f>IFERROR(__xludf.DUMMYFUNCTION("""COMPUTED_VALUE"""),"Inferred")</f>
        <v>Inferred</v>
      </c>
      <c r="G871" s="258" t="str">
        <f>IFERROR(__xludf.DUMMYFUNCTION("""COMPUTED_VALUE"""),"numeric(21,2)")</f>
        <v>numeric(21,2)</v>
      </c>
      <c r="H871" s="258">
        <f>IFERROR(__xludf.DUMMYFUNCTION("""COMPUTED_VALUE"""),0.123456)</f>
        <v>0.123456</v>
      </c>
      <c r="I871" s="258" t="str">
        <f>IFERROR(__xludf.DUMMYFUNCTION("""COMPUTED_VALUE"""),"EDO-AA")</f>
        <v>EDO-AA</v>
      </c>
      <c r="J871" s="258" t="str">
        <f>IFERROR(__xludf.DUMMYFUNCTION("""COMPUTED_VALUE"""),"Monthly")</f>
        <v>Monthly</v>
      </c>
      <c r="K871" s="258" t="str">
        <f>IFERROR(__xludf.DUMMYFUNCTION("""COMPUTED_VALUE"""),"")</f>
        <v/>
      </c>
      <c r="L871" s="258" t="str">
        <f>IFERROR(__xludf.DUMMYFUNCTION("""COMPUTED_VALUE"""),"GHP, GHP-PREPAID, TM")</f>
        <v>GHP, GHP-PREPAID, TM</v>
      </c>
      <c r="M871" s="258" t="str">
        <f>IFERROR(__xludf.DUMMYFUNCTION("""COMPUTED_VALUE"""),"Consumer")</f>
        <v>Consumer</v>
      </c>
      <c r="N871" s="258" t="str">
        <f>IFERROR(__xludf.DUMMYFUNCTION("""COMPUTED_VALUE"""),"revenue")</f>
        <v>revenue</v>
      </c>
      <c r="O871" s="258" t="str">
        <f>IFERROR(__xludf.DUMMYFUNCTION("""COMPUTED_VALUE"""),"revenue_profile")</f>
        <v>revenue_profile</v>
      </c>
      <c r="P871" s="258"/>
    </row>
    <row r="872">
      <c r="A872" s="257" t="str">
        <f>IFERROR(__xludf.DUMMYFUNCTION("""COMPUTED_VALUE"""),"superapp_reload_count_30days")</f>
        <v>superapp_reload_count_30days</v>
      </c>
      <c r="B872" s="258" t="str">
        <f>IFERROR(__xludf.DUMMYFUNCTION("""COMPUTED_VALUE"""),"Behavioral")</f>
        <v>Behavioral</v>
      </c>
      <c r="C872" s="258" t="str">
        <f>IFERROR(__xludf.DUMMYFUNCTION("""COMPUTED_VALUE"""),"Non-PII")</f>
        <v>Non-PII</v>
      </c>
      <c r="D872" s="258" t="str">
        <f>IFERROR(__xludf.DUMMYFUNCTION("""COMPUTED_VALUE"""),"Non-PII")</f>
        <v>Non-PII</v>
      </c>
      <c r="E872" s="258" t="str">
        <f>IFERROR(__xludf.DUMMYFUNCTION("""COMPUTED_VALUE"""),"Number of successful reload transactions in SuperApp in the past 30 days.")</f>
        <v>Number of successful reload transactions in SuperApp in the past 30 days.</v>
      </c>
      <c r="F872" s="258" t="str">
        <f>IFERROR(__xludf.DUMMYFUNCTION("""COMPUTED_VALUE"""),"Derived")</f>
        <v>Derived</v>
      </c>
      <c r="G872" s="258" t="str">
        <f>IFERROR(__xludf.DUMMYFUNCTION("""COMPUTED_VALUE"""),"integer")</f>
        <v>integer</v>
      </c>
      <c r="H872" s="258">
        <f>IFERROR(__xludf.DUMMYFUNCTION("""COMPUTED_VALUE"""),8.0)</f>
        <v>8</v>
      </c>
      <c r="I872" s="258" t="str">
        <f>IFERROR(__xludf.DUMMYFUNCTION("""COMPUTED_VALUE"""),"DGT")</f>
        <v>DGT</v>
      </c>
      <c r="J872" s="258" t="str">
        <f>IFERROR(__xludf.DUMMYFUNCTION("""COMPUTED_VALUE"""),"Daily")</f>
        <v>Daily</v>
      </c>
      <c r="K872" s="258" t="str">
        <f>IFERROR(__xludf.DUMMYFUNCTION("""COMPUTED_VALUE"""),"")</f>
        <v/>
      </c>
      <c r="L872" s="258" t="str">
        <f>IFERROR(__xludf.DUMMYFUNCTION("""COMPUTED_VALUE"""),"GHP-PREPAID, TM, PW, WIRELINE")</f>
        <v>GHP-PREPAID, TM, PW, WIRELINE</v>
      </c>
      <c r="M872" s="258" t="str">
        <f>IFERROR(__xludf.DUMMYFUNCTION("""COMPUTED_VALUE"""),"Consumer, EG, SG, IBG Traveler")</f>
        <v>Consumer, EG, SG, IBG Traveler</v>
      </c>
      <c r="N872" s="258" t="str">
        <f>IFERROR(__xludf.DUMMYFUNCTION("""COMPUTED_VALUE"""),"product")</f>
        <v>product</v>
      </c>
      <c r="O872" s="258" t="str">
        <f>IFERROR(__xludf.DUMMYFUNCTION("""COMPUTED_VALUE"""),"product_profile")</f>
        <v>product_profile</v>
      </c>
      <c r="P872" s="258"/>
    </row>
    <row r="873">
      <c r="A873" s="257" t="str">
        <f>IFERROR(__xludf.DUMMYFUNCTION("""COMPUTED_VALUE"""),"superapp_share_count_30days")</f>
        <v>superapp_share_count_30days</v>
      </c>
      <c r="B873" s="258" t="str">
        <f>IFERROR(__xludf.DUMMYFUNCTION("""COMPUTED_VALUE"""),"Behavioral")</f>
        <v>Behavioral</v>
      </c>
      <c r="C873" s="258" t="str">
        <f>IFERROR(__xludf.DUMMYFUNCTION("""COMPUTED_VALUE"""),"Non-PII")</f>
        <v>Non-PII</v>
      </c>
      <c r="D873" s="258" t="str">
        <f>IFERROR(__xludf.DUMMYFUNCTION("""COMPUTED_VALUE"""),"Non-PII")</f>
        <v>Non-PII</v>
      </c>
      <c r="E873" s="258" t="str">
        <f>IFERROR(__xludf.DUMMYFUNCTION("""COMPUTED_VALUE"""),"Number of successful share-a-promo or share-a-load transactions in SuperApp in the past 30 days.")</f>
        <v>Number of successful share-a-promo or share-a-load transactions in SuperApp in the past 30 days.</v>
      </c>
      <c r="F873" s="258" t="str">
        <f>IFERROR(__xludf.DUMMYFUNCTION("""COMPUTED_VALUE"""),"Derived")</f>
        <v>Derived</v>
      </c>
      <c r="G873" s="258" t="str">
        <f>IFERROR(__xludf.DUMMYFUNCTION("""COMPUTED_VALUE"""),"integer")</f>
        <v>integer</v>
      </c>
      <c r="H873" s="258">
        <f>IFERROR(__xludf.DUMMYFUNCTION("""COMPUTED_VALUE"""),50.0)</f>
        <v>50</v>
      </c>
      <c r="I873" s="258" t="str">
        <f>IFERROR(__xludf.DUMMYFUNCTION("""COMPUTED_VALUE"""),"DGT")</f>
        <v>DGT</v>
      </c>
      <c r="J873" s="258" t="str">
        <f>IFERROR(__xludf.DUMMYFUNCTION("""COMPUTED_VALUE"""),"Daily")</f>
        <v>Daily</v>
      </c>
      <c r="K873" s="258" t="str">
        <f>IFERROR(__xludf.DUMMYFUNCTION("""COMPUTED_VALUE"""),"")</f>
        <v/>
      </c>
      <c r="L873" s="258" t="str">
        <f>IFERROR(__xludf.DUMMYFUNCTION("""COMPUTED_VALUE"""),"GHP-PREPAID, TM, PW, WIRELINE")</f>
        <v>GHP-PREPAID, TM, PW, WIRELINE</v>
      </c>
      <c r="M873" s="258" t="str">
        <f>IFERROR(__xludf.DUMMYFUNCTION("""COMPUTED_VALUE"""),"Consumer, EG, SG, IBG Traveler")</f>
        <v>Consumer, EG, SG, IBG Traveler</v>
      </c>
      <c r="N873" s="258" t="str">
        <f>IFERROR(__xludf.DUMMYFUNCTION("""COMPUTED_VALUE"""),"product")</f>
        <v>product</v>
      </c>
      <c r="O873" s="258" t="str">
        <f>IFERROR(__xludf.DUMMYFUNCTION("""COMPUTED_VALUE"""),"product_profile")</f>
        <v>product_profile</v>
      </c>
      <c r="P873" s="258"/>
    </row>
    <row r="874">
      <c r="A874" s="257" t="str">
        <f>IFERROR(__xludf.DUMMYFUNCTION("""COMPUTED_VALUE"""),"superapp_loan_count_30days")</f>
        <v>superapp_loan_count_30days</v>
      </c>
      <c r="B874" s="258" t="str">
        <f>IFERROR(__xludf.DUMMYFUNCTION("""COMPUTED_VALUE"""),"Behavioral")</f>
        <v>Behavioral</v>
      </c>
      <c r="C874" s="258" t="str">
        <f>IFERROR(__xludf.DUMMYFUNCTION("""COMPUTED_VALUE"""),"Non-PII")</f>
        <v>Non-PII</v>
      </c>
      <c r="D874" s="258" t="str">
        <f>IFERROR(__xludf.DUMMYFUNCTION("""COMPUTED_VALUE"""),"Non-PII")</f>
        <v>Non-PII</v>
      </c>
      <c r="E874" s="258" t="str">
        <f>IFERROR(__xludf.DUMMYFUNCTION("""COMPUTED_VALUE"""),"Number of successful loan transactions in SuperApp in the past 30 days.")</f>
        <v>Number of successful loan transactions in SuperApp in the past 30 days.</v>
      </c>
      <c r="F874" s="258" t="str">
        <f>IFERROR(__xludf.DUMMYFUNCTION("""COMPUTED_VALUE"""),"Derived")</f>
        <v>Derived</v>
      </c>
      <c r="G874" s="258" t="str">
        <f>IFERROR(__xludf.DUMMYFUNCTION("""COMPUTED_VALUE"""),"integer")</f>
        <v>integer</v>
      </c>
      <c r="H874" s="258">
        <f>IFERROR(__xludf.DUMMYFUNCTION("""COMPUTED_VALUE"""),10.0)</f>
        <v>10</v>
      </c>
      <c r="I874" s="258" t="str">
        <f>IFERROR(__xludf.DUMMYFUNCTION("""COMPUTED_VALUE"""),"DGT")</f>
        <v>DGT</v>
      </c>
      <c r="J874" s="258" t="str">
        <f>IFERROR(__xludf.DUMMYFUNCTION("""COMPUTED_VALUE"""),"Daily")</f>
        <v>Daily</v>
      </c>
      <c r="K874" s="258" t="str">
        <f>IFERROR(__xludf.DUMMYFUNCTION("""COMPUTED_VALUE"""),"")</f>
        <v/>
      </c>
      <c r="L874" s="258" t="str">
        <f>IFERROR(__xludf.DUMMYFUNCTION("""COMPUTED_VALUE"""),"GHP-PREPAID, TM, WIRELINE")</f>
        <v>GHP-PREPAID, TM, WIRELINE</v>
      </c>
      <c r="M874" s="258" t="str">
        <f>IFERROR(__xludf.DUMMYFUNCTION("""COMPUTED_VALUE"""),"Consumer, IBG Traveler")</f>
        <v>Consumer, IBG Traveler</v>
      </c>
      <c r="N874" s="258" t="str">
        <f>IFERROR(__xludf.DUMMYFUNCTION("""COMPUTED_VALUE"""),"product")</f>
        <v>product</v>
      </c>
      <c r="O874" s="258" t="str">
        <f>IFERROR(__xludf.DUMMYFUNCTION("""COMPUTED_VALUE"""),"product_profile")</f>
        <v>product_profile</v>
      </c>
      <c r="P874" s="258"/>
    </row>
    <row r="875">
      <c r="A875" s="257" t="str">
        <f>IFERROR(__xludf.DUMMYFUNCTION("""COMPUTED_VALUE"""),"superapp_dau_indicator")</f>
        <v>superapp_dau_indicator</v>
      </c>
      <c r="B875" s="258" t="str">
        <f>IFERROR(__xludf.DUMMYFUNCTION("""COMPUTED_VALUE"""),"Behavioral")</f>
        <v>Behavioral</v>
      </c>
      <c r="C875" s="258" t="str">
        <f>IFERROR(__xludf.DUMMYFUNCTION("""COMPUTED_VALUE"""),"Non-PII")</f>
        <v>Non-PII</v>
      </c>
      <c r="D875" s="258" t="str">
        <f>IFERROR(__xludf.DUMMYFUNCTION("""COMPUTED_VALUE"""),"Non-PII")</f>
        <v>Non-PII</v>
      </c>
      <c r="E875" s="258" t="str">
        <f>IFERROR(__xludf.DUMMYFUNCTION("""COMPUTED_VALUE"""),"Indicator if a user has any transaction in the SuperApp in the past day")</f>
        <v>Indicator if a user has any transaction in the SuperApp in the past day</v>
      </c>
      <c r="F875" s="258" t="str">
        <f>IFERROR(__xludf.DUMMYFUNCTION("""COMPUTED_VALUE"""),"Derived")</f>
        <v>Derived</v>
      </c>
      <c r="G875" s="258" t="str">
        <f>IFERROR(__xludf.DUMMYFUNCTION("""COMPUTED_VALUE"""),"boolean")</f>
        <v>boolean</v>
      </c>
      <c r="H875" s="258" t="b">
        <f>IFERROR(__xludf.DUMMYFUNCTION("""COMPUTED_VALUE"""),TRUE)</f>
        <v>1</v>
      </c>
      <c r="I875" s="258" t="str">
        <f>IFERROR(__xludf.DUMMYFUNCTION("""COMPUTED_VALUE"""),"EDO-UUP")</f>
        <v>EDO-UUP</v>
      </c>
      <c r="J875" s="258" t="str">
        <f>IFERROR(__xludf.DUMMYFUNCTION("""COMPUTED_VALUE"""),"Daily")</f>
        <v>Daily</v>
      </c>
      <c r="K875" s="258" t="str">
        <f>IFERROR(__xludf.DUMMYFUNCTION("""COMPUTED_VALUE"""),"")</f>
        <v/>
      </c>
      <c r="L875" s="258" t="str">
        <f>IFERROR(__xludf.DUMMYFUNCTION("""COMPUTED_VALUE"""),"GHP, GHP-PREPAID, TM, PW, WIRELINE, BAYAN")</f>
        <v>GHP, GHP-PREPAID, TM, PW, WIRELINE, BAYAN</v>
      </c>
      <c r="M875" s="258" t="str">
        <f>IFERROR(__xludf.DUMMYFUNCTION("""COMPUTED_VALUE"""),"Consumer, EG, SG, In house, IBG Traveler")</f>
        <v>Consumer, EG, SG, In house, IBG Traveler</v>
      </c>
      <c r="N875" s="258" t="str">
        <f>IFERROR(__xludf.DUMMYFUNCTION("""COMPUTED_VALUE"""),"product")</f>
        <v>product</v>
      </c>
      <c r="O875" s="258" t="str">
        <f>IFERROR(__xludf.DUMMYFUNCTION("""COMPUTED_VALUE"""),"product_profile")</f>
        <v>product_profile</v>
      </c>
      <c r="P875" s="258"/>
    </row>
    <row r="876">
      <c r="A876" s="257" t="str">
        <f>IFERROR(__xludf.DUMMYFUNCTION("""COMPUTED_VALUE"""),"superapp_wau_indicator")</f>
        <v>superapp_wau_indicator</v>
      </c>
      <c r="B876" s="258" t="str">
        <f>IFERROR(__xludf.DUMMYFUNCTION("""COMPUTED_VALUE"""),"Behavioral")</f>
        <v>Behavioral</v>
      </c>
      <c r="C876" s="258" t="str">
        <f>IFERROR(__xludf.DUMMYFUNCTION("""COMPUTED_VALUE"""),"Non-PII")</f>
        <v>Non-PII</v>
      </c>
      <c r="D876" s="258" t="str">
        <f>IFERROR(__xludf.DUMMYFUNCTION("""COMPUTED_VALUE"""),"Non-PII")</f>
        <v>Non-PII</v>
      </c>
      <c r="E876" s="258" t="str">
        <f>IFERROR(__xludf.DUMMYFUNCTION("""COMPUTED_VALUE"""),"Indicator if a user has any transaction in the SuperApp in the past 7 days")</f>
        <v>Indicator if a user has any transaction in the SuperApp in the past 7 days</v>
      </c>
      <c r="F876" s="258" t="str">
        <f>IFERROR(__xludf.DUMMYFUNCTION("""COMPUTED_VALUE"""),"Derived")</f>
        <v>Derived</v>
      </c>
      <c r="G876" s="258" t="str">
        <f>IFERROR(__xludf.DUMMYFUNCTION("""COMPUTED_VALUE"""),"boolean")</f>
        <v>boolean</v>
      </c>
      <c r="H876" s="258" t="b">
        <f>IFERROR(__xludf.DUMMYFUNCTION("""COMPUTED_VALUE"""),TRUE)</f>
        <v>1</v>
      </c>
      <c r="I876" s="258" t="str">
        <f>IFERROR(__xludf.DUMMYFUNCTION("""COMPUTED_VALUE"""),"EDO-UUP")</f>
        <v>EDO-UUP</v>
      </c>
      <c r="J876" s="258" t="str">
        <f>IFERROR(__xludf.DUMMYFUNCTION("""COMPUTED_VALUE"""),"Daily")</f>
        <v>Daily</v>
      </c>
      <c r="K876" s="258" t="str">
        <f>IFERROR(__xludf.DUMMYFUNCTION("""COMPUTED_VALUE"""),"")</f>
        <v/>
      </c>
      <c r="L876" s="258" t="str">
        <f>IFERROR(__xludf.DUMMYFUNCTION("""COMPUTED_VALUE"""),"GHP, GHP-PREPAID, TM, PW, WIRELINE, BAYAN")</f>
        <v>GHP, GHP-PREPAID, TM, PW, WIRELINE, BAYAN</v>
      </c>
      <c r="M876" s="258" t="str">
        <f>IFERROR(__xludf.DUMMYFUNCTION("""COMPUTED_VALUE"""),"Consumer, EG, SG, In house, IBG Traveler")</f>
        <v>Consumer, EG, SG, In house, IBG Traveler</v>
      </c>
      <c r="N876" s="258" t="str">
        <f>IFERROR(__xludf.DUMMYFUNCTION("""COMPUTED_VALUE"""),"product")</f>
        <v>product</v>
      </c>
      <c r="O876" s="258" t="str">
        <f>IFERROR(__xludf.DUMMYFUNCTION("""COMPUTED_VALUE"""),"product_profile")</f>
        <v>product_profile</v>
      </c>
      <c r="P876" s="258"/>
    </row>
    <row r="877">
      <c r="A877" s="257" t="str">
        <f>IFERROR(__xludf.DUMMYFUNCTION("""COMPUTED_VALUE"""),"superapp_mau_indicator")</f>
        <v>superapp_mau_indicator</v>
      </c>
      <c r="B877" s="258" t="str">
        <f>IFERROR(__xludf.DUMMYFUNCTION("""COMPUTED_VALUE"""),"Behavioral")</f>
        <v>Behavioral</v>
      </c>
      <c r="C877" s="258" t="str">
        <f>IFERROR(__xludf.DUMMYFUNCTION("""COMPUTED_VALUE"""),"Non-PII")</f>
        <v>Non-PII</v>
      </c>
      <c r="D877" s="258" t="str">
        <f>IFERROR(__xludf.DUMMYFUNCTION("""COMPUTED_VALUE"""),"Non-PII")</f>
        <v>Non-PII</v>
      </c>
      <c r="E877" s="258" t="str">
        <f>IFERROR(__xludf.DUMMYFUNCTION("""COMPUTED_VALUE"""),"Indicator if a user has any transaction in the SuperApp in the 30 days")</f>
        <v>Indicator if a user has any transaction in the SuperApp in the 30 days</v>
      </c>
      <c r="F877" s="258" t="str">
        <f>IFERROR(__xludf.DUMMYFUNCTION("""COMPUTED_VALUE"""),"Derived")</f>
        <v>Derived</v>
      </c>
      <c r="G877" s="258" t="str">
        <f>IFERROR(__xludf.DUMMYFUNCTION("""COMPUTED_VALUE"""),"boolean")</f>
        <v>boolean</v>
      </c>
      <c r="H877" s="258" t="b">
        <f>IFERROR(__xludf.DUMMYFUNCTION("""COMPUTED_VALUE"""),FALSE)</f>
        <v>0</v>
      </c>
      <c r="I877" s="258" t="str">
        <f>IFERROR(__xludf.DUMMYFUNCTION("""COMPUTED_VALUE"""),"EDO-UUP")</f>
        <v>EDO-UUP</v>
      </c>
      <c r="J877" s="258" t="str">
        <f>IFERROR(__xludf.DUMMYFUNCTION("""COMPUTED_VALUE"""),"Daily")</f>
        <v>Daily</v>
      </c>
      <c r="K877" s="258" t="str">
        <f>IFERROR(__xludf.DUMMYFUNCTION("""COMPUTED_VALUE"""),"")</f>
        <v/>
      </c>
      <c r="L877" s="258" t="str">
        <f>IFERROR(__xludf.DUMMYFUNCTION("""COMPUTED_VALUE"""),"GHP, GHP-PREPAID, TM, PW, WIRELINE, BAYAN")</f>
        <v>GHP, GHP-PREPAID, TM, PW, WIRELINE, BAYAN</v>
      </c>
      <c r="M877" s="258" t="str">
        <f>IFERROR(__xludf.DUMMYFUNCTION("""COMPUTED_VALUE"""),"Consumer, EG, SG, In house, IBG Traveler")</f>
        <v>Consumer, EG, SG, In house, IBG Traveler</v>
      </c>
      <c r="N877" s="258" t="str">
        <f>IFERROR(__xludf.DUMMYFUNCTION("""COMPUTED_VALUE"""),"product")</f>
        <v>product</v>
      </c>
      <c r="O877" s="258" t="str">
        <f>IFERROR(__xludf.DUMMYFUNCTION("""COMPUTED_VALUE"""),"product_profile")</f>
        <v>product_profile</v>
      </c>
      <c r="P877" s="258"/>
    </row>
    <row r="878">
      <c r="A878" s="257" t="str">
        <f>IFERROR(__xludf.DUMMYFUNCTION("""COMPUTED_VALUE"""),"dito_website_visit_count_rolling_30days")</f>
        <v>dito_website_visit_count_rolling_30days</v>
      </c>
      <c r="B878" s="258" t="str">
        <f>IFERROR(__xludf.DUMMYFUNCTION("""COMPUTED_VALUE"""),"Behavioral")</f>
        <v>Behavioral</v>
      </c>
      <c r="C878" s="258" t="str">
        <f>IFERROR(__xludf.DUMMYFUNCTION("""COMPUTED_VALUE"""),"Non-PII")</f>
        <v>Non-PII</v>
      </c>
      <c r="D878" s="258" t="str">
        <f>IFERROR(__xludf.DUMMYFUNCTION("""COMPUTED_VALUE"""),"Non-PII")</f>
        <v>Non-PII</v>
      </c>
      <c r="E878" s="258" t="str">
        <f>IFERROR(__xludf.DUMMYFUNCTION("""COMPUTED_VALUE"""),"Number of hits to DITO websites for the past 30 days
 For wireline subscribers, only subscriptions within Metro Manila (including some areas in Rizal) and with DSL, VDSL and GPON technology value are covered.")</f>
        <v>Number of hits to DITO websites for the past 30 days
 For wireline subscribers, only subscriptions within Metro Manila (including some areas in Rizal) and with DSL, VDSL and GPON technology value are covered.</v>
      </c>
      <c r="F878" s="258" t="str">
        <f>IFERROR(__xludf.DUMMYFUNCTION("""COMPUTED_VALUE"""),"Derived")</f>
        <v>Derived</v>
      </c>
      <c r="G878" s="258" t="str">
        <f>IFERROR(__xludf.DUMMYFUNCTION("""COMPUTED_VALUE"""),"integer")</f>
        <v>integer</v>
      </c>
      <c r="H878" s="258">
        <f>IFERROR(__xludf.DUMMYFUNCTION("""COMPUTED_VALUE"""),1.0)</f>
        <v>1</v>
      </c>
      <c r="I878" s="258" t="str">
        <f>IFERROR(__xludf.DUMMYFUNCTION("""COMPUTED_VALUE"""),"EDO-UUP")</f>
        <v>EDO-UUP</v>
      </c>
      <c r="J878" s="258" t="str">
        <f>IFERROR(__xludf.DUMMYFUNCTION("""COMPUTED_VALUE"""),"Daily")</f>
        <v>Daily</v>
      </c>
      <c r="K878" s="258" t="str">
        <f>IFERROR(__xludf.DUMMYFUNCTION("""COMPUTED_VALUE"""),"")</f>
        <v/>
      </c>
      <c r="L878" s="258" t="str">
        <f>IFERROR(__xludf.DUMMYFUNCTION("""COMPUTED_VALUE"""),"GHP, GHP-PREPAID, TM, PW, GOMO, WIRELINE, BAYAN, GLOBE")</f>
        <v>GHP, GHP-PREPAID, TM, PW, GOMO, WIRELINE, BAYAN, GLOBE</v>
      </c>
      <c r="M878" s="258" t="str">
        <f>IFERROR(__xludf.DUMMYFUNCTION("""COMPUTED_VALUE"""),"Consumer, EG, SG, In house, IBG Traveler")</f>
        <v>Consumer, EG, SG, In house, IBG Traveler</v>
      </c>
      <c r="N878" s="258" t="str">
        <f>IFERROR(__xludf.DUMMYFUNCTION("""COMPUTED_VALUE"""),"network")</f>
        <v>network</v>
      </c>
      <c r="O878" s="258" t="str">
        <f>IFERROR(__xludf.DUMMYFUNCTION("""COMPUTED_VALUE"""),"network_profile")</f>
        <v>network_profile</v>
      </c>
      <c r="P878" s="258"/>
    </row>
    <row r="879">
      <c r="A879" s="257" t="str">
        <f>IFERROR(__xludf.DUMMYFUNCTION("""COMPUTED_VALUE"""),"smart_website_visit_count_rolling_30days")</f>
        <v>smart_website_visit_count_rolling_30days</v>
      </c>
      <c r="B879" s="258" t="str">
        <f>IFERROR(__xludf.DUMMYFUNCTION("""COMPUTED_VALUE"""),"Behavioral")</f>
        <v>Behavioral</v>
      </c>
      <c r="C879" s="258" t="str">
        <f>IFERROR(__xludf.DUMMYFUNCTION("""COMPUTED_VALUE"""),"Non-PII")</f>
        <v>Non-PII</v>
      </c>
      <c r="D879" s="258" t="str">
        <f>IFERROR(__xludf.DUMMYFUNCTION("""COMPUTED_VALUE"""),"Non-PII")</f>
        <v>Non-PII</v>
      </c>
      <c r="E879" s="258" t="str">
        <f>IFERROR(__xludf.DUMMYFUNCTION("""COMPUTED_VALUE"""),"Number of hits to Smart websites for the past 30 days
 For wireline subscribers, only subscriptions within Metro Manila (including some areas in Rizal) and with DSL, VDSL and GPON technology value are covered.")</f>
        <v>Number of hits to Smart websites for the past 30 days
 For wireline subscribers, only subscriptions within Metro Manila (including some areas in Rizal) and with DSL, VDSL and GPON technology value are covered.</v>
      </c>
      <c r="F879" s="258" t="str">
        <f>IFERROR(__xludf.DUMMYFUNCTION("""COMPUTED_VALUE"""),"Derived")</f>
        <v>Derived</v>
      </c>
      <c r="G879" s="258" t="str">
        <f>IFERROR(__xludf.DUMMYFUNCTION("""COMPUTED_VALUE"""),"integer")</f>
        <v>integer</v>
      </c>
      <c r="H879" s="258">
        <f>IFERROR(__xludf.DUMMYFUNCTION("""COMPUTED_VALUE"""),2.0)</f>
        <v>2</v>
      </c>
      <c r="I879" s="258" t="str">
        <f>IFERROR(__xludf.DUMMYFUNCTION("""COMPUTED_VALUE"""),"EDO-UUP")</f>
        <v>EDO-UUP</v>
      </c>
      <c r="J879" s="258" t="str">
        <f>IFERROR(__xludf.DUMMYFUNCTION("""COMPUTED_VALUE"""),"Daily")</f>
        <v>Daily</v>
      </c>
      <c r="K879" s="258" t="str">
        <f>IFERROR(__xludf.DUMMYFUNCTION("""COMPUTED_VALUE"""),"")</f>
        <v/>
      </c>
      <c r="L879" s="258" t="str">
        <f>IFERROR(__xludf.DUMMYFUNCTION("""COMPUTED_VALUE"""),"GHP, GHP-PREPAID, TM, PW, GOMO, WIRELINE, BAYAN, GLOBE")</f>
        <v>GHP, GHP-PREPAID, TM, PW, GOMO, WIRELINE, BAYAN, GLOBE</v>
      </c>
      <c r="M879" s="258" t="str">
        <f>IFERROR(__xludf.DUMMYFUNCTION("""COMPUTED_VALUE"""),"Consumer, EG, SG, In house, IBG Traveler")</f>
        <v>Consumer, EG, SG, In house, IBG Traveler</v>
      </c>
      <c r="N879" s="258" t="str">
        <f>IFERROR(__xludf.DUMMYFUNCTION("""COMPUTED_VALUE"""),"network")</f>
        <v>network</v>
      </c>
      <c r="O879" s="258" t="str">
        <f>IFERROR(__xludf.DUMMYFUNCTION("""COMPUTED_VALUE"""),"network_profile")</f>
        <v>network_profile</v>
      </c>
      <c r="P879" s="258"/>
    </row>
    <row r="880">
      <c r="A880" s="257" t="str">
        <f>IFERROR(__xludf.DUMMYFUNCTION("""COMPUTED_VALUE"""),"globe_online_website_visit_count_rolling_30days")</f>
        <v>globe_online_website_visit_count_rolling_30days</v>
      </c>
      <c r="B880" s="258" t="str">
        <f>IFERROR(__xludf.DUMMYFUNCTION("""COMPUTED_VALUE"""),"Behavioral")</f>
        <v>Behavioral</v>
      </c>
      <c r="C880" s="258" t="str">
        <f>IFERROR(__xludf.DUMMYFUNCTION("""COMPUTED_VALUE"""),"Non-PII")</f>
        <v>Non-PII</v>
      </c>
      <c r="D880" s="258" t="str">
        <f>IFERROR(__xludf.DUMMYFUNCTION("""COMPUTED_VALUE"""),"Non-PII")</f>
        <v>Non-PII</v>
      </c>
      <c r="E880" s="258" t="str">
        <f>IFERROR(__xludf.DUMMYFUNCTION("""COMPUTED_VALUE"""),"Number of hits to GlobeOnline website for the past 30 days
 For wireline subscribers, only subscriptions within Metro Manila (including some areas in Rizal) and with DSL, VDSL and GPON technology value are covered.")</f>
        <v>Number of hits to GlobeOnline website for the past 30 days
 For wireline subscribers, only subscriptions within Metro Manila (including some areas in Rizal) and with DSL, VDSL and GPON technology value are covered.</v>
      </c>
      <c r="F880" s="258" t="str">
        <f>IFERROR(__xludf.DUMMYFUNCTION("""COMPUTED_VALUE"""),"Derived")</f>
        <v>Derived</v>
      </c>
      <c r="G880" s="258" t="str">
        <f>IFERROR(__xludf.DUMMYFUNCTION("""COMPUTED_VALUE"""),"integer")</f>
        <v>integer</v>
      </c>
      <c r="H880" s="258">
        <f>IFERROR(__xludf.DUMMYFUNCTION("""COMPUTED_VALUE"""),3.0)</f>
        <v>3</v>
      </c>
      <c r="I880" s="258" t="str">
        <f>IFERROR(__xludf.DUMMYFUNCTION("""COMPUTED_VALUE"""),"EDO-UUP")</f>
        <v>EDO-UUP</v>
      </c>
      <c r="J880" s="258" t="str">
        <f>IFERROR(__xludf.DUMMYFUNCTION("""COMPUTED_VALUE"""),"Daily")</f>
        <v>Daily</v>
      </c>
      <c r="K880" s="258" t="str">
        <f>IFERROR(__xludf.DUMMYFUNCTION("""COMPUTED_VALUE"""),"")</f>
        <v/>
      </c>
      <c r="L880" s="258" t="str">
        <f>IFERROR(__xludf.DUMMYFUNCTION("""COMPUTED_VALUE"""),"GHP, GHP-PREPAID, TM, PW, GOMO, WIRELINE, BAYAN, GLOBE")</f>
        <v>GHP, GHP-PREPAID, TM, PW, GOMO, WIRELINE, BAYAN, GLOBE</v>
      </c>
      <c r="M880" s="258" t="str">
        <f>IFERROR(__xludf.DUMMYFUNCTION("""COMPUTED_VALUE"""),"Consumer, EG, SG, In house, IBG Traveler")</f>
        <v>Consumer, EG, SG, In house, IBG Traveler</v>
      </c>
      <c r="N880" s="258" t="str">
        <f>IFERROR(__xludf.DUMMYFUNCTION("""COMPUTED_VALUE"""),"network")</f>
        <v>network</v>
      </c>
      <c r="O880" s="258" t="str">
        <f>IFERROR(__xludf.DUMMYFUNCTION("""COMPUTED_VALUE"""),"network_profile")</f>
        <v>network_profile</v>
      </c>
      <c r="P880" s="258"/>
    </row>
    <row r="881">
      <c r="A881" s="257" t="str">
        <f>IFERROR(__xludf.DUMMYFUNCTION("""COMPUTED_VALUE"""),"usage_data_facebook_mb_past_30days")</f>
        <v>usage_data_facebook_mb_past_30days</v>
      </c>
      <c r="B881" s="258" t="str">
        <f>IFERROR(__xludf.DUMMYFUNCTION("""COMPUTED_VALUE"""),"Behavioral")</f>
        <v>Behavioral</v>
      </c>
      <c r="C881" s="258" t="str">
        <f>IFERROR(__xludf.DUMMYFUNCTION("""COMPUTED_VALUE"""),"Non-PII")</f>
        <v>Non-PII</v>
      </c>
      <c r="D881" s="258" t="str">
        <f>IFERROR(__xludf.DUMMYFUNCTION("""COMPUTED_VALUE"""),"Non-PII")</f>
        <v>Non-PII</v>
      </c>
      <c r="E881" s="258" t="str">
        <f>IFERROR(__xludf.DUMMYFUNCTION("""COMPUTED_VALUE"""),"Total data volume used in megabytes on Facebook for the past 30 days
 For wireline subscribers, only subscriptions within Metro Manila (including some areas in Rizal) and with DSL, VDSL and GPON technology value are covered.")</f>
        <v>Total data volume used in megabytes on Facebook for the past 30 days
 For wireline subscribers, only subscriptions within Metro Manila (including some areas in Rizal) and with DSL, VDSL and GPON technology value are covered.</v>
      </c>
      <c r="F881" s="258" t="str">
        <f>IFERROR(__xludf.DUMMYFUNCTION("""COMPUTED_VALUE"""),"Derived")</f>
        <v>Derived</v>
      </c>
      <c r="G881" s="258" t="str">
        <f>IFERROR(__xludf.DUMMYFUNCTION("""COMPUTED_VALUE"""),"numeric(21,2)")</f>
        <v>numeric(21,2)</v>
      </c>
      <c r="H881" s="258">
        <f>IFERROR(__xludf.DUMMYFUNCTION("""COMPUTED_VALUE"""),500.9)</f>
        <v>500.9</v>
      </c>
      <c r="I881" s="258" t="str">
        <f>IFERROR(__xludf.DUMMYFUNCTION("""COMPUTED_VALUE"""),"EDO-UUP")</f>
        <v>EDO-UUP</v>
      </c>
      <c r="J881" s="258" t="str">
        <f>IFERROR(__xludf.DUMMYFUNCTION("""COMPUTED_VALUE"""),"Daily")</f>
        <v>Daily</v>
      </c>
      <c r="K881" s="258" t="str">
        <f>IFERROR(__xludf.DUMMYFUNCTION("""COMPUTED_VALUE"""),"")</f>
        <v/>
      </c>
      <c r="L881" s="258" t="str">
        <f>IFERROR(__xludf.DUMMYFUNCTION("""COMPUTED_VALUE"""),"GHP, GHP-PREPAID, TM, PW, GOMO, WIRELINE, BAYAN, GLOBE")</f>
        <v>GHP, GHP-PREPAID, TM, PW, GOMO, WIRELINE, BAYAN, GLOBE</v>
      </c>
      <c r="M881" s="258" t="str">
        <f>IFERROR(__xludf.DUMMYFUNCTION("""COMPUTED_VALUE"""),"Consumer, EG, SG, In house, IBG Traveler")</f>
        <v>Consumer, EG, SG, In house, IBG Traveler</v>
      </c>
      <c r="N881" s="258" t="str">
        <f>IFERROR(__xludf.DUMMYFUNCTION("""COMPUTED_VALUE"""),"interest")</f>
        <v>interest</v>
      </c>
      <c r="O881" s="258" t="str">
        <f>IFERROR(__xludf.DUMMYFUNCTION("""COMPUTED_VALUE"""),"adjustment_profile")</f>
        <v>adjustment_profile</v>
      </c>
      <c r="P881" s="258"/>
    </row>
    <row r="882">
      <c r="A882" s="257" t="str">
        <f>IFERROR(__xludf.DUMMYFUNCTION("""COMPUTED_VALUE"""),"clv_overall_rank")</f>
        <v>clv_overall_rank</v>
      </c>
      <c r="B882" s="258" t="str">
        <f>IFERROR(__xludf.DUMMYFUNCTION("""COMPUTED_VALUE"""),"Profitability")</f>
        <v>Profitability</v>
      </c>
      <c r="C882" s="258" t="str">
        <f>IFERROR(__xludf.DUMMYFUNCTION("""COMPUTED_VALUE"""),"Non-PII")</f>
        <v>Non-PII</v>
      </c>
      <c r="D882" s="258" t="str">
        <f>IFERROR(__xludf.DUMMYFUNCTION("""COMPUTED_VALUE"""),"Non-PII")</f>
        <v>Non-PII</v>
      </c>
      <c r="E882" s="258" t="str">
        <f>IFERROR(__xludf.DUMMYFUNCTION("""COMPUTED_VALUE"""),"The ranking/binning of the computed Customer Lifetime Value (CLV) based on combined historical and forecasted profit for 84 months of the subscriber compared to the total base. Values range from 0 (highest) to 9 (lowest prepaid_clv_overall_revenue)")</f>
        <v>The ranking/binning of the computed Customer Lifetime Value (CLV) based on combined historical and forecasted profit for 84 months of the subscriber compared to the total base. Values range from 0 (highest) to 9 (lowest prepaid_clv_overall_revenue)</v>
      </c>
      <c r="F882" s="258" t="str">
        <f>IFERROR(__xludf.DUMMYFUNCTION("""COMPUTED_VALUE"""),"Derived")</f>
        <v>Derived</v>
      </c>
      <c r="G882" s="258" t="str">
        <f>IFERROR(__xludf.DUMMYFUNCTION("""COMPUTED_VALUE"""),"integer")</f>
        <v>integer</v>
      </c>
      <c r="H882" s="258">
        <f>IFERROR(__xludf.DUMMYFUNCTION("""COMPUTED_VALUE"""),9.0)</f>
        <v>9</v>
      </c>
      <c r="I882" s="258" t="str">
        <f>IFERROR(__xludf.DUMMYFUNCTION("""COMPUTED_VALUE"""),"MSH")</f>
        <v>MSH</v>
      </c>
      <c r="J882" s="258" t="str">
        <f>IFERROR(__xludf.DUMMYFUNCTION("""COMPUTED_VALUE"""),"Monthly")</f>
        <v>Monthly</v>
      </c>
      <c r="K882" s="258" t="str">
        <f>IFERROR(__xludf.DUMMYFUNCTION("""COMPUTED_VALUE"""),"")</f>
        <v/>
      </c>
      <c r="L882" s="258" t="str">
        <f>IFERROR(__xludf.DUMMYFUNCTION("""COMPUTED_VALUE"""),"PW")</f>
        <v>PW</v>
      </c>
      <c r="M882" s="258" t="str">
        <f>IFERROR(__xludf.DUMMYFUNCTION("""COMPUTED_VALUE"""),"Consumer")</f>
        <v>Consumer</v>
      </c>
      <c r="N882" s="258" t="str">
        <f>IFERROR(__xludf.DUMMYFUNCTION("""COMPUTED_VALUE"""),"revenue")</f>
        <v>revenue</v>
      </c>
      <c r="O882" s="258" t="str">
        <f>IFERROR(__xludf.DUMMYFUNCTION("""COMPUTED_VALUE"""),"revenue_profile")</f>
        <v>revenue_profile</v>
      </c>
      <c r="P882" s="258"/>
    </row>
    <row r="883">
      <c r="A883" s="257" t="str">
        <f>IFERROR(__xludf.DUMMYFUNCTION("""COMPUTED_VALUE"""),"clv_overall_revenue")</f>
        <v>clv_overall_revenue</v>
      </c>
      <c r="B883" s="258" t="str">
        <f>IFERROR(__xludf.DUMMYFUNCTION("""COMPUTED_VALUE"""),"Profitability")</f>
        <v>Profitability</v>
      </c>
      <c r="C883" s="258" t="str">
        <f>IFERROR(__xludf.DUMMYFUNCTION("""COMPUTED_VALUE"""),"Non-PII")</f>
        <v>Non-PII</v>
      </c>
      <c r="D883" s="258" t="str">
        <f>IFERROR(__xludf.DUMMYFUNCTION("""COMPUTED_VALUE"""),"Non-PII")</f>
        <v>Non-PII</v>
      </c>
      <c r="E883" s="258" t="str">
        <f>IFERROR(__xludf.DUMMYFUNCTION("""COMPUTED_VALUE"""),"The computed Customer Lifetime Value (CLV) based on combined historical and forecasted profit for 84 months of the subscriber.
 Values may contain negative values")</f>
        <v>The computed Customer Lifetime Value (CLV) based on combined historical and forecasted profit for 84 months of the subscriber.
 Values may contain negative values</v>
      </c>
      <c r="F883" s="258" t="str">
        <f>IFERROR(__xludf.DUMMYFUNCTION("""COMPUTED_VALUE"""),"Derived")</f>
        <v>Derived</v>
      </c>
      <c r="G883" s="258" t="str">
        <f>IFERROR(__xludf.DUMMYFUNCTION("""COMPUTED_VALUE"""),"numeric(21,2)")</f>
        <v>numeric(21,2)</v>
      </c>
      <c r="H883" s="258">
        <f>IFERROR(__xludf.DUMMYFUNCTION("""COMPUTED_VALUE"""),100.0)</f>
        <v>100</v>
      </c>
      <c r="I883" s="258" t="str">
        <f>IFERROR(__xludf.DUMMYFUNCTION("""COMPUTED_VALUE"""),"MSH")</f>
        <v>MSH</v>
      </c>
      <c r="J883" s="258" t="str">
        <f>IFERROR(__xludf.DUMMYFUNCTION("""COMPUTED_VALUE"""),"Monthly")</f>
        <v>Monthly</v>
      </c>
      <c r="K883" s="258" t="str">
        <f>IFERROR(__xludf.DUMMYFUNCTION("""COMPUTED_VALUE"""),"")</f>
        <v/>
      </c>
      <c r="L883" s="258" t="str">
        <f>IFERROR(__xludf.DUMMYFUNCTION("""COMPUTED_VALUE"""),"PW")</f>
        <v>PW</v>
      </c>
      <c r="M883" s="258" t="str">
        <f>IFERROR(__xludf.DUMMYFUNCTION("""COMPUTED_VALUE"""),"Consumer")</f>
        <v>Consumer</v>
      </c>
      <c r="N883" s="258" t="str">
        <f>IFERROR(__xludf.DUMMYFUNCTION("""COMPUTED_VALUE"""),"revenue")</f>
        <v>revenue</v>
      </c>
      <c r="O883" s="258" t="str">
        <f>IFERROR(__xludf.DUMMYFUNCTION("""COMPUTED_VALUE"""),"revenue_profile")</f>
        <v>revenue_profile</v>
      </c>
      <c r="P883" s="258"/>
    </row>
    <row r="884">
      <c r="A884" s="257" t="str">
        <f>IFERROR(__xludf.DUMMYFUNCTION("""COMPUTED_VALUE"""),"productivity_tools_user_total_data_usage_mb")</f>
        <v>productivity_tools_user_total_data_usage_mb</v>
      </c>
      <c r="B884" s="258" t="str">
        <f>IFERROR(__xludf.DUMMYFUNCTION("""COMPUTED_VALUE"""),"Behavioral")</f>
        <v>Behavioral</v>
      </c>
      <c r="C884" s="258" t="str">
        <f>IFERROR(__xludf.DUMMYFUNCTION("""COMPUTED_VALUE"""),"Non-PII")</f>
        <v>Non-PII</v>
      </c>
      <c r="D884" s="258" t="str">
        <f>IFERROR(__xludf.DUMMYFUNCTION("""COMPUTED_VALUE"""),"Non-PII")</f>
        <v>Non-PII</v>
      </c>
      <c r="E884" s="258" t="str">
        <f>IFERROR(__xludf.DUMMYFUNCTION("""COMPUTED_VALUE"""),"Total data usage for productivity tools in the past month")</f>
        <v>Total data usage for productivity tools in the past month</v>
      </c>
      <c r="F884" s="258" t="str">
        <f>IFERROR(__xludf.DUMMYFUNCTION("""COMPUTED_VALUE"""),"Derived")</f>
        <v>Derived</v>
      </c>
      <c r="G884" s="258" t="str">
        <f>IFERROR(__xludf.DUMMYFUNCTION("""COMPUTED_VALUE"""),"numeric(21,2)")</f>
        <v>numeric(21,2)</v>
      </c>
      <c r="H884" s="258">
        <f>IFERROR(__xludf.DUMMYFUNCTION("""COMPUTED_VALUE"""),3.58)</f>
        <v>3.58</v>
      </c>
      <c r="I884" s="258" t="str">
        <f>IFERROR(__xludf.DUMMYFUNCTION("""COMPUTED_VALUE"""),"FVT")</f>
        <v>FVT</v>
      </c>
      <c r="J884" s="258" t="str">
        <f>IFERROR(__xludf.DUMMYFUNCTION("""COMPUTED_VALUE"""),"Daily")</f>
        <v>Daily</v>
      </c>
      <c r="K884" s="258" t="str">
        <f>IFERROR(__xludf.DUMMYFUNCTION("""COMPUTED_VALUE"""),"")</f>
        <v/>
      </c>
      <c r="L884" s="258" t="str">
        <f>IFERROR(__xludf.DUMMYFUNCTION("""COMPUTED_VALUE"""),"GHP, GHP-PREPAID, TM, PW, GOMO, WIRELINE, BAYAN")</f>
        <v>GHP, GHP-PREPAID, TM, PW, GOMO, WIRELINE, BAYAN</v>
      </c>
      <c r="M884" s="258" t="str">
        <f>IFERROR(__xludf.DUMMYFUNCTION("""COMPUTED_VALUE"""),"Consumer, EG, SG, In house, IBG Traveler")</f>
        <v>Consumer, EG, SG, In house, IBG Traveler</v>
      </c>
      <c r="N884" s="258" t="str">
        <f>IFERROR(__xludf.DUMMYFUNCTION("""COMPUTED_VALUE"""),"interest")</f>
        <v>interest</v>
      </c>
      <c r="O884" s="258" t="str">
        <f>IFERROR(__xludf.DUMMYFUNCTION("""COMPUTED_VALUE"""),"usage_profile")</f>
        <v>usage_profile</v>
      </c>
      <c r="P884" s="258"/>
    </row>
    <row r="885">
      <c r="A885" s="257" t="str">
        <f>IFERROR(__xludf.DUMMYFUNCTION("""COMPUTED_VALUE"""),"video_streamer_total_data_usage_mb")</f>
        <v>video_streamer_total_data_usage_mb</v>
      </c>
      <c r="B885" s="258" t="str">
        <f>IFERROR(__xludf.DUMMYFUNCTION("""COMPUTED_VALUE"""),"Behavioral")</f>
        <v>Behavioral</v>
      </c>
      <c r="C885" s="258" t="str">
        <f>IFERROR(__xludf.DUMMYFUNCTION("""COMPUTED_VALUE"""),"Non-PII")</f>
        <v>Non-PII</v>
      </c>
      <c r="D885" s="258" t="str">
        <f>IFERROR(__xludf.DUMMYFUNCTION("""COMPUTED_VALUE"""),"Non-PII")</f>
        <v>Non-PII</v>
      </c>
      <c r="E885" s="258" t="str">
        <f>IFERROR(__xludf.DUMMYFUNCTION("""COMPUTED_VALUE"""),"Total data usage for video streaming apps in the past month")</f>
        <v>Total data usage for video streaming apps in the past month</v>
      </c>
      <c r="F885" s="258" t="str">
        <f>IFERROR(__xludf.DUMMYFUNCTION("""COMPUTED_VALUE"""),"Derived")</f>
        <v>Derived</v>
      </c>
      <c r="G885" s="258" t="str">
        <f>IFERROR(__xludf.DUMMYFUNCTION("""COMPUTED_VALUE"""),"numeric(21,2)")</f>
        <v>numeric(21,2)</v>
      </c>
      <c r="H885" s="258">
        <f>IFERROR(__xludf.DUMMYFUNCTION("""COMPUTED_VALUE"""),1010.27)</f>
        <v>1010.27</v>
      </c>
      <c r="I885" s="258" t="str">
        <f>IFERROR(__xludf.DUMMYFUNCTION("""COMPUTED_VALUE"""),"FVT")</f>
        <v>FVT</v>
      </c>
      <c r="J885" s="258" t="str">
        <f>IFERROR(__xludf.DUMMYFUNCTION("""COMPUTED_VALUE"""),"Daily")</f>
        <v>Daily</v>
      </c>
      <c r="K885" s="258" t="str">
        <f>IFERROR(__xludf.DUMMYFUNCTION("""COMPUTED_VALUE"""),"")</f>
        <v/>
      </c>
      <c r="L885" s="258" t="str">
        <f>IFERROR(__xludf.DUMMYFUNCTION("""COMPUTED_VALUE"""),"GHP, GHP-PREPAID, TM, PW, GOMO, WIRELINE, BAYAN")</f>
        <v>GHP, GHP-PREPAID, TM, PW, GOMO, WIRELINE, BAYAN</v>
      </c>
      <c r="M885" s="258" t="str">
        <f>IFERROR(__xludf.DUMMYFUNCTION("""COMPUTED_VALUE"""),"Consumer, EG, SG, In house, IBG Traveler")</f>
        <v>Consumer, EG, SG, In house, IBG Traveler</v>
      </c>
      <c r="N885" s="258" t="str">
        <f>IFERROR(__xludf.DUMMYFUNCTION("""COMPUTED_VALUE"""),"interest")</f>
        <v>interest</v>
      </c>
      <c r="O885" s="258" t="str">
        <f>IFERROR(__xludf.DUMMYFUNCTION("""COMPUTED_VALUE"""),"usage_profile")</f>
        <v>usage_profile</v>
      </c>
      <c r="P885" s="258"/>
    </row>
    <row r="886">
      <c r="A886" s="257" t="str">
        <f>IFERROR(__xludf.DUMMYFUNCTION("""COMPUTED_VALUE"""),"psychographic_segment")</f>
        <v>psychographic_segment</v>
      </c>
      <c r="B886" s="258" t="str">
        <f>IFERROR(__xludf.DUMMYFUNCTION("""COMPUTED_VALUE"""),"Behavioral")</f>
        <v>Behavioral</v>
      </c>
      <c r="C886" s="258" t="str">
        <f>IFERROR(__xludf.DUMMYFUNCTION("""COMPUTED_VALUE"""),"Non-PII")</f>
        <v>Non-PII</v>
      </c>
      <c r="D886" s="258" t="str">
        <f>IFERROR(__xludf.DUMMYFUNCTION("""COMPUTED_VALUE"""),"Non-PII")</f>
        <v>Non-PII</v>
      </c>
      <c r="E886" s="258" t="str">
        <f>IFERROR(__xludf.DUMMYFUNCTION("""COMPUTED_VALUE"""),"Segmentation of consumer mobile customers based on psychographics / motivations. The model used for this is the Lens segementation.
BASIC LIFER -- Dependable family member, works hard and endures to reach financial sufficiency
CAPTAIN -- Driven with supe"&amp;"rior capability and intelligence, cannot tolerate mediocrity, and finds unique solutions to difficult issues
DISKARTE PROVIDER -- Hero and rock of the family, a dependable and reliable provider who works hard and smart, finds opportunities to earn and hav"&amp;"e significant financial buffer for the family
GO GETTER -- Dynamic and evolving, in continuous engagement to be updated on emerging trends and lifestyle, in constant touch with multiple circles of connections and friends
PASSION DRIVEN -- Authentic, with "&amp;"a strong desire for freedom to express their individuality and pursue their personal interests
THRIVING PINOY -- Loving and caring member of the family, an encouraging and supportive friend, and well-liked member of the community. Derives a lot of joy fro"&amp;"m day-to-day interactions and in serving others")</f>
        <v>Segmentation of consumer mobile customers based on psychographics / motivations. The model used for this is the Lens segementation.
BASIC LIFER -- Dependable family member, works hard and endures to reach financial sufficiency
CAPTAIN -- Driven with superior capability and intelligence, cannot tolerate mediocrity, and finds unique solutions to difficult issues
DISKARTE PROVIDER -- Hero and rock of the family, a dependable and reliable provider who works hard and smart, finds opportunities to earn and have significant financial buffer for the family
GO GETTER -- Dynamic and evolving, in continuous engagement to be updated on emerging trends and lifestyle, in constant touch with multiple circles of connections and friends
PASSION DRIVEN -- Authentic, with a strong desire for freedom to express their individuality and pursue their personal interests
THRIVING PINOY -- Loving and caring member of the family, an encouraging and supportive friend, and well-liked member of the community. Derives a lot of joy from day-to-day interactions and in serving others</v>
      </c>
      <c r="F886" s="258" t="str">
        <f>IFERROR(__xludf.DUMMYFUNCTION("""COMPUTED_VALUE"""),"Derived")</f>
        <v>Derived</v>
      </c>
      <c r="G886" s="258" t="str">
        <f>IFERROR(__xludf.DUMMYFUNCTION("""COMPUTED_VALUE"""),"varchar(1000)")</f>
        <v>varchar(1000)</v>
      </c>
      <c r="H886" s="258" t="str">
        <f>IFERROR(__xludf.DUMMYFUNCTION("""COMPUTED_VALUE"""),"CAPTAIN")</f>
        <v>CAPTAIN</v>
      </c>
      <c r="I886" s="258" t="str">
        <f>IFERROR(__xludf.DUMMYFUNCTION("""COMPUTED_VALUE"""),"MSH")</f>
        <v>MSH</v>
      </c>
      <c r="J886" s="258" t="str">
        <f>IFERROR(__xludf.DUMMYFUNCTION("""COMPUTED_VALUE"""),"Monthly")</f>
        <v>Monthly</v>
      </c>
      <c r="K886" s="258" t="str">
        <f>IFERROR(__xludf.DUMMYFUNCTION("""COMPUTED_VALUE"""),"")</f>
        <v/>
      </c>
      <c r="L886" s="258" t="str">
        <f>IFERROR(__xludf.DUMMYFUNCTION("""COMPUTED_VALUE"""),"GHP, GHP-PREPAID, TM, PW")</f>
        <v>GHP, GHP-PREPAID, TM, PW</v>
      </c>
      <c r="M886" s="258" t="str">
        <f>IFERROR(__xludf.DUMMYFUNCTION("""COMPUTED_VALUE"""),"Consumer, IBG Traveler")</f>
        <v>Consumer, IBG Traveler</v>
      </c>
      <c r="N886" s="258" t="str">
        <f>IFERROR(__xludf.DUMMYFUNCTION("""COMPUTED_VALUE"""),"customer")</f>
        <v>customer</v>
      </c>
      <c r="O886" s="258" t="str">
        <f>IFERROR(__xludf.DUMMYFUNCTION("""COMPUTED_VALUE"""),"customer_profile")</f>
        <v>customer_profile</v>
      </c>
      <c r="P886" s="258"/>
    </row>
    <row r="887">
      <c r="A887" s="257" t="str">
        <f>IFERROR(__xludf.DUMMYFUNCTION("""COMPUTED_VALUE"""),"usage_avg_data_quantity_p3m_bill_cycle_mb")</f>
        <v>usage_avg_data_quantity_p3m_bill_cycle_mb</v>
      </c>
      <c r="B887" s="258" t="str">
        <f>IFERROR(__xludf.DUMMYFUNCTION("""COMPUTED_VALUE"""),"Behavioral")</f>
        <v>Behavioral</v>
      </c>
      <c r="C887" s="258" t="str">
        <f>IFERROR(__xludf.DUMMYFUNCTION("""COMPUTED_VALUE"""),"Non-PII")</f>
        <v>Non-PII</v>
      </c>
      <c r="D887" s="258" t="str">
        <f>IFERROR(__xludf.DUMMYFUNCTION("""COMPUTED_VALUE"""),"Non-PII")</f>
        <v>Non-PII</v>
      </c>
      <c r="E887" s="258" t="str">
        <f>IFERROR(__xludf.DUMMYFUNCTION("""COMPUTED_VALUE"""),"Average data usage of the subscriber for the past 3 closed months billing cycle in megabytes (MB)")</f>
        <v>Average data usage of the subscriber for the past 3 closed months billing cycle in megabytes (MB)</v>
      </c>
      <c r="F887" s="258" t="str">
        <f>IFERROR(__xludf.DUMMYFUNCTION("""COMPUTED_VALUE"""),"Derived")</f>
        <v>Derived</v>
      </c>
      <c r="G887" s="258" t="str">
        <f>IFERROR(__xludf.DUMMYFUNCTION("""COMPUTED_VALUE"""),"numeric(21,2)")</f>
        <v>numeric(21,2)</v>
      </c>
      <c r="H887" s="258">
        <f>IFERROR(__xludf.DUMMYFUNCTION("""COMPUTED_VALUE"""),100.5)</f>
        <v>100.5</v>
      </c>
      <c r="I887" s="258" t="str">
        <f>IFERROR(__xludf.DUMMYFUNCTION("""COMPUTED_VALUE"""),"FVT")</f>
        <v>FVT</v>
      </c>
      <c r="J887" s="258" t="str">
        <f>IFERROR(__xludf.DUMMYFUNCTION("""COMPUTED_VALUE"""),"Daily")</f>
        <v>Daily</v>
      </c>
      <c r="K887" s="258" t="str">
        <f>IFERROR(__xludf.DUMMYFUNCTION("""COMPUTED_VALUE"""),"")</f>
        <v/>
      </c>
      <c r="L887" s="258" t="str">
        <f>IFERROR(__xludf.DUMMYFUNCTION("""COMPUTED_VALUE"""),"GHP")</f>
        <v>GHP</v>
      </c>
      <c r="M887" s="258" t="str">
        <f>IFERROR(__xludf.DUMMYFUNCTION("""COMPUTED_VALUE"""),"Consumer, EG, SG, In house")</f>
        <v>Consumer, EG, SG, In house</v>
      </c>
      <c r="N887" s="258" t="str">
        <f>IFERROR(__xludf.DUMMYFUNCTION("""COMPUTED_VALUE"""),"usage")</f>
        <v>usage</v>
      </c>
      <c r="O887" s="258" t="str">
        <f>IFERROR(__xludf.DUMMYFUNCTION("""COMPUTED_VALUE"""),"usage_profile")</f>
        <v>usage_profile</v>
      </c>
      <c r="P887" s="258"/>
    </row>
    <row r="888">
      <c r="A888" s="257" t="str">
        <f>IFERROR(__xludf.DUMMYFUNCTION("""COMPUTED_VALUE"""),"superapp_redeem_nontelco_rewards_count_30days")</f>
        <v>superapp_redeem_nontelco_rewards_count_30days</v>
      </c>
      <c r="B888" s="258" t="str">
        <f>IFERROR(__xludf.DUMMYFUNCTION("""COMPUTED_VALUE"""),"Behavioral")</f>
        <v>Behavioral</v>
      </c>
      <c r="C888" s="258" t="str">
        <f>IFERROR(__xludf.DUMMYFUNCTION("""COMPUTED_VALUE"""),"Non-PII")</f>
        <v>Non-PII</v>
      </c>
      <c r="D888" s="258" t="str">
        <f>IFERROR(__xludf.DUMMYFUNCTION("""COMPUTED_VALUE"""),"Non-PII")</f>
        <v>Non-PII</v>
      </c>
      <c r="E888" s="258" t="str">
        <f>IFERROR(__xludf.DUMMYFUNCTION("""COMPUTED_VALUE"""),"Number of successful redemption of non-telco rewards in SuperApp in the past 30 days.")</f>
        <v>Number of successful redemption of non-telco rewards in SuperApp in the past 30 days.</v>
      </c>
      <c r="F888" s="258" t="str">
        <f>IFERROR(__xludf.DUMMYFUNCTION("""COMPUTED_VALUE"""),"Derived")</f>
        <v>Derived</v>
      </c>
      <c r="G888" s="258" t="str">
        <f>IFERROR(__xludf.DUMMYFUNCTION("""COMPUTED_VALUE"""),"integer")</f>
        <v>integer</v>
      </c>
      <c r="H888" s="258">
        <f>IFERROR(__xludf.DUMMYFUNCTION("""COMPUTED_VALUE"""),10.0)</f>
        <v>10</v>
      </c>
      <c r="I888" s="258" t="str">
        <f>IFERROR(__xludf.DUMMYFUNCTION("""COMPUTED_VALUE"""),"DGT")</f>
        <v>DGT</v>
      </c>
      <c r="J888" s="258" t="str">
        <f>IFERROR(__xludf.DUMMYFUNCTION("""COMPUTED_VALUE"""),"Daily")</f>
        <v>Daily</v>
      </c>
      <c r="K888" s="258" t="str">
        <f>IFERROR(__xludf.DUMMYFUNCTION("""COMPUTED_VALUE"""),"")</f>
        <v/>
      </c>
      <c r="L888" s="258" t="str">
        <f>IFERROR(__xludf.DUMMYFUNCTION("""COMPUTED_VALUE"""),"GHP, GHP-PREPAID, TM, PW, WIRELINE, GLOBE")</f>
        <v>GHP, GHP-PREPAID, TM, PW, WIRELINE, GLOBE</v>
      </c>
      <c r="M888" s="258" t="str">
        <f>IFERROR(__xludf.DUMMYFUNCTION("""COMPUTED_VALUE"""),"Consumer, EG, SG, In house, IBG Traveler")</f>
        <v>Consumer, EG, SG, In house, IBG Traveler</v>
      </c>
      <c r="N888" s="258" t="str">
        <f>IFERROR(__xludf.DUMMYFUNCTION("""COMPUTED_VALUE"""),"product")</f>
        <v>product</v>
      </c>
      <c r="O888" s="258" t="str">
        <f>IFERROR(__xludf.DUMMYFUNCTION("""COMPUTED_VALUE"""),"product_profile")</f>
        <v>product_profile</v>
      </c>
      <c r="P888" s="258"/>
    </row>
    <row r="889">
      <c r="A889" s="257" t="str">
        <f>IFERROR(__xludf.DUMMYFUNCTION("""COMPUTED_VALUE"""),"superapp_redeem_telco_rewards_count_30days")</f>
        <v>superapp_redeem_telco_rewards_count_30days</v>
      </c>
      <c r="B889" s="258" t="str">
        <f>IFERROR(__xludf.DUMMYFUNCTION("""COMPUTED_VALUE"""),"Behavioral")</f>
        <v>Behavioral</v>
      </c>
      <c r="C889" s="258" t="str">
        <f>IFERROR(__xludf.DUMMYFUNCTION("""COMPUTED_VALUE"""),"Non-PII")</f>
        <v>Non-PII</v>
      </c>
      <c r="D889" s="258" t="str">
        <f>IFERROR(__xludf.DUMMYFUNCTION("""COMPUTED_VALUE"""),"Non-PII")</f>
        <v>Non-PII</v>
      </c>
      <c r="E889" s="258" t="str">
        <f>IFERROR(__xludf.DUMMYFUNCTION("""COMPUTED_VALUE"""),"Number of successful redemption of telco rewards in SuperApp in the past 30 days.")</f>
        <v>Number of successful redemption of telco rewards in SuperApp in the past 30 days.</v>
      </c>
      <c r="F889" s="258" t="str">
        <f>IFERROR(__xludf.DUMMYFUNCTION("""COMPUTED_VALUE"""),"Derived")</f>
        <v>Derived</v>
      </c>
      <c r="G889" s="258" t="str">
        <f>IFERROR(__xludf.DUMMYFUNCTION("""COMPUTED_VALUE"""),"integer")</f>
        <v>integer</v>
      </c>
      <c r="H889" s="258">
        <f>IFERROR(__xludf.DUMMYFUNCTION("""COMPUTED_VALUE"""),20.0)</f>
        <v>20</v>
      </c>
      <c r="I889" s="258" t="str">
        <f>IFERROR(__xludf.DUMMYFUNCTION("""COMPUTED_VALUE"""),"DGT")</f>
        <v>DGT</v>
      </c>
      <c r="J889" s="258" t="str">
        <f>IFERROR(__xludf.DUMMYFUNCTION("""COMPUTED_VALUE"""),"Daily")</f>
        <v>Daily</v>
      </c>
      <c r="K889" s="258" t="str">
        <f>IFERROR(__xludf.DUMMYFUNCTION("""COMPUTED_VALUE"""),"")</f>
        <v/>
      </c>
      <c r="L889" s="258" t="str">
        <f>IFERROR(__xludf.DUMMYFUNCTION("""COMPUTED_VALUE"""),"GHP, GHP-PREPAID, TM, PW, WIRELINE, GLOBE")</f>
        <v>GHP, GHP-PREPAID, TM, PW, WIRELINE, GLOBE</v>
      </c>
      <c r="M889" s="258" t="str">
        <f>IFERROR(__xludf.DUMMYFUNCTION("""COMPUTED_VALUE"""),"Consumer, EG, SG, In house, IBG Traveler")</f>
        <v>Consumer, EG, SG, In house, IBG Traveler</v>
      </c>
      <c r="N889" s="258" t="str">
        <f>IFERROR(__xludf.DUMMYFUNCTION("""COMPUTED_VALUE"""),"product")</f>
        <v>product</v>
      </c>
      <c r="O889" s="258" t="str">
        <f>IFERROR(__xludf.DUMMYFUNCTION("""COMPUTED_VALUE"""),"product_profile")</f>
        <v>product_profile</v>
      </c>
      <c r="P889" s="258"/>
    </row>
    <row r="890">
      <c r="A890" s="257" t="str">
        <f>IFERROR(__xludf.DUMMYFUNCTION("""COMPUTED_VALUE"""),"superapp_reload_mode_amount_30days")</f>
        <v>superapp_reload_mode_amount_30days</v>
      </c>
      <c r="B890" s="258" t="str">
        <f>IFERROR(__xludf.DUMMYFUNCTION("""COMPUTED_VALUE"""),"Behavioral")</f>
        <v>Behavioral</v>
      </c>
      <c r="C890" s="258" t="str">
        <f>IFERROR(__xludf.DUMMYFUNCTION("""COMPUTED_VALUE"""),"Non-PII")</f>
        <v>Non-PII</v>
      </c>
      <c r="D890" s="258" t="str">
        <f>IFERROR(__xludf.DUMMYFUNCTION("""COMPUTED_VALUE"""),"Non-PII")</f>
        <v>Non-PII</v>
      </c>
      <c r="E890" s="258" t="str">
        <f>IFERROR(__xludf.DUMMYFUNCTION("""COMPUTED_VALUE"""),"Number of successful reload transactions in SuperApp in the past 30 days.")</f>
        <v>Number of successful reload transactions in SuperApp in the past 30 days.</v>
      </c>
      <c r="F890" s="258" t="str">
        <f>IFERROR(__xludf.DUMMYFUNCTION("""COMPUTED_VALUE"""),"Derived")</f>
        <v>Derived</v>
      </c>
      <c r="G890" s="258" t="str">
        <f>IFERROR(__xludf.DUMMYFUNCTION("""COMPUTED_VALUE"""),"integer")</f>
        <v>integer</v>
      </c>
      <c r="H890" s="258">
        <f>IFERROR(__xludf.DUMMYFUNCTION("""COMPUTED_VALUE"""),10.0)</f>
        <v>10</v>
      </c>
      <c r="I890" s="258" t="str">
        <f>IFERROR(__xludf.DUMMYFUNCTION("""COMPUTED_VALUE"""),"DGT")</f>
        <v>DGT</v>
      </c>
      <c r="J890" s="258" t="str">
        <f>IFERROR(__xludf.DUMMYFUNCTION("""COMPUTED_VALUE"""),"Daily")</f>
        <v>Daily</v>
      </c>
      <c r="K890" s="258" t="str">
        <f>IFERROR(__xludf.DUMMYFUNCTION("""COMPUTED_VALUE"""),"")</f>
        <v/>
      </c>
      <c r="L890" s="258" t="str">
        <f>IFERROR(__xludf.DUMMYFUNCTION("""COMPUTED_VALUE"""),"GHP-PREPAID, TM, PW")</f>
        <v>GHP-PREPAID, TM, PW</v>
      </c>
      <c r="M890" s="258" t="str">
        <f>IFERROR(__xludf.DUMMYFUNCTION("""COMPUTED_VALUE"""),"Consumer, EG, SG, IBG Traveler")</f>
        <v>Consumer, EG, SG, IBG Traveler</v>
      </c>
      <c r="N890" s="258" t="str">
        <f>IFERROR(__xludf.DUMMYFUNCTION("""COMPUTED_VALUE"""),"product")</f>
        <v>product</v>
      </c>
      <c r="O890" s="258" t="str">
        <f>IFERROR(__xludf.DUMMYFUNCTION("""COMPUTED_VALUE"""),"product_profile")</f>
        <v>product_profile</v>
      </c>
      <c r="P890" s="258"/>
    </row>
    <row r="891">
      <c r="A891" s="257" t="str">
        <f>IFERROR(__xludf.DUMMYFUNCTION("""COMPUTED_VALUE"""),"ofw_relative_indicator")</f>
        <v>ofw_relative_indicator</v>
      </c>
      <c r="B891" s="258" t="str">
        <f>IFERROR(__xludf.DUMMYFUNCTION("""COMPUTED_VALUE"""),"Behavioral")</f>
        <v>Behavioral</v>
      </c>
      <c r="C891" s="258" t="str">
        <f>IFERROR(__xludf.DUMMYFUNCTION("""COMPUTED_VALUE"""),"Non-PII")</f>
        <v>Non-PII</v>
      </c>
      <c r="D891" s="258" t="str">
        <f>IFERROR(__xludf.DUMMYFUNCTION("""COMPUTED_VALUE"""),"Non-PII")</f>
        <v>Non-PII</v>
      </c>
      <c r="E891" s="258" t="str">
        <f>IFERROR(__xludf.DUMMYFUNCTION("""COMPUTED_VALUE"""),"Inferred indicator for an OFW relative for subscribers with OFW sim pack or with page visits to OFW-related applications or websites or remittance trackers like OF Bank, OFW Watch, Remitly")</f>
        <v>Inferred indicator for an OFW relative for subscribers with OFW sim pack or with page visits to OFW-related applications or websites or remittance trackers like OF Bank, OFW Watch, Remitly</v>
      </c>
      <c r="F891" s="258" t="str">
        <f>IFERROR(__xludf.DUMMYFUNCTION("""COMPUTED_VALUE"""),"Derived")</f>
        <v>Derived</v>
      </c>
      <c r="G891" s="258" t="str">
        <f>IFERROR(__xludf.DUMMYFUNCTION("""COMPUTED_VALUE"""),"boolean")</f>
        <v>boolean</v>
      </c>
      <c r="H891" s="258" t="b">
        <f>IFERROR(__xludf.DUMMYFUNCTION("""COMPUTED_VALUE"""),TRUE)</f>
        <v>1</v>
      </c>
      <c r="I891" s="258" t="str">
        <f>IFERROR(__xludf.DUMMYFUNCTION("""COMPUTED_VALUE"""),"EDO-UUP")</f>
        <v>EDO-UUP</v>
      </c>
      <c r="J891" s="258" t="str">
        <f>IFERROR(__xludf.DUMMYFUNCTION("""COMPUTED_VALUE"""),"Daily")</f>
        <v>Daily</v>
      </c>
      <c r="K891" s="258" t="str">
        <f>IFERROR(__xludf.DUMMYFUNCTION("""COMPUTED_VALUE"""),"")</f>
        <v/>
      </c>
      <c r="L891" s="258" t="str">
        <f>IFERROR(__xludf.DUMMYFUNCTION("""COMPUTED_VALUE"""),"GHP, GHP-PREPAID, TM, PW, GOMO, WIRELINE, BAYAN, GLOBE")</f>
        <v>GHP, GHP-PREPAID, TM, PW, GOMO, WIRELINE, BAYAN, GLOBE</v>
      </c>
      <c r="M891" s="258" t="str">
        <f>IFERROR(__xludf.DUMMYFUNCTION("""COMPUTED_VALUE"""),"Consumer, EG, SG, In house, IBG Traveler")</f>
        <v>Consumer, EG, SG, In house, IBG Traveler</v>
      </c>
      <c r="N891" s="258" t="str">
        <f>IFERROR(__xludf.DUMMYFUNCTION("""COMPUTED_VALUE"""),"product")</f>
        <v>product</v>
      </c>
      <c r="O891" s="258" t="str">
        <f>IFERROR(__xludf.DUMMYFUNCTION("""COMPUTED_VALUE"""),"product_profile")</f>
        <v>product_profile</v>
      </c>
      <c r="P891" s="258"/>
    </row>
    <row r="892">
      <c r="A892" s="257" t="str">
        <f>IFERROR(__xludf.DUMMYFUNCTION("""COMPUTED_VALUE"""),"billing_offer_speed_mbps")</f>
        <v>billing_offer_speed_mbps</v>
      </c>
      <c r="B892" s="258" t="str">
        <f>IFERROR(__xludf.DUMMYFUNCTION("""COMPUTED_VALUE"""),"Globe ID")</f>
        <v>Globe ID</v>
      </c>
      <c r="C892" s="258" t="str">
        <f>IFERROR(__xludf.DUMMYFUNCTION("""COMPUTED_VALUE"""),"Non-PII")</f>
        <v>Non-PII</v>
      </c>
      <c r="D892" s="258" t="str">
        <f>IFERROR(__xludf.DUMMYFUNCTION("""COMPUTED_VALUE"""),"Non-PII")</f>
        <v>Non-PII</v>
      </c>
      <c r="E892" s="258" t="str">
        <f>IFERROR(__xludf.DUMMYFUNCTION("""COMPUTED_VALUE"""),"Speed (in MBPS unit of measurement) indicated in the subscriber's main plan")</f>
        <v>Speed (in MBPS unit of measurement) indicated in the subscriber's main plan</v>
      </c>
      <c r="F892" s="258" t="str">
        <f>IFERROR(__xludf.DUMMYFUNCTION("""COMPUTED_VALUE"""),"Derived")</f>
        <v>Derived</v>
      </c>
      <c r="G892" s="258" t="str">
        <f>IFERROR(__xludf.DUMMYFUNCTION("""COMPUTED_VALUE"""),"numeric(21,2)")</f>
        <v>numeric(21,2)</v>
      </c>
      <c r="H892" s="258">
        <f>IFERROR(__xludf.DUMMYFUNCTION("""COMPUTED_VALUE"""),200.0)</f>
        <v>200</v>
      </c>
      <c r="I892" s="258" t="str">
        <f>IFERROR(__xludf.DUMMYFUNCTION("""COMPUTED_VALUE"""),"BB")</f>
        <v>BB</v>
      </c>
      <c r="J892" s="258" t="str">
        <f>IFERROR(__xludf.DUMMYFUNCTION("""COMPUTED_VALUE"""),"Daily")</f>
        <v>Daily</v>
      </c>
      <c r="K892" s="258" t="str">
        <f>IFERROR(__xludf.DUMMYFUNCTION("""COMPUTED_VALUE"""),"")</f>
        <v/>
      </c>
      <c r="L892" s="258" t="str">
        <f>IFERROR(__xludf.DUMMYFUNCTION("""COMPUTED_VALUE"""),"WIRELINE, BAYAN, GLOBE")</f>
        <v>WIRELINE, BAYAN, GLOBE</v>
      </c>
      <c r="M892" s="258" t="str">
        <f>IFERROR(__xludf.DUMMYFUNCTION("""COMPUTED_VALUE"""),"Consumer, EG, SG")</f>
        <v>Consumer, EG, SG</v>
      </c>
      <c r="N892" s="258" t="str">
        <f>IFERROR(__xludf.DUMMYFUNCTION("""COMPUTED_VALUE"""),"product")</f>
        <v>product</v>
      </c>
      <c r="O892" s="258" t="str">
        <f>IFERROR(__xludf.DUMMYFUNCTION("""COMPUTED_VALUE"""),"product_profile")</f>
        <v>product_profile</v>
      </c>
      <c r="P892" s="258"/>
    </row>
    <row r="893">
      <c r="A893" s="257" t="str">
        <f>IFERROR(__xludf.DUMMYFUNCTION("""COMPUTED_VALUE"""),"bb_download_speed_value_mbps")</f>
        <v>bb_download_speed_value_mbps</v>
      </c>
      <c r="B893" s="258" t="str">
        <f>IFERROR(__xludf.DUMMYFUNCTION("""COMPUTED_VALUE"""),"Behavioral")</f>
        <v>Behavioral</v>
      </c>
      <c r="C893" s="258" t="str">
        <f>IFERROR(__xludf.DUMMYFUNCTION("""COMPUTED_VALUE"""),"Non-PII")</f>
        <v>Non-PII</v>
      </c>
      <c r="D893" s="258" t="str">
        <f>IFERROR(__xludf.DUMMYFUNCTION("""COMPUTED_VALUE"""),"Non-PII")</f>
        <v>Non-PII</v>
      </c>
      <c r="E893" s="258" t="str">
        <f>IFERROR(__xludf.DUMMYFUNCTION("""COMPUTED_VALUE"""),"Download (DPC) speed configured to the account")</f>
        <v>Download (DPC) speed configured to the account</v>
      </c>
      <c r="F893" s="258" t="str">
        <f>IFERROR(__xludf.DUMMYFUNCTION("""COMPUTED_VALUE"""),"Direct Pull")</f>
        <v>Direct Pull</v>
      </c>
      <c r="G893" s="258" t="str">
        <f>IFERROR(__xludf.DUMMYFUNCTION("""COMPUTED_VALUE"""),"numeric(19,4)")</f>
        <v>numeric(19,4)</v>
      </c>
      <c r="H893" s="258">
        <f>IFERROR(__xludf.DUMMYFUNCTION("""COMPUTED_VALUE"""),10.0)</f>
        <v>10</v>
      </c>
      <c r="I893" s="258" t="str">
        <f>IFERROR(__xludf.DUMMYFUNCTION("""COMPUTED_VALUE"""),"DPA - BB")</f>
        <v>DPA - BB</v>
      </c>
      <c r="J893" s="258" t="str">
        <f>IFERROR(__xludf.DUMMYFUNCTION("""COMPUTED_VALUE"""),"Daily")</f>
        <v>Daily</v>
      </c>
      <c r="K893" s="258" t="str">
        <f>IFERROR(__xludf.DUMMYFUNCTION("""COMPUTED_VALUE"""),"")</f>
        <v/>
      </c>
      <c r="L893" s="258" t="str">
        <f>IFERROR(__xludf.DUMMYFUNCTION("""COMPUTED_VALUE"""),"WIRELINE, BAYAN, GLOBE")</f>
        <v>WIRELINE, BAYAN, GLOBE</v>
      </c>
      <c r="M893" s="258" t="str">
        <f>IFERROR(__xludf.DUMMYFUNCTION("""COMPUTED_VALUE"""),"Consumer, EG, 
SG")</f>
        <v>Consumer, EG, 
SG</v>
      </c>
      <c r="N893" s="258" t="str">
        <f>IFERROR(__xludf.DUMMYFUNCTION("""COMPUTED_VALUE"""),"contract")</f>
        <v>contract</v>
      </c>
      <c r="O893" s="258" t="str">
        <f>IFERROR(__xludf.DUMMYFUNCTION("""COMPUTED_VALUE"""),"contract_profile")</f>
        <v>contract_profile</v>
      </c>
      <c r="P893" s="258"/>
    </row>
    <row r="894">
      <c r="A894" s="257" t="str">
        <f>IFERROR(__xludf.DUMMYFUNCTION("""COMPUTED_VALUE"""),"data_billing_offer_data_allocation")</f>
        <v>data_billing_offer_data_allocation</v>
      </c>
      <c r="B894" s="258" t="str">
        <f>IFERROR(__xludf.DUMMYFUNCTION("""COMPUTED_VALUE"""),"Campaign History")</f>
        <v>Campaign History</v>
      </c>
      <c r="C894" s="258" t="str">
        <f>IFERROR(__xludf.DUMMYFUNCTION("""COMPUTED_VALUE"""),"Non-PII")</f>
        <v>Non-PII</v>
      </c>
      <c r="D894" s="258" t="str">
        <f>IFERROR(__xludf.DUMMYFUNCTION("""COMPUTED_VALUE"""),"Non-PII")</f>
        <v>Non-PII</v>
      </c>
      <c r="E894" s="258" t="str">
        <f>IFERROR(__xludf.DUMMYFUNCTION("""COMPUTED_VALUE"""),"Total data (MB) allocation of sub's plans excluding consumable promos")</f>
        <v>Total data (MB) allocation of sub's plans excluding consumable promos</v>
      </c>
      <c r="F894" s="258" t="str">
        <f>IFERROR(__xludf.DUMMYFUNCTION("""COMPUTED_VALUE"""),"Derived")</f>
        <v>Derived</v>
      </c>
      <c r="G894" s="258" t="str">
        <f>IFERROR(__xludf.DUMMYFUNCTION("""COMPUTED_VALUE"""),"varchar(65535)")</f>
        <v>varchar(65535)</v>
      </c>
      <c r="H894" s="258">
        <f>IFERROR(__xludf.DUMMYFUNCTION("""COMPUTED_VALUE"""),1024.0)</f>
        <v>1024</v>
      </c>
      <c r="I894" s="258" t="str">
        <f>IFERROR(__xludf.DUMMYFUNCTION("""COMPUTED_VALUE"""),"FVT")</f>
        <v>FVT</v>
      </c>
      <c r="J894" s="258" t="str">
        <f>IFERROR(__xludf.DUMMYFUNCTION("""COMPUTED_VALUE"""),"Daily")</f>
        <v>Daily</v>
      </c>
      <c r="K894" s="258" t="str">
        <f>IFERROR(__xludf.DUMMYFUNCTION("""COMPUTED_VALUE"""),"")</f>
        <v/>
      </c>
      <c r="L894" s="258" t="str">
        <f>IFERROR(__xludf.DUMMYFUNCTION("""COMPUTED_VALUE"""),"GHP, WIRELINE")</f>
        <v>GHP, WIRELINE</v>
      </c>
      <c r="M894" s="258" t="str">
        <f>IFERROR(__xludf.DUMMYFUNCTION("""COMPUTED_VALUE"""),"Consumer, EG, SG, In house")</f>
        <v>Consumer, EG, SG, In house</v>
      </c>
      <c r="N894" s="258" t="str">
        <f>IFERROR(__xludf.DUMMYFUNCTION("""COMPUTED_VALUE"""),"product")</f>
        <v>product</v>
      </c>
      <c r="O894" s="258" t="str">
        <f>IFERROR(__xludf.DUMMYFUNCTION("""COMPUTED_VALUE"""),"product_profile")</f>
        <v>product_profile</v>
      </c>
      <c r="P894" s="258"/>
    </row>
    <row r="895">
      <c r="A895" s="257" t="str">
        <f>IFERROR(__xludf.DUMMYFUNCTION("""COMPUTED_VALUE"""),"single_site_usage_indicator")</f>
        <v>single_site_usage_indicator</v>
      </c>
      <c r="B895" s="258" t="str">
        <f>IFERROR(__xludf.DUMMYFUNCTION("""COMPUTED_VALUE"""),"Behavioral")</f>
        <v>Behavioral</v>
      </c>
      <c r="C895" s="258" t="str">
        <f>IFERROR(__xludf.DUMMYFUNCTION("""COMPUTED_VALUE"""),"Non-PII")</f>
        <v>Non-PII</v>
      </c>
      <c r="D895" s="258" t="str">
        <f>IFERROR(__xludf.DUMMYFUNCTION("""COMPUTED_VALUE"""),"Non-PII")</f>
        <v>Non-PII</v>
      </c>
      <c r="E895" s="258" t="str">
        <f>IFERROR(__xludf.DUMMYFUNCTION("""COMPUTED_VALUE"""),"Indicator if subscriber's data usage is mostly on a single site")</f>
        <v>Indicator if subscriber's data usage is mostly on a single site</v>
      </c>
      <c r="F895" s="258" t="str">
        <f>IFERROR(__xludf.DUMMYFUNCTION("""COMPUTED_VALUE"""),"Derived")</f>
        <v>Derived</v>
      </c>
      <c r="G895" s="258" t="str">
        <f>IFERROR(__xludf.DUMMYFUNCTION("""COMPUTED_VALUE"""),"boolean")</f>
        <v>boolean</v>
      </c>
      <c r="H895" s="258" t="b">
        <f>IFERROR(__xludf.DUMMYFUNCTION("""COMPUTED_VALUE"""),TRUE)</f>
        <v>1</v>
      </c>
      <c r="I895" s="258" t="str">
        <f>IFERROR(__xludf.DUMMYFUNCTION("""COMPUTED_VALUE"""),"FVT")</f>
        <v>FVT</v>
      </c>
      <c r="J895" s="258" t="str">
        <f>IFERROR(__xludf.DUMMYFUNCTION("""COMPUTED_VALUE"""),"Monthly")</f>
        <v>Monthly</v>
      </c>
      <c r="K895" s="258" t="str">
        <f>IFERROR(__xludf.DUMMYFUNCTION("""COMPUTED_VALUE"""),"")</f>
        <v/>
      </c>
      <c r="L895" s="258" t="str">
        <f>IFERROR(__xludf.DUMMYFUNCTION("""COMPUTED_VALUE"""),"GHP, GHP-PREPAID, TM, PW")</f>
        <v>GHP, GHP-PREPAID, TM, PW</v>
      </c>
      <c r="M895" s="258" t="str">
        <f>IFERROR(__xludf.DUMMYFUNCTION("""COMPUTED_VALUE"""),"Consumer, EG, SG, In house, IBG Traveler")</f>
        <v>Consumer, EG, SG, In house, IBG Traveler</v>
      </c>
      <c r="N895" s="258" t="str">
        <f>IFERROR(__xludf.DUMMYFUNCTION("""COMPUTED_VALUE"""),"network")</f>
        <v>network</v>
      </c>
      <c r="O895" s="258" t="str">
        <f>IFERROR(__xludf.DUMMYFUNCTION("""COMPUTED_VALUE"""),"network_profile")</f>
        <v>network_profile</v>
      </c>
      <c r="P895" s="258"/>
    </row>
    <row r="896">
      <c r="A896" s="257" t="str">
        <f>IFERROR(__xludf.DUMMYFUNCTION("""COMPUTED_VALUE"""),"platinum_migration_arpu_12mos")</f>
        <v>platinum_migration_arpu_12mos</v>
      </c>
      <c r="B896" s="258" t="str">
        <f>IFERROR(__xludf.DUMMYFUNCTION("""COMPUTED_VALUE"""),"Behavioral")</f>
        <v>Behavioral</v>
      </c>
      <c r="C896" s="258" t="str">
        <f>IFERROR(__xludf.DUMMYFUNCTION("""COMPUTED_VALUE"""),"Non-PII")</f>
        <v>Non-PII</v>
      </c>
      <c r="D896" s="258" t="str">
        <f>IFERROR(__xludf.DUMMYFUNCTION("""COMPUTED_VALUE"""),"Non-PII")</f>
        <v>Non-PII</v>
      </c>
      <c r="E896" s="258" t="str">
        <f>IFERROR(__xludf.DUMMYFUNCTION("""COMPUTED_VALUE"""),"The average revenue for the past 12 months of postpaid subscriber")</f>
        <v>The average revenue for the past 12 months of postpaid subscriber</v>
      </c>
      <c r="F896" s="258" t="str">
        <f>IFERROR(__xludf.DUMMYFUNCTION("""COMPUTED_VALUE"""),"Derived")</f>
        <v>Derived</v>
      </c>
      <c r="G896" s="258" t="str">
        <f>IFERROR(__xludf.DUMMYFUNCTION("""COMPUTED_VALUE"""),"numeric(21,2)")</f>
        <v>numeric(21,2)</v>
      </c>
      <c r="H896" s="258">
        <f>IFERROR(__xludf.DUMMYFUNCTION("""COMPUTED_VALUE"""),1299.99)</f>
        <v>1299.99</v>
      </c>
      <c r="I896" s="258" t="str">
        <f>IFERROR(__xludf.DUMMYFUNCTION("""COMPUTED_VALUE"""),"EDO-AA")</f>
        <v>EDO-AA</v>
      </c>
      <c r="J896" s="258" t="str">
        <f>IFERROR(__xludf.DUMMYFUNCTION("""COMPUTED_VALUE"""),"Monthly")</f>
        <v>Monthly</v>
      </c>
      <c r="K896" s="258" t="str">
        <f>IFERROR(__xludf.DUMMYFUNCTION("""COMPUTED_VALUE"""),"")</f>
        <v/>
      </c>
      <c r="L896" s="258" t="str">
        <f>IFERROR(__xludf.DUMMYFUNCTION("""COMPUTED_VALUE"""),"GHP")</f>
        <v>GHP</v>
      </c>
      <c r="M896" s="258" t="str">
        <f>IFERROR(__xludf.DUMMYFUNCTION("""COMPUTED_VALUE"""),"Consumer")</f>
        <v>Consumer</v>
      </c>
      <c r="N896" s="258" t="str">
        <f>IFERROR(__xludf.DUMMYFUNCTION("""COMPUTED_VALUE"""),"revenue")</f>
        <v>revenue</v>
      </c>
      <c r="O896" s="258" t="str">
        <f>IFERROR(__xludf.DUMMYFUNCTION("""COMPUTED_VALUE"""),"revenue_profile")</f>
        <v>revenue_profile</v>
      </c>
      <c r="P896" s="258"/>
    </row>
    <row r="897">
      <c r="A897" s="257" t="str">
        <f>IFERROR(__xludf.DUMMYFUNCTION("""COMPUTED_VALUE"""),"productivity_tools_user_total_data_usage_bucket")</f>
        <v>productivity_tools_user_total_data_usage_bucket</v>
      </c>
      <c r="B897" s="258" t="str">
        <f>IFERROR(__xludf.DUMMYFUNCTION("""COMPUTED_VALUE"""),"Behavioral")</f>
        <v>Behavioral</v>
      </c>
      <c r="C897" s="258" t="str">
        <f>IFERROR(__xludf.DUMMYFUNCTION("""COMPUTED_VALUE"""),"Non-PII")</f>
        <v>Non-PII</v>
      </c>
      <c r="D897" s="258" t="str">
        <f>IFERROR(__xludf.DUMMYFUNCTION("""COMPUTED_VALUE"""),"Non-PII")</f>
        <v>Non-PII</v>
      </c>
      <c r="E897" s="258" t="str">
        <f>IFERROR(__xludf.DUMMYFUNCTION("""COMPUTED_VALUE"""),"Total data usage bucket for productivity tools in the past month:
 WIRELESS:
 LOW: &lt; 3 MB
 MID: 3-12 MB
 HIGH &gt;12 MB
 WIRELINE
 LOW: &lt; 1000 MB
 MID: 1000-6600 MB
 HIGH &gt;6600 MB")</f>
        <v>Total data usage bucket for productivity tools in the past month:
 WIRELESS:
 LOW: &lt; 3 MB
 MID: 3-12 MB
 HIGH &gt;12 MB
 WIRELINE
 LOW: &lt; 1000 MB
 MID: 1000-6600 MB
 HIGH &gt;6600 MB</v>
      </c>
      <c r="F897" s="258" t="str">
        <f>IFERROR(__xludf.DUMMYFUNCTION("""COMPUTED_VALUE"""),"Derived")</f>
        <v>Derived</v>
      </c>
      <c r="G897" s="258" t="str">
        <f>IFERROR(__xludf.DUMMYFUNCTION("""COMPUTED_VALUE"""),"varchar(1000)")</f>
        <v>varchar(1000)</v>
      </c>
      <c r="H897" s="258" t="str">
        <f>IFERROR(__xludf.DUMMYFUNCTION("""COMPUTED_VALUE"""),"HIGH")</f>
        <v>HIGH</v>
      </c>
      <c r="I897" s="258" t="str">
        <f>IFERROR(__xludf.DUMMYFUNCTION("""COMPUTED_VALUE"""),"FVT")</f>
        <v>FVT</v>
      </c>
      <c r="J897" s="258" t="str">
        <f>IFERROR(__xludf.DUMMYFUNCTION("""COMPUTED_VALUE"""),"Monthly")</f>
        <v>Monthly</v>
      </c>
      <c r="K897" s="258" t="str">
        <f>IFERROR(__xludf.DUMMYFUNCTION("""COMPUTED_VALUE"""),"")</f>
        <v/>
      </c>
      <c r="L897" s="258" t="str">
        <f>IFERROR(__xludf.DUMMYFUNCTION("""COMPUTED_VALUE"""),"GHP, GHP-PREPAID, TM, PW, GOMO, WIRELINE, BAYAN, GLOBE")</f>
        <v>GHP, GHP-PREPAID, TM, PW, GOMO, WIRELINE, BAYAN, GLOBE</v>
      </c>
      <c r="M897" s="258" t="str">
        <f>IFERROR(__xludf.DUMMYFUNCTION("""COMPUTED_VALUE"""),"Consumer")</f>
        <v>Consumer</v>
      </c>
      <c r="N897" s="258" t="str">
        <f>IFERROR(__xludf.DUMMYFUNCTION("""COMPUTED_VALUE"""),"interest")</f>
        <v>interest</v>
      </c>
      <c r="O897" s="258" t="str">
        <f>IFERROR(__xludf.DUMMYFUNCTION("""COMPUTED_VALUE"""),"usage_profile")</f>
        <v>usage_profile</v>
      </c>
      <c r="P897" s="258"/>
    </row>
    <row r="898">
      <c r="A898" s="257" t="str">
        <f>IFERROR(__xludf.DUMMYFUNCTION("""COMPUTED_VALUE"""),"rewards_point_balance")</f>
        <v>rewards_point_balance</v>
      </c>
      <c r="B898" s="258" t="str">
        <f>IFERROR(__xludf.DUMMYFUNCTION("""COMPUTED_VALUE"""),"Behavioral")</f>
        <v>Behavioral</v>
      </c>
      <c r="C898" s="258" t="str">
        <f>IFERROR(__xludf.DUMMYFUNCTION("""COMPUTED_VALUE"""),"Non-PII")</f>
        <v>Non-PII</v>
      </c>
      <c r="D898" s="258" t="str">
        <f>IFERROR(__xludf.DUMMYFUNCTION("""COMPUTED_VALUE"""),"Non-PII")</f>
        <v>Non-PII</v>
      </c>
      <c r="E898" s="258" t="str">
        <f>IFERROR(__xludf.DUMMYFUNCTION("""COMPUTED_VALUE"""),"Reward point balance of the subscriber")</f>
        <v>Reward point balance of the subscriber</v>
      </c>
      <c r="F898" s="258" t="str">
        <f>IFERROR(__xludf.DUMMYFUNCTION("""COMPUTED_VALUE"""),"Derived")</f>
        <v>Derived</v>
      </c>
      <c r="G898" s="258" t="str">
        <f>IFERROR(__xludf.DUMMYFUNCTION("""COMPUTED_VALUE"""),"numeric(21,2)")</f>
        <v>numeric(21,2)</v>
      </c>
      <c r="H898" s="258">
        <f>IFERROR(__xludf.DUMMYFUNCTION("""COMPUTED_VALUE"""),100.8)</f>
        <v>100.8</v>
      </c>
      <c r="I898" s="258" t="str">
        <f>IFERROR(__xludf.DUMMYFUNCTION("""COMPUTED_VALUE"""),"FVT")</f>
        <v>FVT</v>
      </c>
      <c r="J898" s="258" t="str">
        <f>IFERROR(__xludf.DUMMYFUNCTION("""COMPUTED_VALUE"""),"Daily")</f>
        <v>Daily</v>
      </c>
      <c r="K898" s="258" t="str">
        <f>IFERROR(__xludf.DUMMYFUNCTION("""COMPUTED_VALUE"""),"")</f>
        <v/>
      </c>
      <c r="L898" s="258" t="str">
        <f>IFERROR(__xludf.DUMMYFUNCTION("""COMPUTED_VALUE"""),"GHP, GHP-PREPAID, TM, PW, GOMO, WIRELINE, BAYAN, GLOBE")</f>
        <v>GHP, GHP-PREPAID, TM, PW, GOMO, WIRELINE, BAYAN, GLOBE</v>
      </c>
      <c r="M898" s="258" t="str">
        <f>IFERROR(__xludf.DUMMYFUNCTION("""COMPUTED_VALUE"""),"Consumer, EG, SG, In house, IBG Traveler")</f>
        <v>Consumer, EG, SG, In house, IBG Traveler</v>
      </c>
      <c r="N898" s="258" t="str">
        <f>IFERROR(__xludf.DUMMYFUNCTION("""COMPUTED_VALUE"""),"reward_campaign")</f>
        <v>reward_campaign</v>
      </c>
      <c r="O898" s="258" t="str">
        <f>IFERROR(__xludf.DUMMYFUNCTION("""COMPUTED_VALUE"""),"reward_campaign_profile")</f>
        <v>reward_campaign_profile</v>
      </c>
      <c r="P898" s="258"/>
    </row>
    <row r="899">
      <c r="A899" s="257" t="str">
        <f>IFERROR(__xludf.DUMMYFUNCTION("""COMPUTED_VALUE"""),"household_segment")</f>
        <v>household_segment</v>
      </c>
      <c r="B899" s="258" t="str">
        <f>IFERROR(__xludf.DUMMYFUNCTION("""COMPUTED_VALUE"""),"Behavioral")</f>
        <v>Behavioral</v>
      </c>
      <c r="C899" s="258" t="str">
        <f>IFERROR(__xludf.DUMMYFUNCTION("""COMPUTED_VALUE"""),"Non-PII")</f>
        <v>Non-PII</v>
      </c>
      <c r="D899" s="258" t="str">
        <f>IFERROR(__xludf.DUMMYFUNCTION("""COMPUTED_VALUE"""),"Non-PII")</f>
        <v>Non-PII</v>
      </c>
      <c r="E899" s="258" t="str">
        <f>IFERROR(__xludf.DUMMYFUNCTION("""COMPUTED_VALUE"""),"Household segment where subscriber is more likely to belong to:
 Independent Household - Individuals living with non-relatives (e.g., friends, housemates, etc)
 Childless Household - Couples living together with no kids yet OR individuals (single or mar"&amp;"ried) who are living alone
 Starting/Growing - Couples or single parents with eldest kid aged 0-12 or 13-20 years old
 Mature Household - Couples or single parents with eldest kid aged 21 years old and above
 Extended Family - Households with presence of "&amp;"grandparents, aunts, uncles or other relatives
 Empty Nester - Old couples, single parents, widow or widower whose children do not live with them anymore")</f>
        <v>Household segment where subscriber is more likely to belong to:
 Independent Household - Individuals living with non-relatives (e.g., friends, housemates, etc)
 Childless Household - Couples living together with no kids yet OR individuals (single or married) who are living alone
 Starting/Growing - Couples or single parents with eldest kid aged 0-12 or 13-20 years old
 Mature Household - Couples or single parents with eldest kid aged 21 years old and above
 Extended Family - Households with presence of grandparents, aunts, uncles or other relatives
 Empty Nester - Old couples, single parents, widow or widower whose children do not live with them anymore</v>
      </c>
      <c r="F899" s="258" t="str">
        <f>IFERROR(__xludf.DUMMYFUNCTION("""COMPUTED_VALUE"""),"Derived")</f>
        <v>Derived</v>
      </c>
      <c r="G899" s="258" t="str">
        <f>IFERROR(__xludf.DUMMYFUNCTION("""COMPUTED_VALUE"""),"varchar(1000)")</f>
        <v>varchar(1000)</v>
      </c>
      <c r="H899" s="258" t="str">
        <f>IFERROR(__xludf.DUMMYFUNCTION("""COMPUTED_VALUE"""),"Starting Family")</f>
        <v>Starting Family</v>
      </c>
      <c r="I899" s="258" t="str">
        <f>IFERROR(__xludf.DUMMYFUNCTION("""COMPUTED_VALUE"""),"MSH")</f>
        <v>MSH</v>
      </c>
      <c r="J899" s="258" t="str">
        <f>IFERROR(__xludf.DUMMYFUNCTION("""COMPUTED_VALUE"""),"Daily")</f>
        <v>Daily</v>
      </c>
      <c r="K899" s="258" t="str">
        <f>IFERROR(__xludf.DUMMYFUNCTION("""COMPUTED_VALUE"""),"")</f>
        <v/>
      </c>
      <c r="L899" s="258" t="str">
        <f>IFERROR(__xludf.DUMMYFUNCTION("""COMPUTED_VALUE"""),"GHP, GHP-PREPAID, TM, GOMO")</f>
        <v>GHP, GHP-PREPAID, TM, GOMO</v>
      </c>
      <c r="M899" s="258" t="str">
        <f>IFERROR(__xludf.DUMMYFUNCTION("""COMPUTED_VALUE"""),"Consumer, EG,  SG, 
In house
IBG Traveler")</f>
        <v>Consumer, EG,  SG, 
In house
IBG Traveler</v>
      </c>
      <c r="N899" s="258" t="str">
        <f>IFERROR(__xludf.DUMMYFUNCTION("""COMPUTED_VALUE"""),"revenue")</f>
        <v>revenue</v>
      </c>
      <c r="O899" s="258" t="str">
        <f>IFERROR(__xludf.DUMMYFUNCTION("""COMPUTED_VALUE"""),"revenue_profile")</f>
        <v>revenue_profile</v>
      </c>
      <c r="P899" s="258"/>
    </row>
    <row r="900">
      <c r="A900" s="257" t="str">
        <f>IFERROR(__xludf.DUMMYFUNCTION("""COMPUTED_VALUE"""),"household_decision_tag")</f>
        <v>household_decision_tag</v>
      </c>
      <c r="B900" s="258" t="str">
        <f>IFERROR(__xludf.DUMMYFUNCTION("""COMPUTED_VALUE"""),"Behavioral")</f>
        <v>Behavioral</v>
      </c>
      <c r="C900" s="258" t="str">
        <f>IFERROR(__xludf.DUMMYFUNCTION("""COMPUTED_VALUE"""),"Non-PII")</f>
        <v>Non-PII</v>
      </c>
      <c r="D900" s="258" t="str">
        <f>IFERROR(__xludf.DUMMYFUNCTION("""COMPUTED_VALUE"""),"Non-PII")</f>
        <v>Non-PII</v>
      </c>
      <c r="E900" s="258" t="str">
        <f>IFERROR(__xludf.DUMMYFUNCTION("""COMPUTED_VALUE"""),"Inferred category whether subscriber is more likely to respond/to have the purchasing power, either Decision Maker or Not Decision Maker.")</f>
        <v>Inferred category whether subscriber is more likely to respond/to have the purchasing power, either Decision Maker or Not Decision Maker.</v>
      </c>
      <c r="F900" s="258" t="str">
        <f>IFERROR(__xludf.DUMMYFUNCTION("""COMPUTED_VALUE"""),"Derived")</f>
        <v>Derived</v>
      </c>
      <c r="G900" s="258" t="str">
        <f>IFERROR(__xludf.DUMMYFUNCTION("""COMPUTED_VALUE"""),"varchar(1000)")</f>
        <v>varchar(1000)</v>
      </c>
      <c r="H900" s="258" t="str">
        <f>IFERROR(__xludf.DUMMYFUNCTION("""COMPUTED_VALUE"""),"Decision Maker")</f>
        <v>Decision Maker</v>
      </c>
      <c r="I900" s="258" t="str">
        <f>IFERROR(__xludf.DUMMYFUNCTION("""COMPUTED_VALUE"""),"MSH")</f>
        <v>MSH</v>
      </c>
      <c r="J900" s="258" t="str">
        <f>IFERROR(__xludf.DUMMYFUNCTION("""COMPUTED_VALUE"""),"Daily")</f>
        <v>Daily</v>
      </c>
      <c r="K900" s="258" t="str">
        <f>IFERROR(__xludf.DUMMYFUNCTION("""COMPUTED_VALUE"""),"")</f>
        <v/>
      </c>
      <c r="L900" s="258" t="str">
        <f>IFERROR(__xludf.DUMMYFUNCTION("""COMPUTED_VALUE"""),"GHP, GHP-PREPAID, TM, GOMO")</f>
        <v>GHP, GHP-PREPAID, TM, GOMO</v>
      </c>
      <c r="M900" s="258" t="str">
        <f>IFERROR(__xludf.DUMMYFUNCTION("""COMPUTED_VALUE"""),"Consumer, EG, SG, In house, IBG Traveler")</f>
        <v>Consumer, EG, SG, In house, IBG Traveler</v>
      </c>
      <c r="N900" s="258" t="str">
        <f>IFERROR(__xludf.DUMMYFUNCTION("""COMPUTED_VALUE"""),"revenue")</f>
        <v>revenue</v>
      </c>
      <c r="O900" s="258" t="str">
        <f>IFERROR(__xludf.DUMMYFUNCTION("""COMPUTED_VALUE"""),"revenue_profile")</f>
        <v>revenue_profile</v>
      </c>
      <c r="P900" s="258"/>
    </row>
    <row r="901">
      <c r="A901" s="257" t="str">
        <f>IFERROR(__xludf.DUMMYFUNCTION("""COMPUTED_VALUE"""),"mobility_radius_of_gyration_weekly")</f>
        <v>mobility_radius_of_gyration_weekly</v>
      </c>
      <c r="B901" s="258" t="str">
        <f>IFERROR(__xludf.DUMMYFUNCTION("""COMPUTED_VALUE"""),"Behavioral")</f>
        <v>Behavioral</v>
      </c>
      <c r="C901" s="258" t="str">
        <f>IFERROR(__xludf.DUMMYFUNCTION("""COMPUTED_VALUE"""),"Non-PII")</f>
        <v>Non-PII</v>
      </c>
      <c r="D901" s="258" t="str">
        <f>IFERROR(__xludf.DUMMYFUNCTION("""COMPUTED_VALUE"""),"Non-PII")</f>
        <v>Non-PII</v>
      </c>
      <c r="E901" s="258" t="str">
        <f>IFERROR(__xludf.DUMMYFUNCTION("""COMPUTED_VALUE"""),"Radius of gyration in kilometers (how wide is the movement) of the subscriber based on all hourly top locations in the last seven days")</f>
        <v>Radius of gyration in kilometers (how wide is the movement) of the subscriber based on all hourly top locations in the last seven days</v>
      </c>
      <c r="F901" s="258" t="str">
        <f>IFERROR(__xludf.DUMMYFUNCTION("""COMPUTED_VALUE"""),"Derived")</f>
        <v>Derived</v>
      </c>
      <c r="G901" s="258" t="str">
        <f>IFERROR(__xludf.DUMMYFUNCTION("""COMPUTED_VALUE"""),"numeric(19,4)")</f>
        <v>numeric(19,4)</v>
      </c>
      <c r="H901" s="258">
        <f>IFERROR(__xludf.DUMMYFUNCTION("""COMPUTED_VALUE"""),0.151689523)</f>
        <v>0.151689523</v>
      </c>
      <c r="I901" s="258" t="str">
        <f>IFERROR(__xludf.DUMMYFUNCTION("""COMPUTED_VALUE"""),"EDO-AA")</f>
        <v>EDO-AA</v>
      </c>
      <c r="J901" s="258" t="str">
        <f>IFERROR(__xludf.DUMMYFUNCTION("""COMPUTED_VALUE"""),"Monthly")</f>
        <v>Monthly</v>
      </c>
      <c r="K901" s="258" t="str">
        <f>IFERROR(__xludf.DUMMYFUNCTION("""COMPUTED_VALUE"""),"")</f>
        <v/>
      </c>
      <c r="L901" s="258" t="str">
        <f>IFERROR(__xludf.DUMMYFUNCTION("""COMPUTED_VALUE"""),"GHP, GHP-PREPAID, TM, PW, GOMO, WIRELINE")</f>
        <v>GHP, GHP-PREPAID, TM, PW, GOMO, WIRELINE</v>
      </c>
      <c r="M901" s="258" t="str">
        <f>IFERROR(__xludf.DUMMYFUNCTION("""COMPUTED_VALUE"""),"Consumer, EG, SG, In house, IBG Traveler")</f>
        <v>Consumer, EG, SG, In house, IBG Traveler</v>
      </c>
      <c r="N901" s="258" t="str">
        <f>IFERROR(__xludf.DUMMYFUNCTION("""COMPUTED_VALUE"""),"network")</f>
        <v>network</v>
      </c>
      <c r="O901" s="258" t="str">
        <f>IFERROR(__xludf.DUMMYFUNCTION("""COMPUTED_VALUE"""),"network_profile")</f>
        <v>network_profile</v>
      </c>
      <c r="P901" s="258"/>
    </row>
    <row r="902">
      <c r="A902" s="257" t="str">
        <f>IFERROR(__xludf.DUMMYFUNCTION("""COMPUTED_VALUE"""),"mobility_radius_of_gyration_monthly")</f>
        <v>mobility_radius_of_gyration_monthly</v>
      </c>
      <c r="B902" s="258" t="str">
        <f>IFERROR(__xludf.DUMMYFUNCTION("""COMPUTED_VALUE"""),"Behavioral")</f>
        <v>Behavioral</v>
      </c>
      <c r="C902" s="258" t="str">
        <f>IFERROR(__xludf.DUMMYFUNCTION("""COMPUTED_VALUE"""),"Non-PII")</f>
        <v>Non-PII</v>
      </c>
      <c r="D902" s="258" t="str">
        <f>IFERROR(__xludf.DUMMYFUNCTION("""COMPUTED_VALUE"""),"Non-PII")</f>
        <v>Non-PII</v>
      </c>
      <c r="E902" s="258" t="str">
        <f>IFERROR(__xludf.DUMMYFUNCTION("""COMPUTED_VALUE"""),"Radius of gyration in kilometers (how wide is the movement) of the subscriber based on all hourly top locations in the last month")</f>
        <v>Radius of gyration in kilometers (how wide is the movement) of the subscriber based on all hourly top locations in the last month</v>
      </c>
      <c r="F902" s="258" t="str">
        <f>IFERROR(__xludf.DUMMYFUNCTION("""COMPUTED_VALUE"""),"Derived")</f>
        <v>Derived</v>
      </c>
      <c r="G902" s="258" t="str">
        <f>IFERROR(__xludf.DUMMYFUNCTION("""COMPUTED_VALUE"""),"numeric(19,4)")</f>
        <v>numeric(19,4)</v>
      </c>
      <c r="H902" s="258">
        <f>IFERROR(__xludf.DUMMYFUNCTION("""COMPUTED_VALUE"""),0.156082001)</f>
        <v>0.156082001</v>
      </c>
      <c r="I902" s="258" t="str">
        <f>IFERROR(__xludf.DUMMYFUNCTION("""COMPUTED_VALUE"""),"EDO-AA")</f>
        <v>EDO-AA</v>
      </c>
      <c r="J902" s="258" t="str">
        <f>IFERROR(__xludf.DUMMYFUNCTION("""COMPUTED_VALUE"""),"Monthly")</f>
        <v>Monthly</v>
      </c>
      <c r="K902" s="258" t="str">
        <f>IFERROR(__xludf.DUMMYFUNCTION("""COMPUTED_VALUE"""),"")</f>
        <v/>
      </c>
      <c r="L902" s="258" t="str">
        <f>IFERROR(__xludf.DUMMYFUNCTION("""COMPUTED_VALUE"""),"GHP, GHP-PREPAID, TM, PW, GOMO, WIRELINE")</f>
        <v>GHP, GHP-PREPAID, TM, PW, GOMO, WIRELINE</v>
      </c>
      <c r="M902" s="258" t="str">
        <f>IFERROR(__xludf.DUMMYFUNCTION("""COMPUTED_VALUE"""),"Consumer, EG, SG, In house, IBG Traveler")</f>
        <v>Consumer, EG, SG, In house, IBG Traveler</v>
      </c>
      <c r="N902" s="258" t="str">
        <f>IFERROR(__xludf.DUMMYFUNCTION("""COMPUTED_VALUE"""),"network")</f>
        <v>network</v>
      </c>
      <c r="O902" s="258" t="str">
        <f>IFERROR(__xludf.DUMMYFUNCTION("""COMPUTED_VALUE"""),"network_profile")</f>
        <v>network_profile</v>
      </c>
      <c r="P902" s="258"/>
    </row>
    <row r="903">
      <c r="A903" s="257" t="str">
        <f>IFERROR(__xludf.DUMMYFUNCTION("""COMPUTED_VALUE"""),"mobility_total_traveled_distance_weekly")</f>
        <v>mobility_total_traveled_distance_weekly</v>
      </c>
      <c r="B903" s="258" t="str">
        <f>IFERROR(__xludf.DUMMYFUNCTION("""COMPUTED_VALUE"""),"Behavioral")</f>
        <v>Behavioral</v>
      </c>
      <c r="C903" s="258" t="str">
        <f>IFERROR(__xludf.DUMMYFUNCTION("""COMPUTED_VALUE"""),"Non-PII")</f>
        <v>Non-PII</v>
      </c>
      <c r="D903" s="258" t="str">
        <f>IFERROR(__xludf.DUMMYFUNCTION("""COMPUTED_VALUE"""),"Non-PII")</f>
        <v>Non-PII</v>
      </c>
      <c r="E903" s="258" t="str">
        <f>IFERROR(__xludf.DUMMYFUNCTION("""COMPUTED_VALUE"""),"Total travelled distance in kilometers (how far is the movement) of the subscriber based on all hourly top locations in the last seven days")</f>
        <v>Total travelled distance in kilometers (how far is the movement) of the subscriber based on all hourly top locations in the last seven days</v>
      </c>
      <c r="F903" s="258" t="str">
        <f>IFERROR(__xludf.DUMMYFUNCTION("""COMPUTED_VALUE"""),"Derived")</f>
        <v>Derived</v>
      </c>
      <c r="G903" s="258" t="str">
        <f>IFERROR(__xludf.DUMMYFUNCTION("""COMPUTED_VALUE"""),"numeric(19,4)")</f>
        <v>numeric(19,4)</v>
      </c>
      <c r="H903" s="258">
        <f>IFERROR(__xludf.DUMMYFUNCTION("""COMPUTED_VALUE"""),16.60031044)</f>
        <v>16.60031044</v>
      </c>
      <c r="I903" s="258" t="str">
        <f>IFERROR(__xludf.DUMMYFUNCTION("""COMPUTED_VALUE"""),"EDO-AA")</f>
        <v>EDO-AA</v>
      </c>
      <c r="J903" s="258" t="str">
        <f>IFERROR(__xludf.DUMMYFUNCTION("""COMPUTED_VALUE"""),"Monthly")</f>
        <v>Monthly</v>
      </c>
      <c r="K903" s="258" t="str">
        <f>IFERROR(__xludf.DUMMYFUNCTION("""COMPUTED_VALUE"""),"")</f>
        <v/>
      </c>
      <c r="L903" s="258" t="str">
        <f>IFERROR(__xludf.DUMMYFUNCTION("""COMPUTED_VALUE"""),"GHP, GHP-PREPAID, TM, PW, GOMO, WIRELINE")</f>
        <v>GHP, GHP-PREPAID, TM, PW, GOMO, WIRELINE</v>
      </c>
      <c r="M903" s="258" t="str">
        <f>IFERROR(__xludf.DUMMYFUNCTION("""COMPUTED_VALUE"""),"Consumer, EG, SG, In house, IBG Traveler")</f>
        <v>Consumer, EG, SG, In house, IBG Traveler</v>
      </c>
      <c r="N903" s="258" t="str">
        <f>IFERROR(__xludf.DUMMYFUNCTION("""COMPUTED_VALUE"""),"network")</f>
        <v>network</v>
      </c>
      <c r="O903" s="258" t="str">
        <f>IFERROR(__xludf.DUMMYFUNCTION("""COMPUTED_VALUE"""),"network_profile")</f>
        <v>network_profile</v>
      </c>
      <c r="P903" s="258"/>
    </row>
    <row r="904">
      <c r="A904" s="257" t="str">
        <f>IFERROR(__xludf.DUMMYFUNCTION("""COMPUTED_VALUE"""),"mobility_total_traveled_distance_monthly")</f>
        <v>mobility_total_traveled_distance_monthly</v>
      </c>
      <c r="B904" s="258" t="str">
        <f>IFERROR(__xludf.DUMMYFUNCTION("""COMPUTED_VALUE"""),"Behavioral")</f>
        <v>Behavioral</v>
      </c>
      <c r="C904" s="258" t="str">
        <f>IFERROR(__xludf.DUMMYFUNCTION("""COMPUTED_VALUE"""),"Non-PII")</f>
        <v>Non-PII</v>
      </c>
      <c r="D904" s="258" t="str">
        <f>IFERROR(__xludf.DUMMYFUNCTION("""COMPUTED_VALUE"""),"Non-PII")</f>
        <v>Non-PII</v>
      </c>
      <c r="E904" s="258" t="str">
        <f>IFERROR(__xludf.DUMMYFUNCTION("""COMPUTED_VALUE"""),"Total travelled distance in kilometers (how far is the movement) of the subscriber based on all hourly top locations in the last month")</f>
        <v>Total travelled distance in kilometers (how far is the movement) of the subscriber based on all hourly top locations in the last month</v>
      </c>
      <c r="F904" s="258" t="str">
        <f>IFERROR(__xludf.DUMMYFUNCTION("""COMPUTED_VALUE"""),"Derived")</f>
        <v>Derived</v>
      </c>
      <c r="G904" s="258" t="str">
        <f>IFERROR(__xludf.DUMMYFUNCTION("""COMPUTED_VALUE"""),"numeric(19,4)")</f>
        <v>numeric(19,4)</v>
      </c>
      <c r="H904" s="258">
        <f>IFERROR(__xludf.DUMMYFUNCTION("""COMPUTED_VALUE"""),71.15492988)</f>
        <v>71.15492988</v>
      </c>
      <c r="I904" s="258" t="str">
        <f>IFERROR(__xludf.DUMMYFUNCTION("""COMPUTED_VALUE"""),"EDO-AA")</f>
        <v>EDO-AA</v>
      </c>
      <c r="J904" s="258" t="str">
        <f>IFERROR(__xludf.DUMMYFUNCTION("""COMPUTED_VALUE"""),"Monthly")</f>
        <v>Monthly</v>
      </c>
      <c r="K904" s="258" t="str">
        <f>IFERROR(__xludf.DUMMYFUNCTION("""COMPUTED_VALUE"""),"")</f>
        <v/>
      </c>
      <c r="L904" s="258" t="str">
        <f>IFERROR(__xludf.DUMMYFUNCTION("""COMPUTED_VALUE"""),"GHP, GHP-PREPAID, TM, PW, GOMO, WIRELINE")</f>
        <v>GHP, GHP-PREPAID, TM, PW, GOMO, WIRELINE</v>
      </c>
      <c r="M904" s="258" t="str">
        <f>IFERROR(__xludf.DUMMYFUNCTION("""COMPUTED_VALUE"""),"Consumer, EG, SG, In house, IBG Traveler")</f>
        <v>Consumer, EG, SG, In house, IBG Traveler</v>
      </c>
      <c r="N904" s="258" t="str">
        <f>IFERROR(__xludf.DUMMYFUNCTION("""COMPUTED_VALUE"""),"network")</f>
        <v>network</v>
      </c>
      <c r="O904" s="258" t="str">
        <f>IFERROR(__xludf.DUMMYFUNCTION("""COMPUTED_VALUE"""),"network_profile")</f>
        <v>network_profile</v>
      </c>
      <c r="P904" s="258"/>
    </row>
    <row r="905">
      <c r="A905" s="257" t="str">
        <f>IFERROR(__xludf.DUMMYFUNCTION("""COMPUTED_VALUE"""),"mobility_activity_entropy_weekly")</f>
        <v>mobility_activity_entropy_weekly</v>
      </c>
      <c r="B905" s="258" t="str">
        <f>IFERROR(__xludf.DUMMYFUNCTION("""COMPUTED_VALUE"""),"Behavioral")</f>
        <v>Behavioral</v>
      </c>
      <c r="C905" s="258" t="str">
        <f>IFERROR(__xludf.DUMMYFUNCTION("""COMPUTED_VALUE"""),"Non-PII")</f>
        <v>Non-PII</v>
      </c>
      <c r="D905" s="258" t="str">
        <f>IFERROR(__xludf.DUMMYFUNCTION("""COMPUTED_VALUE"""),"Non-PII")</f>
        <v>Non-PII</v>
      </c>
      <c r="E905" s="258" t="str">
        <f>IFERROR(__xludf.DUMMYFUNCTION("""COMPUTED_VALUE"""),"Activity entropy - unitless (how often is the movement) of the subscriber based on all hourly top locations in the last seven days")</f>
        <v>Activity entropy - unitless (how often is the movement) of the subscriber based on all hourly top locations in the last seven days</v>
      </c>
      <c r="F905" s="258" t="str">
        <f>IFERROR(__xludf.DUMMYFUNCTION("""COMPUTED_VALUE"""),"Derived")</f>
        <v>Derived</v>
      </c>
      <c r="G905" s="258" t="str">
        <f>IFERROR(__xludf.DUMMYFUNCTION("""COMPUTED_VALUE"""),"numeric(19,4)")</f>
        <v>numeric(19,4)</v>
      </c>
      <c r="H905" s="258">
        <f>IFERROR(__xludf.DUMMYFUNCTION("""COMPUTED_VALUE"""),0.288835017)</f>
        <v>0.288835017</v>
      </c>
      <c r="I905" s="258" t="str">
        <f>IFERROR(__xludf.DUMMYFUNCTION("""COMPUTED_VALUE"""),"EDO-AA")</f>
        <v>EDO-AA</v>
      </c>
      <c r="J905" s="258" t="str">
        <f>IFERROR(__xludf.DUMMYFUNCTION("""COMPUTED_VALUE"""),"Monthly")</f>
        <v>Monthly</v>
      </c>
      <c r="K905" s="258" t="str">
        <f>IFERROR(__xludf.DUMMYFUNCTION("""COMPUTED_VALUE"""),"")</f>
        <v/>
      </c>
      <c r="L905" s="258" t="str">
        <f>IFERROR(__xludf.DUMMYFUNCTION("""COMPUTED_VALUE"""),"GHP, GHP-PREPAID, TM, PW, GOMO, WIRELINE")</f>
        <v>GHP, GHP-PREPAID, TM, PW, GOMO, WIRELINE</v>
      </c>
      <c r="M905" s="258" t="str">
        <f>IFERROR(__xludf.DUMMYFUNCTION("""COMPUTED_VALUE"""),"Consumer, EG, SG, In house, IBG Traveler")</f>
        <v>Consumer, EG, SG, In house, IBG Traveler</v>
      </c>
      <c r="N905" s="258" t="str">
        <f>IFERROR(__xludf.DUMMYFUNCTION("""COMPUTED_VALUE"""),"network")</f>
        <v>network</v>
      </c>
      <c r="O905" s="258" t="str">
        <f>IFERROR(__xludf.DUMMYFUNCTION("""COMPUTED_VALUE"""),"network_profile")</f>
        <v>network_profile</v>
      </c>
      <c r="P905" s="258"/>
    </row>
    <row r="906">
      <c r="A906" s="257" t="str">
        <f>IFERROR(__xludf.DUMMYFUNCTION("""COMPUTED_VALUE"""),"mobility_activity_entropy_monthly")</f>
        <v>mobility_activity_entropy_monthly</v>
      </c>
      <c r="B906" s="258" t="str">
        <f>IFERROR(__xludf.DUMMYFUNCTION("""COMPUTED_VALUE"""),"Behavioral")</f>
        <v>Behavioral</v>
      </c>
      <c r="C906" s="258" t="str">
        <f>IFERROR(__xludf.DUMMYFUNCTION("""COMPUTED_VALUE"""),"Non-PII")</f>
        <v>Non-PII</v>
      </c>
      <c r="D906" s="258" t="str">
        <f>IFERROR(__xludf.DUMMYFUNCTION("""COMPUTED_VALUE"""),"Non-PII")</f>
        <v>Non-PII</v>
      </c>
      <c r="E906" s="258" t="str">
        <f>IFERROR(__xludf.DUMMYFUNCTION("""COMPUTED_VALUE"""),"Activity entropy - unitless (how often is the movement) of the subscriber based on all hourly top locations in the last month")</f>
        <v>Activity entropy - unitless (how often is the movement) of the subscriber based on all hourly top locations in the last month</v>
      </c>
      <c r="F906" s="258" t="str">
        <f>IFERROR(__xludf.DUMMYFUNCTION("""COMPUTED_VALUE"""),"Derived")</f>
        <v>Derived</v>
      </c>
      <c r="G906" s="258" t="str">
        <f>IFERROR(__xludf.DUMMYFUNCTION("""COMPUTED_VALUE"""),"numeric(19,4)")</f>
        <v>numeric(19,4)</v>
      </c>
      <c r="H906" s="258">
        <f>IFERROR(__xludf.DUMMYFUNCTION("""COMPUTED_VALUE"""),0.296981449)</f>
        <v>0.296981449</v>
      </c>
      <c r="I906" s="258" t="str">
        <f>IFERROR(__xludf.DUMMYFUNCTION("""COMPUTED_VALUE"""),"EDO-AA")</f>
        <v>EDO-AA</v>
      </c>
      <c r="J906" s="258" t="str">
        <f>IFERROR(__xludf.DUMMYFUNCTION("""COMPUTED_VALUE"""),"Monthly")</f>
        <v>Monthly</v>
      </c>
      <c r="K906" s="258" t="str">
        <f>IFERROR(__xludf.DUMMYFUNCTION("""COMPUTED_VALUE"""),"")</f>
        <v/>
      </c>
      <c r="L906" s="258" t="str">
        <f>IFERROR(__xludf.DUMMYFUNCTION("""COMPUTED_VALUE"""),"GHP, GHP-PREPAID, TM, PW, GOMO, WIRELINE")</f>
        <v>GHP, GHP-PREPAID, TM, PW, GOMO, WIRELINE</v>
      </c>
      <c r="M906" s="258" t="str">
        <f>IFERROR(__xludf.DUMMYFUNCTION("""COMPUTED_VALUE"""),"Consumer, EG, SG, In house, IBG Traveler")</f>
        <v>Consumer, EG, SG, In house, IBG Traveler</v>
      </c>
      <c r="N906" s="258" t="str">
        <f>IFERROR(__xludf.DUMMYFUNCTION("""COMPUTED_VALUE"""),"network")</f>
        <v>network</v>
      </c>
      <c r="O906" s="258" t="str">
        <f>IFERROR(__xludf.DUMMYFUNCTION("""COMPUTED_VALUE"""),"network_profile")</f>
        <v>network_profile</v>
      </c>
      <c r="P906" s="258"/>
    </row>
    <row r="907">
      <c r="A907" s="257" t="str">
        <f>IFERROR(__xludf.DUMMYFUNCTION("""COMPUTED_VALUE"""),"primary_sim_indicator")</f>
        <v>primary_sim_indicator</v>
      </c>
      <c r="B907" s="258" t="str">
        <f>IFERROR(__xludf.DUMMYFUNCTION("""COMPUTED_VALUE"""),"Behavioral")</f>
        <v>Behavioral</v>
      </c>
      <c r="C907" s="258" t="str">
        <f>IFERROR(__xludf.DUMMYFUNCTION("""COMPUTED_VALUE"""),"Non-PII")</f>
        <v>Non-PII</v>
      </c>
      <c r="D907" s="258" t="str">
        <f>IFERROR(__xludf.DUMMYFUNCTION("""COMPUTED_VALUE"""),"Non-PII")</f>
        <v>Non-PII</v>
      </c>
      <c r="E907" s="258" t="str">
        <f>IFERROR(__xludf.DUMMYFUNCTION("""COMPUTED_VALUE"""),"Indicator whether the subscriber uses the Globe sim as a primary sim card among likely multiple sim card holders.
TRUE - Primary Sim 
FALSE - Secondary Sim")</f>
        <v>Indicator whether the subscriber uses the Globe sim as a primary sim card among likely multiple sim card holders.
TRUE - Primary Sim 
FALSE - Secondary Sim</v>
      </c>
      <c r="F907" s="258" t="str">
        <f>IFERROR(__xludf.DUMMYFUNCTION("""COMPUTED_VALUE"""),"Derived")</f>
        <v>Derived</v>
      </c>
      <c r="G907" s="258" t="str">
        <f>IFERROR(__xludf.DUMMYFUNCTION("""COMPUTED_VALUE"""),"boolean")</f>
        <v>boolean</v>
      </c>
      <c r="H907" s="258" t="b">
        <f>IFERROR(__xludf.DUMMYFUNCTION("""COMPUTED_VALUE"""),TRUE)</f>
        <v>1</v>
      </c>
      <c r="I907" s="258" t="str">
        <f>IFERROR(__xludf.DUMMYFUNCTION("""COMPUTED_VALUE"""),"MSH")</f>
        <v>MSH</v>
      </c>
      <c r="J907" s="258" t="str">
        <f>IFERROR(__xludf.DUMMYFUNCTION("""COMPUTED_VALUE"""),"Monthly")</f>
        <v>Monthly</v>
      </c>
      <c r="K907" s="258" t="str">
        <f>IFERROR(__xludf.DUMMYFUNCTION("""COMPUTED_VALUE"""),"")</f>
        <v/>
      </c>
      <c r="L907" s="258" t="str">
        <f>IFERROR(__xludf.DUMMYFUNCTION("""COMPUTED_VALUE"""),"GHP-PREPAID, TM")</f>
        <v>GHP-PREPAID, TM</v>
      </c>
      <c r="M907" s="258" t="str">
        <f>IFERROR(__xludf.DUMMYFUNCTION("""COMPUTED_VALUE"""),"Consumer")</f>
        <v>Consumer</v>
      </c>
      <c r="N907" s="258" t="str">
        <f>IFERROR(__xludf.DUMMYFUNCTION("""COMPUTED_VALUE"""),"product")</f>
        <v>product</v>
      </c>
      <c r="O907" s="258" t="str">
        <f>IFERROR(__xludf.DUMMYFUNCTION("""COMPUTED_VALUE"""),"product_profile")</f>
        <v>product_profile</v>
      </c>
      <c r="P907" s="258"/>
    </row>
    <row r="908">
      <c r="A908" s="257" t="str">
        <f>IFERROR(__xludf.DUMMYFUNCTION("""COMPUTED_VALUE"""),"multi_line_indicator")</f>
        <v>multi_line_indicator</v>
      </c>
      <c r="B908" s="258" t="str">
        <f>IFERROR(__xludf.DUMMYFUNCTION("""COMPUTED_VALUE"""),"Behavioral")</f>
        <v>Behavioral</v>
      </c>
      <c r="C908" s="258" t="str">
        <f>IFERROR(__xludf.DUMMYFUNCTION("""COMPUTED_VALUE"""),"Non-PII")</f>
        <v>Non-PII</v>
      </c>
      <c r="D908" s="258" t="str">
        <f>IFERROR(__xludf.DUMMYFUNCTION("""COMPUTED_VALUE"""),"Non-PII")</f>
        <v>Non-PII</v>
      </c>
      <c r="E908" s="258" t="str">
        <f>IFERROR(__xludf.DUMMYFUNCTION("""COMPUTED_VALUE"""),"Indicator whether the subscriber has multiple line subscriptions, determined by checking SCV data if the subscriber already has an existing GID indicating multiple mobile subscriptions. 
TRUE - Multiple Lines
FALSE - Single Line")</f>
        <v>Indicator whether the subscriber has multiple line subscriptions, determined by checking SCV data if the subscriber already has an existing GID indicating multiple mobile subscriptions. 
TRUE - Multiple Lines
FALSE - Single Line</v>
      </c>
      <c r="F908" s="258" t="str">
        <f>IFERROR(__xludf.DUMMYFUNCTION("""COMPUTED_VALUE"""),"Derived")</f>
        <v>Derived</v>
      </c>
      <c r="G908" s="258" t="str">
        <f>IFERROR(__xludf.DUMMYFUNCTION("""COMPUTED_VALUE"""),"boolean")</f>
        <v>boolean</v>
      </c>
      <c r="H908" s="258" t="b">
        <f>IFERROR(__xludf.DUMMYFUNCTION("""COMPUTED_VALUE"""),TRUE)</f>
        <v>1</v>
      </c>
      <c r="I908" s="258" t="str">
        <f>IFERROR(__xludf.DUMMYFUNCTION("""COMPUTED_VALUE"""),"MSH")</f>
        <v>MSH</v>
      </c>
      <c r="J908" s="258" t="str">
        <f>IFERROR(__xludf.DUMMYFUNCTION("""COMPUTED_VALUE"""),"Monthly")</f>
        <v>Monthly</v>
      </c>
      <c r="K908" s="258" t="str">
        <f>IFERROR(__xludf.DUMMYFUNCTION("""COMPUTED_VALUE"""),"")</f>
        <v/>
      </c>
      <c r="L908" s="258" t="str">
        <f>IFERROR(__xludf.DUMMYFUNCTION("""COMPUTED_VALUE"""),"GHP-PREPAID, TM")</f>
        <v>GHP-PREPAID, TM</v>
      </c>
      <c r="M908" s="258" t="str">
        <f>IFERROR(__xludf.DUMMYFUNCTION("""COMPUTED_VALUE"""),"Consumer")</f>
        <v>Consumer</v>
      </c>
      <c r="N908" s="258" t="str">
        <f>IFERROR(__xludf.DUMMYFUNCTION("""COMPUTED_VALUE"""),"product")</f>
        <v>product</v>
      </c>
      <c r="O908" s="258" t="str">
        <f>IFERROR(__xludf.DUMMYFUNCTION("""COMPUTED_VALUE"""),"product_profile")</f>
        <v>product_profile</v>
      </c>
      <c r="P908" s="258"/>
    </row>
    <row r="909">
      <c r="A909" s="257" t="str">
        <f>IFERROR(__xludf.DUMMYFUNCTION("""COMPUTED_VALUE"""),"mobile_bridging_segment")</f>
        <v>mobile_bridging_segment</v>
      </c>
      <c r="B909" s="258" t="str">
        <f>IFERROR(__xludf.DUMMYFUNCTION("""COMPUTED_VALUE"""),"Behavioral")</f>
        <v>Behavioral</v>
      </c>
      <c r="C909" s="258" t="str">
        <f>IFERROR(__xludf.DUMMYFUNCTION("""COMPUTED_VALUE"""),"Non-PII")</f>
        <v>Non-PII</v>
      </c>
      <c r="D909" s="258" t="str">
        <f>IFERROR(__xludf.DUMMYFUNCTION("""COMPUTED_VALUE"""),"Non-PII")</f>
        <v>Non-PII</v>
      </c>
      <c r="E909" s="258" t="str">
        <f>IFERROR(__xludf.DUMMYFUNCTION("""COMPUTED_VALUE"""),"Mobile cohorts influenced by ECQ - aims to bridge ARPU declines in mobile.
1: Shift to BB - Customers are concentrated at home, hence may be using WiFi most of the time. (SAP/SAL Sender to HPW OR BB Postpaid User OR BB/HPW User in SCV)
2: Shift to Comp B"&amp;"B - Customers with Competitor Broadband (1 or High propensity in SCV Competitor BB model)
3: Financial - Due to halt in economic activity, a lot of people lost their jobs, hence may be having financial difficulty maintaining telco spend (Struggling Afflue"&amp;"nce OR RTC or Sporadic Topup Segment)
4: Shift to Comp - Competitors may be luring customers to use their service instead due to aggressive product push (Non Struggling Affluence AND 1 (Multisimmer) in Multisimmer Model)
5: Student - Students with no allo"&amp;"wance hence not being able to buy prepaid load (Non Struggling Affluence  AND Student Lifestage)
6: Network - Some may still have money but due to poor network QOS, discontinued used of the service (Non Struggling Affluence AND Network Speeds Worse than C"&amp;"ompetitor
9: New - Workaround cohort to tag subscribers with activation dates later than available profile dates. (e.g. If scoring December 2021 Base and using November 2021 Profiles/Model Scores, then all December 2021 newly activated subscribers will no"&amp;"t have scores in any of the profile/model scores and will thus be tagged as NEW. This was done in the past as a workaround if current month profiles were not yet available, however it is less likely to be done today.)
99: Catch-all - Remaining mobtels tha"&amp;"t are not tagged in above cohorts")</f>
        <v>Mobile cohorts influenced by ECQ - aims to bridge ARPU declines in mobile.
1: Shift to BB - Customers are concentrated at home, hence may be using WiFi most of the time. (SAP/SAL Sender to HPW OR BB Postpaid User OR BB/HPW User in SCV)
2: Shift to Comp BB - Customers with Competitor Broadband (1 or High propensity in SCV Competitor BB model)
3: Financial - Due to halt in economic activity, a lot of people lost their jobs, hence may be having financial difficulty maintaining telco spend (Struggling Affluence OR RTC or Sporadic Topup Segment)
4: Shift to Comp - Competitors may be luring customers to use their service instead due to aggressive product push (Non Struggling Affluence AND 1 (Multisimmer) in Multisimmer Model)
5: Student - Students with no allowance hence not being able to buy prepaid load (Non Struggling Affluence  AND Student Lifestage)
6: Network - Some may still have money but due to poor network QOS, discontinued used of the service (Non Struggling Affluence AND Network Speeds Worse than Competitor
9: New - Workaround cohort to tag subscribers with activation dates later than available profile dates. (e.g. If scoring December 2021 Base and using November 2021 Profiles/Model Scores, then all December 2021 newly activated subscribers will not have scores in any of the profile/model scores and will thus be tagged as NEW. This was done in the past as a workaround if current month profiles were not yet available, however it is less likely to be done today.)
99: Catch-all - Remaining mobtels that are not tagged in above cohorts</v>
      </c>
      <c r="F909" s="258" t="str">
        <f>IFERROR(__xludf.DUMMYFUNCTION("""COMPUTED_VALUE"""),"Derived")</f>
        <v>Derived</v>
      </c>
      <c r="G909" s="258" t="str">
        <f>IFERROR(__xludf.DUMMYFUNCTION("""COMPUTED_VALUE"""),"varchar(1000)")</f>
        <v>varchar(1000)</v>
      </c>
      <c r="H909" s="258" t="str">
        <f>IFERROR(__xludf.DUMMYFUNCTION("""COMPUTED_VALUE"""),"1: Shift to BB")</f>
        <v>1: Shift to BB</v>
      </c>
      <c r="I909" s="258" t="str">
        <f>IFERROR(__xludf.DUMMYFUNCTION("""COMPUTED_VALUE"""),"MSH")</f>
        <v>MSH</v>
      </c>
      <c r="J909" s="258" t="str">
        <f>IFERROR(__xludf.DUMMYFUNCTION("""COMPUTED_VALUE"""),"Monthly")</f>
        <v>Monthly</v>
      </c>
      <c r="K909" s="258" t="str">
        <f>IFERROR(__xludf.DUMMYFUNCTION("""COMPUTED_VALUE"""),"")</f>
        <v/>
      </c>
      <c r="L909" s="258" t="str">
        <f>IFERROR(__xludf.DUMMYFUNCTION("""COMPUTED_VALUE"""),"GHP-PREPAID, TM")</f>
        <v>GHP-PREPAID, TM</v>
      </c>
      <c r="M909" s="258" t="str">
        <f>IFERROR(__xludf.DUMMYFUNCTION("""COMPUTED_VALUE"""),"Consumer, IBG Traveler")</f>
        <v>Consumer, IBG Traveler</v>
      </c>
      <c r="N909" s="258" t="str">
        <f>IFERROR(__xludf.DUMMYFUNCTION("""COMPUTED_VALUE"""),"revenue")</f>
        <v>revenue</v>
      </c>
      <c r="O909" s="258" t="str">
        <f>IFERROR(__xludf.DUMMYFUNCTION("""COMPUTED_VALUE"""),"revenue_profile")</f>
        <v>revenue_profile</v>
      </c>
      <c r="P909" s="258"/>
    </row>
    <row r="910">
      <c r="A910" s="257" t="str">
        <f>IFERROR(__xludf.DUMMYFUNCTION("""COMPUTED_VALUE"""),"mobility_center_of_mass_latitude_weekly")</f>
        <v>mobility_center_of_mass_latitude_weekly</v>
      </c>
      <c r="B910" s="258" t="str">
        <f>IFERROR(__xludf.DUMMYFUNCTION("""COMPUTED_VALUE"""),"Customer PII - Masked")</f>
        <v>Customer PII - Masked</v>
      </c>
      <c r="C910" s="258" t="str">
        <f>IFERROR(__xludf.DUMMYFUNCTION("""COMPUTED_VALUE"""),"Customer PII - Masked")</f>
        <v>Customer PII - Masked</v>
      </c>
      <c r="D910" s="258" t="str">
        <f>IFERROR(__xludf.DUMMYFUNCTION("""COMPUTED_VALUE"""),"Coordinates")</f>
        <v>Coordinates</v>
      </c>
      <c r="E910" s="258" t="str">
        <f>IFERROR(__xludf.DUMMYFUNCTION("""COMPUTED_VALUE"""),"Latitude from the center of mass coordinates based on top locations in the last seven days")</f>
        <v>Latitude from the center of mass coordinates based on top locations in the last seven days</v>
      </c>
      <c r="F910" s="258" t="str">
        <f>IFERROR(__xludf.DUMMYFUNCTION("""COMPUTED_VALUE"""),"Derived")</f>
        <v>Derived</v>
      </c>
      <c r="G910" s="258" t="str">
        <f>IFERROR(__xludf.DUMMYFUNCTION("""COMPUTED_VALUE"""),"numeric(19,4)")</f>
        <v>numeric(19,4)</v>
      </c>
      <c r="H910" s="258">
        <f>IFERROR(__xludf.DUMMYFUNCTION("""COMPUTED_VALUE"""),10.000022)</f>
        <v>10.000022</v>
      </c>
      <c r="I910" s="258" t="str">
        <f>IFERROR(__xludf.DUMMYFUNCTION("""COMPUTED_VALUE"""),"EDO-AA")</f>
        <v>EDO-AA</v>
      </c>
      <c r="J910" s="258" t="str">
        <f>IFERROR(__xludf.DUMMYFUNCTION("""COMPUTED_VALUE"""),"Monthly")</f>
        <v>Monthly</v>
      </c>
      <c r="K910" s="258" t="str">
        <f>IFERROR(__xludf.DUMMYFUNCTION("""COMPUTED_VALUE"""),"")</f>
        <v/>
      </c>
      <c r="L910" s="258" t="str">
        <f>IFERROR(__xludf.DUMMYFUNCTION("""COMPUTED_VALUE"""),"GHP, GHP-PREPAID, TM, PW, WIRELINE, GOMO")</f>
        <v>GHP, GHP-PREPAID, TM, PW, WIRELINE, GOMO</v>
      </c>
      <c r="M910" s="258" t="str">
        <f>IFERROR(__xludf.DUMMYFUNCTION("""COMPUTED_VALUE"""),"Consumer, EG, SG, In house, IBG Traveler")</f>
        <v>Consumer, EG, SG, In house, IBG Traveler</v>
      </c>
      <c r="N910" s="258" t="str">
        <f>IFERROR(__xludf.DUMMYFUNCTION("""COMPUTED_VALUE"""),"network")</f>
        <v>network</v>
      </c>
      <c r="O910" s="258" t="str">
        <f>IFERROR(__xludf.DUMMYFUNCTION("""COMPUTED_VALUE"""),"network_profile")</f>
        <v>network_profile</v>
      </c>
      <c r="P910" s="258"/>
    </row>
    <row r="911">
      <c r="A911" s="257" t="str">
        <f>IFERROR(__xludf.DUMMYFUNCTION("""COMPUTED_VALUE"""),"mobility_center_of_mass_longitude_weekly")</f>
        <v>mobility_center_of_mass_longitude_weekly</v>
      </c>
      <c r="B911" s="258" t="str">
        <f>IFERROR(__xludf.DUMMYFUNCTION("""COMPUTED_VALUE"""),"Customer PII - Masked")</f>
        <v>Customer PII - Masked</v>
      </c>
      <c r="C911" s="258" t="str">
        <f>IFERROR(__xludf.DUMMYFUNCTION("""COMPUTED_VALUE"""),"Customer PII - Masked")</f>
        <v>Customer PII - Masked</v>
      </c>
      <c r="D911" s="258" t="str">
        <f>IFERROR(__xludf.DUMMYFUNCTION("""COMPUTED_VALUE"""),"Coordinates")</f>
        <v>Coordinates</v>
      </c>
      <c r="E911" s="258" t="str">
        <f>IFERROR(__xludf.DUMMYFUNCTION("""COMPUTED_VALUE"""),"Longitude from the center of mass coordinates based on top locations in the last seven days")</f>
        <v>Longitude from the center of mass coordinates based on top locations in the last seven days</v>
      </c>
      <c r="F911" s="258" t="str">
        <f>IFERROR(__xludf.DUMMYFUNCTION("""COMPUTED_VALUE"""),"Derived")</f>
        <v>Derived</v>
      </c>
      <c r="G911" s="258" t="str">
        <f>IFERROR(__xludf.DUMMYFUNCTION("""COMPUTED_VALUE"""),"numeric(19,4)")</f>
        <v>numeric(19,4)</v>
      </c>
      <c r="H911" s="258">
        <f>IFERROR(__xludf.DUMMYFUNCTION("""COMPUTED_VALUE"""),118.7704)</f>
        <v>118.7704</v>
      </c>
      <c r="I911" s="258" t="str">
        <f>IFERROR(__xludf.DUMMYFUNCTION("""COMPUTED_VALUE"""),"EDO-AA")</f>
        <v>EDO-AA</v>
      </c>
      <c r="J911" s="258" t="str">
        <f>IFERROR(__xludf.DUMMYFUNCTION("""COMPUTED_VALUE"""),"Monthly")</f>
        <v>Monthly</v>
      </c>
      <c r="K911" s="258" t="str">
        <f>IFERROR(__xludf.DUMMYFUNCTION("""COMPUTED_VALUE"""),"")</f>
        <v/>
      </c>
      <c r="L911" s="258" t="str">
        <f>IFERROR(__xludf.DUMMYFUNCTION("""COMPUTED_VALUE"""),"GHP, GHP-PREPAID, TM, PW, WIRELINE, GOMO")</f>
        <v>GHP, GHP-PREPAID, TM, PW, WIRELINE, GOMO</v>
      </c>
      <c r="M911" s="258" t="str">
        <f>IFERROR(__xludf.DUMMYFUNCTION("""COMPUTED_VALUE"""),"Consumer, EG, SG, In house, IBG Traveler")</f>
        <v>Consumer, EG, SG, In house, IBG Traveler</v>
      </c>
      <c r="N911" s="258" t="str">
        <f>IFERROR(__xludf.DUMMYFUNCTION("""COMPUTED_VALUE"""),"network")</f>
        <v>network</v>
      </c>
      <c r="O911" s="258" t="str">
        <f>IFERROR(__xludf.DUMMYFUNCTION("""COMPUTED_VALUE"""),"network_profile")</f>
        <v>network_profile</v>
      </c>
      <c r="P911" s="258"/>
    </row>
    <row r="912">
      <c r="A912" s="257" t="str">
        <f>IFERROR(__xludf.DUMMYFUNCTION("""COMPUTED_VALUE"""),"mobility_center_of_mass_latitude_monthly")</f>
        <v>mobility_center_of_mass_latitude_monthly</v>
      </c>
      <c r="B912" s="258" t="str">
        <f>IFERROR(__xludf.DUMMYFUNCTION("""COMPUTED_VALUE"""),"Customer PII - Masked")</f>
        <v>Customer PII - Masked</v>
      </c>
      <c r="C912" s="258" t="str">
        <f>IFERROR(__xludf.DUMMYFUNCTION("""COMPUTED_VALUE"""),"Customer PII - Masked")</f>
        <v>Customer PII - Masked</v>
      </c>
      <c r="D912" s="258" t="str">
        <f>IFERROR(__xludf.DUMMYFUNCTION("""COMPUTED_VALUE"""),"Coordinates")</f>
        <v>Coordinates</v>
      </c>
      <c r="E912" s="258" t="str">
        <f>IFERROR(__xludf.DUMMYFUNCTION("""COMPUTED_VALUE"""),"Latitude from the center of mass coordinates based on top locations in the last month")</f>
        <v>Latitude from the center of mass coordinates based on top locations in the last month</v>
      </c>
      <c r="F912" s="258" t="str">
        <f>IFERROR(__xludf.DUMMYFUNCTION("""COMPUTED_VALUE"""),"Derived")</f>
        <v>Derived</v>
      </c>
      <c r="G912" s="258" t="str">
        <f>IFERROR(__xludf.DUMMYFUNCTION("""COMPUTED_VALUE"""),"numeric(19,4)")</f>
        <v>numeric(19,4)</v>
      </c>
      <c r="H912" s="258">
        <f>IFERROR(__xludf.DUMMYFUNCTION("""COMPUTED_VALUE"""),6.101336)</f>
        <v>6.101336</v>
      </c>
      <c r="I912" s="258" t="str">
        <f>IFERROR(__xludf.DUMMYFUNCTION("""COMPUTED_VALUE"""),"EDO-AA")</f>
        <v>EDO-AA</v>
      </c>
      <c r="J912" s="258" t="str">
        <f>IFERROR(__xludf.DUMMYFUNCTION("""COMPUTED_VALUE"""),"Monthly")</f>
        <v>Monthly</v>
      </c>
      <c r="K912" s="258" t="str">
        <f>IFERROR(__xludf.DUMMYFUNCTION("""COMPUTED_VALUE"""),"")</f>
        <v/>
      </c>
      <c r="L912" s="258" t="str">
        <f>IFERROR(__xludf.DUMMYFUNCTION("""COMPUTED_VALUE"""),"GHP, GHP-PREPAID, TM, PW, WIRELINE, GOMO")</f>
        <v>GHP, GHP-PREPAID, TM, PW, WIRELINE, GOMO</v>
      </c>
      <c r="M912" s="258" t="str">
        <f>IFERROR(__xludf.DUMMYFUNCTION("""COMPUTED_VALUE"""),"Consumer, EG, SG, In house, IBG Traveler")</f>
        <v>Consumer, EG, SG, In house, IBG Traveler</v>
      </c>
      <c r="N912" s="258" t="str">
        <f>IFERROR(__xludf.DUMMYFUNCTION("""COMPUTED_VALUE"""),"network")</f>
        <v>network</v>
      </c>
      <c r="O912" s="258" t="str">
        <f>IFERROR(__xludf.DUMMYFUNCTION("""COMPUTED_VALUE"""),"network_profile")</f>
        <v>network_profile</v>
      </c>
      <c r="P912" s="258"/>
    </row>
    <row r="913">
      <c r="A913" s="257" t="str">
        <f>IFERROR(__xludf.DUMMYFUNCTION("""COMPUTED_VALUE"""),"mobility_center_of_mass_longitude_monthly")</f>
        <v>mobility_center_of_mass_longitude_monthly</v>
      </c>
      <c r="B913" s="258" t="str">
        <f>IFERROR(__xludf.DUMMYFUNCTION("""COMPUTED_VALUE"""),"Customer PII - Masked")</f>
        <v>Customer PII - Masked</v>
      </c>
      <c r="C913" s="258" t="str">
        <f>IFERROR(__xludf.DUMMYFUNCTION("""COMPUTED_VALUE"""),"Customer PII - Masked")</f>
        <v>Customer PII - Masked</v>
      </c>
      <c r="D913" s="258" t="str">
        <f>IFERROR(__xludf.DUMMYFUNCTION("""COMPUTED_VALUE"""),"Coordinates")</f>
        <v>Coordinates</v>
      </c>
      <c r="E913" s="258" t="str">
        <f>IFERROR(__xludf.DUMMYFUNCTION("""COMPUTED_VALUE"""),"Longitude from the center of mass coordinates based on top locations in the last month")</f>
        <v>Longitude from the center of mass coordinates based on top locations in the last month</v>
      </c>
      <c r="F913" s="258" t="str">
        <f>IFERROR(__xludf.DUMMYFUNCTION("""COMPUTED_VALUE"""),"Derived")</f>
        <v>Derived</v>
      </c>
      <c r="G913" s="258" t="str">
        <f>IFERROR(__xludf.DUMMYFUNCTION("""COMPUTED_VALUE"""),"numeric(19,4)")</f>
        <v>numeric(19,4)</v>
      </c>
      <c r="H913" s="258">
        <f>IFERROR(__xludf.DUMMYFUNCTION("""COMPUTED_VALUE"""),118.770251)</f>
        <v>118.770251</v>
      </c>
      <c r="I913" s="258" t="str">
        <f>IFERROR(__xludf.DUMMYFUNCTION("""COMPUTED_VALUE"""),"EDO-AA")</f>
        <v>EDO-AA</v>
      </c>
      <c r="J913" s="258" t="str">
        <f>IFERROR(__xludf.DUMMYFUNCTION("""COMPUTED_VALUE"""),"Monthly")</f>
        <v>Monthly</v>
      </c>
      <c r="K913" s="258" t="str">
        <f>IFERROR(__xludf.DUMMYFUNCTION("""COMPUTED_VALUE"""),"")</f>
        <v/>
      </c>
      <c r="L913" s="258" t="str">
        <f>IFERROR(__xludf.DUMMYFUNCTION("""COMPUTED_VALUE"""),"GHP, GHP-PREPAID, TM, PW, WIRELINE, GOMO")</f>
        <v>GHP, GHP-PREPAID, TM, PW, WIRELINE, GOMO</v>
      </c>
      <c r="M913" s="258" t="str">
        <f>IFERROR(__xludf.DUMMYFUNCTION("""COMPUTED_VALUE"""),"Consumer, EG, SG, In house, IBG Traveler")</f>
        <v>Consumer, EG, SG, In house, IBG Traveler</v>
      </c>
      <c r="N913" s="258" t="str">
        <f>IFERROR(__xludf.DUMMYFUNCTION("""COMPUTED_VALUE"""),"network")</f>
        <v>network</v>
      </c>
      <c r="O913" s="258" t="str">
        <f>IFERROR(__xludf.DUMMYFUNCTION("""COMPUTED_VALUE"""),"network_profile")</f>
        <v>network_profile</v>
      </c>
      <c r="P913" s="258"/>
    </row>
    <row r="914">
      <c r="A914" s="257" t="str">
        <f>IFERROR(__xludf.DUMMYFUNCTION("""COMPUTED_VALUE"""),"mobility_index_average_baseline_daily")</f>
        <v>mobility_index_average_baseline_daily</v>
      </c>
      <c r="B914" s="258" t="str">
        <f>IFERROR(__xludf.DUMMYFUNCTION("""COMPUTED_VALUE"""),"Behavioral")</f>
        <v>Behavioral</v>
      </c>
      <c r="C914" s="258" t="str">
        <f>IFERROR(__xludf.DUMMYFUNCTION("""COMPUTED_VALUE"""),"Non-PII")</f>
        <v>Non-PII</v>
      </c>
      <c r="D914" s="258" t="str">
        <f>IFERROR(__xludf.DUMMYFUNCTION("""COMPUTED_VALUE"""),"Non-PII")</f>
        <v>Non-PII</v>
      </c>
      <c r="E914" s="258" t="str">
        <f>IFERROR(__xludf.DUMMYFUNCTION("""COMPUTED_VALUE"""),"Baseline average daily mobility index from January 2020 to February 2020")</f>
        <v>Baseline average daily mobility index from January 2020 to February 2020</v>
      </c>
      <c r="F914" s="258" t="str">
        <f>IFERROR(__xludf.DUMMYFUNCTION("""COMPUTED_VALUE"""),"Derived")</f>
        <v>Derived</v>
      </c>
      <c r="G914" s="258" t="str">
        <f>IFERROR(__xludf.DUMMYFUNCTION("""COMPUTED_VALUE"""),"numeric(19,4)")</f>
        <v>numeric(19,4)</v>
      </c>
      <c r="H914" s="258">
        <f>IFERROR(__xludf.DUMMYFUNCTION("""COMPUTED_VALUE"""),6.101336)</f>
        <v>6.101336</v>
      </c>
      <c r="I914" s="258" t="str">
        <f>IFERROR(__xludf.DUMMYFUNCTION("""COMPUTED_VALUE"""),"EDO-AA")</f>
        <v>EDO-AA</v>
      </c>
      <c r="J914" s="258" t="str">
        <f>IFERROR(__xludf.DUMMYFUNCTION("""COMPUTED_VALUE"""),"Monthly")</f>
        <v>Monthly</v>
      </c>
      <c r="K914" s="258" t="str">
        <f>IFERROR(__xludf.DUMMYFUNCTION("""COMPUTED_VALUE"""),"")</f>
        <v/>
      </c>
      <c r="L914" s="258" t="str">
        <f>IFERROR(__xludf.DUMMYFUNCTION("""COMPUTED_VALUE"""),"GHP, GHP-PREPAID, TM, PW, WIRELINE, GOMO")</f>
        <v>GHP, GHP-PREPAID, TM, PW, WIRELINE, GOMO</v>
      </c>
      <c r="M914" s="258" t="str">
        <f>IFERROR(__xludf.DUMMYFUNCTION("""COMPUTED_VALUE"""),"Consumer, EG, SG, In house, IBG Traveler")</f>
        <v>Consumer, EG, SG, In house, IBG Traveler</v>
      </c>
      <c r="N914" s="258" t="str">
        <f>IFERROR(__xludf.DUMMYFUNCTION("""COMPUTED_VALUE"""),"network")</f>
        <v>network</v>
      </c>
      <c r="O914" s="258" t="str">
        <f>IFERROR(__xludf.DUMMYFUNCTION("""COMPUTED_VALUE"""),"network_profile")</f>
        <v>network_profile</v>
      </c>
      <c r="P914" s="258"/>
    </row>
    <row r="915">
      <c r="A915" s="257" t="str">
        <f>IFERROR(__xludf.DUMMYFUNCTION("""COMPUTED_VALUE"""),"mobility_index_average_baseline_weekly")</f>
        <v>mobility_index_average_baseline_weekly</v>
      </c>
      <c r="B915" s="258" t="str">
        <f>IFERROR(__xludf.DUMMYFUNCTION("""COMPUTED_VALUE"""),"Behavioral")</f>
        <v>Behavioral</v>
      </c>
      <c r="C915" s="258" t="str">
        <f>IFERROR(__xludf.DUMMYFUNCTION("""COMPUTED_VALUE"""),"Non-PII")</f>
        <v>Non-PII</v>
      </c>
      <c r="D915" s="258" t="str">
        <f>IFERROR(__xludf.DUMMYFUNCTION("""COMPUTED_VALUE"""),"Non-PII")</f>
        <v>Non-PII</v>
      </c>
      <c r="E915" s="258" t="str">
        <f>IFERROR(__xludf.DUMMYFUNCTION("""COMPUTED_VALUE"""),"Baseline average weekly mobility index from January 2020 to February 2020")</f>
        <v>Baseline average weekly mobility index from January 2020 to February 2020</v>
      </c>
      <c r="F915" s="258" t="str">
        <f>IFERROR(__xludf.DUMMYFUNCTION("""COMPUTED_VALUE"""),"Derived")</f>
        <v>Derived</v>
      </c>
      <c r="G915" s="258" t="str">
        <f>IFERROR(__xludf.DUMMYFUNCTION("""COMPUTED_VALUE"""),"numeric(19,4)")</f>
        <v>numeric(19,4)</v>
      </c>
      <c r="H915" s="258">
        <f>IFERROR(__xludf.DUMMYFUNCTION("""COMPUTED_VALUE"""),6.101336)</f>
        <v>6.101336</v>
      </c>
      <c r="I915" s="258" t="str">
        <f>IFERROR(__xludf.DUMMYFUNCTION("""COMPUTED_VALUE"""),"EDO-AA")</f>
        <v>EDO-AA</v>
      </c>
      <c r="J915" s="258" t="str">
        <f>IFERROR(__xludf.DUMMYFUNCTION("""COMPUTED_VALUE"""),"Monthly")</f>
        <v>Monthly</v>
      </c>
      <c r="K915" s="258" t="str">
        <f>IFERROR(__xludf.DUMMYFUNCTION("""COMPUTED_VALUE"""),"")</f>
        <v/>
      </c>
      <c r="L915" s="258" t="str">
        <f>IFERROR(__xludf.DUMMYFUNCTION("""COMPUTED_VALUE"""),"GHP, GHP-PREPAID, TM, PW, WIRELINE, GOMO")</f>
        <v>GHP, GHP-PREPAID, TM, PW, WIRELINE, GOMO</v>
      </c>
      <c r="M915" s="258" t="str">
        <f>IFERROR(__xludf.DUMMYFUNCTION("""COMPUTED_VALUE"""),"Consumer, EG, SG, In house, IBG Traveler")</f>
        <v>Consumer, EG, SG, In house, IBG Traveler</v>
      </c>
      <c r="N915" s="258" t="str">
        <f>IFERROR(__xludf.DUMMYFUNCTION("""COMPUTED_VALUE"""),"network")</f>
        <v>network</v>
      </c>
      <c r="O915" s="258" t="str">
        <f>IFERROR(__xludf.DUMMYFUNCTION("""COMPUTED_VALUE"""),"network_profile")</f>
        <v>network_profile</v>
      </c>
      <c r="P915" s="258"/>
    </row>
    <row r="916">
      <c r="A916" s="257" t="str">
        <f>IFERROR(__xludf.DUMMYFUNCTION("""COMPUTED_VALUE"""),"mobility_index_average_baseline_monthly")</f>
        <v>mobility_index_average_baseline_monthly</v>
      </c>
      <c r="B916" s="258" t="str">
        <f>IFERROR(__xludf.DUMMYFUNCTION("""COMPUTED_VALUE"""),"Behavioral")</f>
        <v>Behavioral</v>
      </c>
      <c r="C916" s="258" t="str">
        <f>IFERROR(__xludf.DUMMYFUNCTION("""COMPUTED_VALUE"""),"Non-PII")</f>
        <v>Non-PII</v>
      </c>
      <c r="D916" s="258" t="str">
        <f>IFERROR(__xludf.DUMMYFUNCTION("""COMPUTED_VALUE"""),"Non-PII")</f>
        <v>Non-PII</v>
      </c>
      <c r="E916" s="258" t="str">
        <f>IFERROR(__xludf.DUMMYFUNCTION("""COMPUTED_VALUE"""),"Baseline average monthly mobility index from January 2020 to February 2020")</f>
        <v>Baseline average monthly mobility index from January 2020 to February 2020</v>
      </c>
      <c r="F916" s="258" t="str">
        <f>IFERROR(__xludf.DUMMYFUNCTION("""COMPUTED_VALUE"""),"Derived")</f>
        <v>Derived</v>
      </c>
      <c r="G916" s="258" t="str">
        <f>IFERROR(__xludf.DUMMYFUNCTION("""COMPUTED_VALUE"""),"numeric(19,4)")</f>
        <v>numeric(19,4)</v>
      </c>
      <c r="H916" s="258">
        <f>IFERROR(__xludf.DUMMYFUNCTION("""COMPUTED_VALUE"""),6.101336)</f>
        <v>6.101336</v>
      </c>
      <c r="I916" s="258" t="str">
        <f>IFERROR(__xludf.DUMMYFUNCTION("""COMPUTED_VALUE"""),"EDO-AA")</f>
        <v>EDO-AA</v>
      </c>
      <c r="J916" s="258" t="str">
        <f>IFERROR(__xludf.DUMMYFUNCTION("""COMPUTED_VALUE"""),"Monthly")</f>
        <v>Monthly</v>
      </c>
      <c r="K916" s="258" t="str">
        <f>IFERROR(__xludf.DUMMYFUNCTION("""COMPUTED_VALUE"""),"")</f>
        <v/>
      </c>
      <c r="L916" s="258" t="str">
        <f>IFERROR(__xludf.DUMMYFUNCTION("""COMPUTED_VALUE"""),"GHP, GHP-PREPAID, TM, PW, WIRELINE, GOMO")</f>
        <v>GHP, GHP-PREPAID, TM, PW, WIRELINE, GOMO</v>
      </c>
      <c r="M916" s="258" t="str">
        <f>IFERROR(__xludf.DUMMYFUNCTION("""COMPUTED_VALUE"""),"Consumer, EG, SG, In house, IBG Traveler")</f>
        <v>Consumer, EG, SG, In house, IBG Traveler</v>
      </c>
      <c r="N916" s="258" t="str">
        <f>IFERROR(__xludf.DUMMYFUNCTION("""COMPUTED_VALUE"""),"network")</f>
        <v>network</v>
      </c>
      <c r="O916" s="258" t="str">
        <f>IFERROR(__xludf.DUMMYFUNCTION("""COMPUTED_VALUE"""),"network_profile")</f>
        <v>network_profile</v>
      </c>
      <c r="P916" s="258"/>
    </row>
    <row r="917">
      <c r="A917" s="257" t="str">
        <f>IFERROR(__xludf.DUMMYFUNCTION("""COMPUTED_VALUE"""),"mobility_index_average_baseline_weekday")</f>
        <v>mobility_index_average_baseline_weekday</v>
      </c>
      <c r="B917" s="258" t="str">
        <f>IFERROR(__xludf.DUMMYFUNCTION("""COMPUTED_VALUE"""),"Behavioral")</f>
        <v>Behavioral</v>
      </c>
      <c r="C917" s="258" t="str">
        <f>IFERROR(__xludf.DUMMYFUNCTION("""COMPUTED_VALUE"""),"Non-PII")</f>
        <v>Non-PII</v>
      </c>
      <c r="D917" s="258" t="str">
        <f>IFERROR(__xludf.DUMMYFUNCTION("""COMPUTED_VALUE"""),"Non-PII")</f>
        <v>Non-PII</v>
      </c>
      <c r="E917" s="258" t="str">
        <f>IFERROR(__xludf.DUMMYFUNCTION("""COMPUTED_VALUE"""),"Baseline average daily weekday mobility index from January 2020 to February 2020")</f>
        <v>Baseline average daily weekday mobility index from January 2020 to February 2020</v>
      </c>
      <c r="F917" s="258" t="str">
        <f>IFERROR(__xludf.DUMMYFUNCTION("""COMPUTED_VALUE"""),"Derived")</f>
        <v>Derived</v>
      </c>
      <c r="G917" s="258" t="str">
        <f>IFERROR(__xludf.DUMMYFUNCTION("""COMPUTED_VALUE"""),"numeric(19,4)")</f>
        <v>numeric(19,4)</v>
      </c>
      <c r="H917" s="258">
        <f>IFERROR(__xludf.DUMMYFUNCTION("""COMPUTED_VALUE"""),6.101336)</f>
        <v>6.101336</v>
      </c>
      <c r="I917" s="258" t="str">
        <f>IFERROR(__xludf.DUMMYFUNCTION("""COMPUTED_VALUE"""),"EDO-AA")</f>
        <v>EDO-AA</v>
      </c>
      <c r="J917" s="258" t="str">
        <f>IFERROR(__xludf.DUMMYFUNCTION("""COMPUTED_VALUE"""),"Monthly")</f>
        <v>Monthly</v>
      </c>
      <c r="K917" s="258" t="str">
        <f>IFERROR(__xludf.DUMMYFUNCTION("""COMPUTED_VALUE"""),"")</f>
        <v/>
      </c>
      <c r="L917" s="258" t="str">
        <f>IFERROR(__xludf.DUMMYFUNCTION("""COMPUTED_VALUE"""),"GHP, GHP-PREPAID, TM, PW, WIRELINE, GOMO")</f>
        <v>GHP, GHP-PREPAID, TM, PW, WIRELINE, GOMO</v>
      </c>
      <c r="M917" s="258" t="str">
        <f>IFERROR(__xludf.DUMMYFUNCTION("""COMPUTED_VALUE"""),"Consumer, EG, SG, In house, IBG Traveler")</f>
        <v>Consumer, EG, SG, In house, IBG Traveler</v>
      </c>
      <c r="N917" s="258" t="str">
        <f>IFERROR(__xludf.DUMMYFUNCTION("""COMPUTED_VALUE"""),"network")</f>
        <v>network</v>
      </c>
      <c r="O917" s="258" t="str">
        <f>IFERROR(__xludf.DUMMYFUNCTION("""COMPUTED_VALUE"""),"network_profile")</f>
        <v>network_profile</v>
      </c>
      <c r="P917" s="258"/>
    </row>
    <row r="918">
      <c r="A918" s="257" t="str">
        <f>IFERROR(__xludf.DUMMYFUNCTION("""COMPUTED_VALUE"""),"mobility_index_average_baseline_weekend")</f>
        <v>mobility_index_average_baseline_weekend</v>
      </c>
      <c r="B918" s="258" t="str">
        <f>IFERROR(__xludf.DUMMYFUNCTION("""COMPUTED_VALUE"""),"Behavioral")</f>
        <v>Behavioral</v>
      </c>
      <c r="C918" s="258" t="str">
        <f>IFERROR(__xludf.DUMMYFUNCTION("""COMPUTED_VALUE"""),"Non-PII")</f>
        <v>Non-PII</v>
      </c>
      <c r="D918" s="258" t="str">
        <f>IFERROR(__xludf.DUMMYFUNCTION("""COMPUTED_VALUE"""),"Non-PII")</f>
        <v>Non-PII</v>
      </c>
      <c r="E918" s="258" t="str">
        <f>IFERROR(__xludf.DUMMYFUNCTION("""COMPUTED_VALUE"""),"Baseline average daily weekend mobility index from January 2020 to February 2020")</f>
        <v>Baseline average daily weekend mobility index from January 2020 to February 2020</v>
      </c>
      <c r="F918" s="258" t="str">
        <f>IFERROR(__xludf.DUMMYFUNCTION("""COMPUTED_VALUE"""),"Derived")</f>
        <v>Derived</v>
      </c>
      <c r="G918" s="258" t="str">
        <f>IFERROR(__xludf.DUMMYFUNCTION("""COMPUTED_VALUE"""),"numeric(19,4)")</f>
        <v>numeric(19,4)</v>
      </c>
      <c r="H918" s="258">
        <f>IFERROR(__xludf.DUMMYFUNCTION("""COMPUTED_VALUE"""),6.101336)</f>
        <v>6.101336</v>
      </c>
      <c r="I918" s="258" t="str">
        <f>IFERROR(__xludf.DUMMYFUNCTION("""COMPUTED_VALUE"""),"EDO-AA")</f>
        <v>EDO-AA</v>
      </c>
      <c r="J918" s="258" t="str">
        <f>IFERROR(__xludf.DUMMYFUNCTION("""COMPUTED_VALUE"""),"Monthly")</f>
        <v>Monthly</v>
      </c>
      <c r="K918" s="258" t="str">
        <f>IFERROR(__xludf.DUMMYFUNCTION("""COMPUTED_VALUE"""),"")</f>
        <v/>
      </c>
      <c r="L918" s="258" t="str">
        <f>IFERROR(__xludf.DUMMYFUNCTION("""COMPUTED_VALUE"""),"GHP, GHP-PREPAID, TM, PW, WIRELINE, GOMO")</f>
        <v>GHP, GHP-PREPAID, TM, PW, WIRELINE, GOMO</v>
      </c>
      <c r="M918" s="258" t="str">
        <f>IFERROR(__xludf.DUMMYFUNCTION("""COMPUTED_VALUE"""),"Consumer, EG, SG, In house, IBG Traveler")</f>
        <v>Consumer, EG, SG, In house, IBG Traveler</v>
      </c>
      <c r="N918" s="258" t="str">
        <f>IFERROR(__xludf.DUMMYFUNCTION("""COMPUTED_VALUE"""),"network")</f>
        <v>network</v>
      </c>
      <c r="O918" s="258" t="str">
        <f>IFERROR(__xludf.DUMMYFUNCTION("""COMPUTED_VALUE"""),"network_profile")</f>
        <v>network_profile</v>
      </c>
      <c r="P918" s="258"/>
    </row>
    <row r="919">
      <c r="A919" s="257" t="str">
        <f>IFERROR(__xludf.DUMMYFUNCTION("""COMPUTED_VALUE"""),"caif_by_25pct_active_days_indicator")</f>
        <v>caif_by_25pct_active_days_indicator</v>
      </c>
      <c r="B919" s="258" t="str">
        <f>IFERROR(__xludf.DUMMYFUNCTION("""COMPUTED_VALUE"""),"Behavioral")</f>
        <v>Behavioral</v>
      </c>
      <c r="C919" s="258" t="str">
        <f>IFERROR(__xludf.DUMMYFUNCTION("""COMPUTED_VALUE"""),"Non-PII")</f>
        <v>Non-PII</v>
      </c>
      <c r="D919" s="258" t="str">
        <f>IFERROR(__xludf.DUMMYFUNCTION("""COMPUTED_VALUE"""),"Non-PII")</f>
        <v>Non-PII</v>
      </c>
      <c r="E919" s="258" t="str">
        <f>IFERROR(__xludf.DUMMYFUNCTION("""COMPUTED_VALUE"""),"Indicator whether a subscriber experienced congestion for the past month for at least 25% of the total days at a minimum of 6 days.")</f>
        <v>Indicator whether a subscriber experienced congestion for the past month for at least 25% of the total days at a minimum of 6 days.</v>
      </c>
      <c r="F919" s="258" t="str">
        <f>IFERROR(__xludf.DUMMYFUNCTION("""COMPUTED_VALUE"""),"Derived")</f>
        <v>Derived</v>
      </c>
      <c r="G919" s="258" t="str">
        <f>IFERROR(__xludf.DUMMYFUNCTION("""COMPUTED_VALUE"""),"boolean")</f>
        <v>boolean</v>
      </c>
      <c r="H919" s="258" t="b">
        <f>IFERROR(__xludf.DUMMYFUNCTION("""COMPUTED_VALUE"""),TRUE)</f>
        <v>1</v>
      </c>
      <c r="I919" s="258" t="str">
        <f>IFERROR(__xludf.DUMMYFUNCTION("""COMPUTED_VALUE"""),"EDO")</f>
        <v>EDO</v>
      </c>
      <c r="J919" s="258" t="str">
        <f>IFERROR(__xludf.DUMMYFUNCTION("""COMPUTED_VALUE"""),"Monthly")</f>
        <v>Monthly</v>
      </c>
      <c r="K919" s="258" t="str">
        <f>IFERROR(__xludf.DUMMYFUNCTION("""COMPUTED_VALUE"""),"")</f>
        <v/>
      </c>
      <c r="L919" s="258" t="str">
        <f>IFERROR(__xludf.DUMMYFUNCTION("""COMPUTED_VALUE"""),"GHP, GHP-PREPAID, TM")</f>
        <v>GHP, GHP-PREPAID, TM</v>
      </c>
      <c r="M919" s="258" t="str">
        <f>IFERROR(__xludf.DUMMYFUNCTION("""COMPUTED_VALUE"""),"Consumer")</f>
        <v>Consumer</v>
      </c>
      <c r="N919" s="258" t="str">
        <f>IFERROR(__xludf.DUMMYFUNCTION("""COMPUTED_VALUE"""),"customer_service")</f>
        <v>customer_service</v>
      </c>
      <c r="O919" s="258" t="str">
        <f>IFERROR(__xludf.DUMMYFUNCTION("""COMPUTED_VALUE"""),"customer_service_profile")</f>
        <v>customer_service_profile</v>
      </c>
      <c r="P919" s="258"/>
    </row>
    <row r="920">
      <c r="A920" s="257" t="str">
        <f>IFERROR(__xludf.DUMMYFUNCTION("""COMPUTED_VALUE"""),"tenure_count_mos")</f>
        <v>tenure_count_mos</v>
      </c>
      <c r="B920" s="258" t="str">
        <f>IFERROR(__xludf.DUMMYFUNCTION("""COMPUTED_VALUE"""),"Loyalty &amp; Retention")</f>
        <v>Loyalty &amp; Retention</v>
      </c>
      <c r="C920" s="258" t="str">
        <f>IFERROR(__xludf.DUMMYFUNCTION("""COMPUTED_VALUE"""),"Non-PII")</f>
        <v>Non-PII</v>
      </c>
      <c r="D920" s="258" t="str">
        <f>IFERROR(__xludf.DUMMYFUNCTION("""COMPUTED_VALUE"""),"Non-PII")</f>
        <v>Non-PII</v>
      </c>
      <c r="E920" s="258" t="str">
        <f>IFERROR(__xludf.DUMMYFUNCTION("""COMPUTED_VALUE"""),"Number of months from activation to the current date")</f>
        <v>Number of months from activation to the current date</v>
      </c>
      <c r="F920" s="258" t="str">
        <f>IFERROR(__xludf.DUMMYFUNCTION("""COMPUTED_VALUE"""),"Derived")</f>
        <v>Derived</v>
      </c>
      <c r="G920" s="258" t="str">
        <f>IFERROR(__xludf.DUMMYFUNCTION("""COMPUTED_VALUE"""),"Decimal(19,4)")</f>
        <v>Decimal(19,4)</v>
      </c>
      <c r="H920" s="258">
        <f>IFERROR(__xludf.DUMMYFUNCTION("""COMPUTED_VALUE"""),10.0)</f>
        <v>10</v>
      </c>
      <c r="I920" s="258" t="str">
        <f>IFERROR(__xludf.DUMMYFUNCTION("""COMPUTED_VALUE"""),"DGT")</f>
        <v>DGT</v>
      </c>
      <c r="J920" s="258" t="str">
        <f>IFERROR(__xludf.DUMMYFUNCTION("""COMPUTED_VALUE"""),"Daily")</f>
        <v>Daily</v>
      </c>
      <c r="K920" s="258" t="str">
        <f>IFERROR(__xludf.DUMMYFUNCTION("""COMPUTED_VALUE"""),"")</f>
        <v/>
      </c>
      <c r="L920" s="258" t="str">
        <f>IFERROR(__xludf.DUMMYFUNCTION("""COMPUTED_VALUE"""),"GHP, GHP-PREPAID, GOMO, TM, PW, WIRELINE, BAYAN, GLOBE")</f>
        <v>GHP, GHP-PREPAID, GOMO, TM, PW, WIRELINE, BAYAN, GLOBE</v>
      </c>
      <c r="M920" s="258" t="str">
        <f>IFERROR(__xludf.DUMMYFUNCTION("""COMPUTED_VALUE"""),"Consumer, EG, SG, In house, IBG Traveler")</f>
        <v>Consumer, EG, SG, In house, IBG Traveler</v>
      </c>
      <c r="N920" s="258" t="str">
        <f>IFERROR(__xludf.DUMMYFUNCTION("""COMPUTED_VALUE"""),"customer")</f>
        <v>customer</v>
      </c>
      <c r="O920" s="258" t="str">
        <f>IFERROR(__xludf.DUMMYFUNCTION("""COMPUTED_VALUE"""),"customer_profile")</f>
        <v>customer_profile</v>
      </c>
      <c r="P920" s="258"/>
    </row>
    <row r="921">
      <c r="A921" s="257" t="str">
        <f>IFERROR(__xludf.DUMMYFUNCTION("""COMPUTED_VALUE"""),"gross_service_revenue_indicative_amount_past_1mo")</f>
        <v>gross_service_revenue_indicative_amount_past_1mo</v>
      </c>
      <c r="B921" s="258" t="str">
        <f>IFERROR(__xludf.DUMMYFUNCTION("""COMPUTED_VALUE"""),"Behavioral")</f>
        <v>Behavioral</v>
      </c>
      <c r="C921" s="258" t="str">
        <f>IFERROR(__xludf.DUMMYFUNCTION("""COMPUTED_VALUE"""),"Non-PII")</f>
        <v>Non-PII</v>
      </c>
      <c r="D921" s="258" t="str">
        <f>IFERROR(__xludf.DUMMYFUNCTION("""COMPUTED_VALUE"""),"Non-PII")</f>
        <v>Non-PII</v>
      </c>
      <c r="E921" s="258" t="str">
        <f>IFERROR(__xludf.DUMMYFUNCTION("""COMPUTED_VALUE"""),"Total gross service revenue amount for the past one month")</f>
        <v>Total gross service revenue amount for the past one month</v>
      </c>
      <c r="F921" s="258" t="str">
        <f>IFERROR(__xludf.DUMMYFUNCTION("""COMPUTED_VALUE"""),"Derived")</f>
        <v>Derived</v>
      </c>
      <c r="G921" s="258" t="str">
        <f>IFERROR(__xludf.DUMMYFUNCTION("""COMPUTED_VALUE"""),"Decimal(19,4)")</f>
        <v>Decimal(19,4)</v>
      </c>
      <c r="H921" s="258">
        <f>IFERROR(__xludf.DUMMYFUNCTION("""COMPUTED_VALUE"""),953.92)</f>
        <v>953.92</v>
      </c>
      <c r="I921" s="258" t="str">
        <f>IFERROR(__xludf.DUMMYFUNCTION("""COMPUTED_VALUE"""),"MSH FVT")</f>
        <v>MSH FVT</v>
      </c>
      <c r="J921" s="258" t="str">
        <f>IFERROR(__xludf.DUMMYFUNCTION("""COMPUTED_VALUE"""),"Monthly")</f>
        <v>Monthly</v>
      </c>
      <c r="K921" s="258" t="str">
        <f>IFERROR(__xludf.DUMMYFUNCTION("""COMPUTED_VALUE"""),"")</f>
        <v/>
      </c>
      <c r="L921" s="258" t="str">
        <f>IFERROR(__xludf.DUMMYFUNCTION("""COMPUTED_VALUE"""),"GHP, WIRELINE")</f>
        <v>GHP, WIRELINE</v>
      </c>
      <c r="M921" s="258" t="str">
        <f>IFERROR(__xludf.DUMMYFUNCTION("""COMPUTED_VALUE"""),"Consumer, EG, SG, In house")</f>
        <v>Consumer, EG, SG, In house</v>
      </c>
      <c r="N921" s="258" t="str">
        <f>IFERROR(__xludf.DUMMYFUNCTION("""COMPUTED_VALUE"""),"revenue")</f>
        <v>revenue</v>
      </c>
      <c r="O921" s="258" t="str">
        <f>IFERROR(__xludf.DUMMYFUNCTION("""COMPUTED_VALUE"""),"revenue_profile")</f>
        <v>revenue_profile</v>
      </c>
      <c r="P921" s="258"/>
    </row>
    <row r="922">
      <c r="A922" s="257" t="str">
        <f>IFERROR(__xludf.DUMMYFUNCTION("""COMPUTED_VALUE"""),"gross_service_revenue_indicative_amount_average_past_2mos")</f>
        <v>gross_service_revenue_indicative_amount_average_past_2mos</v>
      </c>
      <c r="B922" s="258" t="str">
        <f>IFERROR(__xludf.DUMMYFUNCTION("""COMPUTED_VALUE"""),"Behavioral")</f>
        <v>Behavioral</v>
      </c>
      <c r="C922" s="258" t="str">
        <f>IFERROR(__xludf.DUMMYFUNCTION("""COMPUTED_VALUE"""),"Non-PII")</f>
        <v>Non-PII</v>
      </c>
      <c r="D922" s="258" t="str">
        <f>IFERROR(__xludf.DUMMYFUNCTION("""COMPUTED_VALUE"""),"Non-PII")</f>
        <v>Non-PII</v>
      </c>
      <c r="E922" s="258" t="str">
        <f>IFERROR(__xludf.DUMMYFUNCTION("""COMPUTED_VALUE"""),"Average gross service revenue amount for the past two months")</f>
        <v>Average gross service revenue amount for the past two months</v>
      </c>
      <c r="F922" s="258" t="str">
        <f>IFERROR(__xludf.DUMMYFUNCTION("""COMPUTED_VALUE"""),"Derived")</f>
        <v>Derived</v>
      </c>
      <c r="G922" s="258" t="str">
        <f>IFERROR(__xludf.DUMMYFUNCTION("""COMPUTED_VALUE"""),"Decimal(19,4)")</f>
        <v>Decimal(19,4)</v>
      </c>
      <c r="H922" s="258">
        <f>IFERROR(__xludf.DUMMYFUNCTION("""COMPUTED_VALUE"""),831.41)</f>
        <v>831.41</v>
      </c>
      <c r="I922" s="258" t="str">
        <f>IFERROR(__xludf.DUMMYFUNCTION("""COMPUTED_VALUE"""),"MSH FVT")</f>
        <v>MSH FVT</v>
      </c>
      <c r="J922" s="258" t="str">
        <f>IFERROR(__xludf.DUMMYFUNCTION("""COMPUTED_VALUE"""),"Monthly")</f>
        <v>Monthly</v>
      </c>
      <c r="K922" s="258" t="str">
        <f>IFERROR(__xludf.DUMMYFUNCTION("""COMPUTED_VALUE"""),"")</f>
        <v/>
      </c>
      <c r="L922" s="258" t="str">
        <f>IFERROR(__xludf.DUMMYFUNCTION("""COMPUTED_VALUE"""),"GHP, WIRELINE")</f>
        <v>GHP, WIRELINE</v>
      </c>
      <c r="M922" s="258" t="str">
        <f>IFERROR(__xludf.DUMMYFUNCTION("""COMPUTED_VALUE"""),"Consumer, EG, SG, In house")</f>
        <v>Consumer, EG, SG, In house</v>
      </c>
      <c r="N922" s="258" t="str">
        <f>IFERROR(__xludf.DUMMYFUNCTION("""COMPUTED_VALUE"""),"revenue")</f>
        <v>revenue</v>
      </c>
      <c r="O922" s="258" t="str">
        <f>IFERROR(__xludf.DUMMYFUNCTION("""COMPUTED_VALUE"""),"revenue_profile")</f>
        <v>revenue_profile</v>
      </c>
      <c r="P922" s="258"/>
    </row>
    <row r="923">
      <c r="A923" s="257" t="str">
        <f>IFERROR(__xludf.DUMMYFUNCTION("""COMPUTED_VALUE"""),"gross_service_revenue_indicative_amount_average_past_3mos")</f>
        <v>gross_service_revenue_indicative_amount_average_past_3mos</v>
      </c>
      <c r="B923" s="258" t="str">
        <f>IFERROR(__xludf.DUMMYFUNCTION("""COMPUTED_VALUE"""),"Behavioral")</f>
        <v>Behavioral</v>
      </c>
      <c r="C923" s="258" t="str">
        <f>IFERROR(__xludf.DUMMYFUNCTION("""COMPUTED_VALUE"""),"Non-PII")</f>
        <v>Non-PII</v>
      </c>
      <c r="D923" s="258" t="str">
        <f>IFERROR(__xludf.DUMMYFUNCTION("""COMPUTED_VALUE"""),"Non-PII")</f>
        <v>Non-PII</v>
      </c>
      <c r="E923" s="258" t="str">
        <f>IFERROR(__xludf.DUMMYFUNCTION("""COMPUTED_VALUE"""),"Average gross service revenue amount for the past three months")</f>
        <v>Average gross service revenue amount for the past three months</v>
      </c>
      <c r="F923" s="258" t="str">
        <f>IFERROR(__xludf.DUMMYFUNCTION("""COMPUTED_VALUE"""),"Derived")</f>
        <v>Derived</v>
      </c>
      <c r="G923" s="258" t="str">
        <f>IFERROR(__xludf.DUMMYFUNCTION("""COMPUTED_VALUE"""),"Decimal(19,4)")</f>
        <v>Decimal(19,4)</v>
      </c>
      <c r="H923" s="258">
        <f>IFERROR(__xludf.DUMMYFUNCTION("""COMPUTED_VALUE"""),722.2733)</f>
        <v>722.2733</v>
      </c>
      <c r="I923" s="258" t="str">
        <f>IFERROR(__xludf.DUMMYFUNCTION("""COMPUTED_VALUE"""),"MSH FVT")</f>
        <v>MSH FVT</v>
      </c>
      <c r="J923" s="258" t="str">
        <f>IFERROR(__xludf.DUMMYFUNCTION("""COMPUTED_VALUE"""),"Monthly")</f>
        <v>Monthly</v>
      </c>
      <c r="K923" s="258" t="str">
        <f>IFERROR(__xludf.DUMMYFUNCTION("""COMPUTED_VALUE"""),"")</f>
        <v/>
      </c>
      <c r="L923" s="258" t="str">
        <f>IFERROR(__xludf.DUMMYFUNCTION("""COMPUTED_VALUE"""),"GHP, WIRELINE")</f>
        <v>GHP, WIRELINE</v>
      </c>
      <c r="M923" s="258" t="str">
        <f>IFERROR(__xludf.DUMMYFUNCTION("""COMPUTED_VALUE"""),"Consumer, EG, SG, In house")</f>
        <v>Consumer, EG, SG, In house</v>
      </c>
      <c r="N923" s="258" t="str">
        <f>IFERROR(__xludf.DUMMYFUNCTION("""COMPUTED_VALUE"""),"revenue")</f>
        <v>revenue</v>
      </c>
      <c r="O923" s="258" t="str">
        <f>IFERROR(__xludf.DUMMYFUNCTION("""COMPUTED_VALUE"""),"revenue_profile")</f>
        <v>revenue_profile</v>
      </c>
      <c r="P923" s="258"/>
    </row>
    <row r="924">
      <c r="A924" s="257" t="str">
        <f>IFERROR(__xludf.DUMMYFUNCTION("""COMPUTED_VALUE"""),"previous_brand_type_code")</f>
        <v>previous_brand_type_code</v>
      </c>
      <c r="B924" s="258" t="str">
        <f>IFERROR(__xludf.DUMMYFUNCTION("""COMPUTED_VALUE"""),"Globe ID")</f>
        <v>Globe ID</v>
      </c>
      <c r="C924" s="258" t="str">
        <f>IFERROR(__xludf.DUMMYFUNCTION("""COMPUTED_VALUE"""),"Non-PII")</f>
        <v>Non-PII</v>
      </c>
      <c r="D924" s="258" t="str">
        <f>IFERROR(__xludf.DUMMYFUNCTION("""COMPUTED_VALUE"""),"Non-PII")</f>
        <v>Non-PII</v>
      </c>
      <c r="E924" s="258" t="str">
        <f>IFERROR(__xludf.DUMMYFUNCTION("""COMPUTED_VALUE"""),"Brand type code of the subscriber prior to porting")</f>
        <v>Brand type code of the subscriber prior to porting</v>
      </c>
      <c r="F924" s="258" t="str">
        <f>IFERROR(__xludf.DUMMYFUNCTION("""COMPUTED_VALUE"""),"Derived")</f>
        <v>Derived</v>
      </c>
      <c r="G924" s="258" t="str">
        <f>IFERROR(__xludf.DUMMYFUNCTION("""COMPUTED_VALUE"""),"varchar(1000)")</f>
        <v>varchar(1000)</v>
      </c>
      <c r="H924" s="258" t="str">
        <f>IFERROR(__xludf.DUMMYFUNCTION("""COMPUTED_VALUE"""),"GHP")</f>
        <v>GHP</v>
      </c>
      <c r="I924" s="258" t="str">
        <f>IFERROR(__xludf.DUMMYFUNCTION("""COMPUTED_VALUE"""),"DGT")</f>
        <v>DGT</v>
      </c>
      <c r="J924" s="258" t="str">
        <f>IFERROR(__xludf.DUMMYFUNCTION("""COMPUTED_VALUE"""),"Daily")</f>
        <v>Daily</v>
      </c>
      <c r="K924" s="258" t="str">
        <f>IFERROR(__xludf.DUMMYFUNCTION("""COMPUTED_VALUE"""),"")</f>
        <v/>
      </c>
      <c r="L924" s="258" t="str">
        <f>IFERROR(__xludf.DUMMYFUNCTION("""COMPUTED_VALUE"""),"GHP, GHP-PREPAID, GOMO, TM, PW")</f>
        <v>GHP, GHP-PREPAID, GOMO, TM, PW</v>
      </c>
      <c r="M924" s="258" t="str">
        <f>IFERROR(__xludf.DUMMYFUNCTION("""COMPUTED_VALUE"""),"Consumer, EG, SG, In house, IBG Traveler")</f>
        <v>Consumer, EG, SG, In house, IBG Traveler</v>
      </c>
      <c r="N924" s="258" t="str">
        <f>IFERROR(__xludf.DUMMYFUNCTION("""COMPUTED_VALUE"""),"customer")</f>
        <v>customer</v>
      </c>
      <c r="O924" s="258" t="str">
        <f>IFERROR(__xludf.DUMMYFUNCTION("""COMPUTED_VALUE"""),"customer_profile")</f>
        <v>customer_profile</v>
      </c>
      <c r="P924" s="258"/>
    </row>
    <row r="925">
      <c r="A925" s="257" t="str">
        <f>IFERROR(__xludf.DUMMYFUNCTION("""COMPUTED_VALUE"""),"latest_collection_account_status_code")</f>
        <v>latest_collection_account_status_code</v>
      </c>
      <c r="B925" s="258" t="str">
        <f>IFERROR(__xludf.DUMMYFUNCTION("""COMPUTED_VALUE"""),"Behavioral")</f>
        <v>Behavioral</v>
      </c>
      <c r="C925" s="258" t="str">
        <f>IFERROR(__xludf.DUMMYFUNCTION("""COMPUTED_VALUE"""),"Non-PII")</f>
        <v>Non-PII</v>
      </c>
      <c r="D925" s="258" t="str">
        <f>IFERROR(__xludf.DUMMYFUNCTION("""COMPUTED_VALUE"""),"Non-PII")</f>
        <v>Non-PII</v>
      </c>
      <c r="E925" s="258" t="str">
        <f>IFERROR(__xludf.DUMMYFUNCTION("""COMPUTED_VALUE"""),"The latest status of the collection entity
 NONE - Active
 CAN - Cancelled
 Sus - Suspended
 PSUS - Barred")</f>
        <v>The latest status of the collection entity
 NONE - Active
 CAN - Cancelled
 Sus - Suspended
 PSUS - Barred</v>
      </c>
      <c r="F925" s="258" t="str">
        <f>IFERROR(__xludf.DUMMYFUNCTION("""COMPUTED_VALUE"""),"Derived")</f>
        <v>Derived</v>
      </c>
      <c r="G925" s="258" t="str">
        <f>IFERROR(__xludf.DUMMYFUNCTION("""COMPUTED_VALUE"""),"String")</f>
        <v>String</v>
      </c>
      <c r="H925" s="258" t="str">
        <f>IFERROR(__xludf.DUMMYFUNCTION("""COMPUTED_VALUE"""),"PSUS")</f>
        <v>PSUS</v>
      </c>
      <c r="I925" s="258" t="str">
        <f>IFERROR(__xludf.DUMMYFUNCTION("""COMPUTED_VALUE"""),"DGT")</f>
        <v>DGT</v>
      </c>
      <c r="J925" s="258" t="str">
        <f>IFERROR(__xludf.DUMMYFUNCTION("""COMPUTED_VALUE"""),"Daily")</f>
        <v>Daily</v>
      </c>
      <c r="K925" s="258" t="str">
        <f>IFERROR(__xludf.DUMMYFUNCTION("""COMPUTED_VALUE"""),"")</f>
        <v/>
      </c>
      <c r="L925" s="258" t="str">
        <f>IFERROR(__xludf.DUMMYFUNCTION("""COMPUTED_VALUE"""),"GHP, WIRELINE")</f>
        <v>GHP, WIRELINE</v>
      </c>
      <c r="M925" s="258" t="str">
        <f>IFERROR(__xludf.DUMMYFUNCTION("""COMPUTED_VALUE"""),"Consumer, EG, SG, In house")</f>
        <v>Consumer, EG, SG, In house</v>
      </c>
      <c r="N925" s="258" t="str">
        <f>IFERROR(__xludf.DUMMYFUNCTION("""COMPUTED_VALUE"""),"payment")</f>
        <v>payment</v>
      </c>
      <c r="O925" s="258" t="str">
        <f>IFERROR(__xludf.DUMMYFUNCTION("""COMPUTED_VALUE"""),"payment_profile")</f>
        <v>payment_profile</v>
      </c>
      <c r="P925" s="258"/>
    </row>
    <row r="926">
      <c r="A926" s="257" t="str">
        <f>IFERROR(__xludf.DUMMYFUNCTION("""COMPUTED_VALUE"""),"latest_collection_account_status_date")</f>
        <v>latest_collection_account_status_date</v>
      </c>
      <c r="B926" s="258" t="str">
        <f>IFERROR(__xludf.DUMMYFUNCTION("""COMPUTED_VALUE"""),"Behavioral")</f>
        <v>Behavioral</v>
      </c>
      <c r="C926" s="258" t="str">
        <f>IFERROR(__xludf.DUMMYFUNCTION("""COMPUTED_VALUE"""),"Non-PII")</f>
        <v>Non-PII</v>
      </c>
      <c r="D926" s="258" t="str">
        <f>IFERROR(__xludf.DUMMYFUNCTION("""COMPUTED_VALUE"""),"Non-PII")</f>
        <v>Non-PII</v>
      </c>
      <c r="E926" s="258" t="str">
        <f>IFERROR(__xludf.DUMMYFUNCTION("""COMPUTED_VALUE"""),"The treatment start date of the latest status of the collection entity.")</f>
        <v>The treatment start date of the latest status of the collection entity.</v>
      </c>
      <c r="F926" s="258" t="str">
        <f>IFERROR(__xludf.DUMMYFUNCTION("""COMPUTED_VALUE"""),"Derived")</f>
        <v>Derived</v>
      </c>
      <c r="G926" s="258" t="str">
        <f>IFERROR(__xludf.DUMMYFUNCTION("""COMPUTED_VALUE"""),"Date")</f>
        <v>Date</v>
      </c>
      <c r="H926" s="258">
        <f>IFERROR(__xludf.DUMMYFUNCTION("""COMPUTED_VALUE"""),44732.0)</f>
        <v>44732</v>
      </c>
      <c r="I926" s="258" t="str">
        <f>IFERROR(__xludf.DUMMYFUNCTION("""COMPUTED_VALUE"""),"DGT")</f>
        <v>DGT</v>
      </c>
      <c r="J926" s="258" t="str">
        <f>IFERROR(__xludf.DUMMYFUNCTION("""COMPUTED_VALUE"""),"Daily")</f>
        <v>Daily</v>
      </c>
      <c r="K926" s="258" t="str">
        <f>IFERROR(__xludf.DUMMYFUNCTION("""COMPUTED_VALUE"""),"")</f>
        <v/>
      </c>
      <c r="L926" s="258" t="str">
        <f>IFERROR(__xludf.DUMMYFUNCTION("""COMPUTED_VALUE"""),"GHP, WIRELINE")</f>
        <v>GHP, WIRELINE</v>
      </c>
      <c r="M926" s="258" t="str">
        <f>IFERROR(__xludf.DUMMYFUNCTION("""COMPUTED_VALUE"""),"Consumer, EG, SG, In house")</f>
        <v>Consumer, EG, SG, In house</v>
      </c>
      <c r="N926" s="258" t="str">
        <f>IFERROR(__xludf.DUMMYFUNCTION("""COMPUTED_VALUE"""),"payment")</f>
        <v>payment</v>
      </c>
      <c r="O926" s="258" t="str">
        <f>IFERROR(__xludf.DUMMYFUNCTION("""COMPUTED_VALUE"""),"payment_profile")</f>
        <v>payment_profile</v>
      </c>
      <c r="P926" s="258"/>
    </row>
    <row r="927">
      <c r="A927" s="257" t="str">
        <f>IFERROR(__xludf.DUMMYFUNCTION("""COMPUTED_VALUE"""),"rewards_ussd_redemption_latest_date_90days")</f>
        <v>rewards_ussd_redemption_latest_date_90days</v>
      </c>
      <c r="B927" s="258" t="str">
        <f>IFERROR(__xludf.DUMMYFUNCTION("""COMPUTED_VALUE"""),"Behavioral")</f>
        <v>Behavioral</v>
      </c>
      <c r="C927" s="258" t="str">
        <f>IFERROR(__xludf.DUMMYFUNCTION("""COMPUTED_VALUE"""),"Non-PII")</f>
        <v>Non-PII</v>
      </c>
      <c r="D927" s="258" t="str">
        <f>IFERROR(__xludf.DUMMYFUNCTION("""COMPUTED_VALUE"""),"Non-PII")</f>
        <v>Non-PII</v>
      </c>
      <c r="E927" s="258" t="str">
        <f>IFERROR(__xludf.DUMMYFUNCTION("""COMPUTED_VALUE"""),"The latest successful rewards redemption date via USSD channel")</f>
        <v>The latest successful rewards redemption date via USSD channel</v>
      </c>
      <c r="F927" s="258" t="str">
        <f>IFERROR(__xludf.DUMMYFUNCTION("""COMPUTED_VALUE"""),"Derived")</f>
        <v>Derived</v>
      </c>
      <c r="G927" s="258" t="str">
        <f>IFERROR(__xludf.DUMMYFUNCTION("""COMPUTED_VALUE"""),"Date")</f>
        <v>Date</v>
      </c>
      <c r="H927" s="258">
        <f>IFERROR(__xludf.DUMMYFUNCTION("""COMPUTED_VALUE"""),44755.0)</f>
        <v>44755</v>
      </c>
      <c r="I927" s="258" t="str">
        <f>IFERROR(__xludf.DUMMYFUNCTION("""COMPUTED_VALUE"""),"MSH FVT")</f>
        <v>MSH FVT</v>
      </c>
      <c r="J927" s="258" t="str">
        <f>IFERROR(__xludf.DUMMYFUNCTION("""COMPUTED_VALUE"""),"Daily")</f>
        <v>Daily</v>
      </c>
      <c r="K927" s="258" t="str">
        <f>IFERROR(__xludf.DUMMYFUNCTION("""COMPUTED_VALUE"""),"")</f>
        <v/>
      </c>
      <c r="L927" s="258" t="str">
        <f>IFERROR(__xludf.DUMMYFUNCTION("""COMPUTED_VALUE"""),"GHP, GHP-PREPAID, TM, PW")</f>
        <v>GHP, GHP-PREPAID, TM, PW</v>
      </c>
      <c r="M927" s="258" t="str">
        <f>IFERROR(__xludf.DUMMYFUNCTION("""COMPUTED_VALUE"""),"Consumer, EG, SG, In house, IBG Traveler")</f>
        <v>Consumer, EG, SG, In house, IBG Traveler</v>
      </c>
      <c r="N927" s="258" t="str">
        <f>IFERROR(__xludf.DUMMYFUNCTION("""COMPUTED_VALUE"""),"reward_campaign")</f>
        <v>reward_campaign</v>
      </c>
      <c r="O927" s="258" t="str">
        <f>IFERROR(__xludf.DUMMYFUNCTION("""COMPUTED_VALUE"""),"reward_campaign_profile")</f>
        <v>reward_campaign_profile</v>
      </c>
      <c r="P927" s="258"/>
    </row>
    <row r="928">
      <c r="A928" s="257" t="str">
        <f>IFERROR(__xludf.DUMMYFUNCTION("""COMPUTED_VALUE"""),"household_id")</f>
        <v>household_id</v>
      </c>
      <c r="B928" s="258" t="str">
        <f>IFERROR(__xludf.DUMMYFUNCTION("""COMPUTED_VALUE"""),"Behavioral")</f>
        <v>Behavioral</v>
      </c>
      <c r="C928" s="258" t="str">
        <f>IFERROR(__xludf.DUMMYFUNCTION("""COMPUTED_VALUE"""),"Non-PII")</f>
        <v>Non-PII</v>
      </c>
      <c r="D928" s="258" t="str">
        <f>IFERROR(__xludf.DUMMYFUNCTION("""COMPUTED_VALUE"""),"Non-PII")</f>
        <v>Non-PII</v>
      </c>
      <c r="E928" s="258" t="str">
        <f>IFERROR(__xludf.DUMMYFUNCTION("""COMPUTED_VALUE"""),"ID of the subscriber's inferred household")</f>
        <v>ID of the subscriber's inferred household</v>
      </c>
      <c r="F928" s="258" t="str">
        <f>IFERROR(__xludf.DUMMYFUNCTION("""COMPUTED_VALUE"""),"Derived")</f>
        <v>Derived</v>
      </c>
      <c r="G928" s="258" t="str">
        <f>IFERROR(__xludf.DUMMYFUNCTION("""COMPUTED_VALUE"""),"String")</f>
        <v>String</v>
      </c>
      <c r="H928" s="258">
        <f>IFERROR(__xludf.DUMMYFUNCTION("""COMPUTED_VALUE"""),1.0)</f>
        <v>1</v>
      </c>
      <c r="I928" s="258" t="str">
        <f>IFERROR(__xludf.DUMMYFUNCTION("""COMPUTED_VALUE"""),"MSH FVT")</f>
        <v>MSH FVT</v>
      </c>
      <c r="J928" s="258" t="str">
        <f>IFERROR(__xludf.DUMMYFUNCTION("""COMPUTED_VALUE"""),"Monthly")</f>
        <v>Monthly</v>
      </c>
      <c r="K928" s="258" t="str">
        <f>IFERROR(__xludf.DUMMYFUNCTION("""COMPUTED_VALUE"""),"")</f>
        <v/>
      </c>
      <c r="L928" s="258" t="str">
        <f>IFERROR(__xludf.DUMMYFUNCTION("""COMPUTED_VALUE"""),"GHP, GHP-PREPAID, GOMO, TM")</f>
        <v>GHP, GHP-PREPAID, GOMO, TM</v>
      </c>
      <c r="M928" s="258" t="str">
        <f>IFERROR(__xludf.DUMMYFUNCTION("""COMPUTED_VALUE"""),"Consumer, EG, SG, In house, IBG Traveler")</f>
        <v>Consumer, EG, SG, In house, IBG Traveler</v>
      </c>
      <c r="N928" s="258" t="str">
        <f>IFERROR(__xludf.DUMMYFUNCTION("""COMPUTED_VALUE"""),"revenue")</f>
        <v>revenue</v>
      </c>
      <c r="O928" s="258" t="str">
        <f>IFERROR(__xludf.DUMMYFUNCTION("""COMPUTED_VALUE"""),"revenue_profile")</f>
        <v>revenue_profile</v>
      </c>
      <c r="P928" s="258"/>
    </row>
    <row r="929">
      <c r="A929" s="257" t="str">
        <f>IFERROR(__xludf.DUMMYFUNCTION("""COMPUTED_VALUE"""),"International_roam_charge_amount_past_1mo")</f>
        <v>International_roam_charge_amount_past_1mo</v>
      </c>
      <c r="B929" s="258" t="str">
        <f>IFERROR(__xludf.DUMMYFUNCTION("""COMPUTED_VALUE"""),"Behavioral")</f>
        <v>Behavioral</v>
      </c>
      <c r="C929" s="258" t="str">
        <f>IFERROR(__xludf.DUMMYFUNCTION("""COMPUTED_VALUE"""),"Non-PII")</f>
        <v>Non-PII</v>
      </c>
      <c r="D929" s="258" t="str">
        <f>IFERROR(__xludf.DUMMYFUNCTION("""COMPUTED_VALUE"""),"Non-PII")</f>
        <v>Non-PII</v>
      </c>
      <c r="E929" s="258" t="str">
        <f>IFERROR(__xludf.DUMMYFUNCTION("""COMPUTED_VALUE"""),"Calculation for total international and roaming charges that a subscriber received for the past month")</f>
        <v>Calculation for total international and roaming charges that a subscriber received for the past month</v>
      </c>
      <c r="F929" s="258" t="str">
        <f>IFERROR(__xludf.DUMMYFUNCTION("""COMPUTED_VALUE"""),"Derived")</f>
        <v>Derived</v>
      </c>
      <c r="G929" s="258" t="str">
        <f>IFERROR(__xludf.DUMMYFUNCTION("""COMPUTED_VALUE"""),"Numeric (21,2)")</f>
        <v>Numeric (21,2)</v>
      </c>
      <c r="H929" s="258">
        <f>IFERROR(__xludf.DUMMYFUNCTION("""COMPUTED_VALUE"""),504.0)</f>
        <v>504</v>
      </c>
      <c r="I929" s="258" t="str">
        <f>IFERROR(__xludf.DUMMYFUNCTION("""COMPUTED_VALUE"""),"MSH FVT")</f>
        <v>MSH FVT</v>
      </c>
      <c r="J929" s="258" t="str">
        <f>IFERROR(__xludf.DUMMYFUNCTION("""COMPUTED_VALUE"""),"Monthly")</f>
        <v>Monthly</v>
      </c>
      <c r="K929" s="258" t="str">
        <f>IFERROR(__xludf.DUMMYFUNCTION("""COMPUTED_VALUE"""),"")</f>
        <v/>
      </c>
      <c r="L929" s="258" t="str">
        <f>IFERROR(__xludf.DUMMYFUNCTION("""COMPUTED_VALUE"""),"GHP")</f>
        <v>GHP</v>
      </c>
      <c r="M929" s="258" t="str">
        <f>IFERROR(__xludf.DUMMYFUNCTION("""COMPUTED_VALUE"""),"Consumer")</f>
        <v>Consumer</v>
      </c>
      <c r="N929" s="258" t="str">
        <f>IFERROR(__xludf.DUMMYFUNCTION("""COMPUTED_VALUE"""),"revenue")</f>
        <v>revenue</v>
      </c>
      <c r="O929" s="258" t="str">
        <f>IFERROR(__xludf.DUMMYFUNCTION("""COMPUTED_VALUE"""),"revenue_profile")</f>
        <v>revenue_profile</v>
      </c>
      <c r="P929" s="258"/>
    </row>
    <row r="930">
      <c r="A930" s="257" t="str">
        <f>IFERROR(__xludf.DUMMYFUNCTION("""COMPUTED_VALUE"""),"international_roam_charge_average_amount_past_2mos")</f>
        <v>international_roam_charge_average_amount_past_2mos</v>
      </c>
      <c r="B930" s="258" t="str">
        <f>IFERROR(__xludf.DUMMYFUNCTION("""COMPUTED_VALUE"""),"Behavioral")</f>
        <v>Behavioral</v>
      </c>
      <c r="C930" s="258" t="str">
        <f>IFERROR(__xludf.DUMMYFUNCTION("""COMPUTED_VALUE"""),"Non-PII")</f>
        <v>Non-PII</v>
      </c>
      <c r="D930" s="258" t="str">
        <f>IFERROR(__xludf.DUMMYFUNCTION("""COMPUTED_VALUE"""),"Non-PII")</f>
        <v>Non-PII</v>
      </c>
      <c r="E930" s="258" t="str">
        <f>IFERROR(__xludf.DUMMYFUNCTION("""COMPUTED_VALUE"""),"Calculation for the average international and roaming charges that a subscriber received for the past 2 months")</f>
        <v>Calculation for the average international and roaming charges that a subscriber received for the past 2 months</v>
      </c>
      <c r="F930" s="258" t="str">
        <f>IFERROR(__xludf.DUMMYFUNCTION("""COMPUTED_VALUE"""),"Derived")</f>
        <v>Derived</v>
      </c>
      <c r="G930" s="258" t="str">
        <f>IFERROR(__xludf.DUMMYFUNCTION("""COMPUTED_VALUE"""),"Numeric (21,2)")</f>
        <v>Numeric (21,2)</v>
      </c>
      <c r="H930" s="258">
        <f>IFERROR(__xludf.DUMMYFUNCTION("""COMPUTED_VALUE"""),504.0)</f>
        <v>504</v>
      </c>
      <c r="I930" s="258" t="str">
        <f>IFERROR(__xludf.DUMMYFUNCTION("""COMPUTED_VALUE"""),"MSH FVT")</f>
        <v>MSH FVT</v>
      </c>
      <c r="J930" s="258" t="str">
        <f>IFERROR(__xludf.DUMMYFUNCTION("""COMPUTED_VALUE"""),"Monthly")</f>
        <v>Monthly</v>
      </c>
      <c r="K930" s="258" t="str">
        <f>IFERROR(__xludf.DUMMYFUNCTION("""COMPUTED_VALUE"""),"")</f>
        <v/>
      </c>
      <c r="L930" s="258" t="str">
        <f>IFERROR(__xludf.DUMMYFUNCTION("""COMPUTED_VALUE"""),"GHP")</f>
        <v>GHP</v>
      </c>
      <c r="M930" s="258" t="str">
        <f>IFERROR(__xludf.DUMMYFUNCTION("""COMPUTED_VALUE"""),"Consumer")</f>
        <v>Consumer</v>
      </c>
      <c r="N930" s="258" t="str">
        <f>IFERROR(__xludf.DUMMYFUNCTION("""COMPUTED_VALUE"""),"revenue")</f>
        <v>revenue</v>
      </c>
      <c r="O930" s="258" t="str">
        <f>IFERROR(__xludf.DUMMYFUNCTION("""COMPUTED_VALUE"""),"revenue_profile")</f>
        <v>revenue_profile</v>
      </c>
      <c r="P930" s="258"/>
    </row>
    <row r="931">
      <c r="A931" s="257" t="str">
        <f>IFERROR(__xludf.DUMMYFUNCTION("""COMPUTED_VALUE"""),"international_roam_charge_average_amount_past_3mos")</f>
        <v>international_roam_charge_average_amount_past_3mos</v>
      </c>
      <c r="B931" s="258" t="str">
        <f>IFERROR(__xludf.DUMMYFUNCTION("""COMPUTED_VALUE"""),"Behavioral")</f>
        <v>Behavioral</v>
      </c>
      <c r="C931" s="258" t="str">
        <f>IFERROR(__xludf.DUMMYFUNCTION("""COMPUTED_VALUE"""),"Non-PII")</f>
        <v>Non-PII</v>
      </c>
      <c r="D931" s="258" t="str">
        <f>IFERROR(__xludf.DUMMYFUNCTION("""COMPUTED_VALUE"""),"Non-PII")</f>
        <v>Non-PII</v>
      </c>
      <c r="E931" s="258" t="str">
        <f>IFERROR(__xludf.DUMMYFUNCTION("""COMPUTED_VALUE"""),"Calculation for the average international and roaming charges that a subscriber received for the past 3 months")</f>
        <v>Calculation for the average international and roaming charges that a subscriber received for the past 3 months</v>
      </c>
      <c r="F931" s="258" t="str">
        <f>IFERROR(__xludf.DUMMYFUNCTION("""COMPUTED_VALUE"""),"Derived")</f>
        <v>Derived</v>
      </c>
      <c r="G931" s="258" t="str">
        <f>IFERROR(__xludf.DUMMYFUNCTION("""COMPUTED_VALUE"""),"Numeric (21,2)")</f>
        <v>Numeric (21,2)</v>
      </c>
      <c r="H931" s="258">
        <f>IFERROR(__xludf.DUMMYFUNCTION("""COMPUTED_VALUE"""),504.0)</f>
        <v>504</v>
      </c>
      <c r="I931" s="258" t="str">
        <f>IFERROR(__xludf.DUMMYFUNCTION("""COMPUTED_VALUE"""),"MSH FVT")</f>
        <v>MSH FVT</v>
      </c>
      <c r="J931" s="258" t="str">
        <f>IFERROR(__xludf.DUMMYFUNCTION("""COMPUTED_VALUE"""),"Monthly")</f>
        <v>Monthly</v>
      </c>
      <c r="K931" s="258" t="str">
        <f>IFERROR(__xludf.DUMMYFUNCTION("""COMPUTED_VALUE"""),"")</f>
        <v/>
      </c>
      <c r="L931" s="258" t="str">
        <f>IFERROR(__xludf.DUMMYFUNCTION("""COMPUTED_VALUE"""),"GHP")</f>
        <v>GHP</v>
      </c>
      <c r="M931" s="258" t="str">
        <f>IFERROR(__xludf.DUMMYFUNCTION("""COMPUTED_VALUE"""),"Consumer")</f>
        <v>Consumer</v>
      </c>
      <c r="N931" s="258" t="str">
        <f>IFERROR(__xludf.DUMMYFUNCTION("""COMPUTED_VALUE"""),"revenue")</f>
        <v>revenue</v>
      </c>
      <c r="O931" s="258" t="str">
        <f>IFERROR(__xludf.DUMMYFUNCTION("""COMPUTED_VALUE"""),"revenue_profile")</f>
        <v>revenue_profile</v>
      </c>
      <c r="P931" s="258"/>
    </row>
    <row r="932">
      <c r="A932" s="257" t="str">
        <f>IFERROR(__xludf.DUMMYFUNCTION("""COMPUTED_VALUE"""),"home_longitude")</f>
        <v>home_longitude</v>
      </c>
      <c r="B932" s="258" t="str">
        <f>IFERROR(__xludf.DUMMYFUNCTION("""COMPUTED_VALUE"""),"Behavioral")</f>
        <v>Behavioral</v>
      </c>
      <c r="C932" s="258" t="str">
        <f>IFERROR(__xludf.DUMMYFUNCTION("""COMPUTED_VALUE"""),"Customer PII - Masked")</f>
        <v>Customer PII - Masked</v>
      </c>
      <c r="D932" s="258" t="str">
        <f>IFERROR(__xludf.DUMMYFUNCTION("""COMPUTED_VALUE"""),"Coordinates")</f>
        <v>Coordinates</v>
      </c>
      <c r="E932" s="258" t="str">
        <f>IFERROR(__xludf.DUMMYFUNCTION("""COMPUTED_VALUE"""),"Inferred longitude location from which the home address of the subscriber is found. The inferred location is pulled from the available latched cell sites data of the subscriber within the timeframe specified (10pm to 5am).")</f>
        <v>Inferred longitude location from which the home address of the subscriber is found. The inferred location is pulled from the available latched cell sites data of the subscriber within the timeframe specified (10pm to 5am).</v>
      </c>
      <c r="F932" s="258" t="str">
        <f>IFERROR(__xludf.DUMMYFUNCTION("""COMPUTED_VALUE"""),"Inferred")</f>
        <v>Inferred</v>
      </c>
      <c r="G932" s="258" t="str">
        <f>IFERROR(__xludf.DUMMYFUNCTION("""COMPUTED_VALUE"""),"numeric(19,4)")</f>
        <v>numeric(19,4)</v>
      </c>
      <c r="H932" s="258">
        <f>IFERROR(__xludf.DUMMYFUNCTION("""COMPUTED_VALUE"""),10.00002)</f>
        <v>10.00002</v>
      </c>
      <c r="I932" s="258" t="str">
        <f>IFERROR(__xludf.DUMMYFUNCTION("""COMPUTED_VALUE"""),"MSH FVT")</f>
        <v>MSH FVT</v>
      </c>
      <c r="J932" s="258" t="str">
        <f>IFERROR(__xludf.DUMMYFUNCTION("""COMPUTED_VALUE"""),"Monthly")</f>
        <v>Monthly</v>
      </c>
      <c r="K932" s="258" t="str">
        <f>IFERROR(__xludf.DUMMYFUNCTION("""COMPUTED_VALUE"""),"")</f>
        <v/>
      </c>
      <c r="L932" s="258" t="str">
        <f>IFERROR(__xludf.DUMMYFUNCTION("""COMPUTED_VALUE"""),"GHP")</f>
        <v>GHP</v>
      </c>
      <c r="M932" s="258" t="str">
        <f>IFERROR(__xludf.DUMMYFUNCTION("""COMPUTED_VALUE"""),"Consumer")</f>
        <v>Consumer</v>
      </c>
      <c r="N932" s="258" t="str">
        <f>IFERROR(__xludf.DUMMYFUNCTION("""COMPUTED_VALUE"""),"network")</f>
        <v>network</v>
      </c>
      <c r="O932" s="258" t="str">
        <f>IFERROR(__xludf.DUMMYFUNCTION("""COMPUTED_VALUE"""),"network_profile")</f>
        <v>network_profile</v>
      </c>
      <c r="P932" s="258"/>
    </row>
    <row r="933">
      <c r="A933" s="257" t="str">
        <f>IFERROR(__xludf.DUMMYFUNCTION("""COMPUTED_VALUE"""),"home_latitude")</f>
        <v>home_latitude</v>
      </c>
      <c r="B933" s="258" t="str">
        <f>IFERROR(__xludf.DUMMYFUNCTION("""COMPUTED_VALUE"""),"Behavioral")</f>
        <v>Behavioral</v>
      </c>
      <c r="C933" s="258" t="str">
        <f>IFERROR(__xludf.DUMMYFUNCTION("""COMPUTED_VALUE"""),"Customer PII - Masked")</f>
        <v>Customer PII - Masked</v>
      </c>
      <c r="D933" s="258" t="str">
        <f>IFERROR(__xludf.DUMMYFUNCTION("""COMPUTED_VALUE"""),"Coordinates")</f>
        <v>Coordinates</v>
      </c>
      <c r="E933" s="258" t="str">
        <f>IFERROR(__xludf.DUMMYFUNCTION("""COMPUTED_VALUE"""),"Inferred latitude location from which the home address of the subscriber is found. The inferred location is pulled from the available latched cell sites data of the subscriber within the timeframe specified (10pm to 5am).")</f>
        <v>Inferred latitude location from which the home address of the subscriber is found. The inferred location is pulled from the available latched cell sites data of the subscriber within the timeframe specified (10pm to 5am).</v>
      </c>
      <c r="F933" s="258" t="str">
        <f>IFERROR(__xludf.DUMMYFUNCTION("""COMPUTED_VALUE"""),"Inferred")</f>
        <v>Inferred</v>
      </c>
      <c r="G933" s="258" t="str">
        <f>IFERROR(__xludf.DUMMYFUNCTION("""COMPUTED_VALUE"""),"numeric(19,4)")</f>
        <v>numeric(19,4)</v>
      </c>
      <c r="H933" s="258">
        <f>IFERROR(__xludf.DUMMYFUNCTION("""COMPUTED_VALUE"""),10.00002)</f>
        <v>10.00002</v>
      </c>
      <c r="I933" s="258" t="str">
        <f>IFERROR(__xludf.DUMMYFUNCTION("""COMPUTED_VALUE"""),"MSH FVT")</f>
        <v>MSH FVT</v>
      </c>
      <c r="J933" s="258" t="str">
        <f>IFERROR(__xludf.DUMMYFUNCTION("""COMPUTED_VALUE"""),"Monthly")</f>
        <v>Monthly</v>
      </c>
      <c r="K933" s="258" t="str">
        <f>IFERROR(__xludf.DUMMYFUNCTION("""COMPUTED_VALUE"""),"")</f>
        <v/>
      </c>
      <c r="L933" s="258" t="str">
        <f>IFERROR(__xludf.DUMMYFUNCTION("""COMPUTED_VALUE"""),"GHP")</f>
        <v>GHP</v>
      </c>
      <c r="M933" s="258" t="str">
        <f>IFERROR(__xludf.DUMMYFUNCTION("""COMPUTED_VALUE"""),"Consumer")</f>
        <v>Consumer</v>
      </c>
      <c r="N933" s="258" t="str">
        <f>IFERROR(__xludf.DUMMYFUNCTION("""COMPUTED_VALUE"""),"network")</f>
        <v>network</v>
      </c>
      <c r="O933" s="258" t="str">
        <f>IFERROR(__xludf.DUMMYFUNCTION("""COMPUTED_VALUE"""),"network_profile")</f>
        <v>network_profile</v>
      </c>
      <c r="P933" s="258"/>
    </row>
    <row r="934">
      <c r="A934" s="257" t="str">
        <f>IFERROR(__xludf.DUMMYFUNCTION("""COMPUTED_VALUE"""),"core_revenue_amount_past_1mo")</f>
        <v>core_revenue_amount_past_1mo</v>
      </c>
      <c r="B934" s="258" t="str">
        <f>IFERROR(__xludf.DUMMYFUNCTION("""COMPUTED_VALUE"""),"Behavioral")</f>
        <v>Behavioral</v>
      </c>
      <c r="C934" s="258" t="str">
        <f>IFERROR(__xludf.DUMMYFUNCTION("""COMPUTED_VALUE"""),"Non-PII")</f>
        <v>Non-PII</v>
      </c>
      <c r="D934" s="258" t="str">
        <f>IFERROR(__xludf.DUMMYFUNCTION("""COMPUTED_VALUE"""),"Non-PII")</f>
        <v>Non-PII</v>
      </c>
      <c r="E934" s="258" t="str">
        <f>IFERROR(__xludf.DUMMYFUNCTION("""COMPUTED_VALUE"""),"Calculation for total charges that a subscriber received for the past month - limited to CORE charges (data, sms, voice)")</f>
        <v>Calculation for total charges that a subscriber received for the past month - limited to CORE charges (data, sms, voice)</v>
      </c>
      <c r="F934" s="258" t="str">
        <f>IFERROR(__xludf.DUMMYFUNCTION("""COMPUTED_VALUE"""),"Derived")</f>
        <v>Derived</v>
      </c>
      <c r="G934" s="258" t="str">
        <f>IFERROR(__xludf.DUMMYFUNCTION("""COMPUTED_VALUE"""),"numeric(21,2)")</f>
        <v>numeric(21,2)</v>
      </c>
      <c r="H934" s="258">
        <f>IFERROR(__xludf.DUMMYFUNCTION("""COMPUTED_VALUE"""),504.0)</f>
        <v>504</v>
      </c>
      <c r="I934" s="258" t="str">
        <f>IFERROR(__xludf.DUMMYFUNCTION("""COMPUTED_VALUE"""),"MSH FVT")</f>
        <v>MSH FVT</v>
      </c>
      <c r="J934" s="258" t="str">
        <f>IFERROR(__xludf.DUMMYFUNCTION("""COMPUTED_VALUE"""),"Monthly")</f>
        <v>Monthly</v>
      </c>
      <c r="K934" s="258" t="str">
        <f>IFERROR(__xludf.DUMMYFUNCTION("""COMPUTED_VALUE"""),"")</f>
        <v/>
      </c>
      <c r="L934" s="258" t="str">
        <f>IFERROR(__xludf.DUMMYFUNCTION("""COMPUTED_VALUE"""),"GHP")</f>
        <v>GHP</v>
      </c>
      <c r="M934" s="258" t="str">
        <f>IFERROR(__xludf.DUMMYFUNCTION("""COMPUTED_VALUE"""),"Consumer")</f>
        <v>Consumer</v>
      </c>
      <c r="N934" s="258" t="str">
        <f>IFERROR(__xludf.DUMMYFUNCTION("""COMPUTED_VALUE"""),"revenue")</f>
        <v>revenue</v>
      </c>
      <c r="O934" s="258" t="str">
        <f>IFERROR(__xludf.DUMMYFUNCTION("""COMPUTED_VALUE"""),"revenue_profile")</f>
        <v>revenue_profile</v>
      </c>
      <c r="P934" s="258"/>
    </row>
    <row r="935">
      <c r="A935" s="257" t="str">
        <f>IFERROR(__xludf.DUMMYFUNCTION("""COMPUTED_VALUE"""),"core_revenue_average_amount_past_2mos")</f>
        <v>core_revenue_average_amount_past_2mos</v>
      </c>
      <c r="B935" s="258" t="str">
        <f>IFERROR(__xludf.DUMMYFUNCTION("""COMPUTED_VALUE"""),"Behavioral")</f>
        <v>Behavioral</v>
      </c>
      <c r="C935" s="258" t="str">
        <f>IFERROR(__xludf.DUMMYFUNCTION("""COMPUTED_VALUE"""),"Non-PII")</f>
        <v>Non-PII</v>
      </c>
      <c r="D935" s="258" t="str">
        <f>IFERROR(__xludf.DUMMYFUNCTION("""COMPUTED_VALUE"""),"Non-PII")</f>
        <v>Non-PII</v>
      </c>
      <c r="E935" s="258" t="str">
        <f>IFERROR(__xludf.DUMMYFUNCTION("""COMPUTED_VALUE"""),"Calculation for the average charges that a subscriber received for the past 2 months - limited to CORE charges (data, sms, voice)")</f>
        <v>Calculation for the average charges that a subscriber received for the past 2 months - limited to CORE charges (data, sms, voice)</v>
      </c>
      <c r="F935" s="258" t="str">
        <f>IFERROR(__xludf.DUMMYFUNCTION("""COMPUTED_VALUE"""),"Derived")</f>
        <v>Derived</v>
      </c>
      <c r="G935" s="258" t="str">
        <f>IFERROR(__xludf.DUMMYFUNCTION("""COMPUTED_VALUE"""),"numeric(21,2)")</f>
        <v>numeric(21,2)</v>
      </c>
      <c r="H935" s="258">
        <f>IFERROR(__xludf.DUMMYFUNCTION("""COMPUTED_VALUE"""),504.0)</f>
        <v>504</v>
      </c>
      <c r="I935" s="258" t="str">
        <f>IFERROR(__xludf.DUMMYFUNCTION("""COMPUTED_VALUE"""),"MSH FVT")</f>
        <v>MSH FVT</v>
      </c>
      <c r="J935" s="258" t="str">
        <f>IFERROR(__xludf.DUMMYFUNCTION("""COMPUTED_VALUE"""),"Monthly")</f>
        <v>Monthly</v>
      </c>
      <c r="K935" s="258" t="str">
        <f>IFERROR(__xludf.DUMMYFUNCTION("""COMPUTED_VALUE"""),"")</f>
        <v/>
      </c>
      <c r="L935" s="258" t="str">
        <f>IFERROR(__xludf.DUMMYFUNCTION("""COMPUTED_VALUE"""),"GHP")</f>
        <v>GHP</v>
      </c>
      <c r="M935" s="258" t="str">
        <f>IFERROR(__xludf.DUMMYFUNCTION("""COMPUTED_VALUE"""),"Consumer")</f>
        <v>Consumer</v>
      </c>
      <c r="N935" s="258" t="str">
        <f>IFERROR(__xludf.DUMMYFUNCTION("""COMPUTED_VALUE"""),"revenue")</f>
        <v>revenue</v>
      </c>
      <c r="O935" s="258" t="str">
        <f>IFERROR(__xludf.DUMMYFUNCTION("""COMPUTED_VALUE"""),"revenue_profile")</f>
        <v>revenue_profile</v>
      </c>
      <c r="P935" s="258"/>
    </row>
    <row r="936">
      <c r="A936" s="257" t="str">
        <f>IFERROR(__xludf.DUMMYFUNCTION("""COMPUTED_VALUE"""),"core_revenue_average_amount_past_3mos")</f>
        <v>core_revenue_average_amount_past_3mos</v>
      </c>
      <c r="B936" s="258" t="str">
        <f>IFERROR(__xludf.DUMMYFUNCTION("""COMPUTED_VALUE"""),"Behavioral")</f>
        <v>Behavioral</v>
      </c>
      <c r="C936" s="258" t="str">
        <f>IFERROR(__xludf.DUMMYFUNCTION("""COMPUTED_VALUE"""),"Non-PII")</f>
        <v>Non-PII</v>
      </c>
      <c r="D936" s="258" t="str">
        <f>IFERROR(__xludf.DUMMYFUNCTION("""COMPUTED_VALUE"""),"Non-PII")</f>
        <v>Non-PII</v>
      </c>
      <c r="E936" s="258" t="str">
        <f>IFERROR(__xludf.DUMMYFUNCTION("""COMPUTED_VALUE"""),"Calculation for the average charges that a subscriber received for the past 3 months- limited to CORE charges (data, sms, voice)")</f>
        <v>Calculation for the average charges that a subscriber received for the past 3 months- limited to CORE charges (data, sms, voice)</v>
      </c>
      <c r="F936" s="258" t="str">
        <f>IFERROR(__xludf.DUMMYFUNCTION("""COMPUTED_VALUE"""),"Derived")</f>
        <v>Derived</v>
      </c>
      <c r="G936" s="258" t="str">
        <f>IFERROR(__xludf.DUMMYFUNCTION("""COMPUTED_VALUE"""),"numeric(21,2)")</f>
        <v>numeric(21,2)</v>
      </c>
      <c r="H936" s="258">
        <f>IFERROR(__xludf.DUMMYFUNCTION("""COMPUTED_VALUE"""),504.0)</f>
        <v>504</v>
      </c>
      <c r="I936" s="258" t="str">
        <f>IFERROR(__xludf.DUMMYFUNCTION("""COMPUTED_VALUE"""),"MSH FVT")</f>
        <v>MSH FVT</v>
      </c>
      <c r="J936" s="258" t="str">
        <f>IFERROR(__xludf.DUMMYFUNCTION("""COMPUTED_VALUE"""),"Monthly")</f>
        <v>Monthly</v>
      </c>
      <c r="K936" s="258" t="str">
        <f>IFERROR(__xludf.DUMMYFUNCTION("""COMPUTED_VALUE"""),"")</f>
        <v/>
      </c>
      <c r="L936" s="258" t="str">
        <f>IFERROR(__xludf.DUMMYFUNCTION("""COMPUTED_VALUE"""),"GHP")</f>
        <v>GHP</v>
      </c>
      <c r="M936" s="258" t="str">
        <f>IFERROR(__xludf.DUMMYFUNCTION("""COMPUTED_VALUE"""),"Consumer")</f>
        <v>Consumer</v>
      </c>
      <c r="N936" s="258" t="str">
        <f>IFERROR(__xludf.DUMMYFUNCTION("""COMPUTED_VALUE"""),"revenue")</f>
        <v>revenue</v>
      </c>
      <c r="O936" s="258" t="str">
        <f>IFERROR(__xludf.DUMMYFUNCTION("""COMPUTED_VALUE"""),"revenue_profile")</f>
        <v>revenue_profile</v>
      </c>
      <c r="P936" s="258"/>
    </row>
    <row r="937">
      <c r="A937" s="257" t="str">
        <f>IFERROR(__xludf.DUMMYFUNCTION("""COMPUTED_VALUE"""),"availment_superapp_promo_count_30days")</f>
        <v>availment_superapp_promo_count_30days</v>
      </c>
      <c r="B937" s="258" t="str">
        <f>IFERROR(__xludf.DUMMYFUNCTION("""COMPUTED_VALUE"""),"Behavioral")</f>
        <v>Behavioral</v>
      </c>
      <c r="C937" s="258" t="str">
        <f>IFERROR(__xludf.DUMMYFUNCTION("""COMPUTED_VALUE"""),"Non-PII")</f>
        <v>Non-PII</v>
      </c>
      <c r="D937" s="258" t="str">
        <f>IFERROR(__xludf.DUMMYFUNCTION("""COMPUTED_VALUE"""),"Non-PII")</f>
        <v>Non-PII</v>
      </c>
      <c r="E937" s="258" t="str">
        <f>IFERROR(__xludf.DUMMYFUNCTION("""COMPUTED_VALUE"""),"The number of promo or availment by sub (including gyro and excluding loan promo) in NG1 in the past 30 days")</f>
        <v>The number of promo or availment by sub (including gyro and excluding loan promo) in NG1 in the past 30 days</v>
      </c>
      <c r="F937" s="258" t="str">
        <f>IFERROR(__xludf.DUMMYFUNCTION("""COMPUTED_VALUE"""),"Derived")</f>
        <v>Derived</v>
      </c>
      <c r="G937" s="258" t="str">
        <f>IFERROR(__xludf.DUMMYFUNCTION("""COMPUTED_VALUE"""),"Integer")</f>
        <v>Integer</v>
      </c>
      <c r="H937" s="258" t="str">
        <f>IFERROR(__xludf.DUMMYFUNCTION("""COMPUTED_VALUE"""),"
1,2,3,4,5")</f>
        <v>
1,2,3,4,5</v>
      </c>
      <c r="I937" s="258" t="str">
        <f>IFERROR(__xludf.DUMMYFUNCTION("""COMPUTED_VALUE"""),"FVT")</f>
        <v>FVT</v>
      </c>
      <c r="J937" s="258" t="str">
        <f>IFERROR(__xludf.DUMMYFUNCTION("""COMPUTED_VALUE"""),"Daily")</f>
        <v>Daily</v>
      </c>
      <c r="K937" s="258" t="str">
        <f>IFERROR(__xludf.DUMMYFUNCTION("""COMPUTED_VALUE"""),"")</f>
        <v/>
      </c>
      <c r="L937" s="258" t="str">
        <f>IFERROR(__xludf.DUMMYFUNCTION("""COMPUTED_VALUE"""),"GHP-PREPAID
TM
PW")</f>
        <v>GHP-PREPAID
TM
PW</v>
      </c>
      <c r="M937" s="258" t="str">
        <f>IFERROR(__xludf.DUMMYFUNCTION("""COMPUTED_VALUE"""),"Consumer")</f>
        <v>Consumer</v>
      </c>
      <c r="N937" s="258" t="str">
        <f>IFERROR(__xludf.DUMMYFUNCTION("""COMPUTED_VALUE"""),"availment
")</f>
        <v>availment
</v>
      </c>
      <c r="O937" s="258" t="str">
        <f>IFERROR(__xludf.DUMMYFUNCTION("""COMPUTED_VALUE"""),"availment_profile
")</f>
        <v>availment_profile
</v>
      </c>
      <c r="P937" s="258"/>
    </row>
    <row r="938">
      <c r="A938" s="257" t="str">
        <f>IFERROR(__xludf.DUMMYFUNCTION("""COMPUTED_VALUE"""),"pre_porting_usage_data_mb_past_90days")</f>
        <v>pre_porting_usage_data_mb_past_90days</v>
      </c>
      <c r="B938" s="258" t="str">
        <f>IFERROR(__xludf.DUMMYFUNCTION("""COMPUTED_VALUE"""),"")</f>
        <v/>
      </c>
      <c r="C938" s="258" t="str">
        <f>IFERROR(__xludf.DUMMYFUNCTION("""COMPUTED_VALUE"""),"Non-PII")</f>
        <v>Non-PII</v>
      </c>
      <c r="D938" s="258" t="str">
        <f>IFERROR(__xludf.DUMMYFUNCTION("""COMPUTED_VALUE"""),"Non-PII")</f>
        <v>Non-PII</v>
      </c>
      <c r="E938" s="258" t="str">
        <f>IFERROR(__xludf.DUMMYFUNCTION("""COMPUTED_VALUE"""),"Total volume of data usage in megabytes for the past 90 days prior to porting")</f>
        <v>Total volume of data usage in megabytes for the past 90 days prior to porting</v>
      </c>
      <c r="F938" s="258" t="str">
        <f>IFERROR(__xludf.DUMMYFUNCTION("""COMPUTED_VALUE"""),"Derived")</f>
        <v>Derived</v>
      </c>
      <c r="G938" s="258" t="str">
        <f>IFERROR(__xludf.DUMMYFUNCTION("""COMPUTED_VALUE"""),"numeric(19,4)")</f>
        <v>numeric(19,4)</v>
      </c>
      <c r="H938" s="258">
        <f>IFERROR(__xludf.DUMMYFUNCTION("""COMPUTED_VALUE"""),25.34)</f>
        <v>25.34</v>
      </c>
      <c r="I938" s="258" t="str">
        <f>IFERROR(__xludf.DUMMYFUNCTION("""COMPUTED_VALUE"""),"DGT")</f>
        <v>DGT</v>
      </c>
      <c r="J938" s="258" t="str">
        <f>IFERROR(__xludf.DUMMYFUNCTION("""COMPUTED_VALUE"""),"Daily")</f>
        <v>Daily</v>
      </c>
      <c r="K938" s="258" t="str">
        <f>IFERROR(__xludf.DUMMYFUNCTION("""COMPUTED_VALUE"""),"")</f>
        <v/>
      </c>
      <c r="L938" s="258" t="str">
        <f>IFERROR(__xludf.DUMMYFUNCTION("""COMPUTED_VALUE"""),"GHP, GHP-PREPAID, GOMO, TM, PW")</f>
        <v>GHP, GHP-PREPAID, GOMO, TM, PW</v>
      </c>
      <c r="M938" s="258" t="str">
        <f>IFERROR(__xludf.DUMMYFUNCTION("""COMPUTED_VALUE"""),"Consumer, EG, SG, In house, IBG Traveler")</f>
        <v>Consumer, EG, SG, In house, IBG Traveler</v>
      </c>
      <c r="N938" s="258" t="str">
        <f>IFERROR(__xludf.DUMMYFUNCTION("""COMPUTED_VALUE"""),"usage")</f>
        <v>usage</v>
      </c>
      <c r="O938" s="258" t="str">
        <f>IFERROR(__xludf.DUMMYFUNCTION("""COMPUTED_VALUE"""),"adjustment_profile")</f>
        <v>adjustment_profile</v>
      </c>
      <c r="P938" s="258"/>
    </row>
    <row r="939">
      <c r="A939" s="257"/>
      <c r="B939" s="258"/>
      <c r="C939" s="258"/>
      <c r="D939" s="258"/>
      <c r="E939" s="258"/>
      <c r="F939" s="258"/>
      <c r="G939" s="258"/>
      <c r="H939" s="258"/>
      <c r="I939" s="258"/>
      <c r="J939" s="258"/>
      <c r="K939" s="258"/>
      <c r="L939" s="258"/>
      <c r="M939" s="258"/>
      <c r="N939" s="258"/>
      <c r="O939" s="258"/>
      <c r="P939" s="258"/>
    </row>
    <row r="940">
      <c r="A940" s="257"/>
      <c r="B940" s="258"/>
      <c r="C940" s="258"/>
      <c r="D940" s="258"/>
      <c r="E940" s="258"/>
      <c r="F940" s="258"/>
      <c r="G940" s="258"/>
      <c r="H940" s="258"/>
      <c r="I940" s="258"/>
      <c r="J940" s="258"/>
      <c r="K940" s="258"/>
      <c r="L940" s="258"/>
      <c r="M940" s="258"/>
      <c r="N940" s="258"/>
      <c r="O940" s="258"/>
      <c r="P940" s="258"/>
    </row>
    <row r="941">
      <c r="A941" s="257"/>
      <c r="B941" s="258"/>
      <c r="C941" s="258"/>
      <c r="D941" s="258"/>
      <c r="E941" s="258"/>
      <c r="F941" s="258"/>
      <c r="G941" s="258"/>
      <c r="H941" s="258"/>
      <c r="I941" s="258"/>
      <c r="J941" s="258"/>
      <c r="K941" s="258"/>
      <c r="L941" s="258"/>
      <c r="M941" s="258"/>
      <c r="N941" s="258"/>
      <c r="O941" s="258"/>
      <c r="P941" s="258"/>
    </row>
    <row r="942">
      <c r="A942" s="257"/>
      <c r="B942" s="258"/>
      <c r="C942" s="258"/>
      <c r="D942" s="258"/>
      <c r="E942" s="258"/>
      <c r="F942" s="258"/>
      <c r="G942" s="258"/>
      <c r="H942" s="258"/>
      <c r="I942" s="258"/>
      <c r="J942" s="258"/>
      <c r="K942" s="258"/>
      <c r="L942" s="258"/>
      <c r="M942" s="258"/>
      <c r="N942" s="258"/>
      <c r="O942" s="258"/>
      <c r="P942" s="258"/>
    </row>
    <row r="943">
      <c r="A943" s="257"/>
      <c r="B943" s="258"/>
      <c r="C943" s="258"/>
      <c r="D943" s="258"/>
      <c r="E943" s="258"/>
      <c r="F943" s="258"/>
      <c r="G943" s="258"/>
      <c r="H943" s="258"/>
      <c r="I943" s="258"/>
      <c r="J943" s="258"/>
      <c r="K943" s="258"/>
      <c r="L943" s="258"/>
      <c r="M943" s="258"/>
      <c r="N943" s="258"/>
      <c r="O943" s="258"/>
      <c r="P943" s="258"/>
    </row>
    <row r="944">
      <c r="A944" s="257"/>
      <c r="B944" s="258"/>
      <c r="C944" s="258"/>
      <c r="D944" s="258"/>
      <c r="E944" s="258"/>
      <c r="F944" s="258"/>
      <c r="G944" s="258"/>
      <c r="H944" s="258"/>
      <c r="I944" s="258"/>
      <c r="J944" s="258"/>
      <c r="K944" s="258"/>
      <c r="L944" s="258"/>
      <c r="M944" s="258"/>
      <c r="N944" s="258"/>
      <c r="O944" s="258"/>
      <c r="P944" s="258"/>
    </row>
    <row r="945">
      <c r="A945" s="257"/>
      <c r="B945" s="258"/>
      <c r="C945" s="258"/>
      <c r="D945" s="258"/>
      <c r="E945" s="258"/>
      <c r="F945" s="258"/>
      <c r="G945" s="258"/>
      <c r="H945" s="258"/>
      <c r="I945" s="258"/>
      <c r="J945" s="258"/>
      <c r="K945" s="258"/>
      <c r="L945" s="258"/>
      <c r="M945" s="258"/>
      <c r="N945" s="258"/>
      <c r="O945" s="258"/>
      <c r="P945" s="258"/>
    </row>
    <row r="946">
      <c r="A946" s="257"/>
      <c r="B946" s="258"/>
      <c r="C946" s="258"/>
      <c r="D946" s="258"/>
      <c r="E946" s="258"/>
      <c r="F946" s="258"/>
      <c r="G946" s="258"/>
      <c r="H946" s="258"/>
      <c r="I946" s="258"/>
      <c r="J946" s="258"/>
      <c r="K946" s="258"/>
      <c r="L946" s="258"/>
      <c r="M946" s="258"/>
      <c r="N946" s="258"/>
      <c r="O946" s="258"/>
      <c r="P946" s="258"/>
    </row>
    <row r="947">
      <c r="A947" s="257"/>
      <c r="B947" s="258"/>
      <c r="C947" s="258"/>
      <c r="D947" s="258"/>
      <c r="E947" s="258"/>
      <c r="F947" s="258"/>
      <c r="G947" s="258"/>
      <c r="H947" s="258"/>
      <c r="I947" s="258"/>
      <c r="J947" s="258"/>
      <c r="K947" s="258"/>
      <c r="L947" s="258"/>
      <c r="M947" s="258"/>
      <c r="N947" s="258"/>
      <c r="O947" s="258"/>
      <c r="P947" s="258"/>
    </row>
    <row r="948">
      <c r="A948" s="257"/>
      <c r="B948" s="258"/>
      <c r="C948" s="258"/>
      <c r="D948" s="258"/>
      <c r="E948" s="258"/>
      <c r="F948" s="258"/>
      <c r="G948" s="258"/>
      <c r="H948" s="258"/>
      <c r="I948" s="258"/>
      <c r="J948" s="258"/>
      <c r="K948" s="258"/>
      <c r="L948" s="258"/>
      <c r="M948" s="258"/>
      <c r="N948" s="258"/>
      <c r="O948" s="258"/>
      <c r="P948" s="258"/>
    </row>
    <row r="949">
      <c r="A949" s="257"/>
      <c r="B949" s="258"/>
      <c r="C949" s="258"/>
      <c r="D949" s="258"/>
      <c r="E949" s="258"/>
      <c r="F949" s="258"/>
      <c r="G949" s="258"/>
      <c r="H949" s="258"/>
      <c r="I949" s="258"/>
      <c r="J949" s="258"/>
      <c r="K949" s="258"/>
      <c r="L949" s="258"/>
      <c r="M949" s="258"/>
      <c r="N949" s="258"/>
      <c r="O949" s="258"/>
      <c r="P949" s="258"/>
    </row>
    <row r="950">
      <c r="A950" s="257"/>
      <c r="B950" s="258"/>
      <c r="C950" s="258"/>
      <c r="D950" s="258"/>
      <c r="E950" s="258"/>
      <c r="F950" s="258"/>
      <c r="G950" s="258"/>
      <c r="H950" s="258"/>
      <c r="I950" s="258"/>
      <c r="J950" s="258"/>
      <c r="K950" s="258"/>
      <c r="L950" s="258"/>
      <c r="M950" s="258"/>
      <c r="N950" s="258"/>
      <c r="O950" s="258"/>
      <c r="P950" s="258"/>
    </row>
    <row r="951">
      <c r="A951" s="257"/>
      <c r="B951" s="258"/>
      <c r="C951" s="258"/>
      <c r="D951" s="258"/>
      <c r="E951" s="258"/>
      <c r="F951" s="258"/>
      <c r="G951" s="258"/>
      <c r="H951" s="258"/>
      <c r="I951" s="258"/>
      <c r="J951" s="258"/>
      <c r="K951" s="258"/>
      <c r="L951" s="258"/>
      <c r="M951" s="258"/>
      <c r="N951" s="258"/>
      <c r="O951" s="258"/>
      <c r="P951" s="258"/>
    </row>
    <row r="952">
      <c r="A952" s="257"/>
      <c r="B952" s="258"/>
      <c r="C952" s="258"/>
      <c r="D952" s="258"/>
      <c r="E952" s="258"/>
      <c r="F952" s="258"/>
      <c r="G952" s="258"/>
      <c r="H952" s="258"/>
      <c r="I952" s="258"/>
      <c r="J952" s="258"/>
      <c r="K952" s="258"/>
      <c r="L952" s="258"/>
      <c r="M952" s="258"/>
      <c r="N952" s="258"/>
      <c r="O952" s="258"/>
      <c r="P952" s="258"/>
    </row>
    <row r="953">
      <c r="A953" s="257"/>
      <c r="B953" s="258"/>
      <c r="C953" s="258"/>
      <c r="D953" s="258"/>
      <c r="E953" s="258"/>
      <c r="F953" s="258"/>
      <c r="G953" s="258"/>
      <c r="H953" s="258"/>
      <c r="I953" s="258"/>
      <c r="J953" s="258"/>
      <c r="K953" s="258"/>
      <c r="L953" s="258"/>
      <c r="M953" s="258"/>
      <c r="N953" s="258"/>
      <c r="O953" s="258"/>
      <c r="P953" s="258"/>
    </row>
    <row r="954">
      <c r="A954" s="257"/>
      <c r="B954" s="258"/>
      <c r="C954" s="258"/>
      <c r="D954" s="258"/>
      <c r="E954" s="258"/>
      <c r="F954" s="258"/>
      <c r="G954" s="258"/>
      <c r="H954" s="258"/>
      <c r="I954" s="258"/>
      <c r="J954" s="258"/>
      <c r="K954" s="258"/>
      <c r="L954" s="258"/>
      <c r="M954" s="258"/>
      <c r="N954" s="258"/>
      <c r="O954" s="258"/>
      <c r="P954" s="258"/>
    </row>
    <row r="955">
      <c r="A955" s="257"/>
      <c r="B955" s="258"/>
      <c r="C955" s="258"/>
      <c r="D955" s="258"/>
      <c r="E955" s="258"/>
      <c r="F955" s="258"/>
      <c r="G955" s="258"/>
      <c r="H955" s="258"/>
      <c r="I955" s="258"/>
      <c r="J955" s="258"/>
      <c r="K955" s="258"/>
      <c r="L955" s="258"/>
      <c r="M955" s="258"/>
      <c r="N955" s="258"/>
      <c r="O955" s="258"/>
      <c r="P955" s="258"/>
    </row>
    <row r="956">
      <c r="A956" s="257"/>
      <c r="B956" s="258"/>
      <c r="C956" s="258"/>
      <c r="D956" s="258"/>
      <c r="E956" s="258"/>
      <c r="F956" s="258"/>
      <c r="G956" s="258"/>
      <c r="H956" s="258"/>
      <c r="I956" s="258"/>
      <c r="J956" s="258"/>
      <c r="K956" s="258"/>
      <c r="L956" s="258"/>
      <c r="M956" s="258"/>
      <c r="N956" s="258"/>
      <c r="O956" s="258"/>
      <c r="P956" s="258"/>
    </row>
    <row r="957">
      <c r="A957" s="257"/>
      <c r="B957" s="258"/>
      <c r="C957" s="258"/>
      <c r="D957" s="258"/>
      <c r="E957" s="258"/>
      <c r="F957" s="258"/>
      <c r="G957" s="258"/>
      <c r="H957" s="258"/>
      <c r="I957" s="258"/>
      <c r="J957" s="258"/>
      <c r="K957" s="258"/>
      <c r="L957" s="258"/>
      <c r="M957" s="258"/>
      <c r="N957" s="258"/>
      <c r="O957" s="258"/>
      <c r="P957" s="258"/>
    </row>
    <row r="958">
      <c r="A958" s="257"/>
      <c r="B958" s="258"/>
      <c r="C958" s="258"/>
      <c r="D958" s="258"/>
      <c r="E958" s="258"/>
      <c r="F958" s="258"/>
      <c r="G958" s="258"/>
      <c r="H958" s="258"/>
      <c r="I958" s="258"/>
      <c r="J958" s="258"/>
      <c r="K958" s="258"/>
      <c r="L958" s="258"/>
      <c r="M958" s="258"/>
      <c r="N958" s="258"/>
      <c r="O958" s="258"/>
      <c r="P958" s="258"/>
    </row>
    <row r="959">
      <c r="A959" s="257"/>
      <c r="B959" s="258"/>
      <c r="C959" s="258"/>
      <c r="D959" s="258"/>
      <c r="E959" s="258"/>
      <c r="F959" s="258"/>
      <c r="G959" s="258"/>
      <c r="H959" s="258"/>
      <c r="I959" s="258"/>
      <c r="J959" s="258"/>
      <c r="K959" s="258"/>
      <c r="L959" s="258"/>
      <c r="M959" s="258"/>
      <c r="N959" s="258"/>
      <c r="O959" s="258"/>
      <c r="P959" s="258"/>
    </row>
    <row r="960">
      <c r="A960" s="257"/>
      <c r="B960" s="258"/>
      <c r="C960" s="258"/>
      <c r="D960" s="258"/>
      <c r="E960" s="258"/>
      <c r="F960" s="258"/>
      <c r="G960" s="258"/>
      <c r="H960" s="258"/>
      <c r="I960" s="258"/>
      <c r="J960" s="258"/>
      <c r="K960" s="258"/>
      <c r="L960" s="258"/>
      <c r="M960" s="258"/>
      <c r="N960" s="258"/>
      <c r="O960" s="258"/>
      <c r="P960" s="258"/>
    </row>
    <row r="961">
      <c r="A961" s="257"/>
      <c r="B961" s="258"/>
      <c r="C961" s="258"/>
      <c r="D961" s="258"/>
      <c r="E961" s="258"/>
      <c r="F961" s="258"/>
      <c r="G961" s="258"/>
      <c r="H961" s="258"/>
      <c r="I961" s="258"/>
      <c r="J961" s="258"/>
      <c r="K961" s="258"/>
      <c r="L961" s="258"/>
      <c r="M961" s="258"/>
      <c r="N961" s="258"/>
      <c r="O961" s="258"/>
      <c r="P961" s="258"/>
    </row>
    <row r="962">
      <c r="A962" s="257"/>
      <c r="B962" s="258"/>
      <c r="C962" s="258"/>
      <c r="D962" s="258"/>
      <c r="E962" s="258"/>
      <c r="F962" s="258"/>
      <c r="G962" s="258"/>
      <c r="H962" s="258"/>
      <c r="I962" s="258"/>
      <c r="J962" s="258"/>
      <c r="K962" s="258"/>
      <c r="L962" s="258"/>
      <c r="M962" s="258"/>
      <c r="N962" s="258"/>
      <c r="O962" s="258"/>
      <c r="P962" s="258"/>
    </row>
    <row r="963">
      <c r="A963" s="257"/>
      <c r="B963" s="258"/>
      <c r="C963" s="258"/>
      <c r="D963" s="258"/>
      <c r="E963" s="258"/>
      <c r="F963" s="258"/>
      <c r="G963" s="258"/>
      <c r="H963" s="258"/>
      <c r="I963" s="258"/>
      <c r="J963" s="258"/>
      <c r="K963" s="258"/>
      <c r="L963" s="258"/>
      <c r="M963" s="258"/>
      <c r="N963" s="258"/>
      <c r="O963" s="258"/>
      <c r="P963" s="258"/>
    </row>
    <row r="964">
      <c r="A964" s="257"/>
      <c r="B964" s="258"/>
      <c r="C964" s="258"/>
      <c r="D964" s="258"/>
      <c r="E964" s="258"/>
      <c r="F964" s="258"/>
      <c r="G964" s="258"/>
      <c r="H964" s="258"/>
      <c r="I964" s="258"/>
      <c r="J964" s="258"/>
      <c r="K964" s="258"/>
      <c r="L964" s="258"/>
      <c r="M964" s="258"/>
      <c r="N964" s="258"/>
      <c r="O964" s="258"/>
      <c r="P964" s="258"/>
    </row>
    <row r="965">
      <c r="A965" s="257"/>
      <c r="B965" s="258"/>
      <c r="C965" s="258"/>
      <c r="D965" s="258"/>
      <c r="E965" s="258"/>
      <c r="F965" s="258"/>
      <c r="G965" s="258"/>
      <c r="H965" s="258"/>
      <c r="I965" s="258"/>
      <c r="J965" s="258"/>
      <c r="K965" s="258"/>
      <c r="L965" s="258"/>
      <c r="M965" s="258"/>
      <c r="N965" s="258"/>
      <c r="O965" s="258"/>
      <c r="P965" s="258"/>
    </row>
    <row r="966">
      <c r="A966" s="257"/>
      <c r="B966" s="258"/>
      <c r="C966" s="258"/>
      <c r="D966" s="258"/>
      <c r="E966" s="258"/>
      <c r="F966" s="258"/>
      <c r="G966" s="258"/>
      <c r="H966" s="258"/>
      <c r="I966" s="258"/>
      <c r="J966" s="258"/>
      <c r="K966" s="258"/>
      <c r="L966" s="258"/>
      <c r="M966" s="258"/>
      <c r="N966" s="258"/>
      <c r="O966" s="258"/>
      <c r="P966" s="258"/>
    </row>
    <row r="967">
      <c r="A967" s="257"/>
      <c r="B967" s="258"/>
      <c r="C967" s="258"/>
      <c r="D967" s="258"/>
      <c r="E967" s="258"/>
      <c r="F967" s="258"/>
      <c r="G967" s="258"/>
      <c r="H967" s="258"/>
      <c r="I967" s="258"/>
      <c r="J967" s="258"/>
      <c r="K967" s="258"/>
      <c r="L967" s="258"/>
      <c r="M967" s="258"/>
      <c r="N967" s="258"/>
      <c r="O967" s="258"/>
      <c r="P967" s="258"/>
    </row>
    <row r="968">
      <c r="A968" s="257"/>
      <c r="B968" s="258"/>
      <c r="C968" s="258"/>
      <c r="D968" s="258"/>
      <c r="E968" s="258"/>
      <c r="F968" s="258"/>
      <c r="G968" s="258"/>
      <c r="H968" s="258"/>
      <c r="I968" s="258"/>
      <c r="J968" s="258"/>
      <c r="K968" s="258"/>
      <c r="L968" s="258"/>
      <c r="M968" s="258"/>
      <c r="N968" s="258"/>
      <c r="O968" s="258"/>
      <c r="P968" s="258"/>
    </row>
    <row r="969">
      <c r="A969" s="257"/>
      <c r="B969" s="258"/>
      <c r="C969" s="258"/>
      <c r="D969" s="258"/>
      <c r="E969" s="258"/>
      <c r="F969" s="258"/>
      <c r="G969" s="258"/>
      <c r="H969" s="258"/>
      <c r="I969" s="258"/>
      <c r="J969" s="258"/>
      <c r="K969" s="258"/>
      <c r="L969" s="258"/>
      <c r="M969" s="258"/>
      <c r="N969" s="258"/>
      <c r="O969" s="258"/>
      <c r="P969" s="258"/>
    </row>
    <row r="970">
      <c r="A970" s="257"/>
      <c r="B970" s="258"/>
      <c r="C970" s="258"/>
      <c r="D970" s="258"/>
      <c r="E970" s="258"/>
      <c r="F970" s="258"/>
      <c r="G970" s="258"/>
      <c r="H970" s="258"/>
      <c r="I970" s="258"/>
      <c r="J970" s="258"/>
      <c r="K970" s="258"/>
      <c r="L970" s="258"/>
      <c r="M970" s="258"/>
      <c r="N970" s="258"/>
      <c r="O970" s="258"/>
      <c r="P970" s="258"/>
    </row>
    <row r="971">
      <c r="A971" s="257"/>
      <c r="B971" s="258"/>
      <c r="C971" s="258"/>
      <c r="D971" s="258"/>
      <c r="E971" s="258"/>
      <c r="F971" s="258"/>
      <c r="G971" s="258"/>
      <c r="H971" s="258"/>
      <c r="I971" s="258"/>
      <c r="J971" s="258"/>
      <c r="K971" s="258"/>
      <c r="L971" s="258"/>
      <c r="M971" s="258"/>
      <c r="N971" s="258"/>
      <c r="O971" s="258"/>
      <c r="P971" s="258"/>
    </row>
    <row r="972">
      <c r="A972" s="257"/>
      <c r="B972" s="258"/>
      <c r="C972" s="258"/>
      <c r="D972" s="258"/>
      <c r="E972" s="258"/>
      <c r="F972" s="258"/>
      <c r="G972" s="258"/>
      <c r="H972" s="258"/>
      <c r="I972" s="258"/>
      <c r="J972" s="258"/>
      <c r="K972" s="258"/>
      <c r="L972" s="258"/>
      <c r="M972" s="258"/>
      <c r="N972" s="258"/>
      <c r="O972" s="258"/>
      <c r="P972" s="258"/>
    </row>
    <row r="973">
      <c r="A973" s="257"/>
      <c r="B973" s="258"/>
      <c r="C973" s="258"/>
      <c r="D973" s="258"/>
      <c r="E973" s="258"/>
      <c r="F973" s="258"/>
      <c r="G973" s="258"/>
      <c r="H973" s="258"/>
      <c r="I973" s="258"/>
      <c r="J973" s="258"/>
      <c r="K973" s="258"/>
      <c r="L973" s="258"/>
      <c r="M973" s="258"/>
      <c r="N973" s="258"/>
      <c r="O973" s="258"/>
      <c r="P973" s="258"/>
    </row>
    <row r="974">
      <c r="A974" s="257"/>
      <c r="B974" s="258"/>
      <c r="C974" s="258"/>
      <c r="D974" s="258"/>
      <c r="E974" s="258"/>
      <c r="F974" s="258"/>
      <c r="G974" s="258"/>
      <c r="H974" s="258"/>
      <c r="I974" s="258"/>
      <c r="J974" s="258"/>
      <c r="K974" s="258"/>
      <c r="L974" s="258"/>
      <c r="M974" s="258"/>
      <c r="N974" s="258"/>
      <c r="O974" s="258"/>
      <c r="P974" s="258"/>
    </row>
    <row r="975">
      <c r="A975" s="257"/>
      <c r="B975" s="258"/>
      <c r="C975" s="258"/>
      <c r="D975" s="258"/>
      <c r="E975" s="258"/>
      <c r="F975" s="258"/>
      <c r="G975" s="258"/>
      <c r="H975" s="258"/>
      <c r="I975" s="258"/>
      <c r="J975" s="258"/>
      <c r="K975" s="258"/>
      <c r="L975" s="258"/>
      <c r="M975" s="258"/>
      <c r="N975" s="258"/>
      <c r="O975" s="258"/>
      <c r="P975" s="258"/>
    </row>
    <row r="976">
      <c r="A976" s="257"/>
      <c r="B976" s="258"/>
      <c r="C976" s="258"/>
      <c r="D976" s="258"/>
      <c r="E976" s="258"/>
      <c r="F976" s="258"/>
      <c r="G976" s="258"/>
      <c r="H976" s="258"/>
      <c r="I976" s="258"/>
      <c r="J976" s="258"/>
      <c r="K976" s="258"/>
      <c r="L976" s="258"/>
      <c r="M976" s="258"/>
      <c r="N976" s="258"/>
      <c r="O976" s="258"/>
      <c r="P976" s="258"/>
    </row>
    <row r="977">
      <c r="A977" s="257"/>
      <c r="B977" s="258"/>
      <c r="C977" s="258"/>
      <c r="D977" s="258"/>
      <c r="E977" s="258"/>
      <c r="F977" s="258"/>
      <c r="G977" s="258"/>
      <c r="H977" s="258"/>
      <c r="I977" s="258"/>
      <c r="J977" s="258"/>
      <c r="K977" s="258"/>
      <c r="L977" s="258"/>
      <c r="M977" s="258"/>
      <c r="N977" s="258"/>
      <c r="O977" s="258"/>
      <c r="P977" s="258"/>
    </row>
    <row r="978">
      <c r="A978" s="257"/>
      <c r="B978" s="258"/>
      <c r="C978" s="258"/>
      <c r="D978" s="258"/>
      <c r="E978" s="258"/>
      <c r="F978" s="258"/>
      <c r="G978" s="258"/>
      <c r="H978" s="258"/>
      <c r="I978" s="258"/>
      <c r="J978" s="258"/>
      <c r="K978" s="258"/>
      <c r="L978" s="258"/>
      <c r="M978" s="258"/>
      <c r="N978" s="258"/>
      <c r="O978" s="258"/>
      <c r="P978" s="258"/>
    </row>
    <row r="979">
      <c r="A979" s="257"/>
      <c r="B979" s="258"/>
      <c r="C979" s="258"/>
      <c r="D979" s="258"/>
      <c r="E979" s="258"/>
      <c r="F979" s="258"/>
      <c r="G979" s="258"/>
      <c r="H979" s="258"/>
      <c r="I979" s="258"/>
      <c r="J979" s="258"/>
      <c r="K979" s="258"/>
      <c r="L979" s="258"/>
      <c r="M979" s="258"/>
      <c r="N979" s="258"/>
      <c r="O979" s="258"/>
      <c r="P979" s="258"/>
    </row>
    <row r="980">
      <c r="A980" s="257"/>
      <c r="B980" s="258"/>
      <c r="C980" s="258"/>
      <c r="D980" s="258"/>
      <c r="E980" s="258"/>
      <c r="F980" s="258"/>
      <c r="G980" s="258"/>
      <c r="H980" s="258"/>
      <c r="I980" s="258"/>
      <c r="J980" s="258"/>
      <c r="K980" s="258"/>
      <c r="L980" s="258"/>
      <c r="M980" s="258"/>
      <c r="N980" s="258"/>
      <c r="O980" s="258"/>
      <c r="P980" s="258"/>
    </row>
    <row r="981">
      <c r="A981" s="257"/>
      <c r="B981" s="258"/>
      <c r="C981" s="258"/>
      <c r="D981" s="258"/>
      <c r="E981" s="258"/>
      <c r="F981" s="258"/>
      <c r="G981" s="258"/>
      <c r="H981" s="258"/>
      <c r="I981" s="258"/>
      <c r="J981" s="258"/>
      <c r="K981" s="258"/>
      <c r="L981" s="258"/>
      <c r="M981" s="258"/>
      <c r="N981" s="258"/>
      <c r="O981" s="258"/>
      <c r="P981" s="258"/>
    </row>
    <row r="982">
      <c r="A982" s="257"/>
      <c r="B982" s="258"/>
      <c r="C982" s="258"/>
      <c r="D982" s="258"/>
      <c r="E982" s="258"/>
      <c r="F982" s="258"/>
      <c r="G982" s="258"/>
      <c r="H982" s="258"/>
      <c r="I982" s="258"/>
      <c r="J982" s="258"/>
      <c r="K982" s="258"/>
      <c r="L982" s="258"/>
      <c r="M982" s="258"/>
      <c r="N982" s="258"/>
      <c r="O982" s="258"/>
      <c r="P982" s="258"/>
    </row>
    <row r="983">
      <c r="A983" s="257"/>
      <c r="B983" s="258"/>
      <c r="C983" s="258"/>
      <c r="D983" s="258"/>
      <c r="E983" s="258"/>
      <c r="F983" s="258"/>
      <c r="G983" s="258"/>
      <c r="H983" s="258"/>
      <c r="I983" s="258"/>
      <c r="J983" s="258"/>
      <c r="K983" s="258"/>
      <c r="L983" s="258"/>
      <c r="M983" s="258"/>
      <c r="N983" s="258"/>
      <c r="O983" s="258"/>
      <c r="P983" s="258"/>
    </row>
    <row r="984">
      <c r="A984" s="257"/>
      <c r="B984" s="258"/>
      <c r="C984" s="258"/>
      <c r="D984" s="258"/>
      <c r="E984" s="258"/>
      <c r="F984" s="258"/>
      <c r="G984" s="258"/>
      <c r="H984" s="258"/>
      <c r="I984" s="258"/>
      <c r="J984" s="258"/>
      <c r="K984" s="258"/>
      <c r="L984" s="258"/>
      <c r="M984" s="258"/>
      <c r="N984" s="258"/>
      <c r="O984" s="258"/>
      <c r="P984" s="258"/>
    </row>
    <row r="985">
      <c r="A985" s="257"/>
      <c r="B985" s="258"/>
      <c r="C985" s="258"/>
      <c r="D985" s="258"/>
      <c r="E985" s="258"/>
      <c r="F985" s="258"/>
      <c r="G985" s="258"/>
      <c r="H985" s="258"/>
      <c r="I985" s="258"/>
      <c r="J985" s="258"/>
      <c r="K985" s="258"/>
      <c r="L985" s="258"/>
      <c r="M985" s="258"/>
      <c r="N985" s="258"/>
      <c r="O985" s="258"/>
      <c r="P985" s="258"/>
    </row>
    <row r="986">
      <c r="A986" s="257"/>
      <c r="B986" s="258"/>
      <c r="C986" s="258"/>
      <c r="D986" s="258"/>
      <c r="E986" s="258"/>
      <c r="F986" s="258"/>
      <c r="G986" s="258"/>
      <c r="H986" s="258"/>
      <c r="I986" s="258"/>
      <c r="J986" s="258"/>
      <c r="K986" s="258"/>
      <c r="L986" s="258"/>
      <c r="M986" s="258"/>
      <c r="N986" s="258"/>
      <c r="O986" s="258"/>
      <c r="P986" s="258"/>
    </row>
    <row r="987">
      <c r="A987" s="257"/>
      <c r="B987" s="258"/>
      <c r="C987" s="258"/>
      <c r="D987" s="258"/>
      <c r="E987" s="258"/>
      <c r="F987" s="258"/>
      <c r="G987" s="258"/>
      <c r="H987" s="258"/>
      <c r="I987" s="258"/>
      <c r="J987" s="258"/>
      <c r="K987" s="258"/>
      <c r="L987" s="258"/>
      <c r="M987" s="258"/>
      <c r="N987" s="258"/>
      <c r="O987" s="258"/>
      <c r="P987" s="258"/>
    </row>
    <row r="988">
      <c r="A988" s="257"/>
      <c r="B988" s="258"/>
      <c r="C988" s="258"/>
      <c r="D988" s="258"/>
      <c r="E988" s="258"/>
      <c r="F988" s="258"/>
      <c r="G988" s="258"/>
      <c r="H988" s="258"/>
      <c r="I988" s="258"/>
      <c r="J988" s="258"/>
      <c r="K988" s="258"/>
      <c r="L988" s="258"/>
      <c r="M988" s="258"/>
      <c r="N988" s="258"/>
      <c r="O988" s="258"/>
      <c r="P988" s="258"/>
    </row>
    <row r="989">
      <c r="A989" s="257"/>
      <c r="B989" s="258"/>
      <c r="C989" s="258"/>
      <c r="D989" s="258"/>
      <c r="E989" s="258"/>
      <c r="F989" s="258"/>
      <c r="G989" s="258"/>
      <c r="H989" s="258"/>
      <c r="I989" s="258"/>
      <c r="J989" s="258"/>
      <c r="K989" s="258"/>
      <c r="L989" s="258"/>
      <c r="M989" s="258"/>
      <c r="N989" s="258"/>
      <c r="O989" s="258"/>
      <c r="P989" s="258"/>
    </row>
    <row r="990">
      <c r="A990" s="257"/>
      <c r="B990" s="258"/>
      <c r="C990" s="258"/>
      <c r="D990" s="258"/>
      <c r="E990" s="258"/>
      <c r="F990" s="258"/>
      <c r="G990" s="258"/>
      <c r="H990" s="258"/>
      <c r="I990" s="258"/>
      <c r="J990" s="258"/>
      <c r="K990" s="258"/>
      <c r="L990" s="258"/>
      <c r="M990" s="258"/>
      <c r="N990" s="258"/>
      <c r="O990" s="258"/>
      <c r="P990" s="258"/>
    </row>
    <row r="991">
      <c r="A991" s="257"/>
      <c r="B991" s="258"/>
      <c r="C991" s="258"/>
      <c r="D991" s="258"/>
      <c r="E991" s="258"/>
      <c r="F991" s="258"/>
      <c r="G991" s="258"/>
      <c r="H991" s="258"/>
      <c r="I991" s="258"/>
      <c r="J991" s="258"/>
      <c r="K991" s="258"/>
      <c r="L991" s="258"/>
      <c r="M991" s="258"/>
      <c r="N991" s="258"/>
      <c r="O991" s="258"/>
      <c r="P991" s="258"/>
    </row>
    <row r="992">
      <c r="A992" s="257"/>
      <c r="B992" s="258"/>
      <c r="C992" s="258"/>
      <c r="D992" s="258"/>
      <c r="E992" s="258"/>
      <c r="F992" s="258"/>
      <c r="G992" s="258"/>
      <c r="H992" s="258"/>
      <c r="I992" s="258"/>
      <c r="J992" s="258"/>
      <c r="K992" s="258"/>
      <c r="L992" s="258"/>
      <c r="M992" s="258"/>
      <c r="N992" s="258"/>
      <c r="O992" s="258"/>
      <c r="P992" s="258"/>
    </row>
    <row r="993">
      <c r="A993" s="257"/>
      <c r="B993" s="258"/>
      <c r="C993" s="258"/>
      <c r="D993" s="258"/>
      <c r="E993" s="258"/>
      <c r="F993" s="258"/>
      <c r="G993" s="258"/>
      <c r="H993" s="258"/>
      <c r="I993" s="258"/>
      <c r="J993" s="258"/>
      <c r="K993" s="258"/>
      <c r="L993" s="258"/>
      <c r="M993" s="258"/>
      <c r="N993" s="258"/>
      <c r="O993" s="258"/>
      <c r="P993" s="258"/>
    </row>
    <row r="994">
      <c r="A994" s="257"/>
      <c r="B994" s="258"/>
      <c r="C994" s="258"/>
      <c r="D994" s="258"/>
      <c r="E994" s="258"/>
      <c r="F994" s="258"/>
      <c r="G994" s="258"/>
      <c r="H994" s="258"/>
      <c r="I994" s="258"/>
      <c r="J994" s="258"/>
      <c r="K994" s="258"/>
      <c r="L994" s="258"/>
      <c r="M994" s="258"/>
      <c r="N994" s="258"/>
      <c r="O994" s="258"/>
      <c r="P994" s="258"/>
    </row>
    <row r="995">
      <c r="A995" s="257"/>
      <c r="B995" s="258"/>
      <c r="C995" s="258"/>
      <c r="D995" s="258"/>
      <c r="E995" s="258"/>
      <c r="F995" s="258"/>
      <c r="G995" s="258"/>
      <c r="H995" s="258"/>
      <c r="I995" s="258"/>
      <c r="J995" s="258"/>
      <c r="K995" s="258"/>
      <c r="L995" s="258"/>
      <c r="M995" s="258"/>
      <c r="N995" s="258"/>
      <c r="O995" s="258"/>
      <c r="P995" s="258"/>
    </row>
    <row r="996">
      <c r="A996" s="257"/>
      <c r="B996" s="258"/>
      <c r="C996" s="258"/>
      <c r="D996" s="258"/>
      <c r="E996" s="258"/>
      <c r="F996" s="258"/>
      <c r="G996" s="258"/>
      <c r="H996" s="258"/>
      <c r="I996" s="258"/>
      <c r="J996" s="258"/>
      <c r="K996" s="258"/>
      <c r="L996" s="258"/>
      <c r="M996" s="258"/>
      <c r="N996" s="258"/>
      <c r="O996" s="258"/>
      <c r="P996" s="258"/>
    </row>
    <row r="997">
      <c r="A997" s="257"/>
      <c r="B997" s="258"/>
      <c r="C997" s="258"/>
      <c r="D997" s="258"/>
      <c r="E997" s="258"/>
      <c r="F997" s="258"/>
      <c r="G997" s="258"/>
      <c r="H997" s="258"/>
      <c r="I997" s="258"/>
      <c r="J997" s="258"/>
      <c r="K997" s="258"/>
      <c r="L997" s="258"/>
      <c r="M997" s="258"/>
      <c r="N997" s="258"/>
      <c r="O997" s="258"/>
      <c r="P997" s="258"/>
    </row>
    <row r="998">
      <c r="A998" s="257"/>
      <c r="B998" s="258"/>
      <c r="C998" s="258"/>
      <c r="D998" s="258"/>
      <c r="E998" s="258"/>
      <c r="F998" s="258"/>
      <c r="G998" s="258"/>
      <c r="H998" s="258"/>
      <c r="I998" s="258"/>
      <c r="J998" s="258"/>
      <c r="K998" s="258"/>
      <c r="L998" s="258"/>
      <c r="M998" s="258"/>
      <c r="N998" s="258"/>
      <c r="O998" s="258"/>
      <c r="P998" s="258"/>
    </row>
    <row r="999">
      <c r="A999" s="257"/>
      <c r="B999" s="258"/>
      <c r="C999" s="258"/>
      <c r="D999" s="258"/>
      <c r="E999" s="258"/>
      <c r="F999" s="258"/>
      <c r="G999" s="258"/>
      <c r="H999" s="258"/>
      <c r="I999" s="258"/>
      <c r="J999" s="258"/>
      <c r="K999" s="258"/>
      <c r="L999" s="258"/>
      <c r="M999" s="258"/>
      <c r="N999" s="258"/>
      <c r="O999" s="258"/>
      <c r="P999" s="258"/>
    </row>
    <row r="1000">
      <c r="A1000" s="257"/>
      <c r="B1000" s="258"/>
      <c r="C1000" s="258"/>
      <c r="D1000" s="258"/>
      <c r="E1000" s="258"/>
      <c r="F1000" s="258"/>
      <c r="G1000" s="258"/>
      <c r="H1000" s="258"/>
      <c r="I1000" s="258"/>
      <c r="J1000" s="258"/>
      <c r="K1000" s="258"/>
      <c r="L1000" s="258"/>
      <c r="M1000" s="258"/>
      <c r="N1000" s="258"/>
      <c r="O1000" s="258"/>
      <c r="P1000" s="258"/>
    </row>
  </sheetData>
  <customSheetViews>
    <customSheetView guid="{C429261C-367A-43DB-B9AA-64DF8E8992AB}" filter="1" showAutoFilter="1">
      <autoFilter ref="$A$1:$M$939"/>
    </customSheetView>
    <customSheetView guid="{F263A3AC-1237-40A8-82F2-25CFE72B494B}" filter="1" showAutoFilter="1">
      <autoFilter ref="$A$1:$O$939">
        <filterColumn colId="0">
          <filters>
            <filter val="superapp_loan_count_30days"/>
            <filter val="superapp_redeem_telco_rewards_count_30days"/>
            <filter val="superapp_reload_count_30days"/>
            <filter val="superapp_reload_mode_amount_30days"/>
            <filter val="superapp_mau_indicator"/>
            <filter val="superapp_redeem_nontelco_rewards_count_30days"/>
            <filter val="availment_superapp_promo_count_30days"/>
            <filter val="superapp_user_indicator"/>
            <filter val="superapp_wau_indicator"/>
            <filter val="superapp_dau_indicator"/>
            <filter val="superapp_share_count_30days"/>
          </filters>
        </filterColumn>
      </autoFilter>
    </customSheetView>
    <customSheetView guid="{93317466-9196-4832-A27A-423782D92678}" filter="1" showAutoFilter="1">
      <autoFilter ref="$A$1:$M$939">
        <filterColumn colId="10">
          <filters blank="1">
            <filter val="mo-1"/>
            <filter val="day-8"/>
            <filter val="day-7"/>
            <filter val="day-1"/>
          </filters>
        </filterColumn>
      </autoFilter>
    </customSheetView>
    <customSheetView guid="{7114D13A-8790-4B2D-8534-441FDE4A663B}" filter="1" showAutoFilter="1">
      <autoFilter ref="$A$1:$M$939">
        <filterColumn colId="0">
          <filters>
            <filter val="affluence"/>
            <filter val="psychographic_segment"/>
          </filters>
        </filterColumn>
      </autoFilter>
    </customSheetView>
  </customSheetViews>
  <conditionalFormatting sqref="A1 B1">
    <cfRule type="expression" dxfId="0" priority="1">
      <formula>if(countif(A:A,A1)&gt;1,1,0)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43"/>
    <col customWidth="1" min="2" max="3" width="16.29"/>
    <col customWidth="1" min="4" max="4" width="76.14"/>
    <col customWidth="1" min="7" max="7" width="38.14"/>
    <col customWidth="1" min="12" max="12" width="13.29"/>
    <col customWidth="1" min="14" max="14" width="30.71"/>
  </cols>
  <sheetData>
    <row r="1">
      <c r="A1" s="259" t="s">
        <v>69</v>
      </c>
      <c r="B1" s="259" t="s">
        <v>63</v>
      </c>
      <c r="C1" s="259" t="s">
        <v>1758</v>
      </c>
      <c r="D1" s="260" t="s">
        <v>71</v>
      </c>
      <c r="E1" s="260" t="s">
        <v>679</v>
      </c>
      <c r="F1" s="259" t="s">
        <v>680</v>
      </c>
      <c r="G1" s="260" t="s">
        <v>73</v>
      </c>
      <c r="H1" s="260" t="s">
        <v>74</v>
      </c>
      <c r="I1" s="260" t="s">
        <v>76</v>
      </c>
      <c r="J1" s="260" t="s">
        <v>77</v>
      </c>
      <c r="K1" s="259" t="s">
        <v>681</v>
      </c>
      <c r="L1" s="259" t="s">
        <v>683</v>
      </c>
      <c r="M1" s="260" t="s">
        <v>36</v>
      </c>
      <c r="N1" s="261" t="s">
        <v>38</v>
      </c>
    </row>
    <row r="2">
      <c r="A2" s="262" t="s">
        <v>2255</v>
      </c>
      <c r="B2" s="263" t="s">
        <v>66</v>
      </c>
      <c r="C2" s="264" t="s">
        <v>66</v>
      </c>
      <c r="D2" s="264" t="s">
        <v>2256</v>
      </c>
      <c r="E2" s="262" t="s">
        <v>83</v>
      </c>
      <c r="F2" s="262" t="s">
        <v>1306</v>
      </c>
      <c r="G2" s="265" t="s">
        <v>393</v>
      </c>
      <c r="H2" s="262" t="s">
        <v>3229</v>
      </c>
      <c r="I2" s="262" t="s">
        <v>2257</v>
      </c>
      <c r="J2" s="262" t="s">
        <v>3583</v>
      </c>
      <c r="K2" s="262" t="s">
        <v>749</v>
      </c>
      <c r="L2" s="262" t="s">
        <v>3584</v>
      </c>
      <c r="M2" s="262" t="s">
        <v>736</v>
      </c>
      <c r="N2" s="262" t="s">
        <v>1925</v>
      </c>
    </row>
    <row r="3">
      <c r="A3" s="262" t="s">
        <v>3585</v>
      </c>
      <c r="B3" s="263" t="s">
        <v>66</v>
      </c>
      <c r="C3" s="264" t="s">
        <v>66</v>
      </c>
      <c r="D3" s="264" t="s">
        <v>3586</v>
      </c>
      <c r="E3" s="262" t="s">
        <v>83</v>
      </c>
      <c r="F3" s="262" t="s">
        <v>1709</v>
      </c>
      <c r="G3" s="265">
        <v>999.0</v>
      </c>
      <c r="H3" s="262" t="s">
        <v>3229</v>
      </c>
      <c r="I3" s="262" t="s">
        <v>2257</v>
      </c>
      <c r="J3" s="262" t="s">
        <v>3583</v>
      </c>
      <c r="K3" s="262" t="s">
        <v>749</v>
      </c>
      <c r="L3" s="262" t="s">
        <v>3584</v>
      </c>
      <c r="M3" s="262" t="s">
        <v>736</v>
      </c>
      <c r="N3" s="262" t="s">
        <v>3587</v>
      </c>
    </row>
    <row r="4">
      <c r="A4" s="262" t="s">
        <v>3588</v>
      </c>
      <c r="B4" s="263" t="s">
        <v>66</v>
      </c>
      <c r="C4" s="264" t="s">
        <v>66</v>
      </c>
      <c r="D4" s="264" t="s">
        <v>3589</v>
      </c>
      <c r="E4" s="262" t="s">
        <v>83</v>
      </c>
      <c r="F4" s="262" t="s">
        <v>1183</v>
      </c>
      <c r="G4" s="265">
        <v>999.0</v>
      </c>
      <c r="H4" s="262" t="s">
        <v>3229</v>
      </c>
      <c r="I4" s="262" t="s">
        <v>2257</v>
      </c>
      <c r="J4" s="262" t="s">
        <v>3583</v>
      </c>
      <c r="K4" s="262" t="s">
        <v>749</v>
      </c>
      <c r="L4" s="262" t="s">
        <v>3584</v>
      </c>
      <c r="M4" s="262" t="s">
        <v>736</v>
      </c>
      <c r="N4" s="262" t="s">
        <v>3590</v>
      </c>
    </row>
    <row r="5">
      <c r="A5" s="262" t="s">
        <v>3591</v>
      </c>
      <c r="B5" s="263" t="s">
        <v>66</v>
      </c>
      <c r="C5" s="264" t="s">
        <v>66</v>
      </c>
      <c r="D5" s="264" t="s">
        <v>3592</v>
      </c>
      <c r="E5" s="262" t="s">
        <v>83</v>
      </c>
      <c r="F5" s="262" t="s">
        <v>1183</v>
      </c>
      <c r="G5" s="265">
        <v>999.0</v>
      </c>
      <c r="H5" s="262" t="s">
        <v>3229</v>
      </c>
      <c r="I5" s="262" t="s">
        <v>2257</v>
      </c>
      <c r="J5" s="262" t="s">
        <v>3583</v>
      </c>
      <c r="K5" s="262" t="s">
        <v>749</v>
      </c>
      <c r="L5" s="262" t="s">
        <v>3584</v>
      </c>
      <c r="M5" s="262" t="s">
        <v>736</v>
      </c>
      <c r="N5" s="262" t="s">
        <v>3590</v>
      </c>
    </row>
    <row r="6">
      <c r="A6" s="262" t="s">
        <v>3593</v>
      </c>
      <c r="B6" s="263" t="s">
        <v>66</v>
      </c>
      <c r="C6" s="264" t="s">
        <v>66</v>
      </c>
      <c r="D6" s="264" t="s">
        <v>3594</v>
      </c>
      <c r="E6" s="262" t="s">
        <v>83</v>
      </c>
      <c r="F6" s="262" t="s">
        <v>1183</v>
      </c>
      <c r="G6" s="265">
        <v>999.0</v>
      </c>
      <c r="H6" s="262" t="s">
        <v>3229</v>
      </c>
      <c r="I6" s="262" t="s">
        <v>2257</v>
      </c>
      <c r="J6" s="262" t="s">
        <v>3583</v>
      </c>
      <c r="K6" s="262" t="s">
        <v>749</v>
      </c>
      <c r="L6" s="262" t="s">
        <v>3584</v>
      </c>
      <c r="M6" s="262" t="s">
        <v>736</v>
      </c>
      <c r="N6" s="262" t="s">
        <v>3590</v>
      </c>
    </row>
    <row r="7">
      <c r="A7" s="262" t="s">
        <v>3595</v>
      </c>
      <c r="B7" s="263" t="s">
        <v>66</v>
      </c>
      <c r="C7" s="264" t="s">
        <v>66</v>
      </c>
      <c r="D7" s="264" t="s">
        <v>3596</v>
      </c>
      <c r="E7" s="262" t="s">
        <v>83</v>
      </c>
      <c r="F7" s="262" t="s">
        <v>1709</v>
      </c>
      <c r="G7" s="265">
        <v>3.0</v>
      </c>
      <c r="H7" s="262" t="s">
        <v>3229</v>
      </c>
      <c r="I7" s="262" t="s">
        <v>2257</v>
      </c>
      <c r="J7" s="262" t="s">
        <v>3583</v>
      </c>
      <c r="K7" s="262" t="s">
        <v>749</v>
      </c>
      <c r="L7" s="262" t="s">
        <v>3584</v>
      </c>
      <c r="M7" s="262" t="s">
        <v>736</v>
      </c>
      <c r="N7" s="262" t="s">
        <v>3590</v>
      </c>
    </row>
    <row r="8">
      <c r="A8" s="262" t="s">
        <v>3597</v>
      </c>
      <c r="B8" s="263" t="s">
        <v>66</v>
      </c>
      <c r="C8" s="264" t="s">
        <v>66</v>
      </c>
      <c r="D8" s="264" t="s">
        <v>3598</v>
      </c>
      <c r="E8" s="262" t="s">
        <v>83</v>
      </c>
      <c r="F8" s="262" t="s">
        <v>1709</v>
      </c>
      <c r="G8" s="265">
        <v>3.0</v>
      </c>
      <c r="H8" s="262" t="s">
        <v>3229</v>
      </c>
      <c r="I8" s="262" t="s">
        <v>2257</v>
      </c>
      <c r="J8" s="262" t="s">
        <v>3583</v>
      </c>
      <c r="K8" s="262" t="s">
        <v>749</v>
      </c>
      <c r="L8" s="262" t="s">
        <v>3584</v>
      </c>
      <c r="M8" s="262" t="s">
        <v>736</v>
      </c>
      <c r="N8" s="262" t="s">
        <v>3590</v>
      </c>
    </row>
    <row r="9">
      <c r="A9" s="262" t="s">
        <v>3599</v>
      </c>
      <c r="B9" s="263" t="s">
        <v>66</v>
      </c>
      <c r="C9" s="264" t="s">
        <v>66</v>
      </c>
      <c r="D9" s="264" t="s">
        <v>3600</v>
      </c>
      <c r="E9" s="262" t="s">
        <v>83</v>
      </c>
      <c r="F9" s="262" t="s">
        <v>1709</v>
      </c>
      <c r="G9" s="265">
        <v>3.0</v>
      </c>
      <c r="H9" s="262" t="s">
        <v>3229</v>
      </c>
      <c r="I9" s="262" t="s">
        <v>2257</v>
      </c>
      <c r="J9" s="262" t="s">
        <v>3583</v>
      </c>
      <c r="K9" s="262" t="s">
        <v>749</v>
      </c>
      <c r="L9" s="262" t="s">
        <v>3584</v>
      </c>
      <c r="M9" s="262" t="s">
        <v>736</v>
      </c>
      <c r="N9" s="262" t="s">
        <v>3590</v>
      </c>
    </row>
    <row r="10">
      <c r="A10" s="262" t="s">
        <v>3601</v>
      </c>
      <c r="B10" s="266" t="s">
        <v>66</v>
      </c>
      <c r="C10" s="233" t="s">
        <v>66</v>
      </c>
      <c r="D10" s="264" t="s">
        <v>3602</v>
      </c>
      <c r="E10" s="262" t="s">
        <v>83</v>
      </c>
      <c r="F10" s="262" t="s">
        <v>1306</v>
      </c>
      <c r="G10" s="265" t="s">
        <v>3603</v>
      </c>
      <c r="H10" s="262" t="s">
        <v>3229</v>
      </c>
      <c r="I10" s="262" t="s">
        <v>2257</v>
      </c>
      <c r="J10" s="262" t="s">
        <v>3583</v>
      </c>
      <c r="K10" s="262" t="s">
        <v>749</v>
      </c>
      <c r="L10" s="262" t="s">
        <v>3584</v>
      </c>
      <c r="M10" s="262" t="s">
        <v>736</v>
      </c>
      <c r="N10" s="262" t="s">
        <v>1925</v>
      </c>
    </row>
    <row r="11">
      <c r="A11" s="262" t="s">
        <v>3604</v>
      </c>
      <c r="B11" s="263" t="s">
        <v>66</v>
      </c>
      <c r="C11" s="264" t="s">
        <v>66</v>
      </c>
      <c r="D11" s="264" t="s">
        <v>3605</v>
      </c>
      <c r="E11" s="262" t="s">
        <v>83</v>
      </c>
      <c r="F11" s="262" t="s">
        <v>1306</v>
      </c>
      <c r="G11" s="265">
        <v>44847.0</v>
      </c>
      <c r="H11" s="262" t="s">
        <v>3229</v>
      </c>
      <c r="I11" s="262" t="s">
        <v>2257</v>
      </c>
      <c r="J11" s="262" t="s">
        <v>3583</v>
      </c>
      <c r="K11" s="262" t="s">
        <v>749</v>
      </c>
      <c r="L11" s="262" t="s">
        <v>3584</v>
      </c>
      <c r="M11" s="262" t="s">
        <v>736</v>
      </c>
      <c r="N11" s="262" t="s">
        <v>1925</v>
      </c>
    </row>
    <row r="12">
      <c r="A12" s="262" t="s">
        <v>3606</v>
      </c>
      <c r="B12" s="266" t="s">
        <v>66</v>
      </c>
      <c r="C12" s="233" t="s">
        <v>66</v>
      </c>
      <c r="D12" s="264" t="s">
        <v>3607</v>
      </c>
      <c r="E12" s="262" t="s">
        <v>83</v>
      </c>
      <c r="F12" s="262" t="s">
        <v>1306</v>
      </c>
      <c r="G12" s="265">
        <v>33907.0</v>
      </c>
      <c r="H12" s="262" t="s">
        <v>3229</v>
      </c>
      <c r="I12" s="262" t="s">
        <v>2257</v>
      </c>
      <c r="J12" s="262" t="s">
        <v>3583</v>
      </c>
      <c r="K12" s="262" t="s">
        <v>749</v>
      </c>
      <c r="L12" s="262" t="s">
        <v>3584</v>
      </c>
      <c r="M12" s="262" t="s">
        <v>736</v>
      </c>
      <c r="N12" s="262" t="s">
        <v>1925</v>
      </c>
    </row>
    <row r="13">
      <c r="A13" s="262" t="s">
        <v>3608</v>
      </c>
      <c r="B13" s="263" t="s">
        <v>66</v>
      </c>
      <c r="C13" s="264" t="s">
        <v>66</v>
      </c>
      <c r="D13" s="264" t="s">
        <v>3609</v>
      </c>
      <c r="E13" s="262" t="s">
        <v>83</v>
      </c>
      <c r="F13" s="262" t="s">
        <v>1306</v>
      </c>
      <c r="G13" s="265">
        <v>9.0</v>
      </c>
      <c r="H13" s="262" t="s">
        <v>3229</v>
      </c>
      <c r="I13" s="262" t="s">
        <v>2257</v>
      </c>
      <c r="J13" s="262" t="s">
        <v>3583</v>
      </c>
      <c r="K13" s="262" t="s">
        <v>749</v>
      </c>
      <c r="L13" s="262" t="s">
        <v>3584</v>
      </c>
      <c r="M13" s="262" t="s">
        <v>736</v>
      </c>
      <c r="N13" s="262" t="s">
        <v>3610</v>
      </c>
    </row>
    <row r="14">
      <c r="A14" s="262" t="s">
        <v>3611</v>
      </c>
      <c r="B14" s="263" t="s">
        <v>66</v>
      </c>
      <c r="C14" s="264" t="s">
        <v>66</v>
      </c>
      <c r="D14" s="264" t="s">
        <v>3612</v>
      </c>
      <c r="E14" s="262" t="s">
        <v>83</v>
      </c>
      <c r="F14" s="262" t="s">
        <v>1183</v>
      </c>
      <c r="G14" s="265">
        <v>999.0</v>
      </c>
      <c r="H14" s="262" t="s">
        <v>3229</v>
      </c>
      <c r="I14" s="262" t="s">
        <v>2257</v>
      </c>
      <c r="J14" s="262" t="s">
        <v>3583</v>
      </c>
      <c r="K14" s="262" t="s">
        <v>749</v>
      </c>
      <c r="L14" s="262" t="s">
        <v>3584</v>
      </c>
      <c r="M14" s="262" t="s">
        <v>736</v>
      </c>
      <c r="N14" s="262" t="s">
        <v>3613</v>
      </c>
    </row>
    <row r="15">
      <c r="A15" s="262" t="s">
        <v>3614</v>
      </c>
      <c r="B15" s="263" t="s">
        <v>66</v>
      </c>
      <c r="C15" s="264" t="s">
        <v>66</v>
      </c>
      <c r="D15" s="264" t="s">
        <v>3615</v>
      </c>
      <c r="E15" s="262" t="s">
        <v>83</v>
      </c>
      <c r="F15" s="262" t="s">
        <v>1709</v>
      </c>
      <c r="G15" s="265">
        <v>350.0</v>
      </c>
      <c r="H15" s="262" t="s">
        <v>3229</v>
      </c>
      <c r="I15" s="262" t="s">
        <v>2257</v>
      </c>
      <c r="J15" s="262" t="s">
        <v>3583</v>
      </c>
      <c r="K15" s="262" t="s">
        <v>749</v>
      </c>
      <c r="L15" s="262" t="s">
        <v>3584</v>
      </c>
      <c r="M15" s="262" t="s">
        <v>736</v>
      </c>
      <c r="N15" s="262" t="s">
        <v>3616</v>
      </c>
    </row>
    <row r="16">
      <c r="A16" s="262" t="s">
        <v>3617</v>
      </c>
      <c r="B16" s="263" t="s">
        <v>66</v>
      </c>
      <c r="C16" s="264" t="s">
        <v>66</v>
      </c>
      <c r="D16" s="264" t="s">
        <v>3618</v>
      </c>
      <c r="E16" s="262" t="s">
        <v>83</v>
      </c>
      <c r="F16" s="262" t="s">
        <v>1709</v>
      </c>
      <c r="G16" s="265">
        <v>200.0</v>
      </c>
      <c r="H16" s="262" t="s">
        <v>3229</v>
      </c>
      <c r="I16" s="262" t="s">
        <v>2257</v>
      </c>
      <c r="J16" s="262" t="s">
        <v>3583</v>
      </c>
      <c r="K16" s="262" t="s">
        <v>749</v>
      </c>
      <c r="L16" s="262" t="s">
        <v>3584</v>
      </c>
      <c r="M16" s="262" t="s">
        <v>736</v>
      </c>
      <c r="N16" s="262" t="s">
        <v>3616</v>
      </c>
    </row>
    <row r="17">
      <c r="A17" s="262" t="s">
        <v>3619</v>
      </c>
      <c r="B17" s="263" t="s">
        <v>66</v>
      </c>
      <c r="C17" s="264" t="s">
        <v>66</v>
      </c>
      <c r="D17" s="264" t="s">
        <v>3620</v>
      </c>
      <c r="E17" s="262" t="s">
        <v>83</v>
      </c>
      <c r="F17" s="262" t="s">
        <v>1183</v>
      </c>
      <c r="G17" s="265">
        <v>999.0</v>
      </c>
      <c r="H17" s="262" t="s">
        <v>3229</v>
      </c>
      <c r="I17" s="262" t="s">
        <v>2257</v>
      </c>
      <c r="J17" s="262" t="s">
        <v>3583</v>
      </c>
      <c r="K17" s="262" t="s">
        <v>749</v>
      </c>
      <c r="L17" s="262" t="s">
        <v>3584</v>
      </c>
      <c r="M17" s="262" t="s">
        <v>736</v>
      </c>
      <c r="N17" s="262" t="s">
        <v>3621</v>
      </c>
    </row>
    <row r="18">
      <c r="A18" s="262" t="s">
        <v>3622</v>
      </c>
      <c r="B18" s="263" t="s">
        <v>66</v>
      </c>
      <c r="C18" s="264" t="s">
        <v>66</v>
      </c>
      <c r="D18" s="264" t="s">
        <v>3623</v>
      </c>
      <c r="E18" s="262" t="s">
        <v>83</v>
      </c>
      <c r="F18" s="262" t="s">
        <v>1709</v>
      </c>
      <c r="G18" s="265">
        <v>60.0</v>
      </c>
      <c r="H18" s="262" t="s">
        <v>3229</v>
      </c>
      <c r="I18" s="262" t="s">
        <v>2257</v>
      </c>
      <c r="J18" s="262" t="s">
        <v>3583</v>
      </c>
      <c r="K18" s="262" t="s">
        <v>749</v>
      </c>
      <c r="L18" s="262" t="s">
        <v>3584</v>
      </c>
      <c r="M18" s="262" t="s">
        <v>736</v>
      </c>
      <c r="N18" s="262" t="s">
        <v>3624</v>
      </c>
    </row>
    <row r="19">
      <c r="A19" s="262" t="s">
        <v>3625</v>
      </c>
      <c r="B19" s="263" t="s">
        <v>66</v>
      </c>
      <c r="C19" s="264" t="s">
        <v>66</v>
      </c>
      <c r="D19" s="264" t="s">
        <v>3626</v>
      </c>
      <c r="E19" s="262" t="s">
        <v>83</v>
      </c>
      <c r="F19" s="262" t="s">
        <v>1183</v>
      </c>
      <c r="G19" s="265">
        <v>60.0</v>
      </c>
      <c r="H19" s="262" t="s">
        <v>3229</v>
      </c>
      <c r="I19" s="262" t="s">
        <v>2257</v>
      </c>
      <c r="J19" s="262" t="s">
        <v>3583</v>
      </c>
      <c r="K19" s="262" t="s">
        <v>749</v>
      </c>
      <c r="L19" s="262" t="s">
        <v>3584</v>
      </c>
      <c r="M19" s="262" t="s">
        <v>736</v>
      </c>
      <c r="N19" s="262" t="s">
        <v>3624</v>
      </c>
    </row>
    <row r="20">
      <c r="A20" s="262" t="s">
        <v>3627</v>
      </c>
      <c r="B20" s="263" t="s">
        <v>66</v>
      </c>
      <c r="C20" s="264" t="s">
        <v>66</v>
      </c>
      <c r="D20" s="264" t="s">
        <v>3628</v>
      </c>
      <c r="E20" s="262" t="s">
        <v>83</v>
      </c>
      <c r="F20" s="262" t="s">
        <v>1709</v>
      </c>
      <c r="G20" s="265">
        <v>60.0</v>
      </c>
      <c r="H20" s="262" t="s">
        <v>3229</v>
      </c>
      <c r="I20" s="262" t="s">
        <v>2257</v>
      </c>
      <c r="J20" s="262" t="s">
        <v>3583</v>
      </c>
      <c r="K20" s="262" t="s">
        <v>749</v>
      </c>
      <c r="L20" s="262" t="s">
        <v>3584</v>
      </c>
      <c r="M20" s="262" t="s">
        <v>736</v>
      </c>
      <c r="N20" s="262" t="s">
        <v>3624</v>
      </c>
    </row>
    <row r="21">
      <c r="A21" s="262" t="s">
        <v>3629</v>
      </c>
      <c r="B21" s="263" t="s">
        <v>66</v>
      </c>
      <c r="C21" s="264" t="s">
        <v>66</v>
      </c>
      <c r="D21" s="264" t="s">
        <v>3630</v>
      </c>
      <c r="E21" s="262" t="s">
        <v>83</v>
      </c>
      <c r="F21" s="262" t="s">
        <v>3631</v>
      </c>
      <c r="G21" s="265">
        <v>1.0</v>
      </c>
      <c r="H21" s="262" t="s">
        <v>3229</v>
      </c>
      <c r="I21" s="262" t="s">
        <v>2257</v>
      </c>
      <c r="J21" s="262" t="s">
        <v>3583</v>
      </c>
      <c r="K21" s="262" t="s">
        <v>749</v>
      </c>
      <c r="L21" s="262" t="s">
        <v>3584</v>
      </c>
      <c r="M21" s="262" t="s">
        <v>736</v>
      </c>
      <c r="N21" s="262" t="s">
        <v>3590</v>
      </c>
    </row>
    <row r="22">
      <c r="A22" s="262" t="s">
        <v>3632</v>
      </c>
      <c r="B22" s="263" t="s">
        <v>66</v>
      </c>
      <c r="C22" s="264" t="s">
        <v>66</v>
      </c>
      <c r="D22" s="264" t="s">
        <v>3633</v>
      </c>
      <c r="E22" s="262" t="s">
        <v>83</v>
      </c>
      <c r="F22" s="262" t="s">
        <v>698</v>
      </c>
      <c r="G22" s="265">
        <v>44847.0</v>
      </c>
      <c r="H22" s="262" t="s">
        <v>3229</v>
      </c>
      <c r="I22" s="262" t="s">
        <v>2257</v>
      </c>
      <c r="J22" s="262" t="s">
        <v>3583</v>
      </c>
      <c r="K22" s="262" t="s">
        <v>749</v>
      </c>
      <c r="L22" s="262" t="s">
        <v>3584</v>
      </c>
      <c r="M22" s="262" t="s">
        <v>736</v>
      </c>
      <c r="N22" s="262" t="s">
        <v>1925</v>
      </c>
    </row>
    <row r="23">
      <c r="A23" s="262" t="s">
        <v>3634</v>
      </c>
      <c r="B23" s="263" t="s">
        <v>66</v>
      </c>
      <c r="C23" s="264" t="s">
        <v>66</v>
      </c>
      <c r="D23" s="264" t="s">
        <v>3635</v>
      </c>
      <c r="E23" s="262" t="s">
        <v>83</v>
      </c>
      <c r="F23" s="262" t="s">
        <v>3631</v>
      </c>
      <c r="G23" s="265">
        <v>1.0</v>
      </c>
      <c r="H23" s="262" t="s">
        <v>3229</v>
      </c>
      <c r="I23" s="262" t="s">
        <v>2257</v>
      </c>
      <c r="J23" s="262" t="s">
        <v>3583</v>
      </c>
      <c r="K23" s="262" t="s">
        <v>749</v>
      </c>
      <c r="L23" s="262" t="s">
        <v>3584</v>
      </c>
      <c r="M23" s="262" t="s">
        <v>736</v>
      </c>
      <c r="N23" s="262" t="s">
        <v>3590</v>
      </c>
    </row>
    <row r="24">
      <c r="A24" s="262" t="s">
        <v>3636</v>
      </c>
      <c r="B24" s="263" t="s">
        <v>66</v>
      </c>
      <c r="C24" s="264" t="s">
        <v>66</v>
      </c>
      <c r="D24" s="264" t="s">
        <v>3637</v>
      </c>
      <c r="E24" s="262" t="s">
        <v>83</v>
      </c>
      <c r="F24" s="262" t="s">
        <v>3631</v>
      </c>
      <c r="G24" s="265">
        <v>1.0</v>
      </c>
      <c r="H24" s="262" t="s">
        <v>3229</v>
      </c>
      <c r="I24" s="262" t="s">
        <v>2257</v>
      </c>
      <c r="J24" s="262" t="s">
        <v>3583</v>
      </c>
      <c r="K24" s="262" t="s">
        <v>749</v>
      </c>
      <c r="L24" s="262" t="s">
        <v>3584</v>
      </c>
      <c r="M24" s="262" t="s">
        <v>736</v>
      </c>
      <c r="N24" s="262" t="s">
        <v>3590</v>
      </c>
    </row>
    <row r="25">
      <c r="A25" s="262" t="s">
        <v>3638</v>
      </c>
      <c r="B25" s="263" t="s">
        <v>66</v>
      </c>
      <c r="C25" s="264" t="s">
        <v>66</v>
      </c>
      <c r="D25" s="264" t="s">
        <v>3639</v>
      </c>
      <c r="E25" s="262" t="s">
        <v>83</v>
      </c>
      <c r="F25" s="262" t="s">
        <v>3631</v>
      </c>
      <c r="G25" s="265">
        <v>1.0</v>
      </c>
      <c r="H25" s="262" t="s">
        <v>3229</v>
      </c>
      <c r="I25" s="262" t="s">
        <v>2257</v>
      </c>
      <c r="J25" s="262" t="s">
        <v>3583</v>
      </c>
      <c r="K25" s="262" t="s">
        <v>749</v>
      </c>
      <c r="L25" s="262" t="s">
        <v>3584</v>
      </c>
      <c r="M25" s="262" t="s">
        <v>736</v>
      </c>
      <c r="N25" s="262" t="s">
        <v>3590</v>
      </c>
    </row>
    <row r="26">
      <c r="A26" s="262" t="s">
        <v>3227</v>
      </c>
      <c r="B26" s="263" t="s">
        <v>66</v>
      </c>
      <c r="C26" s="267" t="s">
        <v>66</v>
      </c>
      <c r="D26" s="267" t="s">
        <v>3228</v>
      </c>
      <c r="E26" s="262" t="s">
        <v>83</v>
      </c>
      <c r="F26" s="262" t="s">
        <v>1313</v>
      </c>
      <c r="G26" s="265" t="s">
        <v>3640</v>
      </c>
      <c r="H26" s="262" t="s">
        <v>3229</v>
      </c>
      <c r="I26" s="262" t="s">
        <v>2257</v>
      </c>
      <c r="J26" s="262" t="s">
        <v>3230</v>
      </c>
      <c r="K26" s="262" t="s">
        <v>749</v>
      </c>
      <c r="L26" s="262" t="s">
        <v>3584</v>
      </c>
      <c r="M26" s="263" t="s">
        <v>3641</v>
      </c>
      <c r="N26" s="263" t="s">
        <v>3642</v>
      </c>
    </row>
    <row r="27">
      <c r="A27" s="262" t="s">
        <v>3643</v>
      </c>
      <c r="B27" s="263" t="s">
        <v>66</v>
      </c>
      <c r="C27" s="267" t="s">
        <v>66</v>
      </c>
      <c r="D27" s="268" t="s">
        <v>3644</v>
      </c>
      <c r="E27" s="262" t="s">
        <v>83</v>
      </c>
      <c r="F27" s="262" t="s">
        <v>1313</v>
      </c>
      <c r="G27" s="269" t="s">
        <v>3645</v>
      </c>
      <c r="H27" s="262" t="s">
        <v>3229</v>
      </c>
      <c r="I27" s="262" t="s">
        <v>2257</v>
      </c>
      <c r="J27" s="270" t="s">
        <v>3230</v>
      </c>
      <c r="K27" s="262" t="s">
        <v>749</v>
      </c>
      <c r="L27" s="262" t="s">
        <v>3584</v>
      </c>
      <c r="M27" s="262" t="s">
        <v>736</v>
      </c>
      <c r="N27" s="262" t="s">
        <v>3646</v>
      </c>
    </row>
    <row r="28">
      <c r="A28" s="262" t="s">
        <v>420</v>
      </c>
      <c r="B28" s="263" t="s">
        <v>66</v>
      </c>
      <c r="C28" s="267" t="s">
        <v>66</v>
      </c>
      <c r="D28" s="268" t="s">
        <v>3647</v>
      </c>
      <c r="E28" s="262" t="s">
        <v>83</v>
      </c>
      <c r="F28" s="262" t="s">
        <v>1313</v>
      </c>
      <c r="G28" s="269" t="s">
        <v>1997</v>
      </c>
      <c r="H28" s="262" t="s">
        <v>3229</v>
      </c>
      <c r="I28" s="262" t="s">
        <v>2257</v>
      </c>
      <c r="J28" s="270" t="s">
        <v>3230</v>
      </c>
      <c r="K28" s="262" t="s">
        <v>749</v>
      </c>
      <c r="L28" s="262" t="s">
        <v>3584</v>
      </c>
      <c r="M28" s="262" t="s">
        <v>736</v>
      </c>
      <c r="N28" s="263" t="s">
        <v>3642</v>
      </c>
    </row>
    <row r="29">
      <c r="A29" s="262" t="s">
        <v>3648</v>
      </c>
      <c r="B29" s="263" t="s">
        <v>66</v>
      </c>
      <c r="C29" s="267" t="s">
        <v>66</v>
      </c>
      <c r="D29" s="268" t="s">
        <v>3649</v>
      </c>
      <c r="E29" s="262" t="s">
        <v>83</v>
      </c>
      <c r="F29" s="262" t="s">
        <v>1313</v>
      </c>
      <c r="G29" s="269">
        <v>1.0000006E7</v>
      </c>
      <c r="H29" s="262" t="s">
        <v>3229</v>
      </c>
      <c r="I29" s="262" t="s">
        <v>2257</v>
      </c>
      <c r="J29" s="270" t="s">
        <v>3230</v>
      </c>
      <c r="K29" s="262" t="s">
        <v>749</v>
      </c>
      <c r="L29" s="262" t="s">
        <v>3584</v>
      </c>
      <c r="M29" s="262" t="s">
        <v>736</v>
      </c>
      <c r="N29" s="262" t="s">
        <v>3646</v>
      </c>
    </row>
    <row r="30">
      <c r="A30" s="262" t="s">
        <v>88</v>
      </c>
      <c r="B30" s="263" t="s">
        <v>66</v>
      </c>
      <c r="C30" s="263" t="s">
        <v>66</v>
      </c>
      <c r="D30" s="262" t="s">
        <v>684</v>
      </c>
      <c r="E30" s="262" t="s">
        <v>83</v>
      </c>
      <c r="F30" s="268" t="s">
        <v>1761</v>
      </c>
      <c r="G30" s="269">
        <v>5496688.0</v>
      </c>
      <c r="H30" s="262" t="s">
        <v>1762</v>
      </c>
      <c r="I30" s="269" t="s">
        <v>91</v>
      </c>
      <c r="J30" s="262" t="s">
        <v>91</v>
      </c>
      <c r="K30" s="262" t="s">
        <v>687</v>
      </c>
      <c r="L30" s="270" t="s">
        <v>1763</v>
      </c>
      <c r="M30" s="262" t="s">
        <v>736</v>
      </c>
      <c r="N30" s="263" t="s">
        <v>3642</v>
      </c>
    </row>
    <row r="31">
      <c r="A31" s="182" t="s">
        <v>79</v>
      </c>
      <c r="B31" s="203" t="s">
        <v>66</v>
      </c>
      <c r="C31" s="173" t="s">
        <v>66</v>
      </c>
      <c r="D31" s="173" t="s">
        <v>1766</v>
      </c>
      <c r="E31" s="262" t="s">
        <v>185</v>
      </c>
      <c r="F31" s="262" t="s">
        <v>1761</v>
      </c>
      <c r="G31" s="262" t="s">
        <v>1767</v>
      </c>
      <c r="H31" s="262" t="s">
        <v>84</v>
      </c>
      <c r="I31" s="268" t="s">
        <v>91</v>
      </c>
      <c r="J31" s="269" t="s">
        <v>91</v>
      </c>
      <c r="K31" s="262" t="s">
        <v>687</v>
      </c>
      <c r="L31" s="270" t="s">
        <v>1763</v>
      </c>
      <c r="M31" s="267" t="s">
        <v>1764</v>
      </c>
      <c r="N31" s="263" t="s">
        <v>1925</v>
      </c>
    </row>
    <row r="32">
      <c r="A32" s="182" t="s">
        <v>1409</v>
      </c>
      <c r="B32" s="203" t="s">
        <v>66</v>
      </c>
      <c r="C32" s="182" t="s">
        <v>66</v>
      </c>
      <c r="D32" s="182" t="s">
        <v>1924</v>
      </c>
      <c r="E32" s="241" t="s">
        <v>83</v>
      </c>
      <c r="F32" s="173" t="s">
        <v>713</v>
      </c>
      <c r="G32" s="262">
        <v>15.0</v>
      </c>
      <c r="H32" s="268" t="s">
        <v>1389</v>
      </c>
      <c r="I32" s="268" t="s">
        <v>1389</v>
      </c>
      <c r="J32" s="271" t="s">
        <v>1389</v>
      </c>
      <c r="K32" s="262" t="s">
        <v>687</v>
      </c>
      <c r="L32" s="270" t="s">
        <v>1791</v>
      </c>
      <c r="M32" s="267" t="s">
        <v>1787</v>
      </c>
      <c r="N32" s="263" t="s">
        <v>1925</v>
      </c>
    </row>
  </sheetData>
  <autoFilter ref="$A$1:$N$32"/>
  <customSheetViews>
    <customSheetView guid="{BCD54235-CCFD-4740-BCA2-6B2493B68D17}" filter="1" showAutoFilter="1">
      <autoFilter ref="$A$1:$N$32"/>
    </customSheetView>
    <customSheetView guid="{2998B474-13BD-47CC-90E7-D8162D7A4903}" filter="1" showAutoFilter="1">
      <autoFilter ref="$A$1:$N$999"/>
    </customSheetView>
  </customSheetViews>
  <conditionalFormatting sqref="A1:B1 A31:A32 C32:D32">
    <cfRule type="expression" dxfId="0" priority="1">
      <formula>if(countif(A:A,A1)&gt;1,1,0)</formula>
    </cfRule>
  </conditionalFormatting>
  <printOptions gridLines="1" horizontalCentered="1"/>
  <pageMargins bottom="0.75" footer="0.0" header="0.0" left="0.7" right="0.7" top="0.75"/>
  <pageSetup fitToHeight="0" paperSize="14" cellComments="atEnd" orientation="landscape" pageOrder="overThenDown"/>
  <drawing r:id="rId1"/>
</worksheet>
</file>