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Y\OneDrive\Desktop\"/>
    </mc:Choice>
  </mc:AlternateContent>
  <bookViews>
    <workbookView xWindow="0" yWindow="0" windowWidth="21600" windowHeight="9210"/>
  </bookViews>
  <sheets>
    <sheet name="PERSONAL BUDGET" sheetId="1" r:id="rId1"/>
  </sheets>
  <definedNames>
    <definedName name="LastCol">COUNTA('PERSONAL BUDGET'!$4:$4)+1</definedName>
    <definedName name="PrintArea_SET">OFFSET('PERSONAL BUDGET'!$C$2,,,MATCH(REPT("z",255),'PERSONAL BUDGET'!$C:$C),LastCol)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P19" i="1"/>
  <c r="P16" i="1"/>
  <c r="P18" i="1"/>
  <c r="P17" i="1"/>
  <c r="E126" i="1" l="1"/>
  <c r="F126" i="1"/>
  <c r="G126" i="1"/>
  <c r="H126" i="1"/>
  <c r="I126" i="1"/>
  <c r="J126" i="1"/>
  <c r="K126" i="1"/>
  <c r="L126" i="1"/>
  <c r="M126" i="1"/>
  <c r="N126" i="1"/>
  <c r="O126" i="1"/>
  <c r="D126" i="1"/>
  <c r="E116" i="1"/>
  <c r="F116" i="1"/>
  <c r="G116" i="1"/>
  <c r="H116" i="1"/>
  <c r="I116" i="1"/>
  <c r="J116" i="1"/>
  <c r="K116" i="1"/>
  <c r="L116" i="1"/>
  <c r="M116" i="1"/>
  <c r="N116" i="1"/>
  <c r="O116" i="1"/>
  <c r="D116" i="1"/>
  <c r="E106" i="1"/>
  <c r="F106" i="1"/>
  <c r="G106" i="1"/>
  <c r="H106" i="1"/>
  <c r="I106" i="1"/>
  <c r="J106" i="1"/>
  <c r="K106" i="1"/>
  <c r="L106" i="1"/>
  <c r="M106" i="1"/>
  <c r="N106" i="1"/>
  <c r="O106" i="1"/>
  <c r="D106" i="1"/>
  <c r="E96" i="1"/>
  <c r="F96" i="1"/>
  <c r="G96" i="1"/>
  <c r="H96" i="1"/>
  <c r="I96" i="1"/>
  <c r="J96" i="1"/>
  <c r="K96" i="1"/>
  <c r="L96" i="1"/>
  <c r="M96" i="1"/>
  <c r="N96" i="1"/>
  <c r="O96" i="1"/>
  <c r="D96" i="1"/>
  <c r="E84" i="1"/>
  <c r="F84" i="1"/>
  <c r="G84" i="1"/>
  <c r="H84" i="1"/>
  <c r="I84" i="1"/>
  <c r="J84" i="1"/>
  <c r="K84" i="1"/>
  <c r="L84" i="1"/>
  <c r="M84" i="1"/>
  <c r="N84" i="1"/>
  <c r="O84" i="1"/>
  <c r="D84" i="1"/>
  <c r="E75" i="1"/>
  <c r="F75" i="1"/>
  <c r="G75" i="1"/>
  <c r="H75" i="1"/>
  <c r="I75" i="1"/>
  <c r="J75" i="1"/>
  <c r="K75" i="1"/>
  <c r="L75" i="1"/>
  <c r="M75" i="1"/>
  <c r="N75" i="1"/>
  <c r="O75" i="1"/>
  <c r="D75" i="1"/>
  <c r="E64" i="1"/>
  <c r="F64" i="1"/>
  <c r="G64" i="1"/>
  <c r="H64" i="1"/>
  <c r="I64" i="1"/>
  <c r="J64" i="1"/>
  <c r="K64" i="1"/>
  <c r="L64" i="1"/>
  <c r="M64" i="1"/>
  <c r="N64" i="1"/>
  <c r="O64" i="1"/>
  <c r="D64" i="1"/>
  <c r="P122" i="1"/>
  <c r="P123" i="1"/>
  <c r="P124" i="1"/>
  <c r="P125" i="1"/>
  <c r="P121" i="1"/>
  <c r="P112" i="1"/>
  <c r="P113" i="1"/>
  <c r="P114" i="1"/>
  <c r="P115" i="1"/>
  <c r="P111" i="1"/>
  <c r="P102" i="1"/>
  <c r="P103" i="1"/>
  <c r="P104" i="1"/>
  <c r="P105" i="1"/>
  <c r="P101" i="1"/>
  <c r="P90" i="1"/>
  <c r="P91" i="1"/>
  <c r="P92" i="1"/>
  <c r="P93" i="1"/>
  <c r="P94" i="1"/>
  <c r="P95" i="1"/>
  <c r="P89" i="1"/>
  <c r="P81" i="1"/>
  <c r="P82" i="1"/>
  <c r="P83" i="1"/>
  <c r="P80" i="1"/>
  <c r="P70" i="1"/>
  <c r="P71" i="1"/>
  <c r="P72" i="1"/>
  <c r="P73" i="1"/>
  <c r="P74" i="1"/>
  <c r="P69" i="1"/>
  <c r="P58" i="1"/>
  <c r="P59" i="1"/>
  <c r="P60" i="1"/>
  <c r="P61" i="1"/>
  <c r="P62" i="1"/>
  <c r="P63" i="1"/>
  <c r="P57" i="1"/>
  <c r="E52" i="1"/>
  <c r="F52" i="1"/>
  <c r="G52" i="1"/>
  <c r="H52" i="1"/>
  <c r="I52" i="1"/>
  <c r="J52" i="1"/>
  <c r="K52" i="1"/>
  <c r="L52" i="1"/>
  <c r="M52" i="1"/>
  <c r="N52" i="1"/>
  <c r="O52" i="1"/>
  <c r="D52" i="1"/>
  <c r="P49" i="1"/>
  <c r="P50" i="1"/>
  <c r="P51" i="1"/>
  <c r="P48" i="1"/>
  <c r="E43" i="1"/>
  <c r="F43" i="1"/>
  <c r="G43" i="1"/>
  <c r="H43" i="1"/>
  <c r="I43" i="1"/>
  <c r="J43" i="1"/>
  <c r="K43" i="1"/>
  <c r="L43" i="1"/>
  <c r="M43" i="1"/>
  <c r="N43" i="1"/>
  <c r="O43" i="1"/>
  <c r="D43" i="1"/>
  <c r="P38" i="1"/>
  <c r="P39" i="1"/>
  <c r="P40" i="1"/>
  <c r="P41" i="1"/>
  <c r="P42" i="1"/>
  <c r="P37" i="1"/>
  <c r="E32" i="1"/>
  <c r="F32" i="1"/>
  <c r="G32" i="1"/>
  <c r="H32" i="1"/>
  <c r="I32" i="1"/>
  <c r="J32" i="1"/>
  <c r="K32" i="1"/>
  <c r="L32" i="1"/>
  <c r="M32" i="1"/>
  <c r="N32" i="1"/>
  <c r="O32" i="1"/>
  <c r="D32" i="1"/>
  <c r="P27" i="1"/>
  <c r="P28" i="1"/>
  <c r="P29" i="1"/>
  <c r="P30" i="1"/>
  <c r="P31" i="1"/>
  <c r="P26" i="1"/>
  <c r="E21" i="1"/>
  <c r="F21" i="1"/>
  <c r="G21" i="1"/>
  <c r="H21" i="1"/>
  <c r="I21" i="1"/>
  <c r="J21" i="1"/>
  <c r="K21" i="1"/>
  <c r="L21" i="1"/>
  <c r="M21" i="1"/>
  <c r="N21" i="1"/>
  <c r="O21" i="1"/>
  <c r="D21" i="1"/>
  <c r="P52" i="1" l="1"/>
  <c r="P116" i="1"/>
  <c r="P106" i="1"/>
  <c r="P96" i="1"/>
  <c r="P84" i="1"/>
  <c r="P75" i="1"/>
  <c r="P64" i="1"/>
  <c r="L130" i="1"/>
  <c r="P43" i="1"/>
  <c r="P32" i="1"/>
  <c r="P21" i="1"/>
  <c r="K130" i="1"/>
  <c r="J130" i="1"/>
  <c r="I130" i="1"/>
  <c r="D130" i="1"/>
  <c r="H130" i="1"/>
  <c r="O130" i="1"/>
  <c r="N130" i="1"/>
  <c r="M130" i="1"/>
  <c r="E130" i="1"/>
  <c r="G130" i="1"/>
  <c r="F130" i="1"/>
  <c r="P126" i="1"/>
  <c r="O10" i="1"/>
  <c r="G10" i="1"/>
  <c r="L10" i="1"/>
  <c r="N10" i="1"/>
  <c r="F10" i="1"/>
  <c r="E10" i="1"/>
  <c r="I10" i="1"/>
  <c r="H10" i="1"/>
  <c r="D10" i="1"/>
  <c r="M10" i="1"/>
  <c r="K10" i="1"/>
  <c r="P9" i="1"/>
  <c r="P8" i="1"/>
  <c r="J10" i="1"/>
  <c r="P7" i="1"/>
  <c r="D131" i="1" l="1"/>
  <c r="L131" i="1"/>
  <c r="J131" i="1"/>
  <c r="I131" i="1"/>
  <c r="F131" i="1"/>
  <c r="N131" i="1"/>
  <c r="H131" i="1"/>
  <c r="P130" i="1"/>
  <c r="K131" i="1"/>
  <c r="M131" i="1"/>
  <c r="G131" i="1"/>
  <c r="O131" i="1"/>
  <c r="E131" i="1"/>
  <c r="P10" i="1"/>
  <c r="P131" i="1" l="1"/>
</calcChain>
</file>

<file path=xl/sharedStrings.xml><?xml version="1.0" encoding="utf-8"?>
<sst xmlns="http://schemas.openxmlformats.org/spreadsheetml/2006/main" count="313" uniqueCount="113">
  <si>
    <t>Wages</t>
  </si>
  <si>
    <t>Miscellaneous</t>
  </si>
  <si>
    <t>Utilities</t>
  </si>
  <si>
    <t xml:space="preserve">Groceries </t>
  </si>
  <si>
    <t>Child care</t>
  </si>
  <si>
    <t>Dry cleaning</t>
  </si>
  <si>
    <t>Dining out</t>
  </si>
  <si>
    <t>Housecleaning service</t>
  </si>
  <si>
    <t>Dog walker</t>
  </si>
  <si>
    <t>Gas/fuel</t>
  </si>
  <si>
    <t>Insurance</t>
  </si>
  <si>
    <t>Repairs</t>
  </si>
  <si>
    <t>Car wash/detailing services</t>
  </si>
  <si>
    <t>Parking</t>
  </si>
  <si>
    <t>Public transportation</t>
  </si>
  <si>
    <t>Cable TV</t>
  </si>
  <si>
    <t>Video/DVD rentals</t>
  </si>
  <si>
    <t>Movies/plays</t>
  </si>
  <si>
    <t>Concerts/clubs</t>
  </si>
  <si>
    <t>Health club dues</t>
  </si>
  <si>
    <t>Prescriptions</t>
  </si>
  <si>
    <t>Over-the-counter drugs</t>
  </si>
  <si>
    <t>Co-payments/out-of-pocket</t>
  </si>
  <si>
    <t>Veterinarians/pet medicines</t>
  </si>
  <si>
    <t>Life insurance</t>
  </si>
  <si>
    <t>Plane fare</t>
  </si>
  <si>
    <t>Accommodations</t>
  </si>
  <si>
    <t>Food</t>
  </si>
  <si>
    <t>Souvenirs</t>
  </si>
  <si>
    <t>Pet boarding</t>
  </si>
  <si>
    <t>Rental car</t>
  </si>
  <si>
    <t>Gym fees</t>
  </si>
  <si>
    <t>Sports equipment</t>
  </si>
  <si>
    <t>Team dues</t>
  </si>
  <si>
    <t>Toys/child gear</t>
  </si>
  <si>
    <t>Magazines</t>
  </si>
  <si>
    <t>Newspapers</t>
  </si>
  <si>
    <t>Internet connection</t>
  </si>
  <si>
    <t>Public radio</t>
  </si>
  <si>
    <t>Public television</t>
  </si>
  <si>
    <t>Religious organizations</t>
  </si>
  <si>
    <t>Charity</t>
  </si>
  <si>
    <t>Clothing</t>
  </si>
  <si>
    <t>Gifts</t>
  </si>
  <si>
    <t>Salon/barber</t>
  </si>
  <si>
    <t>Books</t>
  </si>
  <si>
    <t>Music (CDs, etc.)</t>
  </si>
  <si>
    <t>Long-term savings</t>
  </si>
  <si>
    <t>Retirement (401k, Roth IRA)</t>
  </si>
  <si>
    <t>Credit card payments</t>
  </si>
  <si>
    <t>Income tax (additional)</t>
  </si>
  <si>
    <t>Other obligations</t>
  </si>
  <si>
    <t xml:space="preserve">   Other</t>
  </si>
  <si>
    <t>Total expenses</t>
  </si>
  <si>
    <t>Cash short/extra</t>
  </si>
  <si>
    <t>Total</t>
  </si>
  <si>
    <t>INCOME</t>
  </si>
  <si>
    <t>EXPENSES</t>
  </si>
  <si>
    <t>HOME</t>
  </si>
  <si>
    <t>TRANSPORTATION</t>
  </si>
  <si>
    <t>DAILY LIVING</t>
  </si>
  <si>
    <t>ENTERTAINMENT</t>
  </si>
  <si>
    <t>HEALTH</t>
  </si>
  <si>
    <t>VACATIONS</t>
  </si>
  <si>
    <t>RECREATION</t>
  </si>
  <si>
    <t>DUES/SUBSCRIPTION</t>
  </si>
  <si>
    <t>PERSONAL</t>
  </si>
  <si>
    <t>FINANCIAL OBLIGATIONS</t>
  </si>
  <si>
    <t>MISC PAYMENTS</t>
  </si>
  <si>
    <t>TOTALS</t>
  </si>
  <si>
    <t>JAN</t>
  </si>
  <si>
    <t>FEB</t>
  </si>
  <si>
    <t>MAY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</si>
  <si>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</si>
  <si>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</si>
  <si>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</si>
  <si>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</si>
  <si>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</si>
  <si>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</si>
  <si>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</si>
  <si>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</si>
  <si>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</si>
  <si>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YEAR</t>
  </si>
  <si>
    <t>REVENUE</t>
  </si>
  <si>
    <t>Mortgage</t>
  </si>
  <si>
    <t>Services</t>
  </si>
  <si>
    <t xml:space="preserve"> </t>
  </si>
  <si>
    <t>Column1</t>
  </si>
  <si>
    <t>Interest/Dividends</t>
  </si>
  <si>
    <t>Jan</t>
  </si>
  <si>
    <t>Feb</t>
  </si>
  <si>
    <t>March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</si>
  <si>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</si>
  <si>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</si>
  <si>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</si>
  <si>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</si>
  <si>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</si>
  <si>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</si>
  <si>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</si>
  <si>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</si>
  <si>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</si>
  <si>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Year</t>
  </si>
  <si>
    <t>Home</t>
  </si>
  <si>
    <t>Daily living</t>
  </si>
  <si>
    <t>Transportation</t>
  </si>
  <si>
    <t>Entertainment</t>
  </si>
  <si>
    <t>Health</t>
  </si>
  <si>
    <t>Vacations</t>
  </si>
  <si>
    <t>Recreation</t>
  </si>
  <si>
    <t>Dues/subscriptions</t>
  </si>
  <si>
    <t>Personal</t>
  </si>
  <si>
    <t>Financial obligations</t>
  </si>
  <si>
    <t>Misc.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</si>
</sst>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4" x14ac:knownFonts="1">
    <font>
      <sz val="10"/>
      <color theme="1" tint="0.14993743705557422"/>
      <name val="verdana"/>
      <family val="2"/>
      <scheme val="minor"/>
    </font>
    <font>
      <b/>
      <sz val="10"/>
      <color theme="1" tint="0.14990691854609822"/>
      <name val="Gill Sans MT"/>
      <family val="2"/>
      <scheme val="major"/>
    </font>
    <font>
      <sz val="11"/>
      <color theme="1" tint="0.14993743705557422"/>
      <name val="Gill Sans MT"/>
      <family val="2"/>
      <scheme val="major"/>
    </font>
    <font>
      <sz val="22"/>
      <color theme="1" tint="0.14993743705557422"/>
      <name val="Gill Sans MT"/>
      <family val="2"/>
      <scheme val="major"/>
    </font>
    <font>
      <sz val="24"/>
      <color theme="1" tint="0.14993743705557422"/>
      <name val="Gill Sans MT"/>
      <family val="1"/>
      <scheme val="major"/>
    </font>
    <font>
      <sz val="10"/>
      <color theme="4" tint="-0.499984740745262"/>
      <name val="verdana"/>
      <family val="2"/>
      <scheme val="minor"/>
    </font>
    <font>
      <sz val="10"/>
      <color theme="5" tint="-0.499984740745262"/>
      <name val="verdana"/>
      <family val="2"/>
      <scheme val="minor"/>
    </font>
    <font>
      <sz val="11"/>
      <color theme="1" tint="0.34998626667073579"/>
      <name val="Gill Sans MT"/>
      <family val="2"/>
      <scheme val="major"/>
    </font>
    <font>
      <b/>
      <sz val="10"/>
      <color theme="4"/>
      <name val="Gill Sans MT"/>
      <family val="2"/>
      <scheme val="major"/>
    </font>
    <font>
      <sz val="10"/>
      <color theme="0"/>
      <name val="verdana"/>
      <family val="2"/>
      <scheme val="minor"/>
    </font>
    <font>
      <b/>
      <sz val="10"/>
      <color theme="5"/>
      <name val="Gill Sans MT"/>
      <family val="2"/>
      <scheme val="major"/>
    </font>
    <font>
      <b/>
      <sz val="10"/>
      <color theme="0"/>
      <name val="Gill Sans MT"/>
      <family val="2"/>
      <scheme val="major"/>
    </font>
    <font>
      <b/>
      <sz val="10"/>
      <color theme="4"/>
      <name val="verdana"/>
      <family val="2"/>
      <scheme val="minor"/>
    </font>
    <font>
      <b/>
      <sz val="10"/>
      <color theme="5"/>
      <name val="verdana"/>
      <family val="2"/>
      <scheme val="minor"/>
    </font>
  </fonts>
  <fills count="16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5" tint="0.80001220740379042"/>
        </stop>
      </gradient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EFF5FF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F7F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5"/>
      </left>
      <right/>
      <top/>
      <bottom/>
      <diagonal/>
    </border>
    <border>
      <left/>
      <right style="thick">
        <color theme="4"/>
      </right>
      <top/>
      <bottom/>
      <diagonal/>
    </border>
    <border>
      <left/>
      <right style="thick">
        <color theme="5"/>
      </right>
      <top/>
      <bottom/>
      <diagonal/>
    </border>
    <border>
      <left style="thick">
        <color theme="5"/>
      </left>
      <right/>
      <top/>
      <bottom/>
      <diagonal/>
    </border>
    <border>
      <left style="thick">
        <color theme="4"/>
      </left>
      <right/>
      <top/>
      <bottom/>
      <diagonal/>
    </border>
    <border>
      <left style="medium">
        <color theme="4"/>
      </left>
      <right/>
      <top/>
      <bottom/>
      <diagonal/>
    </border>
  </borders>
  <cellStyleXfs count="5">
    <xf numFmtId="0" fontId="0" fillId="15" borderId="0">
      <alignment vertical="center"/>
    </xf>
    <xf numFmtId="0" fontId="3" fillId="0" borderId="0" applyNumberFormat="0" applyFill="0" applyProtection="0">
      <alignment vertical="center"/>
    </xf>
    <xf numFmtId="0" fontId="2" fillId="0" borderId="1" applyNumberFormat="0" applyFill="0" applyProtection="0">
      <alignment vertical="center"/>
    </xf>
    <xf numFmtId="0" fontId="1" fillId="7" borderId="0" applyNumberFormat="0" applyProtection="0">
      <alignment horizontal="left" vertical="center" indent="1"/>
    </xf>
    <xf numFmtId="0" fontId="1" fillId="2" borderId="0" applyNumberFormat="0" applyProtection="0">
      <alignment vertical="center"/>
    </xf>
  </cellStyleXfs>
  <cellXfs count="78">
    <xf numFmtId="0" fontId="0" fillId="15" borderId="0" xfId="0">
      <alignment vertical="center"/>
    </xf>
    <xf numFmtId="0" fontId="0" fillId="15" borderId="0" xfId="0" applyAlignment="1">
      <alignment horizontal="right" vertical="center"/>
    </xf>
    <xf numFmtId="0" fontId="0" fillId="15" borderId="0" xfId="0" applyAlignment="1"/>
    <xf numFmtId="0" fontId="0" fillId="15" borderId="0" xfId="0" applyBorder="1" applyAlignment="1">
      <alignment horizontal="right" vertical="center"/>
    </xf>
    <xf numFmtId="0" fontId="0" fillId="15" borderId="3" xfId="0" applyBorder="1" applyAlignment="1">
      <alignment horizontal="right" vertical="center"/>
    </xf>
    <xf numFmtId="0" fontId="0" fillId="15" borderId="3" xfId="0" applyBorder="1">
      <alignment vertical="center"/>
    </xf>
    <xf numFmtId="164" fontId="0" fillId="0" borderId="0" xfId="0" applyNumberFormat="1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164" fontId="5" fillId="0" borderId="0" xfId="0" applyNumberFormat="1" applyFont="1" applyFill="1" applyBorder="1" applyAlignment="1">
      <alignment horizontal="right" vertical="center"/>
    </xf>
    <xf numFmtId="164" fontId="6" fillId="0" borderId="0" xfId="0" applyNumberFormat="1" applyFont="1" applyFill="1" applyBorder="1" applyAlignment="1">
      <alignment horizontal="right" vertical="center"/>
    </xf>
    <xf numFmtId="0" fontId="0" fillId="0" borderId="0" xfId="0" applyFill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5" fillId="0" borderId="0" xfId="0" applyFont="1" applyFill="1" applyBorder="1" applyAlignment="1">
      <alignment horizontal="left" vertical="center" indent="1"/>
    </xf>
    <xf numFmtId="0" fontId="0" fillId="6" borderId="0" xfId="0" applyFill="1">
      <alignment vertical="center"/>
    </xf>
    <xf numFmtId="0" fontId="7" fillId="0" borderId="0" xfId="2" applyFont="1" applyFill="1" applyBorder="1" applyAlignment="1">
      <alignment horizontal="left" vertical="center" indent="1"/>
    </xf>
    <xf numFmtId="0" fontId="7" fillId="0" borderId="0" xfId="2" applyFont="1" applyFill="1" applyBorder="1" applyAlignment="1">
      <alignment horizontal="right" vertical="center"/>
    </xf>
    <xf numFmtId="0" fontId="1" fillId="0" borderId="0" xfId="3" applyFill="1" applyBorder="1" applyAlignment="1">
      <alignment horizontal="right" vertical="center"/>
    </xf>
    <xf numFmtId="0" fontId="0" fillId="15" borderId="0" xfId="0">
      <alignment vertical="center"/>
    </xf>
    <xf numFmtId="0" fontId="8" fillId="0" borderId="0" xfId="3" applyFont="1" applyFill="1" applyBorder="1" applyAlignment="1">
      <alignment horizontal="left" vertical="center" indent="1"/>
    </xf>
    <xf numFmtId="164" fontId="0" fillId="8" borderId="0" xfId="0" applyNumberFormat="1" applyFill="1" applyAlignment="1">
      <alignment horizontal="right" vertical="center"/>
    </xf>
    <xf numFmtId="0" fontId="0" fillId="8" borderId="0" xfId="0" applyFill="1" applyAlignment="1">
      <alignment horizontal="right" vertical="center"/>
    </xf>
    <xf numFmtId="164" fontId="0" fillId="9" borderId="0" xfId="0" applyNumberFormat="1" applyFill="1" applyAlignment="1">
      <alignment horizontal="right" vertical="center"/>
    </xf>
    <xf numFmtId="164" fontId="0" fillId="10" borderId="0" xfId="0" applyNumberFormat="1" applyFill="1" applyAlignment="1">
      <alignment horizontal="right" vertical="center"/>
    </xf>
    <xf numFmtId="0" fontId="0" fillId="10" borderId="0" xfId="0" applyFill="1" applyAlignment="1">
      <alignment horizontal="right" vertical="center"/>
    </xf>
    <xf numFmtId="164" fontId="0" fillId="3" borderId="0" xfId="0" applyNumberFormat="1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164" fontId="5" fillId="8" borderId="0" xfId="0" applyNumberFormat="1" applyFont="1" applyFill="1" applyBorder="1" applyAlignment="1">
      <alignment horizontal="right" vertical="center"/>
    </xf>
    <xf numFmtId="0" fontId="5" fillId="8" borderId="0" xfId="0" applyFont="1" applyFill="1" applyBorder="1" applyAlignment="1">
      <alignment horizontal="right" vertical="center"/>
    </xf>
    <xf numFmtId="0" fontId="10" fillId="0" borderId="0" xfId="3" applyFont="1" applyFill="1" applyBorder="1">
      <alignment horizontal="left" vertical="center" indent="1"/>
    </xf>
    <xf numFmtId="164" fontId="6" fillId="8" borderId="0" xfId="0" applyNumberFormat="1" applyFont="1" applyFill="1" applyBorder="1" applyAlignment="1">
      <alignment horizontal="right" vertical="center"/>
    </xf>
    <xf numFmtId="0" fontId="6" fillId="8" borderId="0" xfId="0" applyFont="1" applyFill="1" applyBorder="1" applyAlignment="1">
      <alignment horizontal="right" vertical="center"/>
    </xf>
    <xf numFmtId="0" fontId="6" fillId="8" borderId="6" xfId="0" applyFont="1" applyFill="1" applyBorder="1" applyAlignment="1">
      <alignment horizontal="left" vertical="center" indent="1"/>
    </xf>
    <xf numFmtId="0" fontId="1" fillId="0" borderId="4" xfId="3" applyFill="1" applyBorder="1" applyAlignment="1">
      <alignment horizontal="right" vertical="center"/>
    </xf>
    <xf numFmtId="0" fontId="1" fillId="0" borderId="5" xfId="3" applyFill="1" applyBorder="1" applyAlignment="1">
      <alignment horizontal="right" vertical="center"/>
    </xf>
    <xf numFmtId="0" fontId="0" fillId="15" borderId="0" xfId="0" applyBorder="1">
      <alignment vertical="center"/>
    </xf>
    <xf numFmtId="0" fontId="8" fillId="0" borderId="0" xfId="0" applyFont="1" applyFill="1" applyAlignment="1">
      <alignment horizontal="left" vertical="center" indent="1"/>
    </xf>
    <xf numFmtId="0" fontId="0" fillId="0" borderId="0" xfId="0" applyFill="1" applyAlignment="1">
      <alignment horizontal="left" vertical="center"/>
    </xf>
    <xf numFmtId="0" fontId="0" fillId="8" borderId="0" xfId="0" applyFill="1" applyAlignment="1">
      <alignment horizontal="left" vertical="center" indent="1"/>
    </xf>
    <xf numFmtId="0" fontId="0" fillId="13" borderId="0" xfId="0" applyFill="1" applyAlignment="1">
      <alignment horizontal="left" vertical="center" indent="1"/>
    </xf>
    <xf numFmtId="164" fontId="0" fillId="13" borderId="0" xfId="0" applyNumberFormat="1" applyFill="1" applyAlignment="1">
      <alignment horizontal="right" vertical="center"/>
    </xf>
    <xf numFmtId="164" fontId="0" fillId="14" borderId="0" xfId="0" applyNumberFormat="1" applyFill="1" applyAlignment="1">
      <alignment horizontal="right" vertical="center"/>
    </xf>
    <xf numFmtId="0" fontId="12" fillId="0" borderId="0" xfId="0" applyFont="1" applyFill="1" applyAlignment="1">
      <alignment horizontal="left" vertical="center" indent="1"/>
    </xf>
    <xf numFmtId="0" fontId="10" fillId="0" borderId="0" xfId="0" applyFont="1" applyFill="1" applyAlignment="1">
      <alignment horizontal="left" vertical="center" indent="1"/>
    </xf>
    <xf numFmtId="0" fontId="13" fillId="0" borderId="0" xfId="0" applyFont="1" applyFill="1" applyAlignment="1">
      <alignment horizontal="left" vertical="center" indent="1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0" fontId="11" fillId="11" borderId="0" xfId="3" applyFont="1" applyFill="1">
      <alignment horizontal="left" vertical="center" indent="1"/>
    </xf>
    <xf numFmtId="0" fontId="11" fillId="11" borderId="0" xfId="3" applyFont="1" applyFill="1" applyAlignment="1">
      <alignment horizontal="right" vertical="center"/>
    </xf>
    <xf numFmtId="0" fontId="9" fillId="11" borderId="0" xfId="0" applyFont="1" applyFill="1" applyAlignment="1">
      <alignment horizontal="left" vertical="center" indent="1"/>
    </xf>
    <xf numFmtId="164" fontId="9" fillId="11" borderId="0" xfId="0" applyNumberFormat="1" applyFont="1" applyFill="1" applyAlignment="1">
      <alignment horizontal="right" vertical="center"/>
    </xf>
    <xf numFmtId="164" fontId="9" fillId="12" borderId="0" xfId="0" applyNumberFormat="1" applyFont="1" applyFill="1" applyAlignment="1">
      <alignment horizontal="right" vertical="center"/>
    </xf>
    <xf numFmtId="0" fontId="9" fillId="11" borderId="0" xfId="0" applyFont="1" applyFill="1" applyAlignment="1">
      <alignment vertical="center"/>
    </xf>
    <xf numFmtId="0" fontId="11" fillId="12" borderId="0" xfId="3" applyFont="1" applyFill="1" applyAlignment="1">
      <alignment horizontal="right" vertical="center"/>
    </xf>
    <xf numFmtId="0" fontId="9" fillId="12" borderId="0" xfId="0" applyFont="1" applyFill="1" applyAlignment="1">
      <alignment vertical="center"/>
    </xf>
    <xf numFmtId="0" fontId="0" fillId="15" borderId="7" xfId="0" applyBorder="1">
      <alignment vertical="center"/>
    </xf>
    <xf numFmtId="0" fontId="0" fillId="15" borderId="8" xfId="0" applyBorder="1">
      <alignment vertical="center"/>
    </xf>
    <xf numFmtId="0" fontId="8" fillId="13" borderId="0" xfId="0" applyFont="1" applyFill="1" applyAlignment="1">
      <alignment horizontal="left" vertical="center" indent="1"/>
    </xf>
    <xf numFmtId="0" fontId="5" fillId="8" borderId="11" xfId="0" applyFont="1" applyFill="1" applyBorder="1" applyAlignment="1">
      <alignment horizontal="left" vertical="center" indent="1"/>
    </xf>
    <xf numFmtId="0" fontId="0" fillId="8" borderId="9" xfId="0" applyFill="1" applyBorder="1" applyAlignment="1">
      <alignment horizontal="left" vertical="center" indent="1"/>
    </xf>
    <xf numFmtId="0" fontId="0" fillId="0" borderId="9" xfId="0" applyFill="1" applyBorder="1" applyAlignment="1">
      <alignment horizontal="left" vertical="center" indent="1"/>
    </xf>
    <xf numFmtId="0" fontId="0" fillId="0" borderId="10" xfId="0" applyFill="1" applyBorder="1" applyAlignment="1">
      <alignment horizontal="left" vertical="center" indent="1"/>
    </xf>
    <xf numFmtId="0" fontId="4" fillId="15" borderId="3" xfId="1" applyFont="1" applyFill="1" applyBorder="1" applyAlignment="1"/>
    <xf numFmtId="0" fontId="0" fillId="15" borderId="0" xfId="0" applyFill="1" applyAlignment="1"/>
    <xf numFmtId="0" fontId="0" fillId="15" borderId="0" xfId="0" applyFill="1">
      <alignment vertical="center"/>
    </xf>
    <xf numFmtId="0" fontId="0" fillId="15" borderId="0" xfId="0" applyFill="1" applyAlignment="1">
      <alignment horizontal="right" vertical="center"/>
    </xf>
    <xf numFmtId="0" fontId="0" fillId="15" borderId="0" xfId="0" applyFill="1" applyBorder="1" applyAlignment="1">
      <alignment horizontal="right" vertical="center"/>
    </xf>
    <xf numFmtId="0" fontId="0" fillId="15" borderId="2" xfId="0" applyFill="1" applyBorder="1" applyAlignment="1">
      <alignment horizontal="right" vertical="center"/>
    </xf>
    <xf numFmtId="0" fontId="0" fillId="8" borderId="10" xfId="0" applyFill="1" applyBorder="1" applyAlignment="1">
      <alignment horizontal="left" vertical="center" indent="1"/>
    </xf>
    <xf numFmtId="0" fontId="0" fillId="13" borderId="0" xfId="0" applyFill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4" fillId="15" borderId="0" xfId="1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15" borderId="0" xfId="0" applyBorder="1">
      <alignment vertical="center"/>
    </xf>
    <xf numFmtId="0" fontId="0" fillId="15" borderId="0" xfId="0">
      <alignment vertical="center"/>
    </xf>
  </cellXfs>
  <cellStyles count="5"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hidden="1" customBuiltin="1"/>
    <cellStyle name="Normal" xfId="0" builtinId="0" customBuiltin="1"/>
  </cellStyles>
  <dxfs count="322">
    <dxf>
      <font>
        <strike val="0"/>
        <outline val="0"/>
        <shadow val="0"/>
        <u val="none"/>
        <vertAlign val="baseline"/>
        <sz val="10"/>
        <color theme="0"/>
      </font>
      <numFmt numFmtId="164" formatCode="&quot;$&quot;#,##0.00"/>
      <fill>
        <patternFill patternType="solid">
          <fgColor indexed="64"/>
          <bgColor theme="1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4" formatCode="&quot;$&quot;#,##0.00"/>
      <fill>
        <patternFill patternType="solid">
          <fgColor indexed="64"/>
          <bgColor theme="1" tint="0.34998626667073579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4" formatCode="&quot;$&quot;#,##0.00"/>
      <fill>
        <patternFill patternType="solid">
          <fgColor indexed="64"/>
          <bgColor theme="1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4" formatCode="&quot;$&quot;#,##0.00"/>
      <fill>
        <patternFill patternType="solid">
          <fgColor indexed="64"/>
          <bgColor theme="1" tint="0.34998626667073579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4" formatCode="&quot;$&quot;#,##0.00"/>
      <fill>
        <patternFill patternType="solid">
          <fgColor indexed="64"/>
          <bgColor theme="1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4" formatCode="&quot;$&quot;#,##0.00"/>
      <fill>
        <patternFill patternType="solid">
          <fgColor indexed="64"/>
          <bgColor theme="1" tint="0.34998626667073579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4" formatCode="&quot;$&quot;#,##0.00"/>
      <fill>
        <patternFill patternType="solid">
          <fgColor indexed="64"/>
          <bgColor theme="1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4" formatCode="&quot;$&quot;#,##0.00"/>
      <fill>
        <patternFill patternType="solid">
          <fgColor indexed="64"/>
          <bgColor theme="1" tint="0.34998626667073579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4" formatCode="&quot;$&quot;#,##0.00"/>
      <fill>
        <patternFill patternType="solid">
          <fgColor indexed="64"/>
          <bgColor theme="1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4" formatCode="&quot;$&quot;#,##0.00"/>
      <fill>
        <patternFill patternType="solid">
          <fgColor indexed="64"/>
          <bgColor theme="1" tint="0.34998626667073579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4" formatCode="&quot;$&quot;#,##0.00"/>
      <fill>
        <patternFill patternType="solid">
          <fgColor indexed="64"/>
          <bgColor theme="1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4" formatCode="&quot;$&quot;#,##0.00"/>
      <fill>
        <patternFill patternType="solid">
          <fgColor indexed="64"/>
          <bgColor theme="1" tint="0.34998626667073579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4" formatCode="&quot;$&quot;#,##0.00"/>
      <fill>
        <patternFill patternType="solid">
          <fgColor indexed="64"/>
          <bgColor theme="1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4" formatCode="&quot;$&quot;#,##0.00"/>
      <fill>
        <patternFill patternType="solid">
          <fgColor indexed="64"/>
          <bgColor theme="1" tint="0.34998626667073579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fill>
        <patternFill patternType="solid">
          <fgColor indexed="64"/>
          <bgColor theme="1"/>
        </patternFill>
      </fill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0"/>
        <color theme="0"/>
        <name val="Gill Sans MT"/>
        <scheme val="major"/>
      </font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relativeIndent="1" justifyLastLine="0" shrinkToFit="0" readingOrder="0"/>
      <border diagonalUp="0" diagonalDown="0">
        <left style="thick">
          <color theme="4"/>
        </left>
        <right/>
        <top/>
        <bottom/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relativeIndent="1" justifyLastLine="0" shrinkToFit="0" readingOrder="0"/>
    </dxf>
    <dxf>
      <fill>
        <patternFill patternType="none">
          <bgColor auto="1"/>
        </patternFill>
      </fill>
      <alignment horizontal="left" vertical="center" textRotation="0" wrapText="0" relativeIndent="1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relativeIndent="1" justifyLastLine="0" shrinkToFit="0" readingOrder="0"/>
    </dxf>
    <dxf>
      <fill>
        <patternFill patternType="none">
          <bgColor auto="1"/>
        </patternFill>
      </fill>
      <alignment horizontal="left" vertical="center" textRotation="0" wrapText="0" relativeIndent="1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relativeIndent="1" justifyLastLine="0" shrinkToFit="0" readingOrder="0"/>
    </dxf>
    <dxf>
      <fill>
        <patternFill patternType="none">
          <bgColor auto="1"/>
        </patternFill>
      </fill>
      <alignment horizontal="left" vertical="center" textRotation="0" wrapText="0" relativeIndent="1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relativeIndent="1" justifyLastLine="0" shrinkToFit="0" readingOrder="0"/>
    </dxf>
    <dxf>
      <fill>
        <patternFill patternType="none">
          <bgColor auto="1"/>
        </patternFill>
      </fill>
      <alignment horizontal="left" vertical="center" textRotation="0" wrapText="0" relativeIndent="1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relativeIndent="1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relativeIndent="1" justifyLastLine="0" shrinkToFit="0" readingOrder="0"/>
      <border diagonalUp="0" diagonalDown="0">
        <left style="thick">
          <color theme="5"/>
        </left>
        <right/>
        <top/>
        <bottom/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relativeIndent="1" justifyLastLine="0" shrinkToFit="0" readingOrder="0"/>
      <border diagonalUp="0" diagonalDown="0">
        <left style="thick">
          <color theme="5"/>
        </left>
        <right/>
        <top/>
        <bottom/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relativeIndent="1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relativeIndent="1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fgColor indexed="64"/>
          <bgColor theme="0"/>
        </patternFill>
      </fill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scheme val="minor"/>
      </font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scheme val="minor"/>
      </font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scheme val="minor"/>
      </font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scheme val="minor"/>
      </font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scheme val="minor"/>
      </font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scheme val="minor"/>
      </font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scheme val="minor"/>
      </font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scheme val="minor"/>
      </font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scheme val="minor"/>
      </font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scheme val="minor"/>
      </font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relativeIndent="1" justifyLastLine="0" shrinkToFit="0" readingOrder="0"/>
      <border diagonalUp="0" diagonalDown="0">
        <left style="thin">
          <color theme="5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scheme val="minor"/>
      </font>
      <fill>
        <patternFill patternType="none">
          <bgColor auto="1"/>
        </patternFill>
      </fill>
    </dxf>
    <dxf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scheme val="minor"/>
      </font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scheme val="minor"/>
      </font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scheme val="minor"/>
      </font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scheme val="minor"/>
      </font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scheme val="minor"/>
      </font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scheme val="minor"/>
      </font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scheme val="minor"/>
      </font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scheme val="minor"/>
      </font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scheme val="minor"/>
      </font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scheme val="minor"/>
      </font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scheme val="minor"/>
      </font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scheme val="minor"/>
      </font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scheme val="minor"/>
      </font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scheme val="minor"/>
      </font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theme="4"/>
        </left>
        <right/>
        <top/>
        <bottom/>
        <vertical/>
        <horizontal/>
      </border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 val="0"/>
        <i val="0"/>
        <color theme="6" tint="-0.499984740745262"/>
      </font>
      <fill>
        <patternFill patternType="solid">
          <fgColor theme="6" tint="0.79998168889431442"/>
          <bgColor theme="6" tint="0.79998168889431442"/>
        </patternFill>
      </fill>
    </dxf>
    <dxf>
      <font>
        <b val="0"/>
        <i val="0"/>
        <color theme="6" tint="-0.499984740745262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 val="0"/>
        <i val="0"/>
        <color theme="6" tint="-0.499984740745262"/>
      </font>
      <border>
        <top style="thin">
          <color theme="6" tint="-0.24994659260841701"/>
        </top>
      </border>
    </dxf>
    <dxf>
      <font>
        <b val="0"/>
        <i val="0"/>
        <color theme="6" tint="-0.499984740745262"/>
      </font>
      <border>
        <bottom style="thin">
          <color theme="6" tint="-0.24994659260841701"/>
        </bottom>
      </border>
    </dxf>
    <dxf>
      <font>
        <b val="0"/>
        <i val="0"/>
        <color theme="6" tint="-0.499984740745262"/>
      </font>
      <border>
        <top style="thin">
          <color theme="6" tint="-0.24994659260841701"/>
        </top>
        <bottom style="thin">
          <color theme="6" tint="-0.24994659260841701"/>
        </bottom>
      </border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 val="0"/>
        <i val="0"/>
        <color theme="5" tint="-0.499984740745262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color theme="5" tint="-0.499984740745262"/>
      </font>
      <fill>
        <patternFill patternType="solid">
          <fgColor theme="5" tint="0.79998168889431442"/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</dxf>
    <dxf>
      <font>
        <b val="0"/>
        <i val="0"/>
        <color theme="5" tint="-0.499984740745262"/>
      </font>
      <border>
        <top style="thin">
          <color theme="5" tint="-0.24994659260841701"/>
        </top>
      </border>
    </dxf>
    <dxf>
      <font>
        <b val="0"/>
        <i val="0"/>
        <color theme="5" tint="-0.499984740745262"/>
      </font>
      <border>
        <bottom style="thin">
          <color theme="5" tint="-0.24994659260841701"/>
        </bottom>
      </border>
    </dxf>
    <dxf>
      <font>
        <b val="0"/>
        <i val="0"/>
        <color theme="5" tint="-0.499984740745262"/>
      </font>
      <border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theme="4" tint="-0.499984740745262"/>
      </font>
      <fill>
        <patternFill>
          <bgColor theme="4" tint="0.79998168889431442"/>
        </patternFill>
      </fill>
    </dxf>
    <dxf>
      <font>
        <b/>
        <i val="0"/>
        <color theme="4" tint="-0.499984740745262"/>
      </font>
      <fill>
        <patternFill>
          <bgColor theme="4" tint="0.79998168889431442"/>
        </patternFill>
      </fill>
    </dxf>
    <dxf>
      <font>
        <b val="0"/>
        <i val="0"/>
        <color theme="4" tint="-0.499984740745262"/>
      </font>
      <fill>
        <patternFill>
          <bgColor theme="4" tint="0.79998168889431442"/>
        </patternFill>
      </fill>
    </dxf>
    <dxf>
      <font>
        <b val="0"/>
        <i val="0"/>
        <color theme="4" tint="-0.499984740745262"/>
      </font>
      <fill>
        <patternFill patternType="solid">
          <fgColor theme="4" tint="0.79995117038483843"/>
          <bgColor theme="4" tint="0.79998168889431442"/>
        </patternFill>
      </fill>
    </dxf>
    <dxf>
      <font>
        <b/>
        <i val="0"/>
        <color theme="4" tint="-0.499984740745262"/>
      </font>
      <fill>
        <patternFill>
          <bgColor theme="4" tint="0.79998168889431442"/>
        </patternFill>
      </fill>
    </dxf>
    <dxf>
      <font>
        <b/>
        <i val="0"/>
        <color theme="4" tint="-0.499984740745262"/>
      </font>
    </dxf>
    <dxf>
      <font>
        <b val="0"/>
        <i val="0"/>
        <color theme="4" tint="-0.499984740745262"/>
      </font>
      <fill>
        <patternFill patternType="none">
          <bgColor auto="1"/>
        </patternFill>
      </fill>
      <border>
        <top style="thin">
          <color theme="4" tint="-0.24994659260841701"/>
        </top>
      </border>
    </dxf>
    <dxf>
      <border diagonalUp="0" diagonalDown="0">
        <left/>
        <right/>
        <top/>
        <bottom style="thin">
          <color theme="4" tint="-0.499984740745262"/>
        </bottom>
        <vertical/>
        <horizontal/>
      </border>
    </dxf>
    <dxf>
      <font>
        <b val="0"/>
        <i val="0"/>
        <color theme="4" tint="-0.499984740745262"/>
      </font>
      <border>
        <top style="thin">
          <color theme="4" tint="-0.24994659260841701"/>
        </top>
        <bottom style="thin">
          <color theme="4" tint="-0.24994659260841701"/>
        </bottom>
      </border>
    </dxf>
  </dxfs>
  <tableStyles count="3" defaultTableStyle="Personal Budget - Expense" defaultPivotStyle="PivotStyleLight16">
    <tableStyle name="Persona Budget - Revenue" pivot="0" count="9">
      <tableStyleElement type="wholeTable" dxfId="321"/>
      <tableStyleElement type="headerRow" dxfId="320"/>
      <tableStyleElement type="totalRow" dxfId="319"/>
      <tableStyleElement type="firstColumn" dxfId="318"/>
      <tableStyleElement type="lastColumn" dxfId="317"/>
      <tableStyleElement type="firstRowStripe" dxfId="316"/>
      <tableStyleElement type="firstColumnStripe" dxfId="315"/>
      <tableStyleElement type="firstTotalCell" dxfId="314"/>
      <tableStyleElement type="lastTotalCell" dxfId="313"/>
    </tableStyle>
    <tableStyle name="Personal Budget - Expense" pivot="0" count="9">
      <tableStyleElement type="wholeTable" dxfId="312"/>
      <tableStyleElement type="headerRow" dxfId="311"/>
      <tableStyleElement type="totalRow" dxfId="310"/>
      <tableStyleElement type="firstColumn" dxfId="309"/>
      <tableStyleElement type="lastColumn" dxfId="308"/>
      <tableStyleElement type="firstRowStripe" dxfId="307"/>
      <tableStyleElement type="firstColumnStripe" dxfId="306"/>
      <tableStyleElement type="firstTotalCell" dxfId="305"/>
      <tableStyleElement type="lastTotalCell" dxfId="304"/>
    </tableStyle>
    <tableStyle name="Personal Budget - Total" pivot="0" count="9">
      <tableStyleElement type="wholeTable" dxfId="303"/>
      <tableStyleElement type="headerRow" dxfId="302"/>
      <tableStyleElement type="totalRow" dxfId="301"/>
      <tableStyleElement type="firstColumn" dxfId="300"/>
      <tableStyleElement type="lastColumn" dxfId="299"/>
      <tableStyleElement type="firstRowStripe" dxfId="298"/>
      <tableStyleElement type="firstColumnStripe" dxfId="297"/>
      <tableStyleElement type="firstTotalCell" dxfId="296"/>
      <tableStyleElement type="lastTotalCell" dxfId="295"/>
    </tableStyle>
  </tableStyles>
  <colors>
    <mruColors>
      <color rgb="FFF7F7F7"/>
      <color rgb="FFF3F8FF"/>
      <color rgb="FFE6F8FA"/>
      <color rgb="FFEFF5FF"/>
      <color rgb="FFD6E8F6"/>
      <color rgb="FFE6EF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342898</xdr:colOff>
      <xdr:row>1</xdr:row>
      <xdr:rowOff>95251</xdr:rowOff>
    </xdr:from>
    <xdr:to>
      <xdr:col>4</xdr:col>
      <xdr:colOff>307578</xdr:colOff>
      <xdr:row>2</xdr:row>
      <xdr:rowOff>66676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9E65D3-5F02-44CF-9457-DA345CF98CF4}"/>
            </a:ext>
          </a:extLst>
        </xdr:cNvPr>
        <xdr:cNvSpPr txBox="1"/>
      </xdr:nvSpPr>
      <xdr:spPr>
        <a:xfrm>
          <a:off x="342898" y="254001"/>
          <a:ext cx="3596086" cy="417909"/>
        </a:xfrm>
        <a:prstGeom prst="rect">
          <a:avLst/>
        </a:prstGeom>
        <a:solidFill>
          <a:srgbClr val="F7F7F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500" b="1">
              <a:solidFill>
                <a:schemeClr val="tx1"/>
              </a:solidFill>
              <a:latin typeface="+mj-lt"/>
            </a:rPr>
            <a:t>PERSONAL BUDGET</a:t>
          </a:r>
        </a:p>
      </xdr:txBody>
    </xdr:sp>
    <xdr:clientData/>
  </xdr:twoCellAnchor>
  <xdr:twoCellAnchor editAs="absolute">
    <xdr:from>
      <xdr:col>16</xdr:col>
      <xdr:colOff>29765</xdr:colOff>
      <xdr:row>1</xdr:row>
      <xdr:rowOff>188141</xdr:rowOff>
    </xdr:from>
    <xdr:to>
      <xdr:col>17</xdr:col>
      <xdr:colOff>19843</xdr:colOff>
      <xdr:row>2</xdr:row>
      <xdr:rowOff>9526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8DB6D2F-4C80-408C-A4C7-B9C2F6BEA823}"/>
            </a:ext>
          </a:extLst>
        </xdr:cNvPr>
        <xdr:cNvSpPr/>
      </xdr:nvSpPr>
      <xdr:spPr>
        <a:xfrm flipH="1">
          <a:off x="14972109" y="346891"/>
          <a:ext cx="932656" cy="267869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2018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blIncome" displayName="tblIncome" ref="C6:Q10" totalsRowCount="1" headerRowDxfId="293" dataDxfId="292" totalsRowDxfId="291">
  <autoFilter ref="C6:Q9"/>
  <tableColumns count="15">
    <tableColumn id="1" name="INCOME" totalsRowLabel="Total" totalsRowDxfId="290"/>
    <tableColumn id="2" name="Jan" totalsRowFunction="sum" dataDxfId="289"/>
    <tableColumn id="3" name="Feb" totalsRowFunction="sum" dataDxfId="288" totalsRowDxfId="287"/>
    <tableColumn id="4" name="March" totalsRowFunction="sum" dataDxfId="286" totalsRowDxfId="285"/>
    <tableColumn id="5" name="April" totalsRowFunction="sum" dataDxfId="284" totalsRowDxfId="283"/>
    <tableColumn id="6" name="May" totalsRowFunction="sum" dataDxfId="282" totalsRowDxfId="281"/>
    <tableColumn id="7" name="June" totalsRowFunction="sum" dataDxfId="280" totalsRowDxfId="279"/>
    <tableColumn id="8" name="July" totalsRowFunction="sum" dataDxfId="278" totalsRowDxfId="277"/>
    <tableColumn id="9" name="Aug" totalsRowFunction="sum" dataDxfId="276" totalsRowDxfId="275"/>
    <tableColumn id="10" name="Sept" totalsRowFunction="sum" dataDxfId="274" totalsRowDxfId="273"/>
    <tableColumn id="11" name="Oct" totalsRowFunction="sum" dataDxfId="272" totalsRowDxfId="271"/>
    <tableColumn id="12" name="Nov" totalsRowFunction="sum" dataDxfId="270" totalsRowDxfId="269"/>
    <tableColumn id="13" name="Dec" totalsRowFunction="sum" dataDxfId="268" totalsRowDxfId="267"/>
    <tableColumn id="14" name="Year" totalsRowFunction="sum" dataDxfId="266" totalsRowDxfId="265">
      <calculatedColumnFormula>SUM(tblIncome[[#This Row],[Jan]:[Dec]])</calculatedColumnFormula>
    </tableColumn>
    <tableColumn id="15" name="Column1" dataDxfId="264" totalsRowDxfId="263"/>
  </tableColumns>
  <tableStyleInfo showFirstColumn="0" showLastColumn="0" showRowStripes="0" showColumnStripes="1"/>
  <extLst>
    <ext xmlns:x14="http://schemas.microsoft.com/office/spreadsheetml/2009/9/main" uri="{504A1905-F514-4f6f-8877-14C23A59335A}">
      <x14:table altText="Income" altTextSummary="Enter your income for the year."/>
    </ext>
  </extLst>
</table>
</file>

<file path=xl/tables/table10.xml><?xml version="1.0" encoding="utf-8"?>
<table xmlns="http://schemas.openxmlformats.org/spreadsheetml/2006/main" id="10" name="tblPersonal" displayName="tblPersonal" ref="C100:Q106" totalsRowCount="1" headerRowDxfId="93" dataDxfId="92" totalsRowDxfId="91">
  <autoFilter ref="C100:Q105"/>
  <tableColumns count="15">
    <tableColumn id="1" name="Personal" totalsRowLabel="Total" dataDxfId="90" totalsRowDxfId="89"/>
    <tableColumn id="2" name="Jan" totalsRowFunction="sum" totalsRowDxfId="88"/>
    <tableColumn id="3" name="Feb" totalsRowFunction="sum" dataDxfId="87" totalsRowDxfId="86"/>
    <tableColumn id="4" name="March" totalsRowFunction="sum" totalsRowDxfId="85"/>
    <tableColumn id="5" name="April" totalsRowFunction="sum" dataDxfId="84" totalsRowDxfId="83"/>
    <tableColumn id="6" name="May" totalsRowFunction="sum" totalsRowDxfId="82"/>
    <tableColumn id="7" name="June" totalsRowFunction="sum" dataDxfId="81" totalsRowDxfId="80"/>
    <tableColumn id="8" name="July" totalsRowFunction="sum" totalsRowDxfId="79"/>
    <tableColumn id="9" name="Aug" totalsRowFunction="sum" dataDxfId="78" totalsRowDxfId="77"/>
    <tableColumn id="10" name="Sept" totalsRowFunction="sum" totalsRowDxfId="76"/>
    <tableColumn id="11" name="Oct" totalsRowFunction="sum" dataDxfId="75" totalsRowDxfId="74"/>
    <tableColumn id="12" name="Nov" totalsRowFunction="sum" totalsRowDxfId="73"/>
    <tableColumn id="13" name="Dec" totalsRowFunction="sum" dataDxfId="72" totalsRowDxfId="71"/>
    <tableColumn id="14" name="Year" totalsRowFunction="sum" totalsRowDxfId="70">
      <calculatedColumnFormula>SUM(tblPersonal[[#This Row],[Jan]:[Dec]])</calculatedColumnFormula>
    </tableColumn>
    <tableColumn id="15" name="Column1" dataDxfId="69" totalsRowDxfId="68"/>
  </tableColumns>
  <tableStyleInfo showFirstColumn="0" showLastColumn="0" showRowStripes="0" showColumnStripes="1"/>
  <extLst>
    <ext xmlns:x14="http://schemas.microsoft.com/office/spreadsheetml/2009/9/main" uri="{504A1905-F514-4f6f-8877-14C23A59335A}">
      <x14:table altText="Personal Expenses" altTextSummary="Enter your personal expenses for the year, separated by month."/>
    </ext>
  </extLst>
</table>
</file>

<file path=xl/tables/table11.xml><?xml version="1.0" encoding="utf-8"?>
<table xmlns="http://schemas.openxmlformats.org/spreadsheetml/2006/main" id="11" name="tblFinancial" displayName="tblFinancial" ref="C110:Q116" totalsRowCount="1" headerRowDxfId="67" dataDxfId="66" totalsRowDxfId="65">
  <autoFilter ref="C110:Q115"/>
  <tableColumns count="15">
    <tableColumn id="1" name="Financial obligations" totalsRowLabel="Total" dataDxfId="64" totalsRowDxfId="63"/>
    <tableColumn id="2" name="Jan" totalsRowFunction="sum" totalsRowDxfId="62"/>
    <tableColumn id="3" name="Feb" totalsRowFunction="sum" dataDxfId="61" totalsRowDxfId="60"/>
    <tableColumn id="4" name="March" totalsRowFunction="sum" totalsRowDxfId="59"/>
    <tableColumn id="5" name="April" totalsRowFunction="sum" dataDxfId="58" totalsRowDxfId="57"/>
    <tableColumn id="6" name="May" totalsRowFunction="sum" totalsRowDxfId="56"/>
    <tableColumn id="7" name="June" totalsRowFunction="sum" dataDxfId="55" totalsRowDxfId="54"/>
    <tableColumn id="8" name="July" totalsRowFunction="sum" totalsRowDxfId="53"/>
    <tableColumn id="9" name="Aug" totalsRowFunction="sum" dataDxfId="52" totalsRowDxfId="51"/>
    <tableColumn id="10" name="Sept" totalsRowFunction="sum" totalsRowDxfId="50"/>
    <tableColumn id="11" name="Oct" totalsRowFunction="sum" dataDxfId="49" totalsRowDxfId="48"/>
    <tableColumn id="12" name="Nov" totalsRowFunction="sum" totalsRowDxfId="47"/>
    <tableColumn id="13" name="Dec" totalsRowFunction="sum" dataDxfId="46" totalsRowDxfId="45"/>
    <tableColumn id="14" name="Year" totalsRowFunction="sum" totalsRowDxfId="44">
      <calculatedColumnFormula>SUM(tblFinancial[[#This Row],[Jan]:[Dec]])</calculatedColumnFormula>
    </tableColumn>
    <tableColumn id="15" name="Column1" dataDxfId="43" totalsRowDxfId="42"/>
  </tableColumns>
  <tableStyleInfo showFirstColumn="0" showLastColumn="0" showRowStripes="0" showColumnStripes="1"/>
  <extLst>
    <ext xmlns:x14="http://schemas.microsoft.com/office/spreadsheetml/2009/9/main" uri="{504A1905-F514-4f6f-8877-14C23A59335A}">
      <x14:table altText="Financial Expenses" altTextSummary="Enter your financial expenses for the year, separated by month."/>
    </ext>
  </extLst>
</table>
</file>

<file path=xl/tables/table12.xml><?xml version="1.0" encoding="utf-8"?>
<table xmlns="http://schemas.openxmlformats.org/spreadsheetml/2006/main" id="12" name="tblMisc" displayName="tblMisc" ref="C120:Q126" totalsRowCount="1" headerRowDxfId="41" dataDxfId="40" totalsRowDxfId="39">
  <autoFilter ref="C120:Q125"/>
  <tableColumns count="15">
    <tableColumn id="1" name="Misc. payments" totalsRowLabel="Total" totalsRowDxfId="38"/>
    <tableColumn id="2" name="Jan" totalsRowFunction="sum" totalsRowDxfId="37"/>
    <tableColumn id="3" name="Feb" totalsRowFunction="sum" dataDxfId="36" totalsRowDxfId="35"/>
    <tableColumn id="4" name="March" totalsRowFunction="sum" totalsRowDxfId="34"/>
    <tableColumn id="5" name="April" totalsRowFunction="sum" dataDxfId="33" totalsRowDxfId="32"/>
    <tableColumn id="6" name="May" totalsRowFunction="sum" totalsRowDxfId="31"/>
    <tableColumn id="7" name="June" totalsRowFunction="sum" dataDxfId="30" totalsRowDxfId="29"/>
    <tableColumn id="8" name="July" totalsRowFunction="sum" totalsRowDxfId="28"/>
    <tableColumn id="9" name="Aug" totalsRowFunction="sum" dataDxfId="27" totalsRowDxfId="26"/>
    <tableColumn id="10" name="Sept" totalsRowFunction="sum" totalsRowDxfId="25"/>
    <tableColumn id="11" name="Oct" totalsRowFunction="sum" dataDxfId="24" totalsRowDxfId="23"/>
    <tableColumn id="12" name="Nov" totalsRowFunction="sum" totalsRowDxfId="22"/>
    <tableColumn id="13" name="Dec" totalsRowFunction="sum" dataDxfId="21" totalsRowDxfId="20"/>
    <tableColumn id="14" name="Year" totalsRowFunction="sum" totalsRowDxfId="19">
      <calculatedColumnFormula>SUM(tblMisc[[#This Row],[Jan]:[Dec]])</calculatedColumnFormula>
    </tableColumn>
    <tableColumn id="15" name="Column1" dataDxfId="18" totalsRowDxfId="17"/>
  </tableColumns>
  <tableStyleInfo showFirstColumn="0" showLastColumn="0" showRowStripes="0" showColumnStripes="1"/>
  <extLst>
    <ext xmlns:x14="http://schemas.microsoft.com/office/spreadsheetml/2009/9/main" uri="{504A1905-F514-4f6f-8877-14C23A59335A}">
      <x14:table altText="Misc Expenses" altTextSummary="Enter your miscellaneous expenses for the year, separated by month."/>
    </ext>
  </extLst>
</table>
</file>

<file path=xl/tables/table13.xml><?xml version="1.0" encoding="utf-8"?>
<table xmlns="http://schemas.openxmlformats.org/spreadsheetml/2006/main" id="13" name="tblTotals" displayName="tblTotals" ref="C129:Q131" totalsRowShown="0" headerRowDxfId="16" dataDxfId="15" headerRowCellStyle="Heading 3">
  <tableColumns count="15">
    <tableColumn id="1" name="TOTALS" dataDxfId="14"/>
    <tableColumn id="2" name="JAN" dataDxfId="13">
      <calculatedColumnFormula>tblIncome[[#Totals],[Jan]]-D129</calculatedColumnFormula>
    </tableColumn>
    <tableColumn id="3" name="FEB" dataDxfId="12">
      <calculatedColumnFormula>tblIncome[[#Totals],[Feb]]-E129</calculatedColumnFormula>
    </tableColumn>
    <tableColumn id="4" name="MAR" dataDxfId="11">
      <calculatedColumnFormula>tblIncome[[#Totals],[March]]-F129</calculatedColumnFormula>
    </tableColumn>
    <tableColumn id="5" name="APR" dataDxfId="10">
      <calculatedColumnFormula>tblIncome[[#Totals],[April]]-G129</calculatedColumnFormula>
    </tableColumn>
    <tableColumn id="6" name="MAY" dataDxfId="9">
      <calculatedColumnFormula>tblIncome[[#Totals],[May]]-H129</calculatedColumnFormula>
    </tableColumn>
    <tableColumn id="7" name="JUN" dataDxfId="8">
      <calculatedColumnFormula>tblIncome[[#Totals],[June]]-I129</calculatedColumnFormula>
    </tableColumn>
    <tableColumn id="8" name="JUL" dataDxfId="7">
      <calculatedColumnFormula>tblIncome[[#Totals],[July]]-J129</calculatedColumnFormula>
    </tableColumn>
    <tableColumn id="9" name="AUG" dataDxfId="6">
      <calculatedColumnFormula>tblIncome[[#Totals],[Aug]]-K129</calculatedColumnFormula>
    </tableColumn>
    <tableColumn id="10" name="SEP" dataDxfId="5">
      <calculatedColumnFormula>tblIncome[[#Totals],[Sept]]-L129</calculatedColumnFormula>
    </tableColumn>
    <tableColumn id="11" name="OCT" dataDxfId="4">
      <calculatedColumnFormula>tblIncome[[#Totals],[Oct]]-M129</calculatedColumnFormula>
    </tableColumn>
    <tableColumn id="12" name="NOV" dataDxfId="3">
      <calculatedColumnFormula>tblIncome[[#Totals],[Nov]]-N129</calculatedColumnFormula>
    </tableColumn>
    <tableColumn id="13" name="DEC" dataDxfId="2">
      <calculatedColumnFormula>tblIncome[[#Totals],[Dec]]-O129</calculatedColumnFormula>
    </tableColumn>
    <tableColumn id="14" name="YEAR" dataDxfId="1">
      <calculatedColumnFormula>tblIncome[[#Totals],[Year]]-P129</calculatedColumnFormula>
    </tableColumn>
    <tableColumn id="15" name=" " dataDxfId="0"/>
  </tableColumns>
  <tableStyleInfo showFirstColumn="1" showLastColumn="0" showRowStripes="0" showColumnStripes="1"/>
  <extLst>
    <ext xmlns:x14="http://schemas.microsoft.com/office/spreadsheetml/2009/9/main" uri="{504A1905-F514-4f6f-8877-14C23A59335A}">
      <x14:table altText="Totals" altTextSummary="View your totals for the year, separated by month."/>
    </ext>
  </extLst>
</table>
</file>

<file path=xl/tables/table2.xml><?xml version="1.0" encoding="utf-8"?>
<table xmlns="http://schemas.openxmlformats.org/spreadsheetml/2006/main" id="2" name="tblHome" displayName="tblHome" ref="C15:Q21" totalsRowCount="1" headerRowDxfId="262" dataDxfId="261" totalsRowDxfId="260">
  <autoFilter ref="C15:Q20"/>
  <tableColumns count="15">
    <tableColumn id="1" name="Home" totalsRowLabel="Total" totalsRowDxfId="259"/>
    <tableColumn id="2" name="Jan" totalsRowFunction="sum" totalsRowDxfId="258"/>
    <tableColumn id="3" name="Feb" totalsRowFunction="sum" totalsRowDxfId="257"/>
    <tableColumn id="4" name="March" totalsRowFunction="sum" totalsRowDxfId="256"/>
    <tableColumn id="5" name="April" totalsRowFunction="sum" dataDxfId="255" totalsRowDxfId="254"/>
    <tableColumn id="6" name="May" totalsRowFunction="sum" dataDxfId="253" totalsRowDxfId="252"/>
    <tableColumn id="7" name="June" totalsRowFunction="sum" dataDxfId="251" totalsRowDxfId="250"/>
    <tableColumn id="8" name="July" totalsRowFunction="sum" dataDxfId="249" totalsRowDxfId="248"/>
    <tableColumn id="9" name="Aug" totalsRowFunction="sum" dataDxfId="247" totalsRowDxfId="246"/>
    <tableColumn id="10" name="Sept" totalsRowFunction="sum" dataDxfId="245" totalsRowDxfId="244"/>
    <tableColumn id="11" name="Oct" totalsRowFunction="sum" dataDxfId="243" totalsRowDxfId="242"/>
    <tableColumn id="12" name="Nov" totalsRowFunction="sum" dataDxfId="241" totalsRowDxfId="240"/>
    <tableColumn id="13" name="Dec" totalsRowFunction="sum" dataDxfId="239" totalsRowDxfId="238"/>
    <tableColumn id="14" name="Year" totalsRowFunction="sum" totalsRowDxfId="237">
      <calculatedColumnFormula>SUM(tblHome[[#This Row],[Jan]:[Dec]])</calculatedColumnFormula>
    </tableColumn>
    <tableColumn id="15" name="Column1" totalsRowDxfId="236"/>
  </tableColumns>
  <tableStyleInfo showFirstColumn="0" showLastColumn="0" showRowStripes="0" showColumnStripes="1"/>
  <extLst>
    <ext xmlns:x14="http://schemas.microsoft.com/office/spreadsheetml/2009/9/main" uri="{504A1905-F514-4f6f-8877-14C23A59335A}">
      <x14:table altText="Home Expenses" altTextSummary="Enter your home expenses for the year, separated by month."/>
    </ext>
  </extLst>
</table>
</file>

<file path=xl/tables/table3.xml><?xml version="1.0" encoding="utf-8"?>
<table xmlns="http://schemas.openxmlformats.org/spreadsheetml/2006/main" id="3" name="tblDaily" displayName="tblDaily" ref="C25:Q32" totalsRowCount="1" headerRowDxfId="235" dataDxfId="234" totalsRowDxfId="233">
  <autoFilter ref="C25:Q31"/>
  <tableColumns count="15">
    <tableColumn id="1" name="Daily living" totalsRowLabel="Total" totalsRowDxfId="232"/>
    <tableColumn id="2" name="Jan" totalsRowFunction="sum" dataDxfId="231"/>
    <tableColumn id="3" name="Feb" totalsRowFunction="sum" totalsRowDxfId="230"/>
    <tableColumn id="4" name="March" totalsRowFunction="sum" dataDxfId="229"/>
    <tableColumn id="5" name="April" totalsRowFunction="sum" totalsRowDxfId="228"/>
    <tableColumn id="6" name="May" totalsRowFunction="sum" dataDxfId="227"/>
    <tableColumn id="7" name="June" totalsRowFunction="sum" totalsRowDxfId="226"/>
    <tableColumn id="8" name="July" totalsRowFunction="sum" dataDxfId="225"/>
    <tableColumn id="9" name="Aug" totalsRowFunction="sum" totalsRowDxfId="224"/>
    <tableColumn id="10" name="Sept" totalsRowFunction="sum" dataDxfId="223"/>
    <tableColumn id="11" name="Oct" totalsRowFunction="sum" totalsRowDxfId="222"/>
    <tableColumn id="12" name="Nov" totalsRowFunction="sum" dataDxfId="221"/>
    <tableColumn id="13" name="Dec" totalsRowFunction="sum" totalsRowDxfId="220"/>
    <tableColumn id="14" name="Year" totalsRowFunction="sum" dataDxfId="219">
      <calculatedColumnFormula>SUM(tblDaily[[#This Row],[Jan]:[Dec]])</calculatedColumnFormula>
    </tableColumn>
    <tableColumn id="15" name="Column1" totalsRowDxfId="218"/>
  </tableColumns>
  <tableStyleInfo showFirstColumn="0" showLastColumn="0" showRowStripes="0" showColumnStripes="1"/>
  <extLst>
    <ext xmlns:x14="http://schemas.microsoft.com/office/spreadsheetml/2009/9/main" uri="{504A1905-F514-4f6f-8877-14C23A59335A}">
      <x14:table altText="Daily Living Expenses" altTextSummary="Enter your daily living expenses for the year, separated by month."/>
    </ext>
  </extLst>
</table>
</file>

<file path=xl/tables/table4.xml><?xml version="1.0" encoding="utf-8"?>
<table xmlns="http://schemas.openxmlformats.org/spreadsheetml/2006/main" id="4" name="tblTransportation" displayName="tblTransportation" ref="C36:Q43" totalsRowCount="1" headerRowDxfId="217" dataDxfId="216" totalsRowDxfId="215">
  <autoFilter ref="C36:Q42"/>
  <tableColumns count="15">
    <tableColumn id="1" name="Transportation" totalsRowLabel="Total" totalsRowDxfId="214"/>
    <tableColumn id="2" name="Jan" totalsRowFunction="sum" dataDxfId="213"/>
    <tableColumn id="3" name="Feb" totalsRowFunction="sum" totalsRowDxfId="212"/>
    <tableColumn id="4" name="March" totalsRowFunction="sum" dataDxfId="211"/>
    <tableColumn id="5" name="April" totalsRowFunction="sum" totalsRowDxfId="210"/>
    <tableColumn id="6" name="May" totalsRowFunction="sum" dataDxfId="209"/>
    <tableColumn id="7" name="June" totalsRowFunction="sum" totalsRowDxfId="208"/>
    <tableColumn id="8" name="July" totalsRowFunction="sum" dataDxfId="207"/>
    <tableColumn id="9" name="Aug" totalsRowFunction="sum" totalsRowDxfId="206"/>
    <tableColumn id="10" name="Sept" totalsRowFunction="sum" dataDxfId="205"/>
    <tableColumn id="11" name="Oct" totalsRowFunction="sum" totalsRowDxfId="204"/>
    <tableColumn id="12" name="Nov" totalsRowFunction="sum" dataDxfId="203"/>
    <tableColumn id="13" name="Dec" totalsRowFunction="sum" totalsRowDxfId="202"/>
    <tableColumn id="14" name="Year" totalsRowFunction="sum" dataDxfId="201">
      <calculatedColumnFormula>SUM(tblTransportation[[#This Row],[Jan]:[Dec]])</calculatedColumnFormula>
    </tableColumn>
    <tableColumn id="15" name="Column1" totalsRowDxfId="200"/>
  </tableColumns>
  <tableStyleInfo showFirstColumn="0" showLastColumn="0" showRowStripes="0" showColumnStripes="1"/>
  <extLst>
    <ext xmlns:x14="http://schemas.microsoft.com/office/spreadsheetml/2009/9/main" uri="{504A1905-F514-4f6f-8877-14C23A59335A}">
      <x14:table altText="Transportation expenses" altTextSummary="Enter your transportation expenses for the year, separated by month."/>
    </ext>
  </extLst>
</table>
</file>

<file path=xl/tables/table5.xml><?xml version="1.0" encoding="utf-8"?>
<table xmlns="http://schemas.openxmlformats.org/spreadsheetml/2006/main" id="5" name="tblEntertainment" displayName="tblEntertainment" ref="C47:Q52" totalsRowCount="1" headerRowDxfId="199" dataDxfId="198" totalsRowDxfId="197">
  <autoFilter ref="C47:Q51"/>
  <tableColumns count="15">
    <tableColumn id="1" name="Entertainment" totalsRowLabel="Total" totalsRowDxfId="196"/>
    <tableColumn id="2" name="Jan" totalsRowFunction="sum" totalsRowDxfId="195"/>
    <tableColumn id="3" name="Feb" totalsRowFunction="sum" totalsRowDxfId="194"/>
    <tableColumn id="4" name="March" totalsRowFunction="sum" totalsRowDxfId="193"/>
    <tableColumn id="5" name="April" totalsRowFunction="sum" totalsRowDxfId="192"/>
    <tableColumn id="6" name="May" totalsRowFunction="sum" totalsRowDxfId="191"/>
    <tableColumn id="7" name="June" totalsRowFunction="sum" totalsRowDxfId="190"/>
    <tableColumn id="8" name="July" totalsRowFunction="sum" totalsRowDxfId="189"/>
    <tableColumn id="9" name="Aug" totalsRowFunction="sum" totalsRowDxfId="188"/>
    <tableColumn id="10" name="Sept" totalsRowFunction="sum" totalsRowDxfId="187"/>
    <tableColumn id="11" name="Oct" totalsRowFunction="sum" totalsRowDxfId="186"/>
    <tableColumn id="12" name="Nov" totalsRowFunction="sum" totalsRowDxfId="185"/>
    <tableColumn id="13" name="Dec" totalsRowFunction="sum" totalsRowDxfId="184"/>
    <tableColumn id="14" name="Year" totalsRowFunction="sum" totalsRowDxfId="183">
      <calculatedColumnFormula>SUM(tblEntertainment[[#This Row],[Jan]:[Dec]])</calculatedColumnFormula>
    </tableColumn>
    <tableColumn id="15" name="Column1" totalsRowDxfId="182"/>
  </tableColumns>
  <tableStyleInfo showFirstColumn="0" showLastColumn="0" showRowStripes="0" showColumnStripes="1"/>
  <extLst>
    <ext xmlns:x14="http://schemas.microsoft.com/office/spreadsheetml/2009/9/main" uri="{504A1905-F514-4f6f-8877-14C23A59335A}">
      <x14:table altText="Entertainment Expenses" altTextSummary="Enter your entertainment expenses for the year, separated by month."/>
    </ext>
  </extLst>
</table>
</file>

<file path=xl/tables/table6.xml><?xml version="1.0" encoding="utf-8"?>
<table xmlns="http://schemas.openxmlformats.org/spreadsheetml/2006/main" id="6" name="tblHealth" displayName="tblHealth" ref="C56:Q64" totalsRowCount="1" headerRowDxfId="181" dataDxfId="180" totalsRowDxfId="179">
  <autoFilter ref="C56:Q63"/>
  <tableColumns count="15">
    <tableColumn id="1" name="Health" totalsRowLabel="Total" totalsRowDxfId="178"/>
    <tableColumn id="2" name="Jan" totalsRowFunction="sum" totalsRowDxfId="177"/>
    <tableColumn id="3" name="Feb" totalsRowFunction="sum" totalsRowDxfId="176"/>
    <tableColumn id="4" name="March" totalsRowFunction="sum" totalsRowDxfId="175"/>
    <tableColumn id="5" name="April" totalsRowFunction="sum" totalsRowDxfId="174"/>
    <tableColumn id="6" name="May" totalsRowFunction="sum" totalsRowDxfId="173"/>
    <tableColumn id="7" name="June" totalsRowFunction="sum" totalsRowDxfId="172"/>
    <tableColumn id="8" name="July" totalsRowFunction="sum" totalsRowDxfId="171"/>
    <tableColumn id="9" name="Aug" totalsRowFunction="sum" totalsRowDxfId="170"/>
    <tableColumn id="10" name="Sept" totalsRowFunction="sum" totalsRowDxfId="169"/>
    <tableColumn id="11" name="Oct" totalsRowFunction="sum" totalsRowDxfId="168"/>
    <tableColumn id="12" name="Nov" totalsRowFunction="sum" totalsRowDxfId="167"/>
    <tableColumn id="13" name="Dec" totalsRowFunction="sum" totalsRowDxfId="166"/>
    <tableColumn id="14" name="Year" totalsRowFunction="sum" totalsRowDxfId="165">
      <calculatedColumnFormula>SUM(tblHealth[[#This Row],[Jan]:[Dec]])</calculatedColumnFormula>
    </tableColumn>
    <tableColumn id="15" name="Column1" totalsRowDxfId="164"/>
  </tableColumns>
  <tableStyleInfo showFirstColumn="0" showLastColumn="0" showRowStripes="0" showColumnStripes="1"/>
  <extLst>
    <ext xmlns:x14="http://schemas.microsoft.com/office/spreadsheetml/2009/9/main" uri="{504A1905-F514-4f6f-8877-14C23A59335A}">
      <x14:table altText="Health Expenses" altTextSummary="Enter your health expenses for the year, separated by month."/>
    </ext>
  </extLst>
</table>
</file>

<file path=xl/tables/table7.xml><?xml version="1.0" encoding="utf-8"?>
<table xmlns="http://schemas.openxmlformats.org/spreadsheetml/2006/main" id="7" name="tblVacations" displayName="tblVacations" ref="C68:Q75" totalsRowCount="1" headerRowDxfId="163" dataDxfId="162" totalsRowDxfId="161">
  <autoFilter ref="C68:Q74"/>
  <tableColumns count="15">
    <tableColumn id="1" name="Vacations" totalsRowLabel="Total" totalsRowDxfId="160"/>
    <tableColumn id="2" name="Jan" totalsRowFunction="sum" totalsRowDxfId="159"/>
    <tableColumn id="3" name="Feb" totalsRowFunction="sum" totalsRowDxfId="158"/>
    <tableColumn id="4" name="March" totalsRowFunction="sum" totalsRowDxfId="157"/>
    <tableColumn id="5" name="April" totalsRowFunction="sum" totalsRowDxfId="156"/>
    <tableColumn id="6" name="May" totalsRowFunction="sum" totalsRowDxfId="155"/>
    <tableColumn id="7" name="June" totalsRowFunction="sum" totalsRowDxfId="154"/>
    <tableColumn id="8" name="July" totalsRowFunction="sum" totalsRowDxfId="153"/>
    <tableColumn id="9" name="Aug" totalsRowFunction="sum" totalsRowDxfId="152"/>
    <tableColumn id="10" name="Sept" totalsRowFunction="sum" totalsRowDxfId="151"/>
    <tableColumn id="11" name="Oct" totalsRowFunction="sum" totalsRowDxfId="150"/>
    <tableColumn id="12" name="Nov" totalsRowFunction="sum" totalsRowDxfId="149"/>
    <tableColumn id="13" name="Dec" totalsRowFunction="sum" totalsRowDxfId="148"/>
    <tableColumn id="14" name="Year" totalsRowFunction="sum" totalsRowDxfId="147">
      <calculatedColumnFormula>SUM(tblVacations[[#This Row],[Jan]:[Dec]])</calculatedColumnFormula>
    </tableColumn>
    <tableColumn id="15" name="Column1" totalsRowDxfId="146"/>
  </tableColumns>
  <tableStyleInfo showFirstColumn="0" showLastColumn="0" showRowStripes="0" showColumnStripes="1"/>
  <extLst>
    <ext xmlns:x14="http://schemas.microsoft.com/office/spreadsheetml/2009/9/main" uri="{504A1905-F514-4f6f-8877-14C23A59335A}">
      <x14:table altText="Vacation Expenses" altTextSummary="Enter your vacation expenses for the year, separated by month."/>
    </ext>
  </extLst>
</table>
</file>

<file path=xl/tables/table8.xml><?xml version="1.0" encoding="utf-8"?>
<table xmlns="http://schemas.openxmlformats.org/spreadsheetml/2006/main" id="8" name="tblRecreation" displayName="tblRecreation" ref="C79:Q84" totalsRowCount="1" headerRowDxfId="145" dataDxfId="144" totalsRowDxfId="143">
  <autoFilter ref="C79:Q83"/>
  <tableColumns count="15">
    <tableColumn id="1" name="Recreation" totalsRowLabel="Total" dataDxfId="142" totalsRowDxfId="141"/>
    <tableColumn id="2" name="Jan" totalsRowFunction="sum" dataDxfId="140"/>
    <tableColumn id="3" name="Feb" totalsRowFunction="sum" dataDxfId="139" totalsRowDxfId="138"/>
    <tableColumn id="4" name="March" totalsRowFunction="sum" dataDxfId="137"/>
    <tableColumn id="5" name="April" totalsRowFunction="sum" dataDxfId="136" totalsRowDxfId="135"/>
    <tableColumn id="6" name="May" totalsRowFunction="sum" dataDxfId="134"/>
    <tableColumn id="7" name="June" totalsRowFunction="sum" dataDxfId="133" totalsRowDxfId="132"/>
    <tableColumn id="8" name="July" totalsRowFunction="sum" dataDxfId="131"/>
    <tableColumn id="9" name="Aug" totalsRowFunction="sum" dataDxfId="130" totalsRowDxfId="129"/>
    <tableColumn id="10" name="Sept" totalsRowFunction="sum" dataDxfId="128"/>
    <tableColumn id="11" name="Oct" totalsRowFunction="sum" dataDxfId="127" totalsRowDxfId="126"/>
    <tableColumn id="12" name="Nov" totalsRowFunction="sum" dataDxfId="125"/>
    <tableColumn id="13" name="Dec" totalsRowFunction="sum" dataDxfId="124" totalsRowDxfId="123"/>
    <tableColumn id="14" name="Year" totalsRowFunction="sum" dataDxfId="122">
      <calculatedColumnFormula>SUM(tblRecreation[[#This Row],[Jan]:[Dec]])</calculatedColumnFormula>
    </tableColumn>
    <tableColumn id="15" name="Column1" dataDxfId="121" totalsRowDxfId="120"/>
  </tableColumns>
  <tableStyleInfo showFirstColumn="0" showLastColumn="0" showRowStripes="0" showColumnStripes="1"/>
  <extLst>
    <ext xmlns:x14="http://schemas.microsoft.com/office/spreadsheetml/2009/9/main" uri="{504A1905-F514-4f6f-8877-14C23A59335A}">
      <x14:table altText="Recreation Expenses" altTextSummary="Enter your recreation expenses for the year, separated by month."/>
    </ext>
  </extLst>
</table>
</file>

<file path=xl/tables/table9.xml><?xml version="1.0" encoding="utf-8"?>
<table xmlns="http://schemas.openxmlformats.org/spreadsheetml/2006/main" id="9" name="tblDues" displayName="tblDues" ref="C88:Q96" totalsRowCount="1" headerRowDxfId="119" dataDxfId="118" totalsRowDxfId="117">
  <autoFilter ref="C88:Q95"/>
  <tableColumns count="15">
    <tableColumn id="1" name="Dues/subscriptions" totalsRowLabel="Total" dataDxfId="116" totalsRowDxfId="115"/>
    <tableColumn id="2" name="Jan" totalsRowFunction="sum" dataDxfId="114"/>
    <tableColumn id="3" name="Feb" totalsRowFunction="sum" dataDxfId="113" totalsRowDxfId="112"/>
    <tableColumn id="4" name="March" totalsRowFunction="sum" totalsRowDxfId="111"/>
    <tableColumn id="5" name="April" totalsRowFunction="sum" dataDxfId="110" totalsRowDxfId="109"/>
    <tableColumn id="6" name="May" totalsRowFunction="sum" dataDxfId="108"/>
    <tableColumn id="7" name="June" totalsRowFunction="sum" dataDxfId="107" totalsRowDxfId="106"/>
    <tableColumn id="8" name="July" totalsRowFunction="sum" dataDxfId="105"/>
    <tableColumn id="9" name="Aug" totalsRowFunction="sum" dataDxfId="104" totalsRowDxfId="103"/>
    <tableColumn id="10" name="Sept" totalsRowFunction="sum" dataDxfId="102"/>
    <tableColumn id="11" name="Oct" totalsRowFunction="sum" dataDxfId="101" totalsRowDxfId="100"/>
    <tableColumn id="12" name="Nov" totalsRowFunction="sum" dataDxfId="99"/>
    <tableColumn id="13" name="Dec" totalsRowFunction="sum" dataDxfId="98" totalsRowDxfId="97"/>
    <tableColumn id="14" name="Year" totalsRowFunction="sum" dataDxfId="96">
      <calculatedColumnFormula>SUM(tblDues[[#This Row],[Jan]:[Dec]])</calculatedColumnFormula>
    </tableColumn>
    <tableColumn id="15" name="Column1" dataDxfId="95" totalsRowDxfId="94"/>
  </tableColumns>
  <tableStyleInfo showFirstColumn="0" showLastColumn="0" showRowStripes="0" showColumnStripes="1"/>
  <extLst>
    <ext xmlns:x14="http://schemas.microsoft.com/office/spreadsheetml/2009/9/main" uri="{504A1905-F514-4f6f-8877-14C23A59335A}">
      <x14:table altText="Dues &amp; Subscription Expenses" altTextSummary="Enter your dues &amp; subscription expenses for the year, separated by month."/>
    </ext>
  </extLst>
</table>
</file>

<file path=xl/theme/theme1.xml><?xml version="1.0" encoding="utf-8"?>
<a:theme xmlns:a="http://schemas.openxmlformats.org/drawingml/2006/main" name="Office Theme">
  <a:themeElements>
    <a:clrScheme name="Custom 23">
      <a:dk1>
        <a:sysClr val="windowText" lastClr="000000"/>
      </a:dk1>
      <a:lt1>
        <a:sysClr val="window" lastClr="FFFFFF"/>
      </a:lt1>
      <a:dk2>
        <a:srgbClr val="304157"/>
      </a:dk2>
      <a:lt2>
        <a:srgbClr val="E7E6E6"/>
      </a:lt2>
      <a:accent1>
        <a:srgbClr val="1B79AD"/>
      </a:accent1>
      <a:accent2>
        <a:srgbClr val="1D7B7D"/>
      </a:accent2>
      <a:accent3>
        <a:srgbClr val="EF4755"/>
      </a:accent3>
      <a:accent4>
        <a:srgbClr val="FFC000"/>
      </a:accent4>
      <a:accent5>
        <a:srgbClr val="176795"/>
      </a:accent5>
      <a:accent6>
        <a:srgbClr val="4D81BF"/>
      </a:accent6>
      <a:hlink>
        <a:srgbClr val="F78F2F"/>
      </a:hlink>
      <a:folHlink>
        <a:srgbClr val="F78F2F"/>
      </a:folHlink>
    </a:clrScheme>
    <a:fontScheme name="Custom 13">
      <a:majorFont>
        <a:latin typeface="Gill Sans MT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A1:R142"/>
  <sheetViews>
    <sheetView showGridLines="0" tabSelected="1" topLeftCell="A18" zoomScale="96" zoomScaleNormal="96" workbookViewId="0"/>
  </sheetViews>
  <sheetFormatPr defaultRowHeight="12.75" x14ac:dyDescent="0.2"/>
  <cols>
    <col min="1" max="1" width="4.75" style="2" customWidth="1"/>
    <col min="2" max="2" width="1.875" style="17" customWidth="1"/>
    <col min="3" max="3" width="28.75" style="17" customWidth="1"/>
    <col min="4" max="16" width="12.375" style="1" customWidth="1"/>
    <col min="17" max="17" width="12.375" style="17" customWidth="1"/>
  </cols>
  <sheetData>
    <row r="1" spans="1:17" x14ac:dyDescent="0.2">
      <c r="A1" s="63"/>
      <c r="B1" s="64"/>
      <c r="C1" s="64"/>
      <c r="D1" s="65"/>
      <c r="E1" s="65"/>
    </row>
    <row r="2" spans="1:17" ht="35.25" customHeight="1" thickBot="1" x14ac:dyDescent="0.75">
      <c r="A2" s="63"/>
      <c r="B2" s="64"/>
      <c r="C2" s="73"/>
      <c r="D2" s="73"/>
      <c r="E2" s="66"/>
      <c r="F2" s="4"/>
      <c r="G2" s="4"/>
      <c r="H2" s="4"/>
      <c r="I2" s="62"/>
      <c r="J2" s="4"/>
      <c r="K2" s="4"/>
      <c r="L2" s="4"/>
      <c r="M2" s="4"/>
      <c r="N2" s="4"/>
      <c r="O2" s="4"/>
      <c r="P2" s="4"/>
      <c r="Q2" s="5"/>
    </row>
    <row r="3" spans="1:17" ht="26.25" customHeight="1" x14ac:dyDescent="0.2">
      <c r="A3" s="63"/>
      <c r="B3" s="64"/>
      <c r="C3" s="64"/>
      <c r="D3" s="65"/>
      <c r="E3" s="67"/>
    </row>
    <row r="4" spans="1:17" ht="21" customHeight="1" x14ac:dyDescent="0.2">
      <c r="B4" s="45"/>
      <c r="C4" s="14" t="s">
        <v>83</v>
      </c>
      <c r="D4" s="15" t="s">
        <v>70</v>
      </c>
      <c r="E4" s="15" t="s">
        <v>71</v>
      </c>
      <c r="F4" s="15" t="s">
        <v>73</v>
      </c>
      <c r="G4" s="15" t="s">
        <v>74</v>
      </c>
      <c r="H4" s="15" t="s">
        <v>72</v>
      </c>
      <c r="I4" s="15" t="s">
        <v>75</v>
      </c>
      <c r="J4" s="15" t="s">
        <v>76</v>
      </c>
      <c r="K4" s="15" t="s">
        <v>77</v>
      </c>
      <c r="L4" s="15" t="s">
        <v>78</v>
      </c>
      <c r="M4" s="15" t="s">
        <v>79</v>
      </c>
      <c r="N4" s="15" t="s">
        <v>80</v>
      </c>
      <c r="O4" s="15" t="s">
        <v>81</v>
      </c>
      <c r="P4" s="15" t="s">
        <v>82</v>
      </c>
      <c r="Q4" s="15"/>
    </row>
    <row r="5" spans="1:17" ht="21" customHeight="1" x14ac:dyDescent="0.2">
      <c r="B5" s="45"/>
      <c r="C5" s="18" t="s">
        <v>56</v>
      </c>
      <c r="D5" s="34"/>
      <c r="E5" s="34"/>
      <c r="F5" s="16"/>
      <c r="G5" s="33"/>
      <c r="H5" s="16"/>
      <c r="I5" s="16"/>
      <c r="J5" s="16"/>
      <c r="K5" s="16"/>
      <c r="L5" s="16"/>
      <c r="M5" s="16"/>
      <c r="N5" s="16"/>
      <c r="O5" s="16"/>
      <c r="P5" s="16"/>
      <c r="Q5" s="33" t="s">
        <v>86</v>
      </c>
    </row>
    <row r="6" spans="1:17" ht="15.95" hidden="1" customHeight="1" x14ac:dyDescent="0.2">
      <c r="B6" s="45"/>
      <c r="C6" t="s">
        <v>56</v>
      </c>
      <c r="D6" t="s">
        <v>89</v>
      </c>
      <c r="E6" t="s">
        <v>90</v>
      </c>
      <c r="F6" t="s">
        <v>91</v>
      </c>
      <c r="G6" t="s">
        <v>92</v>
      </c>
      <c r="H6" t="s">
        <v>93</v>
      </c>
      <c r="I6" t="s">
        <v>94</v>
      </c>
      <c r="J6" t="s">
        <v>95</v>
      </c>
      <c r="K6" t="s">
        <v>96</v>
      </c>
      <c r="L6" t="s">
        <v>97</v>
      </c>
      <c r="M6" t="s">
        <v>98</v>
      </c>
      <c r="N6" t="s">
        <v>99</v>
      </c>
      <c r="O6" t="s">
        <v>100</v>
      </c>
      <c r="P6" t="s">
        <v>101</v>
      </c>
      <c r="Q6" t="s">
        <v>87</v>
      </c>
    </row>
    <row r="7" spans="1:17" ht="15.95" customHeight="1" x14ac:dyDescent="0.2">
      <c r="B7" s="45"/>
      <c r="C7" s="12" t="s">
        <v>0</v>
      </c>
      <c r="D7" s="8">
        <v>2600</v>
      </c>
      <c r="E7" s="8">
        <v>2600</v>
      </c>
      <c r="F7" s="8">
        <v>2600</v>
      </c>
      <c r="G7" s="8"/>
      <c r="H7" s="8"/>
      <c r="I7" s="8"/>
      <c r="J7" s="8"/>
      <c r="K7" s="8"/>
      <c r="L7" s="8"/>
      <c r="M7" s="8"/>
      <c r="N7" s="8"/>
      <c r="O7" s="8"/>
      <c r="P7" s="8">
        <f>SUM(tblIncome[[#This Row],[Jan]:[Dec]])</f>
        <v>7800</v>
      </c>
      <c r="Q7" s="8"/>
    </row>
    <row r="8" spans="1:17" ht="15.95" customHeight="1" x14ac:dyDescent="0.2">
      <c r="B8" s="45"/>
      <c r="C8" s="12" t="s">
        <v>88</v>
      </c>
      <c r="D8" s="8">
        <v>649</v>
      </c>
      <c r="E8" s="8">
        <v>313</v>
      </c>
      <c r="F8" s="8">
        <v>664</v>
      </c>
      <c r="G8" s="8"/>
      <c r="H8" s="8"/>
      <c r="I8" s="8"/>
      <c r="J8" s="8"/>
      <c r="K8" s="8"/>
      <c r="L8" s="8"/>
      <c r="M8" s="8"/>
      <c r="N8" s="8"/>
      <c r="O8" s="8"/>
      <c r="P8" s="8">
        <f>SUM(tblIncome[[#This Row],[Jan]:[Dec]])</f>
        <v>1626</v>
      </c>
      <c r="Q8" s="27"/>
    </row>
    <row r="9" spans="1:17" ht="15.95" customHeight="1" x14ac:dyDescent="0.2">
      <c r="B9" s="45"/>
      <c r="C9" s="12" t="s">
        <v>1</v>
      </c>
      <c r="D9" s="8">
        <v>474</v>
      </c>
      <c r="E9" s="8">
        <v>643</v>
      </c>
      <c r="F9" s="8">
        <v>380</v>
      </c>
      <c r="G9" s="8"/>
      <c r="H9" s="8"/>
      <c r="I9" s="8"/>
      <c r="J9" s="8"/>
      <c r="K9" s="8"/>
      <c r="L9" s="8"/>
      <c r="M9" s="8"/>
      <c r="N9" s="8"/>
      <c r="O9" s="8"/>
      <c r="P9" s="8">
        <f>SUM(tblIncome[[#This Row],[Jan]:[Dec]])</f>
        <v>1497</v>
      </c>
      <c r="Q9" s="8"/>
    </row>
    <row r="10" spans="1:17" ht="21" customHeight="1" x14ac:dyDescent="0.2">
      <c r="B10" s="45"/>
      <c r="C10" s="58" t="s">
        <v>55</v>
      </c>
      <c r="D10" s="27">
        <f>SUBTOTAL(109,tblIncome[Jan])</f>
        <v>3723</v>
      </c>
      <c r="E10" s="27">
        <f>SUBTOTAL(109,tblIncome[Feb])</f>
        <v>3556</v>
      </c>
      <c r="F10" s="27">
        <f>SUBTOTAL(109,tblIncome[March])</f>
        <v>3644</v>
      </c>
      <c r="G10" s="27">
        <f>SUBTOTAL(109,tblIncome[April])</f>
        <v>0</v>
      </c>
      <c r="H10" s="27">
        <f>SUBTOTAL(109,tblIncome[May])</f>
        <v>0</v>
      </c>
      <c r="I10" s="27">
        <f>SUBTOTAL(109,tblIncome[June])</f>
        <v>0</v>
      </c>
      <c r="J10" s="27">
        <f>SUBTOTAL(109,tblIncome[July])</f>
        <v>0</v>
      </c>
      <c r="K10" s="27">
        <f>SUBTOTAL(109,tblIncome[Aug])</f>
        <v>0</v>
      </c>
      <c r="L10" s="27">
        <f>SUBTOTAL(109,tblIncome[Sept])</f>
        <v>0</v>
      </c>
      <c r="M10" s="27">
        <f>SUBTOTAL(109,tblIncome[Oct])</f>
        <v>0</v>
      </c>
      <c r="N10" s="27">
        <f>SUBTOTAL(109,tblIncome[Nov])</f>
        <v>0</v>
      </c>
      <c r="O10" s="27">
        <f>SUBTOTAL(109,tblIncome[Dec])</f>
        <v>0</v>
      </c>
      <c r="P10" s="27">
        <f>SUBTOTAL(109,tblIncome[Year])</f>
        <v>10923</v>
      </c>
      <c r="Q10" s="28"/>
    </row>
    <row r="11" spans="1:17" s="17" customFormat="1" ht="8.1" customHeight="1" x14ac:dyDescent="0.2">
      <c r="B11" s="4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</row>
    <row r="12" spans="1:17" ht="24" customHeight="1" x14ac:dyDescent="0.2"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</row>
    <row r="13" spans="1:17" ht="21" customHeight="1" x14ac:dyDescent="0.2">
      <c r="B13" s="46"/>
      <c r="C13" s="14" t="s">
        <v>57</v>
      </c>
      <c r="D13" s="15" t="s">
        <v>70</v>
      </c>
      <c r="E13" s="15" t="s">
        <v>71</v>
      </c>
      <c r="F13" s="15" t="s">
        <v>73</v>
      </c>
      <c r="G13" s="15" t="s">
        <v>74</v>
      </c>
      <c r="H13" s="15" t="s">
        <v>72</v>
      </c>
      <c r="I13" s="15" t="s">
        <v>75</v>
      </c>
      <c r="J13" s="15" t="s">
        <v>76</v>
      </c>
      <c r="K13" s="15" t="s">
        <v>77</v>
      </c>
      <c r="L13" s="15" t="s">
        <v>78</v>
      </c>
      <c r="M13" s="15" t="s">
        <v>79</v>
      </c>
      <c r="N13" s="15" t="s">
        <v>80</v>
      </c>
      <c r="O13" s="15" t="s">
        <v>81</v>
      </c>
      <c r="P13" s="15" t="s">
        <v>82</v>
      </c>
      <c r="Q13" s="15"/>
    </row>
    <row r="14" spans="1:17" ht="21" customHeight="1" x14ac:dyDescent="0.2">
      <c r="B14" s="46"/>
      <c r="C14" s="29" t="s">
        <v>58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</row>
    <row r="15" spans="1:17" ht="15.95" hidden="1" customHeight="1" x14ac:dyDescent="0.2">
      <c r="B15" s="46"/>
      <c r="C15" t="s">
        <v>102</v>
      </c>
      <c r="D15" t="s">
        <v>89</v>
      </c>
      <c r="E15" t="s">
        <v>90</v>
      </c>
      <c r="F15" t="s">
        <v>91</v>
      </c>
      <c r="G15" t="s">
        <v>92</v>
      </c>
      <c r="H15" t="s">
        <v>93</v>
      </c>
      <c r="I15" t="s">
        <v>94</v>
      </c>
      <c r="J15" t="s">
        <v>95</v>
      </c>
      <c r="K15" t="s">
        <v>96</v>
      </c>
      <c r="L15" t="s">
        <v>97</v>
      </c>
      <c r="M15" t="s">
        <v>98</v>
      </c>
      <c r="N15" t="s">
        <v>99</v>
      </c>
      <c r="O15" t="s">
        <v>100</v>
      </c>
      <c r="P15" t="s">
        <v>101</v>
      </c>
      <c r="Q15" t="s">
        <v>87</v>
      </c>
    </row>
    <row r="16" spans="1:17" ht="15.95" customHeight="1" x14ac:dyDescent="0.2">
      <c r="B16" s="46"/>
      <c r="C16" s="11" t="s">
        <v>84</v>
      </c>
      <c r="D16" s="9">
        <v>750</v>
      </c>
      <c r="E16" s="9">
        <v>750</v>
      </c>
      <c r="F16" s="9">
        <v>750</v>
      </c>
      <c r="G16" s="9"/>
      <c r="H16" s="9"/>
      <c r="I16" s="9"/>
      <c r="J16" s="9"/>
      <c r="K16" s="9"/>
      <c r="L16" s="9"/>
      <c r="M16" s="9"/>
      <c r="N16" s="9"/>
      <c r="O16" s="9"/>
      <c r="P16" s="9">
        <f>SUM(tblHome[[#This Row],[Jan]:[Dec]])</f>
        <v>2250</v>
      </c>
      <c r="Q16" s="9"/>
    </row>
    <row r="17" spans="1:18" ht="15.95" customHeight="1" x14ac:dyDescent="0.2">
      <c r="B17" s="46"/>
      <c r="C17" s="11" t="s">
        <v>10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>
        <f>SUM(tblHome[[#This Row],[Jan]:[Dec]])</f>
        <v>0</v>
      </c>
      <c r="Q17" s="30"/>
    </row>
    <row r="18" spans="1:18" ht="15.95" customHeight="1" x14ac:dyDescent="0.2">
      <c r="B18" s="46"/>
      <c r="C18" s="11" t="s">
        <v>11</v>
      </c>
      <c r="D18" s="9"/>
      <c r="E18" s="9"/>
      <c r="F18" s="9">
        <v>75</v>
      </c>
      <c r="G18" s="9"/>
      <c r="H18" s="9"/>
      <c r="I18" s="9"/>
      <c r="J18" s="9"/>
      <c r="K18" s="9"/>
      <c r="L18" s="9"/>
      <c r="M18" s="9"/>
      <c r="N18" s="9"/>
      <c r="O18" s="9"/>
      <c r="P18" s="9">
        <f>SUM(tblHome[[#This Row],[Jan]:[Dec]])</f>
        <v>75</v>
      </c>
      <c r="Q18" s="9"/>
    </row>
    <row r="19" spans="1:18" ht="15.95" customHeight="1" x14ac:dyDescent="0.2">
      <c r="B19" s="46"/>
      <c r="C19" s="11" t="s">
        <v>85</v>
      </c>
      <c r="D19" s="9">
        <v>35</v>
      </c>
      <c r="E19" s="9">
        <v>35</v>
      </c>
      <c r="F19" s="9">
        <v>35</v>
      </c>
      <c r="G19" s="9"/>
      <c r="H19" s="9"/>
      <c r="I19" s="9"/>
      <c r="J19" s="9"/>
      <c r="K19" s="9"/>
      <c r="L19" s="9"/>
      <c r="M19" s="9"/>
      <c r="N19" s="9"/>
      <c r="O19" s="9"/>
      <c r="P19" s="9">
        <f>SUM(tblHome[[#This Row],[Jan]:[Dec]])</f>
        <v>105</v>
      </c>
      <c r="Q19" s="30"/>
      <c r="R19" s="13"/>
    </row>
    <row r="20" spans="1:18" ht="15.95" customHeight="1" x14ac:dyDescent="0.2">
      <c r="B20" s="46"/>
      <c r="C20" s="11" t="s">
        <v>2</v>
      </c>
      <c r="D20" s="9">
        <v>165</v>
      </c>
      <c r="E20" s="9">
        <v>165</v>
      </c>
      <c r="F20" s="9">
        <v>165</v>
      </c>
      <c r="G20" s="9"/>
      <c r="H20" s="9"/>
      <c r="I20" s="9"/>
      <c r="J20" s="9"/>
      <c r="K20" s="9"/>
      <c r="L20" s="9"/>
      <c r="M20" s="9"/>
      <c r="N20" s="9"/>
      <c r="O20" s="9"/>
      <c r="P20" s="9">
        <f>SUM(tblHome[[#This Row],[Jan]:[Dec]])</f>
        <v>495</v>
      </c>
      <c r="Q20" s="9"/>
    </row>
    <row r="21" spans="1:18" s="17" customFormat="1" ht="21" customHeight="1" x14ac:dyDescent="0.2">
      <c r="B21" s="46"/>
      <c r="C21" s="32" t="s">
        <v>55</v>
      </c>
      <c r="D21" s="30">
        <f>SUBTOTAL(109,tblHome[Jan])</f>
        <v>950</v>
      </c>
      <c r="E21" s="30">
        <f>SUBTOTAL(109,tblHome[Feb])</f>
        <v>950</v>
      </c>
      <c r="F21" s="30">
        <f>SUBTOTAL(109,tblHome[March])</f>
        <v>1025</v>
      </c>
      <c r="G21" s="30">
        <f>SUBTOTAL(109,tblHome[April])</f>
        <v>0</v>
      </c>
      <c r="H21" s="30">
        <f>SUBTOTAL(109,tblHome[May])</f>
        <v>0</v>
      </c>
      <c r="I21" s="30">
        <f>SUBTOTAL(109,tblHome[June])</f>
        <v>0</v>
      </c>
      <c r="J21" s="30">
        <f>SUBTOTAL(109,tblHome[July])</f>
        <v>0</v>
      </c>
      <c r="K21" s="30">
        <f>SUBTOTAL(109,tblHome[Aug])</f>
        <v>0</v>
      </c>
      <c r="L21" s="30">
        <f>SUBTOTAL(109,tblHome[Sept])</f>
        <v>0</v>
      </c>
      <c r="M21" s="30">
        <f>SUBTOTAL(109,tblHome[Oct])</f>
        <v>0</v>
      </c>
      <c r="N21" s="30">
        <f>SUBTOTAL(109,tblHome[Nov])</f>
        <v>0</v>
      </c>
      <c r="O21" s="30">
        <f>SUBTOTAL(109,tblHome[Dec])</f>
        <v>0</v>
      </c>
      <c r="P21" s="30">
        <f>SUBTOTAL(109,tblHome[Year])</f>
        <v>2925</v>
      </c>
      <c r="Q21" s="31"/>
    </row>
    <row r="22" spans="1:18" ht="8.1" customHeight="1" x14ac:dyDescent="0.2">
      <c r="B22" s="46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</row>
    <row r="23" spans="1:18" ht="24" customHeight="1" x14ac:dyDescent="0.2">
      <c r="B23" s="35"/>
      <c r="C23" s="35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</row>
    <row r="24" spans="1:18" ht="21" customHeight="1" x14ac:dyDescent="0.2">
      <c r="B24" s="55"/>
      <c r="C24" s="57" t="s">
        <v>60</v>
      </c>
      <c r="D24" s="25"/>
      <c r="E24" s="7"/>
      <c r="F24" s="25"/>
      <c r="G24" s="7"/>
      <c r="H24" s="25"/>
      <c r="I24" s="7"/>
      <c r="J24" s="25"/>
      <c r="K24" s="7"/>
      <c r="L24" s="25"/>
      <c r="M24" s="7"/>
      <c r="N24" s="25"/>
      <c r="O24" s="7"/>
      <c r="P24" s="25"/>
      <c r="Q24" s="7"/>
    </row>
    <row r="25" spans="1:18" ht="15.95" hidden="1" customHeight="1" x14ac:dyDescent="0.2">
      <c r="B25" s="55"/>
      <c r="C25" t="s">
        <v>103</v>
      </c>
      <c r="D25" t="s">
        <v>89</v>
      </c>
      <c r="E25" t="s">
        <v>90</v>
      </c>
      <c r="F25" t="s">
        <v>91</v>
      </c>
      <c r="G25" t="s">
        <v>92</v>
      </c>
      <c r="H25" t="s">
        <v>93</v>
      </c>
      <c r="I25" t="s">
        <v>94</v>
      </c>
      <c r="J25" t="s">
        <v>95</v>
      </c>
      <c r="K25" t="s">
        <v>96</v>
      </c>
      <c r="L25" t="s">
        <v>97</v>
      </c>
      <c r="M25" t="s">
        <v>98</v>
      </c>
      <c r="N25" t="s">
        <v>99</v>
      </c>
      <c r="O25" t="s">
        <v>100</v>
      </c>
      <c r="P25" t="s">
        <v>101</v>
      </c>
      <c r="Q25" t="s">
        <v>87</v>
      </c>
    </row>
    <row r="26" spans="1:18" ht="15.95" customHeight="1" x14ac:dyDescent="0.2">
      <c r="B26" s="55"/>
      <c r="C26" s="39" t="s">
        <v>3</v>
      </c>
      <c r="D26" s="24">
        <v>191</v>
      </c>
      <c r="E26" s="40">
        <v>152</v>
      </c>
      <c r="F26" s="24">
        <v>145</v>
      </c>
      <c r="G26" s="40"/>
      <c r="H26" s="24"/>
      <c r="I26" s="40"/>
      <c r="J26" s="24"/>
      <c r="K26" s="40"/>
      <c r="L26" s="24"/>
      <c r="M26" s="40"/>
      <c r="N26" s="24"/>
      <c r="O26" s="40"/>
      <c r="P26" s="24">
        <f>SUM(tblDaily[[#This Row],[Jan]:[Dec]])</f>
        <v>488</v>
      </c>
      <c r="Q26" s="19"/>
    </row>
    <row r="27" spans="1:18" ht="15.95" customHeight="1" x14ac:dyDescent="0.2">
      <c r="B27" s="55"/>
      <c r="C27" s="39" t="s">
        <v>4</v>
      </c>
      <c r="D27" s="24">
        <v>200</v>
      </c>
      <c r="E27" s="40">
        <v>200</v>
      </c>
      <c r="F27" s="24">
        <v>200</v>
      </c>
      <c r="G27" s="40"/>
      <c r="H27" s="24"/>
      <c r="I27" s="40"/>
      <c r="J27" s="24"/>
      <c r="K27" s="40"/>
      <c r="L27" s="24"/>
      <c r="M27" s="40"/>
      <c r="N27" s="24"/>
      <c r="O27" s="40"/>
      <c r="P27" s="24">
        <f>SUM(tblDaily[[#This Row],[Jan]:[Dec]])</f>
        <v>600</v>
      </c>
      <c r="Q27" s="40"/>
    </row>
    <row r="28" spans="1:18" ht="15.95" customHeight="1" x14ac:dyDescent="0.2">
      <c r="B28" s="55"/>
      <c r="C28" s="39" t="s">
        <v>5</v>
      </c>
      <c r="D28" s="24">
        <v>20</v>
      </c>
      <c r="E28" s="40"/>
      <c r="F28" s="24">
        <v>20</v>
      </c>
      <c r="G28" s="40"/>
      <c r="H28" s="24"/>
      <c r="I28" s="40"/>
      <c r="J28" s="24"/>
      <c r="K28" s="40"/>
      <c r="L28" s="24"/>
      <c r="M28" s="40"/>
      <c r="N28" s="24"/>
      <c r="O28" s="40"/>
      <c r="P28" s="24">
        <f>SUM(tblDaily[[#This Row],[Jan]:[Dec]])</f>
        <v>40</v>
      </c>
      <c r="Q28" s="19"/>
    </row>
    <row r="29" spans="1:18" ht="15.95" customHeight="1" x14ac:dyDescent="0.2">
      <c r="B29" s="55"/>
      <c r="C29" s="39" t="s">
        <v>6</v>
      </c>
      <c r="D29" s="24">
        <v>55</v>
      </c>
      <c r="E29" s="40"/>
      <c r="F29" s="24">
        <v>56</v>
      </c>
      <c r="G29" s="40"/>
      <c r="H29" s="24"/>
      <c r="I29" s="40"/>
      <c r="J29" s="24"/>
      <c r="K29" s="40"/>
      <c r="L29" s="24"/>
      <c r="M29" s="40"/>
      <c r="N29" s="24"/>
      <c r="O29" s="40"/>
      <c r="P29" s="24">
        <f>SUM(tblDaily[[#This Row],[Jan]:[Dec]])</f>
        <v>111</v>
      </c>
      <c r="Q29" s="40"/>
    </row>
    <row r="30" spans="1:18" s="17" customFormat="1" ht="15.95" customHeight="1" x14ac:dyDescent="0.2">
      <c r="A30" s="2"/>
      <c r="B30" s="55"/>
      <c r="C30" s="39" t="s">
        <v>7</v>
      </c>
      <c r="D30" s="24">
        <v>25</v>
      </c>
      <c r="E30" s="40">
        <v>17</v>
      </c>
      <c r="F30" s="24">
        <v>7</v>
      </c>
      <c r="G30" s="40"/>
      <c r="H30" s="24"/>
      <c r="I30" s="40"/>
      <c r="J30" s="24"/>
      <c r="K30" s="40"/>
      <c r="L30" s="24"/>
      <c r="M30" s="40"/>
      <c r="N30" s="24"/>
      <c r="O30" s="40"/>
      <c r="P30" s="24">
        <f>SUM(tblDaily[[#This Row],[Jan]:[Dec]])</f>
        <v>49</v>
      </c>
      <c r="Q30" s="19"/>
    </row>
    <row r="31" spans="1:18" s="17" customFormat="1" ht="19.5" customHeight="1" x14ac:dyDescent="0.2">
      <c r="B31" s="55"/>
      <c r="C31" s="39" t="s">
        <v>8</v>
      </c>
      <c r="D31" s="24">
        <v>10</v>
      </c>
      <c r="E31" s="40">
        <v>5</v>
      </c>
      <c r="F31" s="24">
        <v>7</v>
      </c>
      <c r="G31" s="40"/>
      <c r="H31" s="24"/>
      <c r="I31" s="40"/>
      <c r="J31" s="24"/>
      <c r="K31" s="40"/>
      <c r="L31" s="24"/>
      <c r="M31" s="40"/>
      <c r="N31" s="24"/>
      <c r="O31" s="40"/>
      <c r="P31" s="24">
        <f>SUM(tblDaily[[#This Row],[Jan]:[Dec]])</f>
        <v>22</v>
      </c>
      <c r="Q31" s="40"/>
    </row>
    <row r="32" spans="1:18" ht="21" customHeight="1" x14ac:dyDescent="0.2">
      <c r="B32" s="55"/>
      <c r="C32" s="38" t="s">
        <v>55</v>
      </c>
      <c r="D32" s="21">
        <f>SUBTOTAL(109,tblDaily[Jan])</f>
        <v>501</v>
      </c>
      <c r="E32" s="19">
        <f>SUBTOTAL(109,tblDaily[Feb])</f>
        <v>374</v>
      </c>
      <c r="F32" s="21">
        <f>SUBTOTAL(109,tblDaily[March])</f>
        <v>435</v>
      </c>
      <c r="G32" s="19">
        <f>SUBTOTAL(109,tblDaily[April])</f>
        <v>0</v>
      </c>
      <c r="H32" s="21">
        <f>SUBTOTAL(109,tblDaily[May])</f>
        <v>0</v>
      </c>
      <c r="I32" s="19">
        <f>SUBTOTAL(109,tblDaily[June])</f>
        <v>0</v>
      </c>
      <c r="J32" s="21">
        <f>SUBTOTAL(109,tblDaily[July])</f>
        <v>0</v>
      </c>
      <c r="K32" s="19">
        <f>SUBTOTAL(109,tblDaily[Aug])</f>
        <v>0</v>
      </c>
      <c r="L32" s="21">
        <f>SUBTOTAL(109,tblDaily[Sept])</f>
        <v>0</v>
      </c>
      <c r="M32" s="19">
        <f>SUBTOTAL(109,tblDaily[Oct])</f>
        <v>0</v>
      </c>
      <c r="N32" s="21">
        <f>SUBTOTAL(109,tblDaily[Nov])</f>
        <v>0</v>
      </c>
      <c r="O32" s="19">
        <f>SUBTOTAL(109,tblDaily[Dec])</f>
        <v>0</v>
      </c>
      <c r="P32" s="21">
        <f>SUBTOTAL(109,tblDaily[Year])</f>
        <v>1310</v>
      </c>
      <c r="Q32" s="20"/>
    </row>
    <row r="33" spans="1:17" ht="8.1" customHeight="1" x14ac:dyDescent="0.2">
      <c r="B33" s="55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</row>
    <row r="34" spans="1:17" ht="20.100000000000001" customHeight="1" x14ac:dyDescent="0.2">
      <c r="B34" s="35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</row>
    <row r="35" spans="1:17" ht="21" customHeight="1" x14ac:dyDescent="0.2">
      <c r="B35" s="55"/>
      <c r="C35" s="36" t="s">
        <v>59</v>
      </c>
      <c r="D35" s="25"/>
      <c r="E35" s="7"/>
      <c r="F35" s="25"/>
      <c r="G35" s="7"/>
      <c r="H35" s="25"/>
      <c r="I35" s="7"/>
      <c r="J35" s="25"/>
      <c r="K35" s="7"/>
      <c r="L35" s="25"/>
      <c r="M35" s="7"/>
      <c r="N35" s="25"/>
      <c r="O35" s="7"/>
      <c r="P35" s="25"/>
      <c r="Q35" s="7"/>
    </row>
    <row r="36" spans="1:17" ht="15.95" hidden="1" customHeight="1" x14ac:dyDescent="0.2">
      <c r="B36" s="55"/>
      <c r="C36" t="s">
        <v>104</v>
      </c>
      <c r="D36" t="s">
        <v>89</v>
      </c>
      <c r="E36" t="s">
        <v>90</v>
      </c>
      <c r="F36" t="s">
        <v>91</v>
      </c>
      <c r="G36" t="s">
        <v>92</v>
      </c>
      <c r="H36" t="s">
        <v>93</v>
      </c>
      <c r="I36" t="s">
        <v>94</v>
      </c>
      <c r="J36" t="s">
        <v>95</v>
      </c>
      <c r="K36" t="s">
        <v>96</v>
      </c>
      <c r="L36" t="s">
        <v>97</v>
      </c>
      <c r="M36" t="s">
        <v>98</v>
      </c>
      <c r="N36" t="s">
        <v>99</v>
      </c>
      <c r="O36" t="s">
        <v>100</v>
      </c>
      <c r="P36" t="s">
        <v>101</v>
      </c>
      <c r="Q36" t="s">
        <v>87</v>
      </c>
    </row>
    <row r="37" spans="1:17" ht="15.95" customHeight="1" x14ac:dyDescent="0.2">
      <c r="B37" s="55"/>
      <c r="C37" s="10" t="s">
        <v>9</v>
      </c>
      <c r="D37" s="24">
        <v>195</v>
      </c>
      <c r="E37" s="6">
        <v>125</v>
      </c>
      <c r="F37" s="24">
        <v>171</v>
      </c>
      <c r="G37" s="6"/>
      <c r="H37" s="24"/>
      <c r="I37" s="6"/>
      <c r="J37" s="24"/>
      <c r="K37" s="6"/>
      <c r="L37" s="24"/>
      <c r="M37" s="6"/>
      <c r="N37" s="24"/>
      <c r="O37" s="6"/>
      <c r="P37" s="24">
        <f>SUM(tblTransportation[[#This Row],[Jan]:[Dec]])</f>
        <v>491</v>
      </c>
      <c r="Q37" s="19"/>
    </row>
    <row r="38" spans="1:17" ht="15.95" customHeight="1" x14ac:dyDescent="0.2">
      <c r="B38" s="55"/>
      <c r="C38" s="10" t="s">
        <v>10</v>
      </c>
      <c r="D38" s="24">
        <v>165</v>
      </c>
      <c r="E38" s="6">
        <v>165</v>
      </c>
      <c r="F38" s="24">
        <v>165</v>
      </c>
      <c r="G38" s="6"/>
      <c r="H38" s="24"/>
      <c r="I38" s="6"/>
      <c r="J38" s="24"/>
      <c r="K38" s="6"/>
      <c r="L38" s="24"/>
      <c r="M38" s="6"/>
      <c r="N38" s="24"/>
      <c r="O38" s="6"/>
      <c r="P38" s="24">
        <f>SUM(tblTransportation[[#This Row],[Jan]:[Dec]])</f>
        <v>495</v>
      </c>
      <c r="Q38" s="6"/>
    </row>
    <row r="39" spans="1:17" ht="15.95" customHeight="1" x14ac:dyDescent="0.2">
      <c r="B39" s="55"/>
      <c r="C39" s="10" t="s">
        <v>11</v>
      </c>
      <c r="D39" s="24"/>
      <c r="E39" s="6"/>
      <c r="F39" s="24"/>
      <c r="G39" s="6"/>
      <c r="H39" s="24"/>
      <c r="I39" s="6"/>
      <c r="J39" s="24"/>
      <c r="K39" s="6"/>
      <c r="L39" s="24"/>
      <c r="M39" s="6"/>
      <c r="N39" s="24"/>
      <c r="O39" s="6"/>
      <c r="P39" s="24">
        <f>SUM(tblTransportation[[#This Row],[Jan]:[Dec]])</f>
        <v>0</v>
      </c>
      <c r="Q39" s="19"/>
    </row>
    <row r="40" spans="1:17" s="17" customFormat="1" ht="15.95" customHeight="1" x14ac:dyDescent="0.2">
      <c r="A40" s="2"/>
      <c r="B40" s="55"/>
      <c r="C40" s="10" t="s">
        <v>12</v>
      </c>
      <c r="D40" s="24">
        <v>10</v>
      </c>
      <c r="E40" s="6"/>
      <c r="F40" s="24"/>
      <c r="G40" s="6"/>
      <c r="H40" s="24"/>
      <c r="I40" s="6"/>
      <c r="J40" s="24"/>
      <c r="K40" s="6"/>
      <c r="L40" s="24"/>
      <c r="M40" s="6"/>
      <c r="N40" s="24"/>
      <c r="O40" s="6"/>
      <c r="P40" s="24">
        <f>SUM(tblTransportation[[#This Row],[Jan]:[Dec]])</f>
        <v>10</v>
      </c>
      <c r="Q40" s="6"/>
    </row>
    <row r="41" spans="1:17" s="17" customFormat="1" ht="15.95" customHeight="1" x14ac:dyDescent="0.2">
      <c r="B41" s="55"/>
      <c r="C41" s="10" t="s">
        <v>13</v>
      </c>
      <c r="D41" s="24">
        <v>10</v>
      </c>
      <c r="E41" s="6">
        <v>40</v>
      </c>
      <c r="F41" s="24">
        <v>20</v>
      </c>
      <c r="G41" s="6"/>
      <c r="H41" s="24"/>
      <c r="I41" s="6"/>
      <c r="J41" s="24"/>
      <c r="K41" s="6"/>
      <c r="L41" s="24"/>
      <c r="M41" s="6"/>
      <c r="N41" s="24"/>
      <c r="O41" s="6"/>
      <c r="P41" s="24">
        <f>SUM(tblTransportation[[#This Row],[Jan]:[Dec]])</f>
        <v>70</v>
      </c>
      <c r="Q41" s="19"/>
    </row>
    <row r="42" spans="1:17" ht="15.95" customHeight="1" x14ac:dyDescent="0.2">
      <c r="B42" s="55"/>
      <c r="C42" s="10" t="s">
        <v>14</v>
      </c>
      <c r="D42" s="24">
        <v>20</v>
      </c>
      <c r="E42" s="6">
        <v>40</v>
      </c>
      <c r="F42" s="24">
        <v>30</v>
      </c>
      <c r="G42" s="6"/>
      <c r="H42" s="24"/>
      <c r="I42" s="6"/>
      <c r="J42" s="24"/>
      <c r="K42" s="6"/>
      <c r="L42" s="24"/>
      <c r="M42" s="6"/>
      <c r="N42" s="24"/>
      <c r="O42" s="6"/>
      <c r="P42" s="24">
        <f>SUM(tblTransportation[[#This Row],[Jan]:[Dec]])</f>
        <v>90</v>
      </c>
      <c r="Q42" s="6"/>
    </row>
    <row r="43" spans="1:17" ht="21" customHeight="1" x14ac:dyDescent="0.2">
      <c r="B43" s="55"/>
      <c r="C43" s="38" t="s">
        <v>55</v>
      </c>
      <c r="D43" s="21">
        <f>SUBTOTAL(109,tblTransportation[Jan])</f>
        <v>400</v>
      </c>
      <c r="E43" s="19">
        <f>SUBTOTAL(109,tblTransportation[Feb])</f>
        <v>370</v>
      </c>
      <c r="F43" s="21">
        <f>SUBTOTAL(109,tblTransportation[March])</f>
        <v>386</v>
      </c>
      <c r="G43" s="19">
        <f>SUBTOTAL(109,tblTransportation[April])</f>
        <v>0</v>
      </c>
      <c r="H43" s="21">
        <f>SUBTOTAL(109,tblTransportation[May])</f>
        <v>0</v>
      </c>
      <c r="I43" s="19">
        <f>SUBTOTAL(109,tblTransportation[June])</f>
        <v>0</v>
      </c>
      <c r="J43" s="21">
        <f>SUBTOTAL(109,tblTransportation[July])</f>
        <v>0</v>
      </c>
      <c r="K43" s="19">
        <f>SUBTOTAL(109,tblTransportation[Aug])</f>
        <v>0</v>
      </c>
      <c r="L43" s="21">
        <f>SUBTOTAL(109,tblTransportation[Sept])</f>
        <v>0</v>
      </c>
      <c r="M43" s="19">
        <f>SUBTOTAL(109,tblTransportation[Oct])</f>
        <v>0</v>
      </c>
      <c r="N43" s="21">
        <f>SUBTOTAL(109,tblTransportation[Nov])</f>
        <v>0</v>
      </c>
      <c r="O43" s="19">
        <f>SUBTOTAL(109,tblTransportation[Dec])</f>
        <v>0</v>
      </c>
      <c r="P43" s="21">
        <f>SUBTOTAL(109,tblTransportation[Year])</f>
        <v>1156</v>
      </c>
      <c r="Q43" s="20"/>
    </row>
    <row r="44" spans="1:17" ht="8.1" customHeight="1" x14ac:dyDescent="0.2">
      <c r="B44" s="55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</row>
    <row r="45" spans="1:17" ht="20.100000000000001" customHeight="1" x14ac:dyDescent="0.2">
      <c r="B45" s="35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</row>
    <row r="46" spans="1:17" ht="21" customHeight="1" x14ac:dyDescent="0.2">
      <c r="B46" s="56"/>
      <c r="C46" s="43" t="s">
        <v>61</v>
      </c>
      <c r="D46" s="23"/>
      <c r="E46" s="7"/>
      <c r="F46" s="23"/>
      <c r="G46" s="7"/>
      <c r="H46" s="23"/>
      <c r="I46" s="7"/>
      <c r="J46" s="23"/>
      <c r="K46" s="7"/>
      <c r="L46" s="23"/>
      <c r="M46" s="7"/>
      <c r="N46" s="23"/>
      <c r="O46" s="7"/>
      <c r="P46" s="23"/>
      <c r="Q46" s="7"/>
    </row>
    <row r="47" spans="1:17" ht="21" hidden="1" customHeight="1" x14ac:dyDescent="0.2">
      <c r="B47" s="56"/>
      <c r="C47" t="s">
        <v>105</v>
      </c>
      <c r="D47" t="s">
        <v>89</v>
      </c>
      <c r="E47" t="s">
        <v>90</v>
      </c>
      <c r="F47" t="s">
        <v>91</v>
      </c>
      <c r="G47" t="s">
        <v>92</v>
      </c>
      <c r="H47" t="s">
        <v>93</v>
      </c>
      <c r="I47" t="s">
        <v>94</v>
      </c>
      <c r="J47" t="s">
        <v>95</v>
      </c>
      <c r="K47" t="s">
        <v>96</v>
      </c>
      <c r="L47" t="s">
        <v>97</v>
      </c>
      <c r="M47" t="s">
        <v>98</v>
      </c>
      <c r="N47" t="s">
        <v>99</v>
      </c>
      <c r="O47" t="s">
        <v>100</v>
      </c>
      <c r="P47" t="s">
        <v>101</v>
      </c>
      <c r="Q47" t="s">
        <v>87</v>
      </c>
    </row>
    <row r="48" spans="1:17" s="17" customFormat="1" ht="15.95" customHeight="1" x14ac:dyDescent="0.2">
      <c r="A48" s="2"/>
      <c r="B48" s="56"/>
      <c r="C48" s="10" t="s">
        <v>15</v>
      </c>
      <c r="D48" s="22">
        <v>85</v>
      </c>
      <c r="E48" s="6">
        <v>85</v>
      </c>
      <c r="F48" s="22">
        <v>85</v>
      </c>
      <c r="G48" s="6"/>
      <c r="H48" s="22"/>
      <c r="I48" s="6"/>
      <c r="J48" s="22"/>
      <c r="K48" s="6"/>
      <c r="L48" s="22"/>
      <c r="M48" s="6"/>
      <c r="N48" s="22"/>
      <c r="O48" s="6"/>
      <c r="P48" s="22">
        <f>SUM(tblEntertainment[[#This Row],[Jan]:[Dec]])</f>
        <v>255</v>
      </c>
      <c r="Q48" s="19"/>
    </row>
    <row r="49" spans="1:17" s="17" customFormat="1" ht="15.95" customHeight="1" x14ac:dyDescent="0.2">
      <c r="B49" s="56"/>
      <c r="C49" s="10" t="s">
        <v>16</v>
      </c>
      <c r="D49" s="22">
        <v>7</v>
      </c>
      <c r="E49" s="6">
        <v>8</v>
      </c>
      <c r="F49" s="22">
        <v>9</v>
      </c>
      <c r="G49" s="6"/>
      <c r="H49" s="22"/>
      <c r="I49" s="6"/>
      <c r="J49" s="22"/>
      <c r="K49" s="6"/>
      <c r="L49" s="22"/>
      <c r="M49" s="6"/>
      <c r="N49" s="22"/>
      <c r="O49" s="6"/>
      <c r="P49" s="22">
        <f>SUM(tblEntertainment[[#This Row],[Jan]:[Dec]])</f>
        <v>24</v>
      </c>
      <c r="Q49" s="6"/>
    </row>
    <row r="50" spans="1:17" ht="15.95" customHeight="1" x14ac:dyDescent="0.2">
      <c r="B50" s="56"/>
      <c r="C50" s="10" t="s">
        <v>17</v>
      </c>
      <c r="D50" s="22">
        <v>9</v>
      </c>
      <c r="E50" s="6">
        <v>5</v>
      </c>
      <c r="F50" s="22">
        <v>9</v>
      </c>
      <c r="G50" s="6"/>
      <c r="H50" s="22"/>
      <c r="I50" s="6"/>
      <c r="J50" s="22"/>
      <c r="K50" s="6"/>
      <c r="L50" s="22"/>
      <c r="M50" s="6"/>
      <c r="N50" s="22"/>
      <c r="O50" s="6"/>
      <c r="P50" s="22">
        <f>SUM(tblEntertainment[[#This Row],[Jan]:[Dec]])</f>
        <v>23</v>
      </c>
      <c r="Q50" s="19"/>
    </row>
    <row r="51" spans="1:17" ht="15.95" customHeight="1" x14ac:dyDescent="0.2">
      <c r="B51" s="56"/>
      <c r="C51" s="10" t="s">
        <v>18</v>
      </c>
      <c r="D51" s="22">
        <v>5</v>
      </c>
      <c r="E51" s="6">
        <v>5</v>
      </c>
      <c r="F51" s="22">
        <v>7</v>
      </c>
      <c r="G51" s="6"/>
      <c r="H51" s="22"/>
      <c r="I51" s="6"/>
      <c r="J51" s="22"/>
      <c r="K51" s="6"/>
      <c r="L51" s="22"/>
      <c r="M51" s="6"/>
      <c r="N51" s="22"/>
      <c r="O51" s="6"/>
      <c r="P51" s="22">
        <f>SUM(tblEntertainment[[#This Row],[Jan]:[Dec]])</f>
        <v>17</v>
      </c>
      <c r="Q51" s="6"/>
    </row>
    <row r="52" spans="1:17" ht="21" customHeight="1" x14ac:dyDescent="0.2">
      <c r="B52" s="35"/>
      <c r="C52" s="59" t="s">
        <v>55</v>
      </c>
      <c r="D52" s="41">
        <f>SUBTOTAL(109,tblEntertainment[Jan])</f>
        <v>106</v>
      </c>
      <c r="E52" s="19">
        <f>SUBTOTAL(109,tblEntertainment[Feb])</f>
        <v>103</v>
      </c>
      <c r="F52" s="41">
        <f>SUBTOTAL(109,tblEntertainment[March])</f>
        <v>110</v>
      </c>
      <c r="G52" s="19">
        <f>SUBTOTAL(109,tblEntertainment[April])</f>
        <v>0</v>
      </c>
      <c r="H52" s="41">
        <f>SUBTOTAL(109,tblEntertainment[May])</f>
        <v>0</v>
      </c>
      <c r="I52" s="19">
        <f>SUBTOTAL(109,tblEntertainment[June])</f>
        <v>0</v>
      </c>
      <c r="J52" s="41">
        <f>SUBTOTAL(109,tblEntertainment[July])</f>
        <v>0</v>
      </c>
      <c r="K52" s="19">
        <f>SUBTOTAL(109,tblEntertainment[Aug])</f>
        <v>0</v>
      </c>
      <c r="L52" s="41">
        <f>SUBTOTAL(109,tblEntertainment[Sept])</f>
        <v>0</v>
      </c>
      <c r="M52" s="19">
        <f>SUBTOTAL(109,tblEntertainment[Oct])</f>
        <v>0</v>
      </c>
      <c r="N52" s="41">
        <f>SUBTOTAL(109,tblEntertainment[Nov])</f>
        <v>0</v>
      </c>
      <c r="O52" s="19">
        <f>SUBTOTAL(109,tblEntertainment[Dec])</f>
        <v>0</v>
      </c>
      <c r="P52" s="41">
        <f>SUBTOTAL(109,tblEntertainment[Year])</f>
        <v>319</v>
      </c>
      <c r="Q52" s="20"/>
    </row>
    <row r="53" spans="1:17" ht="8.1" customHeight="1" x14ac:dyDescent="0.2">
      <c r="B53" s="56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</row>
    <row r="54" spans="1:17" ht="20.100000000000001" customHeight="1" x14ac:dyDescent="0.2">
      <c r="B54" s="35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</row>
    <row r="55" spans="1:17" ht="21" customHeight="1" x14ac:dyDescent="0.2">
      <c r="B55" s="56"/>
      <c r="C55" s="43" t="s">
        <v>62</v>
      </c>
      <c r="D55" s="23"/>
      <c r="E55" s="7"/>
      <c r="F55" s="23"/>
      <c r="G55" s="7"/>
      <c r="H55" s="23"/>
      <c r="I55" s="7"/>
      <c r="J55" s="23"/>
      <c r="K55" s="7"/>
      <c r="L55" s="23"/>
      <c r="M55" s="7"/>
      <c r="N55" s="23"/>
      <c r="O55" s="7"/>
      <c r="P55" s="23"/>
      <c r="Q55" s="7"/>
    </row>
    <row r="56" spans="1:17" ht="15.95" hidden="1" customHeight="1" x14ac:dyDescent="0.2">
      <c r="B56" s="56"/>
      <c r="C56" t="s">
        <v>106</v>
      </c>
      <c r="D56" t="s">
        <v>89</v>
      </c>
      <c r="E56" t="s">
        <v>90</v>
      </c>
      <c r="F56" t="s">
        <v>91</v>
      </c>
      <c r="G56" t="s">
        <v>92</v>
      </c>
      <c r="H56" t="s">
        <v>93</v>
      </c>
      <c r="I56" t="s">
        <v>94</v>
      </c>
      <c r="J56" t="s">
        <v>95</v>
      </c>
      <c r="K56" t="s">
        <v>96</v>
      </c>
      <c r="L56" t="s">
        <v>97</v>
      </c>
      <c r="M56" t="s">
        <v>98</v>
      </c>
      <c r="N56" t="s">
        <v>99</v>
      </c>
      <c r="O56" t="s">
        <v>100</v>
      </c>
      <c r="P56" t="s">
        <v>101</v>
      </c>
      <c r="Q56" t="s">
        <v>87</v>
      </c>
    </row>
    <row r="57" spans="1:17" ht="15.95" customHeight="1" x14ac:dyDescent="0.2">
      <c r="B57" s="56"/>
      <c r="C57" s="10" t="s">
        <v>19</v>
      </c>
      <c r="D57" s="22">
        <v>50</v>
      </c>
      <c r="E57" s="6">
        <v>50</v>
      </c>
      <c r="F57" s="22">
        <v>50</v>
      </c>
      <c r="G57" s="6"/>
      <c r="H57" s="22"/>
      <c r="I57" s="6"/>
      <c r="J57" s="22"/>
      <c r="K57" s="6"/>
      <c r="L57" s="22"/>
      <c r="M57" s="6"/>
      <c r="N57" s="22"/>
      <c r="O57" s="6"/>
      <c r="P57" s="22">
        <f>SUM(tblHealth[[#This Row],[Jan]:[Dec]])</f>
        <v>150</v>
      </c>
      <c r="Q57" s="6"/>
    </row>
    <row r="58" spans="1:17" ht="15.95" customHeight="1" x14ac:dyDescent="0.2">
      <c r="B58" s="56"/>
      <c r="C58" s="10" t="s">
        <v>10</v>
      </c>
      <c r="D58" s="22">
        <v>225</v>
      </c>
      <c r="E58" s="6">
        <v>225</v>
      </c>
      <c r="F58" s="22">
        <v>225</v>
      </c>
      <c r="G58" s="6"/>
      <c r="H58" s="22"/>
      <c r="I58" s="6"/>
      <c r="J58" s="22"/>
      <c r="K58" s="6"/>
      <c r="L58" s="22"/>
      <c r="M58" s="6"/>
      <c r="N58" s="22"/>
      <c r="O58" s="6"/>
      <c r="P58" s="22">
        <f>SUM(tblHealth[[#This Row],[Jan]:[Dec]])</f>
        <v>675</v>
      </c>
      <c r="Q58" s="19"/>
    </row>
    <row r="59" spans="1:17" s="17" customFormat="1" ht="15.95" customHeight="1" x14ac:dyDescent="0.2">
      <c r="A59" s="2"/>
      <c r="B59" s="56"/>
      <c r="C59" s="10" t="s">
        <v>20</v>
      </c>
      <c r="D59" s="22">
        <v>100</v>
      </c>
      <c r="E59" s="6">
        <v>100</v>
      </c>
      <c r="F59" s="22">
        <v>100</v>
      </c>
      <c r="G59" s="6"/>
      <c r="H59" s="22"/>
      <c r="I59" s="6"/>
      <c r="J59" s="22"/>
      <c r="K59" s="6"/>
      <c r="L59" s="22"/>
      <c r="M59" s="6"/>
      <c r="N59" s="22"/>
      <c r="O59" s="6"/>
      <c r="P59" s="22">
        <f>SUM(tblHealth[[#This Row],[Jan]:[Dec]])</f>
        <v>300</v>
      </c>
      <c r="Q59" s="6"/>
    </row>
    <row r="60" spans="1:17" s="17" customFormat="1" ht="15.95" customHeight="1" x14ac:dyDescent="0.2">
      <c r="C60" s="60" t="s">
        <v>21</v>
      </c>
      <c r="D60" s="22">
        <v>6</v>
      </c>
      <c r="E60" s="6">
        <v>2</v>
      </c>
      <c r="F60" s="22">
        <v>9</v>
      </c>
      <c r="G60" s="6"/>
      <c r="H60" s="22"/>
      <c r="I60" s="6"/>
      <c r="J60" s="22"/>
      <c r="K60" s="6"/>
      <c r="L60" s="22"/>
      <c r="M60" s="6"/>
      <c r="N60" s="22"/>
      <c r="O60" s="6"/>
      <c r="P60" s="22">
        <f>SUM(tblHealth[[#This Row],[Jan]:[Dec]])</f>
        <v>17</v>
      </c>
      <c r="Q60" s="19"/>
    </row>
    <row r="61" spans="1:17" ht="15.95" customHeight="1" x14ac:dyDescent="0.2">
      <c r="B61" s="56"/>
      <c r="C61" s="60" t="s">
        <v>22</v>
      </c>
      <c r="D61" s="22">
        <v>20</v>
      </c>
      <c r="E61" s="6"/>
      <c r="F61" s="22">
        <v>41</v>
      </c>
      <c r="G61" s="6"/>
      <c r="H61" s="22"/>
      <c r="I61" s="6"/>
      <c r="J61" s="22"/>
      <c r="K61" s="6"/>
      <c r="L61" s="22"/>
      <c r="M61" s="6"/>
      <c r="N61" s="22"/>
      <c r="O61" s="6"/>
      <c r="P61" s="22">
        <f>SUM(tblHealth[[#This Row],[Jan]:[Dec]])</f>
        <v>61</v>
      </c>
      <c r="Q61" s="6"/>
    </row>
    <row r="62" spans="1:17" ht="15.95" customHeight="1" x14ac:dyDescent="0.2">
      <c r="B62" s="56"/>
      <c r="C62" s="10" t="s">
        <v>23</v>
      </c>
      <c r="D62" s="22">
        <v>4</v>
      </c>
      <c r="E62" s="6"/>
      <c r="F62" s="22">
        <v>25</v>
      </c>
      <c r="G62" s="6"/>
      <c r="H62" s="22"/>
      <c r="I62" s="6"/>
      <c r="J62" s="22"/>
      <c r="K62" s="6"/>
      <c r="L62" s="22"/>
      <c r="M62" s="6"/>
      <c r="N62" s="22"/>
      <c r="O62" s="6"/>
      <c r="P62" s="22">
        <f>SUM(tblHealth[[#This Row],[Jan]:[Dec]])</f>
        <v>29</v>
      </c>
      <c r="Q62" s="19"/>
    </row>
    <row r="63" spans="1:17" ht="15.95" customHeight="1" x14ac:dyDescent="0.2">
      <c r="B63" s="56"/>
      <c r="C63" s="10" t="s">
        <v>24</v>
      </c>
      <c r="D63" s="22">
        <v>55</v>
      </c>
      <c r="E63" s="6">
        <v>55</v>
      </c>
      <c r="F63" s="22">
        <v>55</v>
      </c>
      <c r="G63" s="6"/>
      <c r="H63" s="22"/>
      <c r="I63" s="6"/>
      <c r="J63" s="22"/>
      <c r="K63" s="6"/>
      <c r="L63" s="22"/>
      <c r="M63" s="6"/>
      <c r="N63" s="22"/>
      <c r="O63" s="6"/>
      <c r="P63" s="22">
        <f>SUM(tblHealth[[#This Row],[Jan]:[Dec]])</f>
        <v>165</v>
      </c>
      <c r="Q63" s="6"/>
    </row>
    <row r="64" spans="1:17" ht="21" customHeight="1" x14ac:dyDescent="0.2">
      <c r="B64" s="56"/>
      <c r="C64" s="38" t="s">
        <v>55</v>
      </c>
      <c r="D64" s="41">
        <f>SUBTOTAL(109,tblHealth[Jan])</f>
        <v>460</v>
      </c>
      <c r="E64" s="19">
        <f>SUBTOTAL(109,tblHealth[Feb])</f>
        <v>432</v>
      </c>
      <c r="F64" s="41">
        <f>SUBTOTAL(109,tblHealth[March])</f>
        <v>505</v>
      </c>
      <c r="G64" s="19">
        <f>SUBTOTAL(109,tblHealth[April])</f>
        <v>0</v>
      </c>
      <c r="H64" s="41">
        <f>SUBTOTAL(109,tblHealth[May])</f>
        <v>0</v>
      </c>
      <c r="I64" s="19">
        <f>SUBTOTAL(109,tblHealth[June])</f>
        <v>0</v>
      </c>
      <c r="J64" s="41">
        <f>SUBTOTAL(109,tblHealth[July])</f>
        <v>0</v>
      </c>
      <c r="K64" s="19">
        <f>SUBTOTAL(109,tblHealth[Aug])</f>
        <v>0</v>
      </c>
      <c r="L64" s="41">
        <f>SUBTOTAL(109,tblHealth[Sept])</f>
        <v>0</v>
      </c>
      <c r="M64" s="19">
        <f>SUBTOTAL(109,tblHealth[Oct])</f>
        <v>0</v>
      </c>
      <c r="N64" s="41">
        <f>SUBTOTAL(109,tblHealth[Nov])</f>
        <v>0</v>
      </c>
      <c r="O64" s="19">
        <f>SUBTOTAL(109,tblHealth[Dec])</f>
        <v>0</v>
      </c>
      <c r="P64" s="41">
        <f>SUBTOTAL(109,tblHealth[Year])</f>
        <v>1397</v>
      </c>
      <c r="Q64" s="20"/>
    </row>
    <row r="65" spans="1:17" ht="8.1" customHeight="1" x14ac:dyDescent="0.2">
      <c r="B65" s="35"/>
      <c r="C65" s="72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</row>
    <row r="66" spans="1:17" ht="20.100000000000001" customHeight="1" x14ac:dyDescent="0.2">
      <c r="B66" s="35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</row>
    <row r="67" spans="1:17" ht="21" customHeight="1" x14ac:dyDescent="0.2">
      <c r="B67" s="55"/>
      <c r="C67" s="36" t="s">
        <v>63</v>
      </c>
      <c r="D67" s="25"/>
      <c r="E67" s="7"/>
      <c r="F67" s="25"/>
      <c r="G67" s="7"/>
      <c r="H67" s="25"/>
      <c r="I67" s="7"/>
      <c r="J67" s="25"/>
      <c r="K67" s="7"/>
      <c r="L67" s="25"/>
      <c r="M67" s="7"/>
      <c r="N67" s="25"/>
      <c r="O67" s="7"/>
      <c r="P67" s="25"/>
      <c r="Q67" s="7"/>
    </row>
    <row r="68" spans="1:17" ht="21" hidden="1" customHeight="1" x14ac:dyDescent="0.2">
      <c r="B68" s="55"/>
      <c r="C68" t="s">
        <v>107</v>
      </c>
      <c r="D68" t="s">
        <v>89</v>
      </c>
      <c r="E68" t="s">
        <v>90</v>
      </c>
      <c r="F68" t="s">
        <v>91</v>
      </c>
      <c r="G68" t="s">
        <v>92</v>
      </c>
      <c r="H68" t="s">
        <v>93</v>
      </c>
      <c r="I68" t="s">
        <v>94</v>
      </c>
      <c r="J68" t="s">
        <v>95</v>
      </c>
      <c r="K68" t="s">
        <v>96</v>
      </c>
      <c r="L68" t="s">
        <v>97</v>
      </c>
      <c r="M68" t="s">
        <v>98</v>
      </c>
      <c r="N68" t="s">
        <v>99</v>
      </c>
      <c r="O68" t="s">
        <v>100</v>
      </c>
      <c r="P68" t="s">
        <v>101</v>
      </c>
      <c r="Q68" t="s">
        <v>87</v>
      </c>
    </row>
    <row r="69" spans="1:17" s="17" customFormat="1" ht="15.95" customHeight="1" x14ac:dyDescent="0.2">
      <c r="A69" s="2"/>
      <c r="B69" s="55"/>
      <c r="C69" s="10" t="s">
        <v>25</v>
      </c>
      <c r="D69" s="24"/>
      <c r="E69" s="6">
        <v>485</v>
      </c>
      <c r="F69" s="24"/>
      <c r="G69" s="6"/>
      <c r="H69" s="24"/>
      <c r="I69" s="6"/>
      <c r="J69" s="24"/>
      <c r="K69" s="6"/>
      <c r="L69" s="24"/>
      <c r="M69" s="6"/>
      <c r="N69" s="24"/>
      <c r="O69" s="6"/>
      <c r="P69" s="24">
        <f>SUM(tblVacations[[#This Row],[Jan]:[Dec]])</f>
        <v>485</v>
      </c>
      <c r="Q69" s="19"/>
    </row>
    <row r="70" spans="1:17" ht="15.95" customHeight="1" x14ac:dyDescent="0.2">
      <c r="C70" s="61" t="s">
        <v>26</v>
      </c>
      <c r="D70" s="24"/>
      <c r="E70" s="6">
        <v>245</v>
      </c>
      <c r="F70" s="24"/>
      <c r="G70" s="6"/>
      <c r="H70" s="24"/>
      <c r="I70" s="6"/>
      <c r="J70" s="24"/>
      <c r="K70" s="6"/>
      <c r="L70" s="24"/>
      <c r="M70" s="6"/>
      <c r="N70" s="24"/>
      <c r="O70" s="6"/>
      <c r="P70" s="24">
        <f>SUM(tblVacations[[#This Row],[Jan]:[Dec]])</f>
        <v>245</v>
      </c>
      <c r="Q70" s="6"/>
    </row>
    <row r="71" spans="1:17" ht="15.95" customHeight="1" x14ac:dyDescent="0.2">
      <c r="B71" s="55"/>
      <c r="C71" s="10" t="s">
        <v>27</v>
      </c>
      <c r="D71" s="24"/>
      <c r="E71" s="6">
        <v>95</v>
      </c>
      <c r="F71" s="24"/>
      <c r="G71" s="6"/>
      <c r="H71" s="24"/>
      <c r="I71" s="6"/>
      <c r="J71" s="24"/>
      <c r="K71" s="6"/>
      <c r="L71" s="24"/>
      <c r="M71" s="6"/>
      <c r="N71" s="24"/>
      <c r="O71" s="6"/>
      <c r="P71" s="24">
        <f>SUM(tblVacations[[#This Row],[Jan]:[Dec]])</f>
        <v>95</v>
      </c>
      <c r="Q71" s="19"/>
    </row>
    <row r="72" spans="1:17" ht="15.95" customHeight="1" x14ac:dyDescent="0.2">
      <c r="B72" s="55"/>
      <c r="C72" s="10" t="s">
        <v>28</v>
      </c>
      <c r="D72" s="24"/>
      <c r="E72" s="6"/>
      <c r="F72" s="24"/>
      <c r="G72" s="6"/>
      <c r="H72" s="24"/>
      <c r="I72" s="6"/>
      <c r="J72" s="24"/>
      <c r="K72" s="6"/>
      <c r="L72" s="24"/>
      <c r="M72" s="6"/>
      <c r="N72" s="24"/>
      <c r="O72" s="6"/>
      <c r="P72" s="24">
        <f>SUM(tblVacations[[#This Row],[Jan]:[Dec]])</f>
        <v>0</v>
      </c>
      <c r="Q72" s="6"/>
    </row>
    <row r="73" spans="1:17" ht="15.95" customHeight="1" x14ac:dyDescent="0.2">
      <c r="B73" s="55"/>
      <c r="C73" s="10" t="s">
        <v>29</v>
      </c>
      <c r="D73" s="24"/>
      <c r="E73" s="6"/>
      <c r="F73" s="24"/>
      <c r="G73" s="6"/>
      <c r="H73" s="24"/>
      <c r="I73" s="6"/>
      <c r="J73" s="24"/>
      <c r="K73" s="6"/>
      <c r="L73" s="24"/>
      <c r="M73" s="6"/>
      <c r="N73" s="24"/>
      <c r="O73" s="6"/>
      <c r="P73" s="24">
        <f>SUM(tblVacations[[#This Row],[Jan]:[Dec]])</f>
        <v>0</v>
      </c>
      <c r="Q73" s="19"/>
    </row>
    <row r="74" spans="1:17" ht="15.95" customHeight="1" x14ac:dyDescent="0.2">
      <c r="B74" s="55"/>
      <c r="C74" s="10" t="s">
        <v>30</v>
      </c>
      <c r="D74" s="24"/>
      <c r="E74" s="6">
        <v>85</v>
      </c>
      <c r="F74" s="24"/>
      <c r="G74" s="6"/>
      <c r="H74" s="24"/>
      <c r="I74" s="6"/>
      <c r="J74" s="24"/>
      <c r="K74" s="6"/>
      <c r="L74" s="24"/>
      <c r="M74" s="6"/>
      <c r="N74" s="24"/>
      <c r="O74" s="6"/>
      <c r="P74" s="24">
        <f>SUM(tblVacations[[#This Row],[Jan]:[Dec]])</f>
        <v>85</v>
      </c>
      <c r="Q74" s="6"/>
    </row>
    <row r="75" spans="1:17" ht="21" customHeight="1" x14ac:dyDescent="0.2">
      <c r="B75" s="55"/>
      <c r="C75" s="38" t="s">
        <v>55</v>
      </c>
      <c r="D75" s="21">
        <f>SUBTOTAL(109,tblVacations[Jan])</f>
        <v>0</v>
      </c>
      <c r="E75" s="19">
        <f>SUBTOTAL(109,tblVacations[Feb])</f>
        <v>910</v>
      </c>
      <c r="F75" s="21">
        <f>SUBTOTAL(109,tblVacations[March])</f>
        <v>0</v>
      </c>
      <c r="G75" s="19">
        <f>SUBTOTAL(109,tblVacations[April])</f>
        <v>0</v>
      </c>
      <c r="H75" s="21">
        <f>SUBTOTAL(109,tblVacations[May])</f>
        <v>0</v>
      </c>
      <c r="I75" s="19">
        <f>SUBTOTAL(109,tblVacations[June])</f>
        <v>0</v>
      </c>
      <c r="J75" s="21">
        <f>SUBTOTAL(109,tblVacations[July])</f>
        <v>0</v>
      </c>
      <c r="K75" s="19">
        <f>SUBTOTAL(109,tblVacations[Aug])</f>
        <v>0</v>
      </c>
      <c r="L75" s="21">
        <f>SUBTOTAL(109,tblVacations[Sept])</f>
        <v>0</v>
      </c>
      <c r="M75" s="19">
        <f>SUBTOTAL(109,tblVacations[Oct])</f>
        <v>0</v>
      </c>
      <c r="N75" s="21">
        <f>SUBTOTAL(109,tblVacations[Nov])</f>
        <v>0</v>
      </c>
      <c r="O75" s="19">
        <f>SUBTOTAL(109,tblVacations[Dec])</f>
        <v>0</v>
      </c>
      <c r="P75" s="21">
        <f>SUBTOTAL(109,tblVacations[Year])</f>
        <v>910</v>
      </c>
      <c r="Q75" s="20"/>
    </row>
    <row r="76" spans="1:17" ht="8.1" customHeight="1" x14ac:dyDescent="0.2">
      <c r="B76" s="35"/>
      <c r="C76" s="70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</row>
    <row r="77" spans="1:17" s="17" customFormat="1" ht="20.100000000000001" customHeight="1" x14ac:dyDescent="0.2">
      <c r="A77" s="2"/>
      <c r="B77" s="35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</row>
    <row r="78" spans="1:17" ht="21" customHeight="1" x14ac:dyDescent="0.2">
      <c r="B78" s="55"/>
      <c r="C78" s="42" t="s">
        <v>64</v>
      </c>
      <c r="D78" s="25"/>
      <c r="E78" s="7"/>
      <c r="F78" s="25"/>
      <c r="G78" s="7"/>
      <c r="H78" s="25"/>
      <c r="I78" s="7"/>
      <c r="J78" s="25"/>
      <c r="K78" s="7"/>
      <c r="L78" s="25"/>
      <c r="M78" s="7"/>
      <c r="N78" s="25"/>
      <c r="O78" s="7"/>
      <c r="P78" s="25"/>
      <c r="Q78" s="7"/>
    </row>
    <row r="79" spans="1:17" ht="21" hidden="1" customHeight="1" x14ac:dyDescent="0.2">
      <c r="B79" s="55"/>
      <c r="C79" t="s">
        <v>108</v>
      </c>
      <c r="D79" t="s">
        <v>89</v>
      </c>
      <c r="E79" t="s">
        <v>90</v>
      </c>
      <c r="F79" t="s">
        <v>91</v>
      </c>
      <c r="G79" t="s">
        <v>92</v>
      </c>
      <c r="H79" t="s">
        <v>93</v>
      </c>
      <c r="I79" t="s">
        <v>94</v>
      </c>
      <c r="J79" t="s">
        <v>95</v>
      </c>
      <c r="K79" t="s">
        <v>96</v>
      </c>
      <c r="L79" t="s">
        <v>97</v>
      </c>
      <c r="M79" t="s">
        <v>98</v>
      </c>
      <c r="N79" t="s">
        <v>99</v>
      </c>
      <c r="O79" t="s">
        <v>100</v>
      </c>
      <c r="P79" t="s">
        <v>101</v>
      </c>
      <c r="Q79" t="s">
        <v>87</v>
      </c>
    </row>
    <row r="80" spans="1:17" ht="15.95" customHeight="1" x14ac:dyDescent="0.2">
      <c r="B80" s="55"/>
      <c r="C80" s="10" t="s">
        <v>31</v>
      </c>
      <c r="D80" s="24"/>
      <c r="E80" s="6"/>
      <c r="F80" s="24"/>
      <c r="G80" s="6"/>
      <c r="H80" s="24"/>
      <c r="I80" s="6"/>
      <c r="J80" s="24"/>
      <c r="K80" s="6"/>
      <c r="L80" s="24"/>
      <c r="M80" s="6"/>
      <c r="N80" s="24"/>
      <c r="O80" s="6"/>
      <c r="P80" s="24">
        <f>SUM(tblRecreation[[#This Row],[Jan]:[Dec]])</f>
        <v>0</v>
      </c>
      <c r="Q80" s="19"/>
    </row>
    <row r="81" spans="1:17" ht="15.95" customHeight="1" x14ac:dyDescent="0.2">
      <c r="B81" s="55"/>
      <c r="C81" s="10" t="s">
        <v>32</v>
      </c>
      <c r="D81" s="24"/>
      <c r="E81" s="6"/>
      <c r="F81" s="24"/>
      <c r="G81" s="6"/>
      <c r="H81" s="24"/>
      <c r="I81" s="6"/>
      <c r="J81" s="24"/>
      <c r="K81" s="6"/>
      <c r="L81" s="24"/>
      <c r="M81" s="6"/>
      <c r="N81" s="24"/>
      <c r="O81" s="6"/>
      <c r="P81" s="24">
        <f>SUM(tblRecreation[[#This Row],[Jan]:[Dec]])</f>
        <v>0</v>
      </c>
      <c r="Q81" s="6"/>
    </row>
    <row r="82" spans="1:17" ht="15.95" customHeight="1" x14ac:dyDescent="0.2">
      <c r="B82" s="55"/>
      <c r="C82" s="10" t="s">
        <v>33</v>
      </c>
      <c r="D82" s="24"/>
      <c r="E82" s="6"/>
      <c r="F82" s="24"/>
      <c r="G82" s="6"/>
      <c r="H82" s="24"/>
      <c r="I82" s="6"/>
      <c r="J82" s="24"/>
      <c r="K82" s="6"/>
      <c r="L82" s="24"/>
      <c r="M82" s="6"/>
      <c r="N82" s="24"/>
      <c r="O82" s="6"/>
      <c r="P82" s="24">
        <f>SUM(tblRecreation[[#This Row],[Jan]:[Dec]])</f>
        <v>0</v>
      </c>
      <c r="Q82" s="19"/>
    </row>
    <row r="83" spans="1:17" ht="15.95" customHeight="1" x14ac:dyDescent="0.2">
      <c r="B83" s="55"/>
      <c r="C83" s="10" t="s">
        <v>34</v>
      </c>
      <c r="D83" s="24">
        <v>39</v>
      </c>
      <c r="E83" s="6">
        <v>33</v>
      </c>
      <c r="F83" s="24">
        <v>40</v>
      </c>
      <c r="G83" s="6"/>
      <c r="H83" s="24"/>
      <c r="I83" s="6"/>
      <c r="J83" s="24"/>
      <c r="K83" s="6"/>
      <c r="L83" s="24"/>
      <c r="M83" s="6"/>
      <c r="N83" s="24"/>
      <c r="O83" s="6"/>
      <c r="P83" s="24">
        <f>SUM(tblRecreation[[#This Row],[Jan]:[Dec]])</f>
        <v>112</v>
      </c>
      <c r="Q83" s="6"/>
    </row>
    <row r="84" spans="1:17" ht="21" customHeight="1" x14ac:dyDescent="0.2">
      <c r="B84" s="55"/>
      <c r="C84" s="38" t="s">
        <v>55</v>
      </c>
      <c r="D84" s="21">
        <f>SUBTOTAL(109,tblRecreation[Jan])</f>
        <v>39</v>
      </c>
      <c r="E84" s="19">
        <f>SUBTOTAL(109,tblRecreation[Feb])</f>
        <v>33</v>
      </c>
      <c r="F84" s="21">
        <f>SUBTOTAL(109,tblRecreation[March])</f>
        <v>40</v>
      </c>
      <c r="G84" s="19">
        <f>SUBTOTAL(109,tblRecreation[April])</f>
        <v>0</v>
      </c>
      <c r="H84" s="21">
        <f>SUBTOTAL(109,tblRecreation[May])</f>
        <v>0</v>
      </c>
      <c r="I84" s="19">
        <f>SUBTOTAL(109,tblRecreation[June])</f>
        <v>0</v>
      </c>
      <c r="J84" s="21">
        <f>SUBTOTAL(109,tblRecreation[July])</f>
        <v>0</v>
      </c>
      <c r="K84" s="19">
        <f>SUBTOTAL(109,tblRecreation[Aug])</f>
        <v>0</v>
      </c>
      <c r="L84" s="21">
        <f>SUBTOTAL(109,tblRecreation[Sept])</f>
        <v>0</v>
      </c>
      <c r="M84" s="19">
        <f>SUBTOTAL(109,tblRecreation[Oct])</f>
        <v>0</v>
      </c>
      <c r="N84" s="21">
        <f>SUBTOTAL(109,tblRecreation[Nov])</f>
        <v>0</v>
      </c>
      <c r="O84" s="19">
        <f>SUBTOTAL(109,tblRecreation[Dec])</f>
        <v>0</v>
      </c>
      <c r="P84" s="21">
        <f>SUBTOTAL(109,tblRecreation[Year])</f>
        <v>112</v>
      </c>
      <c r="Q84" s="20"/>
    </row>
    <row r="85" spans="1:17" ht="8.1" customHeight="1" x14ac:dyDescent="0.2">
      <c r="B85" s="55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</row>
    <row r="86" spans="1:17" ht="20.100000000000001" customHeight="1" x14ac:dyDescent="0.2">
      <c r="B86" s="35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</row>
    <row r="87" spans="1:17" ht="21" customHeight="1" x14ac:dyDescent="0.2">
      <c r="B87" s="56"/>
      <c r="C87" s="44" t="s">
        <v>65</v>
      </c>
      <c r="D87" s="23"/>
      <c r="E87" s="7"/>
      <c r="F87" s="23"/>
      <c r="G87" s="7"/>
      <c r="H87" s="23"/>
      <c r="I87" s="7"/>
      <c r="J87" s="23"/>
      <c r="K87" s="7"/>
      <c r="L87" s="23"/>
      <c r="M87" s="7"/>
      <c r="N87" s="23"/>
      <c r="O87" s="7"/>
      <c r="P87" s="23"/>
      <c r="Q87" s="7"/>
    </row>
    <row r="88" spans="1:17" s="17" customFormat="1" ht="8.1" hidden="1" customHeight="1" x14ac:dyDescent="0.2">
      <c r="A88" s="2"/>
      <c r="B88" s="56"/>
      <c r="C88" t="s">
        <v>109</v>
      </c>
      <c r="D88" t="s">
        <v>89</v>
      </c>
      <c r="E88" t="s">
        <v>90</v>
      </c>
      <c r="F88" t="s">
        <v>91</v>
      </c>
      <c r="G88" t="s">
        <v>92</v>
      </c>
      <c r="H88" t="s">
        <v>93</v>
      </c>
      <c r="I88" t="s">
        <v>94</v>
      </c>
      <c r="J88" t="s">
        <v>95</v>
      </c>
      <c r="K88" t="s">
        <v>96</v>
      </c>
      <c r="L88" t="s">
        <v>97</v>
      </c>
      <c r="M88" t="s">
        <v>98</v>
      </c>
      <c r="N88" t="s">
        <v>99</v>
      </c>
      <c r="O88" t="s">
        <v>100</v>
      </c>
      <c r="P88" t="s">
        <v>101</v>
      </c>
      <c r="Q88" t="s">
        <v>87</v>
      </c>
    </row>
    <row r="89" spans="1:17" ht="15.95" customHeight="1" x14ac:dyDescent="0.2">
      <c r="C89" s="60" t="s">
        <v>35</v>
      </c>
      <c r="D89" s="22"/>
      <c r="E89" s="6"/>
      <c r="F89" s="22"/>
      <c r="G89" s="6"/>
      <c r="H89" s="22"/>
      <c r="I89" s="6"/>
      <c r="J89" s="22"/>
      <c r="K89" s="6"/>
      <c r="L89" s="22"/>
      <c r="M89" s="6"/>
      <c r="N89" s="22"/>
      <c r="O89" s="6"/>
      <c r="P89" s="22">
        <f>SUM(tblDues[[#This Row],[Jan]:[Dec]])</f>
        <v>0</v>
      </c>
      <c r="Q89" s="6"/>
    </row>
    <row r="90" spans="1:17" ht="15.95" customHeight="1" x14ac:dyDescent="0.2">
      <c r="B90" s="56"/>
      <c r="C90" s="10" t="s">
        <v>36</v>
      </c>
      <c r="D90" s="22"/>
      <c r="E90" s="6"/>
      <c r="F90" s="22"/>
      <c r="G90" s="6"/>
      <c r="H90" s="22"/>
      <c r="I90" s="6"/>
      <c r="J90" s="22"/>
      <c r="K90" s="6"/>
      <c r="L90" s="22"/>
      <c r="M90" s="6"/>
      <c r="N90" s="22"/>
      <c r="O90" s="6"/>
      <c r="P90" s="22">
        <f>SUM(tblDues[[#This Row],[Jan]:[Dec]])</f>
        <v>0</v>
      </c>
      <c r="Q90" s="19"/>
    </row>
    <row r="91" spans="1:17" ht="15.95" customHeight="1" x14ac:dyDescent="0.2">
      <c r="B91" s="56"/>
      <c r="C91" s="10" t="s">
        <v>37</v>
      </c>
      <c r="D91" s="22"/>
      <c r="E91" s="6"/>
      <c r="F91" s="22"/>
      <c r="G91" s="6"/>
      <c r="H91" s="22"/>
      <c r="I91" s="6"/>
      <c r="J91" s="22"/>
      <c r="K91" s="6"/>
      <c r="L91" s="22"/>
      <c r="M91" s="6"/>
      <c r="N91" s="22"/>
      <c r="O91" s="6"/>
      <c r="P91" s="22">
        <f>SUM(tblDues[[#This Row],[Jan]:[Dec]])</f>
        <v>0</v>
      </c>
      <c r="Q91" s="6"/>
    </row>
    <row r="92" spans="1:17" ht="15.95" customHeight="1" x14ac:dyDescent="0.2">
      <c r="B92" s="56"/>
      <c r="C92" s="10" t="s">
        <v>38</v>
      </c>
      <c r="D92" s="22"/>
      <c r="E92" s="6"/>
      <c r="F92" s="22"/>
      <c r="G92" s="6"/>
      <c r="H92" s="22"/>
      <c r="I92" s="6"/>
      <c r="J92" s="22"/>
      <c r="K92" s="6"/>
      <c r="L92" s="22"/>
      <c r="M92" s="6"/>
      <c r="N92" s="22"/>
      <c r="O92" s="6"/>
      <c r="P92" s="22">
        <f>SUM(tblDues[[#This Row],[Jan]:[Dec]])</f>
        <v>0</v>
      </c>
      <c r="Q92" s="19"/>
    </row>
    <row r="93" spans="1:17" ht="15.95" customHeight="1" x14ac:dyDescent="0.2">
      <c r="B93" s="56"/>
      <c r="C93" s="10" t="s">
        <v>39</v>
      </c>
      <c r="D93" s="22"/>
      <c r="E93" s="6"/>
      <c r="F93" s="22"/>
      <c r="G93" s="6"/>
      <c r="H93" s="22"/>
      <c r="I93" s="6"/>
      <c r="J93" s="22"/>
      <c r="K93" s="6"/>
      <c r="L93" s="22"/>
      <c r="M93" s="6"/>
      <c r="N93" s="22"/>
      <c r="O93" s="6"/>
      <c r="P93" s="22">
        <f>SUM(tblDues[[#This Row],[Jan]:[Dec]])</f>
        <v>0</v>
      </c>
      <c r="Q93" s="6"/>
    </row>
    <row r="94" spans="1:17" ht="15.95" customHeight="1" x14ac:dyDescent="0.2">
      <c r="B94" s="56"/>
      <c r="C94" s="10" t="s">
        <v>40</v>
      </c>
      <c r="D94" s="22">
        <v>29</v>
      </c>
      <c r="E94" s="6">
        <v>18</v>
      </c>
      <c r="F94" s="22">
        <v>17</v>
      </c>
      <c r="G94" s="6"/>
      <c r="H94" s="22"/>
      <c r="I94" s="6"/>
      <c r="J94" s="22"/>
      <c r="K94" s="6"/>
      <c r="L94" s="22"/>
      <c r="M94" s="6"/>
      <c r="N94" s="22"/>
      <c r="O94" s="6"/>
      <c r="P94" s="22">
        <f>SUM(tblDues[[#This Row],[Jan]:[Dec]])</f>
        <v>64</v>
      </c>
      <c r="Q94" s="19"/>
    </row>
    <row r="95" spans="1:17" ht="15.95" customHeight="1" x14ac:dyDescent="0.2">
      <c r="B95" s="56"/>
      <c r="C95" s="10" t="s">
        <v>41</v>
      </c>
      <c r="D95" s="22"/>
      <c r="E95" s="6"/>
      <c r="F95" s="22"/>
      <c r="G95" s="6"/>
      <c r="H95" s="22"/>
      <c r="I95" s="6"/>
      <c r="J95" s="22"/>
      <c r="K95" s="6"/>
      <c r="L95" s="22"/>
      <c r="M95" s="6"/>
      <c r="N95" s="22"/>
      <c r="O95" s="6"/>
      <c r="P95" s="22">
        <f>SUM(tblDues[[#This Row],[Jan]:[Dec]])</f>
        <v>0</v>
      </c>
      <c r="Q95" s="6"/>
    </row>
    <row r="96" spans="1:17" ht="21" customHeight="1" x14ac:dyDescent="0.2">
      <c r="B96" s="56"/>
      <c r="C96" s="38" t="s">
        <v>55</v>
      </c>
      <c r="D96" s="41">
        <f>SUBTOTAL(109,tblDues[Jan])</f>
        <v>29</v>
      </c>
      <c r="E96" s="19">
        <f>SUBTOTAL(109,tblDues[Feb])</f>
        <v>18</v>
      </c>
      <c r="F96" s="41">
        <f>SUBTOTAL(109,tblDues[March])</f>
        <v>17</v>
      </c>
      <c r="G96" s="19">
        <f>SUBTOTAL(109,tblDues[April])</f>
        <v>0</v>
      </c>
      <c r="H96" s="41">
        <f>SUBTOTAL(109,tblDues[May])</f>
        <v>0</v>
      </c>
      <c r="I96" s="19">
        <f>SUBTOTAL(109,tblDues[June])</f>
        <v>0</v>
      </c>
      <c r="J96" s="41">
        <f>SUBTOTAL(109,tblDues[July])</f>
        <v>0</v>
      </c>
      <c r="K96" s="19">
        <f>SUBTOTAL(109,tblDues[Aug])</f>
        <v>0</v>
      </c>
      <c r="L96" s="41">
        <f>SUBTOTAL(109,tblDues[Sept])</f>
        <v>0</v>
      </c>
      <c r="M96" s="19">
        <f>SUBTOTAL(109,tblDues[Oct])</f>
        <v>0</v>
      </c>
      <c r="N96" s="41">
        <f>SUBTOTAL(109,tblDues[Nov])</f>
        <v>0</v>
      </c>
      <c r="O96" s="19">
        <f>SUBTOTAL(109,tblDues[Dec])</f>
        <v>0</v>
      </c>
      <c r="P96" s="41">
        <f>SUBTOTAL(109,tblDues[Year])</f>
        <v>64</v>
      </c>
      <c r="Q96" s="20"/>
    </row>
    <row r="97" spans="1:17" s="17" customFormat="1" ht="8.1" customHeight="1" x14ac:dyDescent="0.2">
      <c r="A97" s="2"/>
      <c r="B97" s="56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</row>
    <row r="98" spans="1:17" ht="20.100000000000001" customHeight="1" x14ac:dyDescent="0.2"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</row>
    <row r="99" spans="1:17" ht="21" customHeight="1" x14ac:dyDescent="0.2">
      <c r="B99" s="56"/>
      <c r="C99" s="44" t="s">
        <v>66</v>
      </c>
      <c r="D99" s="23"/>
      <c r="E99" s="7"/>
      <c r="F99" s="23"/>
      <c r="G99" s="7"/>
      <c r="H99" s="23"/>
      <c r="I99" s="7"/>
      <c r="J99" s="23"/>
      <c r="K99" s="7"/>
      <c r="L99" s="23"/>
      <c r="M99" s="7"/>
      <c r="N99" s="23"/>
      <c r="O99" s="7"/>
      <c r="P99" s="23"/>
      <c r="Q99" s="7"/>
    </row>
    <row r="100" spans="1:17" ht="15.95" hidden="1" customHeight="1" x14ac:dyDescent="0.2">
      <c r="B100" s="56"/>
      <c r="C100" t="s">
        <v>110</v>
      </c>
      <c r="D100" t="s">
        <v>89</v>
      </c>
      <c r="E100" t="s">
        <v>90</v>
      </c>
      <c r="F100" t="s">
        <v>91</v>
      </c>
      <c r="G100" t="s">
        <v>92</v>
      </c>
      <c r="H100" t="s">
        <v>93</v>
      </c>
      <c r="I100" t="s">
        <v>94</v>
      </c>
      <c r="J100" t="s">
        <v>95</v>
      </c>
      <c r="K100" t="s">
        <v>96</v>
      </c>
      <c r="L100" t="s">
        <v>97</v>
      </c>
      <c r="M100" t="s">
        <v>98</v>
      </c>
      <c r="N100" t="s">
        <v>99</v>
      </c>
      <c r="O100" t="s">
        <v>100</v>
      </c>
      <c r="P100" t="s">
        <v>101</v>
      </c>
      <c r="Q100" t="s">
        <v>87</v>
      </c>
    </row>
    <row r="101" spans="1:17" ht="15.95" customHeight="1" x14ac:dyDescent="0.2">
      <c r="B101" s="56"/>
      <c r="C101" s="10" t="s">
        <v>42</v>
      </c>
      <c r="D101" s="22"/>
      <c r="E101" s="6"/>
      <c r="F101" s="22">
        <v>29</v>
      </c>
      <c r="G101" s="6"/>
      <c r="H101" s="22"/>
      <c r="I101" s="6"/>
      <c r="J101" s="22"/>
      <c r="K101" s="6"/>
      <c r="L101" s="22"/>
      <c r="M101" s="6"/>
      <c r="N101" s="22"/>
      <c r="O101" s="6"/>
      <c r="P101" s="22">
        <f>SUM(tblPersonal[[#This Row],[Jan]:[Dec]])</f>
        <v>29</v>
      </c>
      <c r="Q101" s="6"/>
    </row>
    <row r="102" spans="1:17" ht="15.95" customHeight="1" x14ac:dyDescent="0.2">
      <c r="B102" s="56"/>
      <c r="C102" s="10" t="s">
        <v>43</v>
      </c>
      <c r="D102" s="22"/>
      <c r="E102" s="6">
        <v>35</v>
      </c>
      <c r="F102" s="22"/>
      <c r="G102" s="6"/>
      <c r="H102" s="22"/>
      <c r="I102" s="6"/>
      <c r="J102" s="22"/>
      <c r="K102" s="6"/>
      <c r="L102" s="22"/>
      <c r="M102" s="6"/>
      <c r="N102" s="22"/>
      <c r="O102" s="6"/>
      <c r="P102" s="22">
        <f>SUM(tblPersonal[[#This Row],[Jan]:[Dec]])</f>
        <v>35</v>
      </c>
      <c r="Q102" s="19"/>
    </row>
    <row r="103" spans="1:17" ht="15.95" customHeight="1" x14ac:dyDescent="0.2">
      <c r="B103" s="56"/>
      <c r="C103" s="10" t="s">
        <v>44</v>
      </c>
      <c r="D103" s="22">
        <v>25</v>
      </c>
      <c r="E103" s="6">
        <v>25</v>
      </c>
      <c r="F103" s="22">
        <v>25</v>
      </c>
      <c r="G103" s="6"/>
      <c r="H103" s="22"/>
      <c r="I103" s="6"/>
      <c r="J103" s="22"/>
      <c r="K103" s="6"/>
      <c r="L103" s="22"/>
      <c r="M103" s="6"/>
      <c r="N103" s="22"/>
      <c r="O103" s="6"/>
      <c r="P103" s="22">
        <f>SUM(tblPersonal[[#This Row],[Jan]:[Dec]])</f>
        <v>75</v>
      </c>
      <c r="Q103" s="6"/>
    </row>
    <row r="104" spans="1:17" ht="15.95" customHeight="1" x14ac:dyDescent="0.2">
      <c r="B104" s="56"/>
      <c r="C104" s="10" t="s">
        <v>45</v>
      </c>
      <c r="D104" s="22"/>
      <c r="E104" s="6"/>
      <c r="F104" s="22"/>
      <c r="G104" s="6"/>
      <c r="H104" s="22"/>
      <c r="I104" s="6"/>
      <c r="J104" s="22"/>
      <c r="K104" s="6"/>
      <c r="L104" s="22"/>
      <c r="M104" s="6"/>
      <c r="N104" s="22"/>
      <c r="O104" s="6"/>
      <c r="P104" s="22">
        <f>SUM(tblPersonal[[#This Row],[Jan]:[Dec]])</f>
        <v>0</v>
      </c>
      <c r="Q104" s="19"/>
    </row>
    <row r="105" spans="1:17" ht="15.95" customHeight="1" x14ac:dyDescent="0.2">
      <c r="B105" s="56"/>
      <c r="C105" s="10" t="s">
        <v>46</v>
      </c>
      <c r="D105" s="22"/>
      <c r="E105" s="6"/>
      <c r="F105" s="22"/>
      <c r="G105" s="6"/>
      <c r="H105" s="22"/>
      <c r="I105" s="6"/>
      <c r="J105" s="22"/>
      <c r="K105" s="6"/>
      <c r="L105" s="22"/>
      <c r="M105" s="6"/>
      <c r="N105" s="22"/>
      <c r="O105" s="6"/>
      <c r="P105" s="22">
        <f>SUM(tblPersonal[[#This Row],[Jan]:[Dec]])</f>
        <v>0</v>
      </c>
      <c r="Q105" s="6"/>
    </row>
    <row r="106" spans="1:17" s="17" customFormat="1" ht="21" customHeight="1" x14ac:dyDescent="0.2">
      <c r="A106" s="2"/>
      <c r="B106" s="56"/>
      <c r="C106" s="38" t="s">
        <v>55</v>
      </c>
      <c r="D106" s="41">
        <f>SUBTOTAL(109,tblPersonal[Jan])</f>
        <v>25</v>
      </c>
      <c r="E106" s="19">
        <f>SUBTOTAL(109,tblPersonal[Feb])</f>
        <v>60</v>
      </c>
      <c r="F106" s="41">
        <f>SUBTOTAL(109,tblPersonal[March])</f>
        <v>54</v>
      </c>
      <c r="G106" s="19">
        <f>SUBTOTAL(109,tblPersonal[April])</f>
        <v>0</v>
      </c>
      <c r="H106" s="41">
        <f>SUBTOTAL(109,tblPersonal[May])</f>
        <v>0</v>
      </c>
      <c r="I106" s="19">
        <f>SUBTOTAL(109,tblPersonal[June])</f>
        <v>0</v>
      </c>
      <c r="J106" s="41">
        <f>SUBTOTAL(109,tblPersonal[July])</f>
        <v>0</v>
      </c>
      <c r="K106" s="19">
        <f>SUBTOTAL(109,tblPersonal[Aug])</f>
        <v>0</v>
      </c>
      <c r="L106" s="41">
        <f>SUBTOTAL(109,tblPersonal[Sept])</f>
        <v>0</v>
      </c>
      <c r="M106" s="19">
        <f>SUBTOTAL(109,tblPersonal[Oct])</f>
        <v>0</v>
      </c>
      <c r="N106" s="41">
        <f>SUBTOTAL(109,tblPersonal[Nov])</f>
        <v>0</v>
      </c>
      <c r="O106" s="19">
        <f>SUBTOTAL(109,tblPersonal[Dec])</f>
        <v>0</v>
      </c>
      <c r="P106" s="41">
        <f>SUBTOTAL(109,tblPersonal[Year])</f>
        <v>139</v>
      </c>
      <c r="Q106" s="20"/>
    </row>
    <row r="107" spans="1:17" ht="8.1" customHeight="1" x14ac:dyDescent="0.2">
      <c r="B107" s="56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</row>
    <row r="108" spans="1:17" ht="20.100000000000001" customHeight="1" x14ac:dyDescent="0.2">
      <c r="B108" s="35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</row>
    <row r="109" spans="1:17" ht="21" customHeight="1" x14ac:dyDescent="0.2">
      <c r="B109" s="55"/>
      <c r="C109" s="42" t="s">
        <v>67</v>
      </c>
      <c r="D109" s="25"/>
      <c r="E109" s="7"/>
      <c r="F109" s="25"/>
      <c r="G109" s="7"/>
      <c r="H109" s="25"/>
      <c r="I109" s="7"/>
      <c r="J109" s="25"/>
      <c r="K109" s="7"/>
      <c r="L109" s="25"/>
      <c r="M109" s="7"/>
      <c r="N109" s="25"/>
      <c r="O109" s="7"/>
      <c r="P109" s="25"/>
      <c r="Q109" s="7"/>
    </row>
    <row r="110" spans="1:17" ht="15.95" hidden="1" customHeight="1" x14ac:dyDescent="0.2">
      <c r="B110" s="55"/>
      <c r="C110" t="s">
        <v>111</v>
      </c>
      <c r="D110" t="s">
        <v>89</v>
      </c>
      <c r="E110" t="s">
        <v>90</v>
      </c>
      <c r="F110" t="s">
        <v>91</v>
      </c>
      <c r="G110" t="s">
        <v>92</v>
      </c>
      <c r="H110" t="s">
        <v>93</v>
      </c>
      <c r="I110" t="s">
        <v>94</v>
      </c>
      <c r="J110" t="s">
        <v>95</v>
      </c>
      <c r="K110" t="s">
        <v>96</v>
      </c>
      <c r="L110" t="s">
        <v>97</v>
      </c>
      <c r="M110" t="s">
        <v>98</v>
      </c>
      <c r="N110" t="s">
        <v>99</v>
      </c>
      <c r="O110" t="s">
        <v>100</v>
      </c>
      <c r="P110" t="s">
        <v>101</v>
      </c>
      <c r="Q110" t="s">
        <v>87</v>
      </c>
    </row>
    <row r="111" spans="1:17" ht="15.95" customHeight="1" x14ac:dyDescent="0.2">
      <c r="B111" s="55"/>
      <c r="C111" s="10" t="s">
        <v>47</v>
      </c>
      <c r="D111" s="24">
        <v>25</v>
      </c>
      <c r="E111" s="6">
        <v>25</v>
      </c>
      <c r="F111" s="24">
        <v>25</v>
      </c>
      <c r="G111" s="6"/>
      <c r="H111" s="24"/>
      <c r="I111" s="6"/>
      <c r="J111" s="24"/>
      <c r="K111" s="6"/>
      <c r="L111" s="24"/>
      <c r="M111" s="6"/>
      <c r="N111" s="24"/>
      <c r="O111" s="6"/>
      <c r="P111" s="24">
        <f>SUM(tblFinancial[[#This Row],[Jan]:[Dec]])</f>
        <v>75</v>
      </c>
      <c r="Q111" s="6"/>
    </row>
    <row r="112" spans="1:17" ht="15.95" customHeight="1" x14ac:dyDescent="0.2">
      <c r="B112" s="55"/>
      <c r="C112" s="10" t="s">
        <v>48</v>
      </c>
      <c r="D112" s="24">
        <v>45</v>
      </c>
      <c r="E112" s="6">
        <v>45</v>
      </c>
      <c r="F112" s="24">
        <v>45</v>
      </c>
      <c r="G112" s="6"/>
      <c r="H112" s="24"/>
      <c r="I112" s="6"/>
      <c r="J112" s="24"/>
      <c r="K112" s="6"/>
      <c r="L112" s="24"/>
      <c r="M112" s="6"/>
      <c r="N112" s="24"/>
      <c r="O112" s="6"/>
      <c r="P112" s="24">
        <f>SUM(tblFinancial[[#This Row],[Jan]:[Dec]])</f>
        <v>135</v>
      </c>
      <c r="Q112" s="19"/>
    </row>
    <row r="113" spans="1:17" ht="15.95" customHeight="1" x14ac:dyDescent="0.2">
      <c r="B113" s="55"/>
      <c r="C113" s="10" t="s">
        <v>49</v>
      </c>
      <c r="D113" s="24">
        <v>75</v>
      </c>
      <c r="E113" s="6">
        <v>75</v>
      </c>
      <c r="F113" s="24">
        <v>75</v>
      </c>
      <c r="G113" s="6"/>
      <c r="H113" s="24"/>
      <c r="I113" s="6"/>
      <c r="J113" s="24"/>
      <c r="K113" s="6"/>
      <c r="L113" s="24"/>
      <c r="M113" s="6"/>
      <c r="N113" s="24"/>
      <c r="O113" s="6"/>
      <c r="P113" s="24">
        <f>SUM(tblFinancial[[#This Row],[Jan]:[Dec]])</f>
        <v>225</v>
      </c>
      <c r="Q113" s="6"/>
    </row>
    <row r="114" spans="1:17" ht="15.95" customHeight="1" x14ac:dyDescent="0.2">
      <c r="B114" s="55"/>
      <c r="C114" s="10" t="s">
        <v>50</v>
      </c>
      <c r="D114" s="24"/>
      <c r="E114" s="6"/>
      <c r="F114" s="24"/>
      <c r="G114" s="6"/>
      <c r="H114" s="24"/>
      <c r="I114" s="6"/>
      <c r="J114" s="24"/>
      <c r="K114" s="6"/>
      <c r="L114" s="24"/>
      <c r="M114" s="6"/>
      <c r="N114" s="24"/>
      <c r="O114" s="6"/>
      <c r="P114" s="24">
        <f>SUM(tblFinancial[[#This Row],[Jan]:[Dec]])</f>
        <v>0</v>
      </c>
      <c r="Q114" s="19"/>
    </row>
    <row r="115" spans="1:17" s="17" customFormat="1" ht="15.95" customHeight="1" x14ac:dyDescent="0.2">
      <c r="A115" s="2"/>
      <c r="B115" s="55"/>
      <c r="C115" s="10" t="s">
        <v>51</v>
      </c>
      <c r="D115" s="24">
        <v>32</v>
      </c>
      <c r="E115" s="6">
        <v>34</v>
      </c>
      <c r="F115" s="24">
        <v>1</v>
      </c>
      <c r="G115" s="6"/>
      <c r="H115" s="24"/>
      <c r="I115" s="6"/>
      <c r="J115" s="24"/>
      <c r="K115" s="6"/>
      <c r="L115" s="24"/>
      <c r="M115" s="6"/>
      <c r="N115" s="24"/>
      <c r="O115" s="6"/>
      <c r="P115" s="24">
        <f>SUM(tblFinancial[[#This Row],[Jan]:[Dec]])</f>
        <v>67</v>
      </c>
      <c r="Q115" s="6"/>
    </row>
    <row r="116" spans="1:17" ht="21" customHeight="1" x14ac:dyDescent="0.2">
      <c r="B116" s="55"/>
      <c r="C116" s="38" t="s">
        <v>55</v>
      </c>
      <c r="D116" s="21">
        <f>SUBTOTAL(109,tblFinancial[Jan])</f>
        <v>177</v>
      </c>
      <c r="E116" s="19">
        <f>SUBTOTAL(109,tblFinancial[Feb])</f>
        <v>179</v>
      </c>
      <c r="F116" s="21">
        <f>SUBTOTAL(109,tblFinancial[March])</f>
        <v>146</v>
      </c>
      <c r="G116" s="19">
        <f>SUBTOTAL(109,tblFinancial[April])</f>
        <v>0</v>
      </c>
      <c r="H116" s="21">
        <f>SUBTOTAL(109,tblFinancial[May])</f>
        <v>0</v>
      </c>
      <c r="I116" s="19">
        <f>SUBTOTAL(109,tblFinancial[June])</f>
        <v>0</v>
      </c>
      <c r="J116" s="21">
        <f>SUBTOTAL(109,tblFinancial[July])</f>
        <v>0</v>
      </c>
      <c r="K116" s="19">
        <f>SUBTOTAL(109,tblFinancial[Aug])</f>
        <v>0</v>
      </c>
      <c r="L116" s="21">
        <f>SUBTOTAL(109,tblFinancial[Sept])</f>
        <v>0</v>
      </c>
      <c r="M116" s="19">
        <f>SUBTOTAL(109,tblFinancial[Oct])</f>
        <v>0</v>
      </c>
      <c r="N116" s="21">
        <f>SUBTOTAL(109,tblFinancial[Nov])</f>
        <v>0</v>
      </c>
      <c r="O116" s="19">
        <f>SUBTOTAL(109,tblFinancial[Dec])</f>
        <v>0</v>
      </c>
      <c r="P116" s="21">
        <f>SUBTOTAL(109,tblFinancial[Year])</f>
        <v>502</v>
      </c>
      <c r="Q116" s="20"/>
    </row>
    <row r="117" spans="1:17" ht="8.1" customHeight="1" x14ac:dyDescent="0.2">
      <c r="B117" s="55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</row>
    <row r="118" spans="1:17" ht="20.100000000000001" customHeight="1" x14ac:dyDescent="0.2"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</row>
    <row r="119" spans="1:17" ht="21" customHeight="1" x14ac:dyDescent="0.2">
      <c r="B119" s="55"/>
      <c r="C119" s="42" t="s">
        <v>68</v>
      </c>
      <c r="D119" s="25"/>
      <c r="E119" s="7"/>
      <c r="F119" s="25"/>
      <c r="G119" s="7"/>
      <c r="H119" s="25"/>
      <c r="I119" s="7"/>
      <c r="J119" s="25"/>
      <c r="K119" s="7"/>
      <c r="L119" s="25"/>
      <c r="M119" s="7"/>
      <c r="N119" s="25"/>
      <c r="O119" s="7"/>
      <c r="P119" s="25"/>
      <c r="Q119" s="7"/>
    </row>
    <row r="120" spans="1:17" s="17" customFormat="1" ht="8.1" hidden="1" customHeight="1" x14ac:dyDescent="0.2">
      <c r="A120" s="2"/>
      <c r="B120" s="55"/>
      <c r="C120" t="s">
        <v>112</v>
      </c>
      <c r="D120" t="s">
        <v>89</v>
      </c>
      <c r="E120" t="s">
        <v>90</v>
      </c>
      <c r="F120" t="s">
        <v>91</v>
      </c>
      <c r="G120" t="s">
        <v>92</v>
      </c>
      <c r="H120" t="s">
        <v>93</v>
      </c>
      <c r="I120" t="s">
        <v>94</v>
      </c>
      <c r="J120" t="s">
        <v>95</v>
      </c>
      <c r="K120" t="s">
        <v>96</v>
      </c>
      <c r="L120" t="s">
        <v>97</v>
      </c>
      <c r="M120" t="s">
        <v>98</v>
      </c>
      <c r="N120" t="s">
        <v>99</v>
      </c>
      <c r="O120" t="s">
        <v>100</v>
      </c>
      <c r="P120" t="s">
        <v>101</v>
      </c>
      <c r="Q120" t="s">
        <v>87</v>
      </c>
    </row>
    <row r="121" spans="1:17" ht="15.95" customHeight="1" x14ac:dyDescent="0.2">
      <c r="B121" s="55"/>
      <c r="C121" s="37" t="s">
        <v>52</v>
      </c>
      <c r="D121" s="24"/>
      <c r="E121" s="6"/>
      <c r="F121" s="24"/>
      <c r="G121" s="6"/>
      <c r="H121" s="24"/>
      <c r="I121" s="6"/>
      <c r="J121" s="24"/>
      <c r="K121" s="6"/>
      <c r="L121" s="24"/>
      <c r="M121" s="6"/>
      <c r="N121" s="24"/>
      <c r="O121" s="6"/>
      <c r="P121" s="24">
        <f>SUM(tblMisc[[#This Row],[Jan]:[Dec]])</f>
        <v>0</v>
      </c>
      <c r="Q121" s="6"/>
    </row>
    <row r="122" spans="1:17" ht="15.95" customHeight="1" x14ac:dyDescent="0.2">
      <c r="B122" s="55"/>
      <c r="C122" s="37" t="s">
        <v>52</v>
      </c>
      <c r="D122" s="24"/>
      <c r="E122" s="6"/>
      <c r="F122" s="24"/>
      <c r="G122" s="6"/>
      <c r="H122" s="24"/>
      <c r="I122" s="6"/>
      <c r="J122" s="24"/>
      <c r="K122" s="6"/>
      <c r="L122" s="24"/>
      <c r="M122" s="6"/>
      <c r="N122" s="24"/>
      <c r="O122" s="6"/>
      <c r="P122" s="24">
        <f>SUM(tblMisc[[#This Row],[Jan]:[Dec]])</f>
        <v>0</v>
      </c>
      <c r="Q122" s="19"/>
    </row>
    <row r="123" spans="1:17" ht="15.95" customHeight="1" x14ac:dyDescent="0.2">
      <c r="B123" s="55"/>
      <c r="C123" s="37" t="s">
        <v>52</v>
      </c>
      <c r="D123" s="24"/>
      <c r="E123" s="6"/>
      <c r="F123" s="24"/>
      <c r="G123" s="6"/>
      <c r="H123" s="24"/>
      <c r="I123" s="6"/>
      <c r="J123" s="24"/>
      <c r="K123" s="6"/>
      <c r="L123" s="24"/>
      <c r="M123" s="6"/>
      <c r="N123" s="24"/>
      <c r="O123" s="6"/>
      <c r="P123" s="24">
        <f>SUM(tblMisc[[#This Row],[Jan]:[Dec]])</f>
        <v>0</v>
      </c>
      <c r="Q123" s="6"/>
    </row>
    <row r="124" spans="1:17" ht="15.95" customHeight="1" x14ac:dyDescent="0.2">
      <c r="B124" s="55"/>
      <c r="C124" s="37" t="s">
        <v>52</v>
      </c>
      <c r="D124" s="24"/>
      <c r="E124" s="6"/>
      <c r="F124" s="24"/>
      <c r="G124" s="6"/>
      <c r="H124" s="24"/>
      <c r="I124" s="6"/>
      <c r="J124" s="24"/>
      <c r="K124" s="6"/>
      <c r="L124" s="24"/>
      <c r="M124" s="6"/>
      <c r="N124" s="24"/>
      <c r="O124" s="6"/>
      <c r="P124" s="24">
        <f>SUM(tblMisc[[#This Row],[Jan]:[Dec]])</f>
        <v>0</v>
      </c>
      <c r="Q124" s="19"/>
    </row>
    <row r="125" spans="1:17" ht="15.95" customHeight="1" x14ac:dyDescent="0.2">
      <c r="B125" s="55"/>
      <c r="C125" s="37" t="s">
        <v>52</v>
      </c>
      <c r="D125" s="24"/>
      <c r="E125" s="6"/>
      <c r="F125" s="24"/>
      <c r="G125" s="6"/>
      <c r="H125" s="24"/>
      <c r="I125" s="6"/>
      <c r="J125" s="24"/>
      <c r="K125" s="6"/>
      <c r="L125" s="24"/>
      <c r="M125" s="6"/>
      <c r="N125" s="24"/>
      <c r="O125" s="6"/>
      <c r="P125" s="24">
        <f>SUM(tblMisc[[#This Row],[Jan]:[Dec]])</f>
        <v>0</v>
      </c>
      <c r="Q125" s="6"/>
    </row>
    <row r="126" spans="1:17" ht="21" customHeight="1" x14ac:dyDescent="0.2">
      <c r="C126" s="68" t="s">
        <v>55</v>
      </c>
      <c r="D126" s="21">
        <f>SUBTOTAL(109,tblMisc[Jan])</f>
        <v>0</v>
      </c>
      <c r="E126" s="19">
        <f>SUBTOTAL(109,tblMisc[Feb])</f>
        <v>0</v>
      </c>
      <c r="F126" s="21">
        <f>SUBTOTAL(109,tblMisc[March])</f>
        <v>0</v>
      </c>
      <c r="G126" s="19">
        <f>SUBTOTAL(109,tblMisc[April])</f>
        <v>0</v>
      </c>
      <c r="H126" s="21">
        <f>SUBTOTAL(109,tblMisc[May])</f>
        <v>0</v>
      </c>
      <c r="I126" s="19">
        <f>SUBTOTAL(109,tblMisc[June])</f>
        <v>0</v>
      </c>
      <c r="J126" s="21">
        <f>SUBTOTAL(109,tblMisc[July])</f>
        <v>0</v>
      </c>
      <c r="K126" s="19">
        <f>SUBTOTAL(109,tblMisc[Aug])</f>
        <v>0</v>
      </c>
      <c r="L126" s="21">
        <f>SUBTOTAL(109,tblMisc[Sept])</f>
        <v>0</v>
      </c>
      <c r="M126" s="19">
        <f>SUBTOTAL(109,tblMisc[Oct])</f>
        <v>0</v>
      </c>
      <c r="N126" s="21">
        <f>SUBTOTAL(109,tblMisc[Nov])</f>
        <v>0</v>
      </c>
      <c r="O126" s="19">
        <f>SUBTOTAL(109,tblMisc[Dec])</f>
        <v>0</v>
      </c>
      <c r="P126" s="21">
        <f>SUBTOTAL(109,tblMisc[Year])</f>
        <v>0</v>
      </c>
      <c r="Q126" s="20"/>
    </row>
    <row r="127" spans="1:17" ht="8.1" customHeight="1" x14ac:dyDescent="0.2">
      <c r="C127" s="70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</row>
    <row r="128" spans="1:17" ht="20.100000000000001" customHeight="1" x14ac:dyDescent="0.2"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</row>
    <row r="129" spans="2:17" ht="21" customHeight="1" x14ac:dyDescent="0.2">
      <c r="B129" s="45"/>
      <c r="C129" s="47" t="s">
        <v>69</v>
      </c>
      <c r="D129" s="53" t="s">
        <v>70</v>
      </c>
      <c r="E129" s="48" t="s">
        <v>71</v>
      </c>
      <c r="F129" s="53" t="s">
        <v>73</v>
      </c>
      <c r="G129" s="48" t="s">
        <v>74</v>
      </c>
      <c r="H129" s="53" t="s">
        <v>72</v>
      </c>
      <c r="I129" s="48" t="s">
        <v>75</v>
      </c>
      <c r="J129" s="53" t="s">
        <v>76</v>
      </c>
      <c r="K129" s="48" t="s">
        <v>77</v>
      </c>
      <c r="L129" s="53" t="s">
        <v>78</v>
      </c>
      <c r="M129" s="48" t="s">
        <v>79</v>
      </c>
      <c r="N129" s="53" t="s">
        <v>80</v>
      </c>
      <c r="O129" s="48" t="s">
        <v>81</v>
      </c>
      <c r="P129" s="53" t="s">
        <v>82</v>
      </c>
      <c r="Q129" s="47" t="s">
        <v>86</v>
      </c>
    </row>
    <row r="130" spans="2:17" ht="15.95" customHeight="1" x14ac:dyDescent="0.2">
      <c r="B130" s="45"/>
      <c r="C130" s="49" t="s">
        <v>53</v>
      </c>
      <c r="D130" s="51">
        <f>SUM(tblMisc[[#Totals],[Jan]],tblFinancial[[#Totals],[Jan]],tblPersonal[[#Totals],[Jan]],tblDues[[#Totals],[Jan]],tblRecreation[[#Totals],[Jan]],tblVacations[[#Totals],[Jan]],tblHealth[[#Totals],[Jan]],tblEntertainment[[#Totals],[Jan]],tblTransportation[[#Totals],[Jan]],tblDaily[[#Totals],[Jan]],tblHome[[#Totals],[Jan]])</f>
        <v>2687</v>
      </c>
      <c r="E130" s="50">
        <f>SUM(tblMisc[[#Totals],[Feb]],tblFinancial[[#Totals],[Feb]],tblPersonal[[#Totals],[Feb]],tblDues[[#Totals],[Feb]],tblRecreation[[#Totals],[Feb]],tblVacations[[#Totals],[Feb]],tblHealth[[#Totals],[Feb]],tblEntertainment[[#Totals],[Feb]],tblTransportation[[#Totals],[Feb]],tblDaily[[#Totals],[Feb]],tblHome[[#Totals],[Feb]])</f>
        <v>3429</v>
      </c>
      <c r="F130" s="51">
        <f>SUM(tblMisc[[#Totals],[March]],tblFinancial[[#Totals],[March]],tblPersonal[[#Totals],[March]],tblDues[[#Totals],[March]],tblRecreation[[#Totals],[March]],tblVacations[[#Totals],[March]],tblHealth[[#Totals],[March]],tblEntertainment[[#Totals],[March]],tblTransportation[[#Totals],[March]],tblDaily[[#Totals],[March]],tblHome[[#Totals],[March]])</f>
        <v>2718</v>
      </c>
      <c r="G130" s="50">
        <f>SUM(tblMisc[[#Totals],[April]],tblFinancial[[#Totals],[April]],tblPersonal[[#Totals],[April]],tblDues[[#Totals],[April]],tblRecreation[[#Totals],[April]],tblVacations[[#Totals],[April]],tblHealth[[#Totals],[April]],tblEntertainment[[#Totals],[April]],tblTransportation[[#Totals],[April]],tblDaily[[#Totals],[April]],tblHome[[#Totals],[April]])</f>
        <v>0</v>
      </c>
      <c r="H130" s="51">
        <f>SUM(tblMisc[[#Totals],[May]],tblFinancial[[#Totals],[May]],tblPersonal[[#Totals],[May]],tblDues[[#Totals],[May]],tblRecreation[[#Totals],[May]],tblVacations[[#Totals],[May]],tblHealth[[#Totals],[May]],tblEntertainment[[#Totals],[May]],tblTransportation[[#Totals],[May]],tblDaily[[#Totals],[May]],tblHome[[#Totals],[May]])</f>
        <v>0</v>
      </c>
      <c r="I130" s="50">
        <f>SUM(tblMisc[[#Totals],[June]],tblFinancial[[#Totals],[June]],tblPersonal[[#Totals],[June]],tblDues[[#Totals],[June]],tblRecreation[[#Totals],[June]],tblVacations[[#Totals],[June]],tblHealth[[#Totals],[June]],tblEntertainment[[#Totals],[June]],tblTransportation[[#Totals],[June]],tblDaily[[#Totals],[June]],tblHome[[#Totals],[June]])</f>
        <v>0</v>
      </c>
      <c r="J130" s="51">
        <f>SUM(tblMisc[[#Totals],[July]],tblFinancial[[#Totals],[July]],tblPersonal[[#Totals],[July]],tblDues[[#Totals],[July]],tblRecreation[[#Totals],[July]],tblVacations[[#Totals],[July]],tblHealth[[#Totals],[July]],tblEntertainment[[#Totals],[July]],tblTransportation[[#Totals],[July]],tblDaily[[#Totals],[July]],tblHome[[#Totals],[July]])</f>
        <v>0</v>
      </c>
      <c r="K130" s="50">
        <f>SUM(tblMisc[[#Totals],[Aug]],tblFinancial[[#Totals],[Aug]],tblPersonal[[#Totals],[Aug]],tblDues[[#Totals],[Aug]],tblRecreation[[#Totals],[Aug]],tblVacations[[#Totals],[Aug]],tblHealth[[#Totals],[Aug]],tblEntertainment[[#Totals],[Aug]],tblTransportation[[#Totals],[Aug]],tblDaily[[#Totals],[Aug]],tblHome[[#Totals],[Aug]])</f>
        <v>0</v>
      </c>
      <c r="L130" s="51">
        <f>SUM(tblMisc[[#Totals],[Sept]],tblFinancial[[#Totals],[Sept]],tblPersonal[[#Totals],[Sept]],tblDues[[#Totals],[Sept]],tblRecreation[[#Totals],[Sept]],tblVacations[[#Totals],[Sept]],tblHealth[[#Totals],[Sept]],tblEntertainment[[#Totals],[Sept]],tblTransportation[[#Totals],[Sept]],tblDaily[[#Totals],[Sept]],tblHome[[#Totals],[Sept]])</f>
        <v>0</v>
      </c>
      <c r="M130" s="50">
        <f>SUM(tblMisc[[#Totals],[Oct]],tblFinancial[[#Totals],[Oct]],tblPersonal[[#Totals],[Oct]],tblDues[[#Totals],[Oct]],tblRecreation[[#Totals],[Oct]],tblVacations[[#Totals],[Oct]],tblHealth[[#Totals],[Oct]],tblEntertainment[[#Totals],[Oct]],tblTransportation[[#Totals],[Oct]],tblDaily[[#Totals],[Oct]],tblHome[[#Totals],[Oct]])</f>
        <v>0</v>
      </c>
      <c r="N130" s="51">
        <f>SUM(tblMisc[[#Totals],[Nov]],tblFinancial[[#Totals],[Nov]],tblPersonal[[#Totals],[Nov]],tblDues[[#Totals],[Nov]],tblRecreation[[#Totals],[Nov]],tblVacations[[#Totals],[Nov]],tblHealth[[#Totals],[Nov]],tblEntertainment[[#Totals],[Nov]],tblTransportation[[#Totals],[Nov]],tblDaily[[#Totals],[Nov]],tblHome[[#Totals],[Nov]])</f>
        <v>0</v>
      </c>
      <c r="O130" s="50">
        <f>SUM(tblMisc[[#Totals],[Dec]],tblFinancial[[#Totals],[Dec]],tblPersonal[[#Totals],[Dec]],tblDues[[#Totals],[Dec]],tblRecreation[[#Totals],[Dec]],tblVacations[[#Totals],[Dec]],tblHealth[[#Totals],[Dec]],tblEntertainment[[#Totals],[Dec]],tblTransportation[[#Totals],[Dec]],tblDaily[[#Totals],[Dec]],tblHome[[#Totals],[Dec]])</f>
        <v>0</v>
      </c>
      <c r="P130" s="51">
        <f>SUM(tblMisc[[#Totals],[Year]],tblFinancial[[#Totals],[Year]],tblPersonal[[#Totals],[Year]],tblDues[[#Totals],[Year]],tblRecreation[[#Totals],[Year]],tblVacations[[#Totals],[Year]],tblHealth[[#Totals],[Year]],tblEntertainment[[#Totals],[Year]],tblTransportation[[#Totals],[Year]],tblDaily[[#Totals],[Year]],tblHome[[#Totals],[Year]])</f>
        <v>8834</v>
      </c>
      <c r="Q130" s="50"/>
    </row>
    <row r="131" spans="2:17" ht="15.95" customHeight="1" x14ac:dyDescent="0.2">
      <c r="B131" s="45"/>
      <c r="C131" s="49" t="s">
        <v>54</v>
      </c>
      <c r="D131" s="51">
        <f>tblIncome[[#Totals],[Jan]]-D130</f>
        <v>1036</v>
      </c>
      <c r="E131" s="50">
        <f>tblIncome[[#Totals],[Feb]]-E130</f>
        <v>127</v>
      </c>
      <c r="F131" s="51">
        <f>tblIncome[[#Totals],[March]]-F130</f>
        <v>926</v>
      </c>
      <c r="G131" s="50">
        <f>tblIncome[[#Totals],[April]]-G130</f>
        <v>0</v>
      </c>
      <c r="H131" s="51">
        <f>tblIncome[[#Totals],[May]]-H130</f>
        <v>0</v>
      </c>
      <c r="I131" s="50">
        <f>tblIncome[[#Totals],[June]]-I130</f>
        <v>0</v>
      </c>
      <c r="J131" s="51">
        <f>tblIncome[[#Totals],[July]]-J130</f>
        <v>0</v>
      </c>
      <c r="K131" s="50">
        <f>tblIncome[[#Totals],[Aug]]-K130</f>
        <v>0</v>
      </c>
      <c r="L131" s="51">
        <f>tblIncome[[#Totals],[Sept]]-L130</f>
        <v>0</v>
      </c>
      <c r="M131" s="50">
        <f>tblIncome[[#Totals],[Oct]]-M130</f>
        <v>0</v>
      </c>
      <c r="N131" s="51">
        <f>tblIncome[[#Totals],[Nov]]-N130</f>
        <v>0</v>
      </c>
      <c r="O131" s="50">
        <f>tblIncome[[#Totals],[Dec]]-O130</f>
        <v>0</v>
      </c>
      <c r="P131" s="51">
        <f>tblIncome[[#Totals],[Year]]-P130</f>
        <v>2089</v>
      </c>
      <c r="Q131" s="50"/>
    </row>
    <row r="132" spans="2:17" ht="8.1" customHeight="1" x14ac:dyDescent="0.2">
      <c r="B132" s="45"/>
      <c r="C132" s="52"/>
      <c r="D132" s="54"/>
      <c r="E132" s="52"/>
      <c r="F132" s="54"/>
      <c r="G132" s="52"/>
      <c r="H132" s="54"/>
      <c r="I132" s="52"/>
      <c r="J132" s="54"/>
      <c r="K132" s="52"/>
      <c r="L132" s="54"/>
      <c r="M132" s="52"/>
      <c r="N132" s="54"/>
      <c r="O132" s="52"/>
      <c r="P132" s="54"/>
      <c r="Q132" s="52"/>
    </row>
    <row r="142" spans="2:17" x14ac:dyDescent="0.2">
      <c r="E142" s="3"/>
    </row>
  </sheetData>
  <mergeCells count="23">
    <mergeCell ref="C2:D2"/>
    <mergeCell ref="C22:Q22"/>
    <mergeCell ref="C11:Q11"/>
    <mergeCell ref="C34:Q34"/>
    <mergeCell ref="C128:Q128"/>
    <mergeCell ref="C118:Q118"/>
    <mergeCell ref="C108:Q108"/>
    <mergeCell ref="C98:Q98"/>
    <mergeCell ref="C86:Q86"/>
    <mergeCell ref="C77:Q77"/>
    <mergeCell ref="C66:Q66"/>
    <mergeCell ref="C54:Q54"/>
    <mergeCell ref="C45:Q45"/>
    <mergeCell ref="C85:Q85"/>
    <mergeCell ref="C97:Q97"/>
    <mergeCell ref="C107:Q107"/>
    <mergeCell ref="C117:Q117"/>
    <mergeCell ref="C127:Q127"/>
    <mergeCell ref="C33:Q33"/>
    <mergeCell ref="C44:Q44"/>
    <mergeCell ref="C53:Q53"/>
    <mergeCell ref="C65:Q65"/>
    <mergeCell ref="C76:Q76"/>
  </mergeCells>
  <conditionalFormatting sqref="D131:P131">
    <cfRule type="cellIs" dxfId="294" priority="1" operator="lessThan">
      <formula>0</formula>
    </cfRule>
  </conditionalFormatting>
  <printOptions horizontalCentered="1"/>
  <pageMargins left="0.4" right="0.4" top="0.4" bottom="0.4" header="0.3" footer="0.3"/>
  <pageSetup scale="72" fitToHeight="0" orientation="landscape" r:id="rId1"/>
  <headerFooter differentFirst="1">
    <oddFooter>Page &amp;P of &amp;N</oddFooter>
  </headerFooter>
  <ignoredErrors>
    <ignoredError sqref="D130:P130" calculatedColumn="1"/>
  </ignoredErrors>
  <drawing r:id="rId2"/>
  <tableParts count="13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'PERSONAL BUDGET'!D121:O121</xm:f>
              <xm:sqref>Q121</xm:sqref>
            </x14:sparkline>
            <x14:sparkline>
              <xm:f>'PERSONAL BUDGET'!D122:O122</xm:f>
              <xm:sqref>Q122</xm:sqref>
            </x14:sparkline>
            <x14:sparkline>
              <xm:f>'PERSONAL BUDGET'!D123:O123</xm:f>
              <xm:sqref>Q123</xm:sqref>
            </x14:sparkline>
            <x14:sparkline>
              <xm:f>'PERSONAL BUDGET'!D124:O124</xm:f>
              <xm:sqref>Q124</xm:sqref>
            </x14:sparkline>
            <x14:sparkline>
              <xm:f>'PERSONAL BUDGET'!D125:O125</xm:f>
              <xm:sqref>Q125</xm:sqref>
            </x14:sparkline>
            <x14:sparkline>
              <xm:f>'PERSONAL BUDGET'!D126:O126</xm:f>
              <xm:sqref>Q126</xm:sqref>
            </x14:sparkline>
          </x14:sparklines>
        </x14:sparklineGroup>
        <x14:sparklineGroup displayEmptyCellsAs="gap" high="1" low="1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'PERSONAL BUDGET'!D7:O7</xm:f>
              <xm:sqref>Q7</xm:sqref>
            </x14:sparkline>
            <x14:sparkline>
              <xm:f>'PERSONAL BUDGET'!D8:O8</xm:f>
              <xm:sqref>Q8</xm:sqref>
            </x14:sparkline>
            <x14:sparkline>
              <xm:f>'PERSONAL BUDGET'!D9:O9</xm:f>
              <xm:sqref>Q9</xm:sqref>
            </x14:sparkline>
            <x14:sparkline>
              <xm:f>'PERSONAL BUDGET'!D10:O10</xm:f>
              <xm:sqref>Q10</xm:sqref>
            </x14:sparkline>
          </x14:sparklines>
        </x14:sparklineGroup>
        <x14:sparklineGroup displayEmptyCellsAs="gap" high="1" low="1">
          <x14:colorSeries theme="0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'PERSONAL BUDGET'!D130:O130</xm:f>
              <xm:sqref>Q130</xm:sqref>
            </x14:sparkline>
            <x14:sparkline>
              <xm:f>'PERSONAL BUDGET'!D131:O131</xm:f>
              <xm:sqref>Q131</xm:sqref>
            </x14:sparkline>
          </x14:sparklines>
        </x14:sparklineGroup>
        <x14:sparklineGroup displayEmptyCellsAs="gap" high="1" low="1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'PERSONAL BUDGET'!D111:O111</xm:f>
              <xm:sqref>Q111</xm:sqref>
            </x14:sparkline>
            <x14:sparkline>
              <xm:f>'PERSONAL BUDGET'!D112:O112</xm:f>
              <xm:sqref>Q112</xm:sqref>
            </x14:sparkline>
            <x14:sparkline>
              <xm:f>'PERSONAL BUDGET'!D113:O113</xm:f>
              <xm:sqref>Q113</xm:sqref>
            </x14:sparkline>
            <x14:sparkline>
              <xm:f>'PERSONAL BUDGET'!D114:O114</xm:f>
              <xm:sqref>Q114</xm:sqref>
            </x14:sparkline>
            <x14:sparkline>
              <xm:f>'PERSONAL BUDGET'!D115:O115</xm:f>
              <xm:sqref>Q115</xm:sqref>
            </x14:sparkline>
            <x14:sparkline>
              <xm:f>'PERSONAL BUDGET'!D116:O116</xm:f>
              <xm:sqref>Q116</xm:sqref>
            </x14:sparkline>
          </x14:sparklines>
        </x14:sparklineGroup>
        <x14:sparklineGroup displayEmptyCellsAs="gap" high="1" low="1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'PERSONAL BUDGET'!D101:O101</xm:f>
              <xm:sqref>Q101</xm:sqref>
            </x14:sparkline>
            <x14:sparkline>
              <xm:f>'PERSONAL BUDGET'!D102:O102</xm:f>
              <xm:sqref>Q102</xm:sqref>
            </x14:sparkline>
            <x14:sparkline>
              <xm:f>'PERSONAL BUDGET'!D103:O103</xm:f>
              <xm:sqref>Q103</xm:sqref>
            </x14:sparkline>
            <x14:sparkline>
              <xm:f>'PERSONAL BUDGET'!D104:O104</xm:f>
              <xm:sqref>Q104</xm:sqref>
            </x14:sparkline>
            <x14:sparkline>
              <xm:f>'PERSONAL BUDGET'!D105:O105</xm:f>
              <xm:sqref>Q105</xm:sqref>
            </x14:sparkline>
            <x14:sparkline>
              <xm:f>'PERSONAL BUDGET'!D106:O106</xm:f>
              <xm:sqref>Q106</xm:sqref>
            </x14:sparkline>
          </x14:sparklines>
        </x14:sparklineGroup>
        <x14:sparklineGroup displayEmptyCellsAs="gap" high="1" low="1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'PERSONAL BUDGET'!D89:O89</xm:f>
              <xm:sqref>Q89</xm:sqref>
            </x14:sparkline>
            <x14:sparkline>
              <xm:f>'PERSONAL BUDGET'!D90:O90</xm:f>
              <xm:sqref>Q90</xm:sqref>
            </x14:sparkline>
            <x14:sparkline>
              <xm:f>'PERSONAL BUDGET'!D91:O91</xm:f>
              <xm:sqref>Q91</xm:sqref>
            </x14:sparkline>
            <x14:sparkline>
              <xm:f>'PERSONAL BUDGET'!D92:O92</xm:f>
              <xm:sqref>Q92</xm:sqref>
            </x14:sparkline>
            <x14:sparkline>
              <xm:f>'PERSONAL BUDGET'!D93:O93</xm:f>
              <xm:sqref>Q93</xm:sqref>
            </x14:sparkline>
            <x14:sparkline>
              <xm:f>'PERSONAL BUDGET'!D94:O94</xm:f>
              <xm:sqref>Q94</xm:sqref>
            </x14:sparkline>
            <x14:sparkline>
              <xm:f>'PERSONAL BUDGET'!D95:O95</xm:f>
              <xm:sqref>Q95</xm:sqref>
            </x14:sparkline>
            <x14:sparkline>
              <xm:f>'PERSONAL BUDGET'!D96:O96</xm:f>
              <xm:sqref>Q96</xm:sqref>
            </x14:sparkline>
          </x14:sparklines>
        </x14:sparklineGroup>
        <x14:sparklineGroup displayEmptyCellsAs="gap" high="1" low="1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'PERSONAL BUDGET'!D80:O80</xm:f>
              <xm:sqref>Q80</xm:sqref>
            </x14:sparkline>
            <x14:sparkline>
              <xm:f>'PERSONAL BUDGET'!D81:O81</xm:f>
              <xm:sqref>Q81</xm:sqref>
            </x14:sparkline>
            <x14:sparkline>
              <xm:f>'PERSONAL BUDGET'!D82:O82</xm:f>
              <xm:sqref>Q82</xm:sqref>
            </x14:sparkline>
            <x14:sparkline>
              <xm:f>'PERSONAL BUDGET'!D83:O83</xm:f>
              <xm:sqref>Q83</xm:sqref>
            </x14:sparkline>
            <x14:sparkline>
              <xm:f>'PERSONAL BUDGET'!D84:O84</xm:f>
              <xm:sqref>Q84</xm:sqref>
            </x14:sparkline>
          </x14:sparklines>
        </x14:sparklineGroup>
        <x14:sparklineGroup displayEmptyCellsAs="gap" high="1" low="1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'PERSONAL BUDGET'!D69:O69</xm:f>
              <xm:sqref>Q69</xm:sqref>
            </x14:sparkline>
            <x14:sparkline>
              <xm:f>'PERSONAL BUDGET'!D70:O70</xm:f>
              <xm:sqref>Q70</xm:sqref>
            </x14:sparkline>
            <x14:sparkline>
              <xm:f>'PERSONAL BUDGET'!D71:O71</xm:f>
              <xm:sqref>Q71</xm:sqref>
            </x14:sparkline>
            <x14:sparkline>
              <xm:f>'PERSONAL BUDGET'!D72:O72</xm:f>
              <xm:sqref>Q72</xm:sqref>
            </x14:sparkline>
            <x14:sparkline>
              <xm:f>'PERSONAL BUDGET'!D73:O73</xm:f>
              <xm:sqref>Q73</xm:sqref>
            </x14:sparkline>
            <x14:sparkline>
              <xm:f>'PERSONAL BUDGET'!D74:O74</xm:f>
              <xm:sqref>Q74</xm:sqref>
            </x14:sparkline>
            <x14:sparkline>
              <xm:f>'PERSONAL BUDGET'!D75:O75</xm:f>
              <xm:sqref>Q75</xm:sqref>
            </x14:sparkline>
          </x14:sparklines>
        </x14:sparklineGroup>
        <x14:sparklineGroup displayEmptyCellsAs="gap" high="1" low="1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'PERSONAL BUDGET'!D57:O57</xm:f>
              <xm:sqref>Q57</xm:sqref>
            </x14:sparkline>
            <x14:sparkline>
              <xm:f>'PERSONAL BUDGET'!D58:O58</xm:f>
              <xm:sqref>Q58</xm:sqref>
            </x14:sparkline>
            <x14:sparkline>
              <xm:f>'PERSONAL BUDGET'!D59:O59</xm:f>
              <xm:sqref>Q59</xm:sqref>
            </x14:sparkline>
            <x14:sparkline>
              <xm:f>'PERSONAL BUDGET'!D60:O60</xm:f>
              <xm:sqref>Q60</xm:sqref>
            </x14:sparkline>
            <x14:sparkline>
              <xm:f>'PERSONAL BUDGET'!D61:O61</xm:f>
              <xm:sqref>Q61</xm:sqref>
            </x14:sparkline>
            <x14:sparkline>
              <xm:f>'PERSONAL BUDGET'!D62:O62</xm:f>
              <xm:sqref>Q62</xm:sqref>
            </x14:sparkline>
            <x14:sparkline>
              <xm:f>'PERSONAL BUDGET'!D63:O63</xm:f>
              <xm:sqref>Q63</xm:sqref>
            </x14:sparkline>
            <x14:sparkline>
              <xm:f>'PERSONAL BUDGET'!D64:O64</xm:f>
              <xm:sqref>Q64</xm:sqref>
            </x14:sparkline>
          </x14:sparklines>
        </x14:sparklineGroup>
        <x14:sparklineGroup displayEmptyCellsAs="gap" high="1" low="1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'PERSONAL BUDGET'!D48:O48</xm:f>
              <xm:sqref>Q48</xm:sqref>
            </x14:sparkline>
            <x14:sparkline>
              <xm:f>'PERSONAL BUDGET'!D49:O49</xm:f>
              <xm:sqref>Q49</xm:sqref>
            </x14:sparkline>
            <x14:sparkline>
              <xm:f>'PERSONAL BUDGET'!D50:O50</xm:f>
              <xm:sqref>Q50</xm:sqref>
            </x14:sparkline>
            <x14:sparkline>
              <xm:f>'PERSONAL BUDGET'!D51:O51</xm:f>
              <xm:sqref>Q51</xm:sqref>
            </x14:sparkline>
            <x14:sparkline>
              <xm:f>'PERSONAL BUDGET'!D52:O52</xm:f>
              <xm:sqref>Q52</xm:sqref>
            </x14:sparkline>
          </x14:sparklines>
        </x14:sparklineGroup>
        <x14:sparklineGroup displayEmptyCellsAs="gap" high="1" low="1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'PERSONAL BUDGET'!D37:O37</xm:f>
              <xm:sqref>Q37</xm:sqref>
            </x14:sparkline>
            <x14:sparkline>
              <xm:f>'PERSONAL BUDGET'!D38:O38</xm:f>
              <xm:sqref>Q38</xm:sqref>
            </x14:sparkline>
            <x14:sparkline>
              <xm:f>'PERSONAL BUDGET'!D39:O39</xm:f>
              <xm:sqref>Q39</xm:sqref>
            </x14:sparkline>
            <x14:sparkline>
              <xm:f>'PERSONAL BUDGET'!D40:O40</xm:f>
              <xm:sqref>Q40</xm:sqref>
            </x14:sparkline>
            <x14:sparkline>
              <xm:f>'PERSONAL BUDGET'!D41:O41</xm:f>
              <xm:sqref>Q41</xm:sqref>
            </x14:sparkline>
            <x14:sparkline>
              <xm:f>'PERSONAL BUDGET'!D42:O42</xm:f>
              <xm:sqref>Q42</xm:sqref>
            </x14:sparkline>
            <x14:sparkline>
              <xm:f>'PERSONAL BUDGET'!D43:O43</xm:f>
              <xm:sqref>Q43</xm:sqref>
            </x14:sparkline>
          </x14:sparklines>
        </x14:sparklineGroup>
        <x14:sparklineGroup displayEmptyCellsAs="gap" high="1" low="1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'PERSONAL BUDGET'!D26:O26</xm:f>
              <xm:sqref>Q26</xm:sqref>
            </x14:sparkline>
            <x14:sparkline>
              <xm:f>'PERSONAL BUDGET'!D27:O27</xm:f>
              <xm:sqref>Q27</xm:sqref>
            </x14:sparkline>
            <x14:sparkline>
              <xm:f>'PERSONAL BUDGET'!D28:O28</xm:f>
              <xm:sqref>Q28</xm:sqref>
            </x14:sparkline>
            <x14:sparkline>
              <xm:f>'PERSONAL BUDGET'!D29:O29</xm:f>
              <xm:sqref>Q29</xm:sqref>
            </x14:sparkline>
            <x14:sparkline>
              <xm:f>'PERSONAL BUDGET'!D30:O30</xm:f>
              <xm:sqref>Q30</xm:sqref>
            </x14:sparkline>
            <x14:sparkline>
              <xm:f>'PERSONAL BUDGET'!D31:O31</xm:f>
              <xm:sqref>Q31</xm:sqref>
            </x14:sparkline>
            <x14:sparkline>
              <xm:f>'PERSONAL BUDGET'!D32:O32</xm:f>
              <xm:sqref>Q32</xm:sqref>
            </x14:sparkline>
          </x14:sparklines>
        </x14:sparklineGroup>
        <x14:sparklineGroup displayEmptyCellsAs="gap" high="1" low="1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'PERSONAL BUDGET'!D16:O16</xm:f>
              <xm:sqref>Q16</xm:sqref>
            </x14:sparkline>
          </x14:sparklines>
        </x14:sparklineGroup>
        <x14:sparklineGroup displayEmptyCellsAs="gap" high="1" low="1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'PERSONAL BUDGET'!D17:O17</xm:f>
              <xm:sqref>Q17</xm:sqref>
            </x14:sparkline>
            <x14:sparkline>
              <xm:f>'PERSONAL BUDGET'!D18:O18</xm:f>
              <xm:sqref>Q18</xm:sqref>
            </x14:sparkline>
            <x14:sparkline>
              <xm:f>'PERSONAL BUDGET'!D19:O19</xm:f>
              <xm:sqref>Q19</xm:sqref>
            </x14:sparkline>
            <x14:sparkline>
              <xm:f>'PERSONAL BUDGET'!D20:O20</xm:f>
              <xm:sqref>Q20</xm:sqref>
            </x14:sparkline>
            <x14:sparkline>
              <xm:f>'PERSONAL BUDGET'!D21:O21</xm:f>
              <xm:sqref>Q21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 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JAY</dc:creator>
  <cp:lastModifiedBy>JAY</cp:lastModifiedBy>
  <dcterms:created xsi:type="dcterms:W3CDTF">2017-12-27T06:33:55Z</dcterms:created>
  <dcterms:modified xsi:type="dcterms:W3CDTF">2018-03-21T20:57:12Z</dcterms:modified>
</cp:coreProperties>
</file>