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 activeTab="3"/>
  </bookViews>
  <sheets>
    <sheet name="Payroll Input (3)" sheetId="7" r:id="rId1"/>
    <sheet name="UCG PAY" sheetId="11" r:id="rId2"/>
    <sheet name="ROW PAY" sheetId="9" r:id="rId3"/>
    <sheet name="SDU PAY" sheetId="3" r:id="rId4"/>
    <sheet name="stubs_template" sheetId="4" state="hidden" r:id="rId5"/>
  </sheets>
  <definedNames>
    <definedName name="CompanyName" localSheetId="0">'Payroll Input (3)'!$P$1</definedName>
    <definedName name="CompanyName" localSheetId="2">'ROW PAY'!$K$1</definedName>
    <definedName name="CompanyName" localSheetId="1">'UCG PAY'!$K$1</definedName>
    <definedName name="CompanyName">'SDU PAY'!$K$1</definedName>
    <definedName name="CurrentEmp" localSheetId="0">INDEX(Employees56[Employee Name],[0]!Stub)</definedName>
    <definedName name="CurrentEmp" localSheetId="2">INDEX(Employees8[Employee Name],[0]!Stub)</definedName>
    <definedName name="CurrentEmp" localSheetId="1">INDEX(Employees9[Employee Name],[0]!Stub)</definedName>
    <definedName name="CurrentEmp">INDEX(Employees[Employee Name],Stub)</definedName>
    <definedName name="PeriodEnding" localSheetId="0">'Payroll Input (3)'!$L$1</definedName>
    <definedName name="PeriodEnding" localSheetId="2">'ROW PAY'!#REF!</definedName>
    <definedName name="PeriodEnding" localSheetId="1">'UCG PAY'!#REF!</definedName>
    <definedName name="PeriodEnding">'SDU PAY'!#REF!</definedName>
    <definedName name="_xlnm.Print_Titles" localSheetId="0">'Payroll Input (3)'!$1:$3</definedName>
    <definedName name="_xlnm.Print_Titles" localSheetId="2">'ROW PAY'!$1:$3</definedName>
    <definedName name="_xlnm.Print_Titles" localSheetId="3">'SDU PAY'!$1:$3</definedName>
    <definedName name="_xlnm.Print_Titles" localSheetId="1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D10" i="11" l="1"/>
  <c r="I12" i="11"/>
  <c r="I7" i="9" l="1"/>
  <c r="E12" i="11"/>
  <c r="E7" i="9"/>
  <c r="D11" i="11"/>
  <c r="H11" i="11" s="1"/>
  <c r="G10" i="11"/>
  <c r="H4" i="11"/>
  <c r="H5" i="11"/>
  <c r="H6" i="11"/>
  <c r="H7" i="11"/>
  <c r="H8" i="11"/>
  <c r="H9" i="11"/>
  <c r="H10" i="11"/>
  <c r="E13" i="3"/>
  <c r="G4" i="9"/>
  <c r="G5" i="9"/>
  <c r="G6" i="9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G7" i="9" l="1"/>
  <c r="C7" i="9"/>
  <c r="I5" i="9"/>
  <c r="I6" i="9"/>
  <c r="I10" i="11"/>
  <c r="I8" i="11"/>
  <c r="I9" i="11"/>
  <c r="I11" i="11"/>
  <c r="I6" i="11"/>
  <c r="I7" i="11"/>
  <c r="I20" i="3"/>
  <c r="I12" i="3"/>
  <c r="I11" i="3"/>
  <c r="I7" i="3"/>
  <c r="D12" i="11"/>
  <c r="F12" i="11"/>
  <c r="G12" i="11"/>
  <c r="F7" i="9"/>
  <c r="D7" i="9"/>
  <c r="K7" i="9"/>
  <c r="C12" i="11"/>
  <c r="W13" i="7"/>
  <c r="V13" i="7"/>
  <c r="K13" i="7"/>
  <c r="G13" i="7"/>
  <c r="F13" i="7"/>
  <c r="E13" i="7"/>
  <c r="D13" i="7"/>
  <c r="C13" i="7"/>
  <c r="X12" i="7"/>
  <c r="U12" i="7"/>
  <c r="J12" i="7"/>
  <c r="I12" i="7"/>
  <c r="L12" i="7" s="1"/>
  <c r="X11" i="7"/>
  <c r="U11" i="7"/>
  <c r="I11" i="7"/>
  <c r="J11" i="7" s="1"/>
  <c r="L11" i="7" s="1"/>
  <c r="X10" i="7"/>
  <c r="U10" i="7"/>
  <c r="J10" i="7" s="1"/>
  <c r="L10" i="7" s="1"/>
  <c r="I10" i="7"/>
  <c r="X9" i="7"/>
  <c r="U9" i="7"/>
  <c r="I9" i="7"/>
  <c r="X8" i="7"/>
  <c r="U8" i="7"/>
  <c r="J8" i="7"/>
  <c r="I8" i="7"/>
  <c r="L8" i="7" s="1"/>
  <c r="X7" i="7"/>
  <c r="U7" i="7"/>
  <c r="L7" i="7"/>
  <c r="J7" i="7"/>
  <c r="I7" i="7"/>
  <c r="X6" i="7"/>
  <c r="U6" i="7"/>
  <c r="J6" i="7" s="1"/>
  <c r="L6" i="7" s="1"/>
  <c r="I6" i="7"/>
  <c r="X5" i="7"/>
  <c r="U5" i="7"/>
  <c r="I5" i="7"/>
  <c r="X4" i="7"/>
  <c r="X13" i="7" s="1"/>
  <c r="U4" i="7"/>
  <c r="J4" i="7"/>
  <c r="I4" i="7"/>
  <c r="I13" i="7" s="1"/>
  <c r="L4" i="7" l="1"/>
  <c r="J5" i="7"/>
  <c r="L5" i="7" s="1"/>
  <c r="J9" i="7"/>
  <c r="J13" i="7" s="1"/>
  <c r="M43" i="4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L13" i="7" l="1"/>
  <c r="L9" i="7"/>
  <c r="C21" i="3"/>
  <c r="D39" i="4" l="1"/>
  <c r="C38" i="4"/>
  <c r="D27" i="4"/>
  <c r="C26" i="4"/>
  <c r="D15" i="4"/>
  <c r="C14" i="4"/>
  <c r="D3" i="4"/>
  <c r="C2" i="4"/>
  <c r="G21" i="3"/>
  <c r="D21" i="3"/>
  <c r="I21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H21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BRIGHT + PARAMVEER AMOUNT INTO PV ACCOUNT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VISIONSTREAM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 INTO SUKDEEP AND 20 IN NARINDER ACCOUNT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holiday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GANGA+AVI INTO GANGA ACCOUNT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46.85 HRS (NOT 50 HRS SINCE UNDER 21$ PAY RATE) EQUAL PAY GIVEN TO MANISH AND PRAMOD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20 FROM PRABJOTH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DEDUCTING 30 FROM PRABJOTH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vital pay</t>
        </r>
      </text>
    </comment>
  </commentList>
</comments>
</file>

<file path=xl/sharedStrings.xml><?xml version="1.0" encoding="utf-8"?>
<sst xmlns="http://schemas.openxmlformats.org/spreadsheetml/2006/main" count="223" uniqueCount="109">
  <si>
    <t>Hourly Wage</t>
  </si>
  <si>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</si>
  <si>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</si>
  <si>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</si>
  <si>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</si>
  <si>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</si>
  <si>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</si>
  <si>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</si>
  <si>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</si>
  <si>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</si>
  <si>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</si>
  <si>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</si>
  <si>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Sick
Hours</t>
  </si>
  <si>
    <t>Gross
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</si>
  <si>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</si>
  <si>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</si>
  <si>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</si>
  <si>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</si>
  <si>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</si>
  <si>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</si>
  <si>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</si>
  <si>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</si>
  <si>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</si>
  <si>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</si>
  <si>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Tony Smith</t>
  </si>
  <si>
    <t>David Jones</t>
  </si>
  <si>
    <t>Denise Smith</t>
  </si>
  <si>
    <t>Sebastien Motte</t>
  </si>
  <si>
    <t>Isabelle Scemla</t>
  </si>
  <si>
    <t>David Bristol</t>
  </si>
  <si>
    <t>Anne Weiler</t>
  </si>
  <si>
    <t>Luka Abrus</t>
  </si>
  <si>
    <t>David Ludwig</t>
  </si>
  <si>
    <t>PAYROLL CALCULATOR</t>
  </si>
  <si>
    <t>Total Taxes Withheld</t>
  </si>
  <si>
    <t>Total Reg.
Deductions</t>
  </si>
  <si>
    <t>Other Reg. Deduction</t>
  </si>
  <si>
    <t>Medicare
Tax</t>
  </si>
  <si>
    <t>Federal
Income Tax</t>
  </si>
  <si>
    <t>State
Tax</t>
  </si>
  <si>
    <t>Federal
Allow.</t>
  </si>
  <si>
    <t>Taxes and Ded's</t>
  </si>
  <si>
    <t>Soc. Security
Tax</t>
  </si>
  <si>
    <t>Tax
Status</t>
  </si>
  <si>
    <t>Reg Hours Worked</t>
  </si>
  <si>
    <t>COMPANY NAME:</t>
  </si>
  <si>
    <t>PERIOD ENDING:</t>
  </si>
  <si>
    <t>Other
Ded's</t>
  </si>
  <si>
    <t>Totals</t>
  </si>
  <si>
    <t>PERIOD</t>
  </si>
  <si>
    <t>NAME</t>
  </si>
  <si>
    <t>EMPLOYEE ID</t>
  </si>
  <si>
    <t>NET PAY</t>
  </si>
  <si>
    <t>ADVENTURE WORKS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</si>
  <si>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</si>
  <si>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</si>
  <si>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</si>
  <si>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</si>
  <si>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</si>
  <si>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</si>
  <si>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</si>
  <si>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</si>
  <si>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</si>
  <si>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</si>
  <si>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</si>
  <si>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</si>
  <si>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</si>
  <si>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</si>
  <si>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</si>
  <si>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</si>
  <si>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</si>
  <si>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</si>
  <si>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</si>
  <si>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</si>
  <si>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</si>
  <si>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</si>
  <si>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</si>
  <si>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</si>
  <si>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</si>
  <si>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</si>
  <si>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</si>
  <si>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Column1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</si>
  <si>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</si>
  <si>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</si>
  <si>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</si>
  <si>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</si>
  <si>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</si>
  <si>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</si>
  <si>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</si>
  <si>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</si>
  <si>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</si>
  <si>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</si>
  <si>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</si>
  <si>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</si>
  <si>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</si>
  <si>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</si>
  <si>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</si>
  <si>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</si>
  <si>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</si>
  <si>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STMS COURSE+EXPENSES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</si>
  <si>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</si>
  <si>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</si>
  <si>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</si>
  <si>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</si>
  <si>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</si>
  <si>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</si>
  <si>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FABRIL TO PAY PHONEBILL TO PRASANNA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</si>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</sst>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2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right" vertical="center" indent="1"/>
    </xf>
    <xf numFmtId="166" fontId="0" fillId="0" borderId="0" xfId="0" applyNumberFormat="1" applyFont="1" applyFill="1" applyBorder="1" applyAlignment="1">
      <alignment horizontal="right" vertical="center" indent="1"/>
    </xf>
    <xf numFmtId="165" fontId="0" fillId="0" borderId="0" xfId="0" applyNumberFormat="1" applyFont="1" applyFill="1" applyBorder="1" applyAlignment="1">
      <alignment horizontal="right" vertical="center" indent="1"/>
    </xf>
    <xf numFmtId="167" fontId="8" fillId="2" borderId="0" xfId="0" applyNumberFormat="1" applyFont="1" applyFill="1" applyBorder="1" applyAlignment="1">
      <alignment horizontal="right" vertical="center" indent="1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left" wrapText="1" indent="1"/>
    </xf>
    <xf numFmtId="0" fontId="0" fillId="0" borderId="0" xfId="0" applyFont="1" applyFill="1" applyBorder="1" applyAlignment="1">
      <alignment horizontal="left" vertical="center" indent="1"/>
    </xf>
    <xf numFmtId="14" fontId="5" fillId="0" borderId="0" xfId="3" applyNumberFormat="1" applyFill="1" applyBorder="1" applyAlignment="1"/>
    <xf numFmtId="0" fontId="9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164" fontId="12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9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1" fillId="0" borderId="0" xfId="4" applyFill="1" applyBorder="1" applyAlignment="1">
      <alignment horizontal="left" vertical="center" indent="1"/>
    </xf>
    <xf numFmtId="0" fontId="7" fillId="0" borderId="15" xfId="0" applyFont="1" applyFill="1" applyBorder="1" applyAlignment="1">
      <alignment horizontal="left" wrapText="1" indent="1"/>
    </xf>
    <xf numFmtId="0" fontId="0" fillId="0" borderId="15" xfId="0" applyFont="1" applyFill="1" applyBorder="1" applyAlignment="1">
      <alignment horizontal="center" vertical="center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10" fillId="0" borderId="4" xfId="2" applyBorder="1" applyAlignment="1">
      <alignment horizontal="right" vertical="center"/>
    </xf>
    <xf numFmtId="0" fontId="10" fillId="0" borderId="4" xfId="2" applyBorder="1" applyAlignment="1">
      <alignment horizontal="left" vertical="center"/>
    </xf>
    <xf numFmtId="0" fontId="5" fillId="0" borderId="4" xfId="3" applyFill="1" applyBorder="1" applyAlignment="1">
      <alignment horizontal="left" vertical="center"/>
    </xf>
    <xf numFmtId="14" fontId="5" fillId="0" borderId="4" xfId="3" applyNumberForma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right" vertical="center" indent="1"/>
    </xf>
    <xf numFmtId="10" fontId="0" fillId="0" borderId="0" xfId="6" applyNumberFormat="1" applyFont="1" applyFill="1" applyBorder="1" applyAlignment="1">
      <alignment horizontal="center" vertical="center"/>
    </xf>
    <xf numFmtId="10" fontId="8" fillId="2" borderId="0" xfId="6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66" fontId="0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166" fontId="0" fillId="0" borderId="21" xfId="0" applyNumberFormat="1" applyFont="1" applyFill="1" applyBorder="1" applyAlignment="1">
      <alignment horizontal="center" vertical="center" wrapText="1"/>
    </xf>
    <xf numFmtId="0" fontId="15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8" fillId="0" borderId="4" xfId="2" applyFont="1" applyBorder="1" applyAlignment="1">
      <alignment horizontal="left" vertical="center"/>
    </xf>
    <xf numFmtId="0" fontId="19" fillId="0" borderId="4" xfId="2" applyFont="1" applyBorder="1" applyAlignment="1">
      <alignment horizontal="left" vertical="center"/>
    </xf>
    <xf numFmtId="0" fontId="15" fillId="0" borderId="0" xfId="0" applyFont="1">
      <alignment vertical="center"/>
    </xf>
    <xf numFmtId="0" fontId="20" fillId="0" borderId="4" xfId="0" applyFont="1" applyBorder="1">
      <alignment vertical="center"/>
    </xf>
    <xf numFmtId="0" fontId="21" fillId="0" borderId="4" xfId="3" applyFont="1" applyFill="1" applyBorder="1" applyAlignment="1">
      <alignment horizontal="left"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5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14" fontId="4" fillId="0" borderId="19" xfId="5" applyNumberFormat="1" applyFill="1" applyBorder="1" applyAlignment="1">
      <alignment horizontal="right" vertical="center" indent="2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Percent" xfId="6" builtinId="5"/>
    <cellStyle name="Title" xfId="1" builtinId="15" customBuiltin="1"/>
  </cellStyles>
  <dxfs count="1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</font>
      <numFmt numFmtId="14" formatCode="0.00%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&quot;$&quot;#,##0.00;\-&quot;$&quot;#,##0.00;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128"/>
      <tableStyleElement type="headerRow" dxfId="127"/>
      <tableStyleElement type="totalRow" dxfId="126"/>
      <tableStyleElement type="firstRowStripe" dxfId="125"/>
      <tableStyleElement type="secondRowStripe" dxfId="124"/>
      <tableStyleElement type="firstColumnStripe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0</xdr:row>
      <xdr:rowOff>171449</xdr:rowOff>
    </xdr:from>
    <xdr:to>
      <xdr:col>8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43575" y="171449"/>
          <a:ext cx="16287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12</xdr:col>
      <xdr:colOff>15875</xdr:colOff>
      <xdr:row>2</xdr:row>
      <xdr:rowOff>146844</xdr:rowOff>
    </xdr:from>
    <xdr:to>
      <xdr:col>13</xdr:col>
      <xdr:colOff>517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10188575" y="832644"/>
          <a:ext cx="175142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5" name="Employees56" displayName="Employees56" ref="B3:X13" totalsRowCount="1" headerRowDxfId="122" dataDxfId="121" totalsRowDxfId="120">
  <autoFilter ref="B3:X12"/>
  <tableColumns count="23">
    <tableColumn id="1" name="ID" totalsRowLabel="Totals" dataDxfId="119" totalsRowDxfId="118"/>
    <tableColumn id="2" name="Employee Name" totalsRowFunction="count" dataDxfId="117" totalsRowDxfId="116"/>
    <tableColumn id="25" name="Reg Hours Worked" totalsRowFunction="sum" dataDxfId="115" totalsRowDxfId="114"/>
    <tableColumn id="26" name="Vacation Hours" totalsRowFunction="sum" dataDxfId="113" totalsRowDxfId="112"/>
    <tableColumn id="27" name="Sick_x000a_Hours" totalsRowFunction="sum" dataDxfId="111" totalsRowDxfId="110"/>
    <tableColumn id="28" name="Overtime Hours" totalsRowFunction="sum" dataDxfId="109" totalsRowDxfId="108"/>
    <tableColumn id="29" name="Overtime Rate" dataDxfId="107" totalsRowDxfId="106"/>
    <tableColumn id="30" name="Gross_x000a_Pay" totalsRowFunction="sum" dataDxfId="105" totalsRowDxfId="104">
      <calculatedColumnFormula>SUM(Employees56[[#This Row],[Reg Hours Worked]:[Sick
Hours]])*Employees56[[#This Row],[Hourly Wage]]+Employees56[[#This Row],[Overtime Hours]]*Employees56[[#This Row],[Overtime Rate]]</calculatedColumnFormula>
    </tableColumn>
    <tableColumn id="31" name="Taxes and Ded's" totalsRowFunction="sum" dataDxfId="103" totalsRowDxfId="102">
      <calculatedColumnFormula>Employees56[[#This Row],[Gross
Pay]]*Employees56[[#This Row],[Total Taxes Withheld]] + Employees56[[#This Row],[Total Reg.
Deductions]]</calculatedColumnFormula>
    </tableColumn>
    <tableColumn id="32" name="Other_x000a_Ded's" totalsRowFunction="sum" dataDxfId="101" totalsRowDxfId="100"/>
    <tableColumn id="33" name="Net Pay" totalsRowFunction="sum" dataDxfId="99" totalsRowDxfId="98">
      <calculatedColumnFormula>Employees56[[#This Row],[Gross
Pay]]-Employees56[[#This Row],[Taxes and Ded''s]]-Employees56[[#This Row],[Other
Ded''s]]</calculatedColumnFormula>
    </tableColumn>
    <tableColumn id="24" name=" " dataDxfId="97" totalsRowDxfId="96"/>
    <tableColumn id="3" name="Hourly Wage" dataDxfId="95" totalsRowDxfId="94"/>
    <tableColumn id="4" name="Tax_x000a_Status" dataDxfId="93" totalsRowDxfId="92"/>
    <tableColumn id="5" name="Federal_x000a_Allow." dataDxfId="91" totalsRowDxfId="90"/>
    <tableColumn id="6" name="State_x000a_Tax" dataDxfId="89" totalsRowDxfId="88"/>
    <tableColumn id="7" name="Federal_x000a_Income Tax" dataDxfId="87" totalsRowDxfId="86" dataCellStyle="Percent"/>
    <tableColumn id="8" name="Soc. Security_x000a_Tax" dataDxfId="85" totalsRowDxfId="84" dataCellStyle="Percent"/>
    <tableColumn id="9" name="Medicare_x000a_Tax" dataDxfId="83" totalsRowDxfId="82" dataCellStyle="Percent"/>
    <tableColumn id="10" name="Total Taxes Withheld" dataDxfId="81" totalsRowDxfId="80" dataCellStyle="Percent">
      <calculatedColumnFormula>SUM(Employees56[[#This Row],[State
Tax]:[Medicare
Tax]])</calculatedColumnFormula>
    </tableColumn>
    <tableColumn id="11" name="Insurance Deduction" totalsRowFunction="sum" dataDxfId="79" totalsRowDxfId="78"/>
    <tableColumn id="12" name="Other Reg. Deduction" totalsRowFunction="sum" dataDxfId="77" totalsRowDxfId="76"/>
    <tableColumn id="13" name="Total Reg._x000a_Deductions" totalsRowFunction="sum" dataDxfId="75" totalsRowDxfId="74">
      <calculatedColumnFormula>SUM(Employees56[[#This Row],[Insurance Deduction]:[Other Reg. Deduction]])</calculatedColumnFormula>
    </tableColumn>
  </tableColumns>
  <tableStyleInfo name="Payroll Calculator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2.xml><?xml version="1.0" encoding="utf-8"?>
<table xmlns="http://schemas.openxmlformats.org/spreadsheetml/2006/main" id="8" name="Employees9" displayName="Employees9" ref="B3:L12" totalsRowCount="1" headerRowDxfId="73" dataDxfId="72" totalsRowDxfId="71">
  <autoFilter ref="B3:L11"/>
  <tableColumns count="11">
    <tableColumn id="1" name="ID" totalsRowLabel="Totals" dataDxfId="70" totalsRowDxfId="69"/>
    <tableColumn id="2" name="Employee Name" totalsRowFunction="count" dataDxfId="68" totalsRowDxfId="67"/>
    <tableColumn id="25" name="HOURS CALCULATED" totalsRowFunction="sum" dataDxfId="66" totalsRowDxfId="65"/>
    <tableColumn id="6" name="HOURS PAID" totalsRowFunction="sum" dataDxfId="64" totalsRowDxfId="63"/>
    <tableColumn id="3" name="AMOUNT TO BE PAID" totalsRowFunction="sum" dataDxfId="62" totalsRowDxfId="61"/>
    <tableColumn id="26" name="OWING HOURS" totalsRowFunction="sum" dataDxfId="60" totalsRowDxfId="59"/>
    <tableColumn id="30" name="Gross_x000a_HOURS" dataDxfId="58" totalsRowDxfId="57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56" totalsRowDxfId="55">
      <totalsRowFormula>SUBTOTAL(109,Employees9[] Employees9[ Ded''s AMOUNT] )</totalsRowFormula>
    </tableColumn>
    <tableColumn id="4" name="COMMENTS" dataDxfId="54" totalsRowDxfId="53"/>
    <tableColumn id="33" name="Net Pay" dataDxfId="52" totalsRowDxfId="51"/>
    <tableColumn id="24" name=" " dataDxfId="50" totalsRowDxfId="49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7" name="Employees8" displayName="Employees8" ref="B3:L7" totalsRowCount="1" headerRowDxfId="48" dataDxfId="47" totalsRowDxfId="46">
  <autoFilter ref="B3:L6"/>
  <tableColumns count="11">
    <tableColumn id="1" name="ID" totalsRowLabel="Totals" dataDxfId="45" totalsRowDxfId="44"/>
    <tableColumn id="2" name="Employee Name" totalsRowFunction="count" dataDxfId="43" totalsRowDxfId="42"/>
    <tableColumn id="25" name="HOURS CALCULATED" totalsRowFunction="count" dataDxfId="41" totalsRowDxfId="40"/>
    <tableColumn id="3" name="HOURS PAID" totalsRowFunction="sum" dataDxfId="39" totalsRowDxfId="38"/>
    <tableColumn id="26" name="OWING HOURS" totalsRowFunction="sum" dataDxfId="37" totalsRowDxfId="36"/>
    <tableColumn id="30" name="Gross_x000a_HOURS" totalsRowFunction="sum" totalsRowDxfId="35">
      <calculatedColumnFormula>Employees8[[#This Row],[HOURS CALCULATED]]+Employees8[[#This Row],[OWING HOURS]]-Employees8[[#This Row],[HOURS PAID]]</calculatedColumnFormula>
    </tableColumn>
    <tableColumn id="5" name="Column1" dataDxfId="34" totalsRowDxfId="33"/>
    <tableColumn id="31" name="PREVIOUS Ded's" totalsRowFunction="sum" dataDxfId="32" totalsRowDxfId="31">
      <calculatedColumnFormula>1058+612.58+112.5</calculatedColumnFormula>
    </tableColumn>
    <tableColumn id="4" name="COMMENTS" dataDxfId="30" totalsRowDxfId="29"/>
    <tableColumn id="33" name="Net Pay" totalsRowFunction="count" dataDxfId="28" totalsRowDxfId="27"/>
    <tableColumn id="24" name=" " dataDxfId="26" totalsRowDxfId="25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4.xml><?xml version="1.0" encoding="utf-8"?>
<table xmlns="http://schemas.openxmlformats.org/spreadsheetml/2006/main" id="1" name="Employees" displayName="Employees" ref="B3:L21" totalsRowCount="1" headerRowDxfId="24" dataDxfId="23" totalsRowDxfId="22">
  <autoFilter ref="B3:L20"/>
  <tableColumns count="11">
    <tableColumn id="1" name="ID" totalsRowLabel="Totals" dataDxfId="21" totalsRowDxfId="10"/>
    <tableColumn id="2" name="Employee Name" totalsRowFunction="count" dataDxfId="20" totalsRowDxfId="9"/>
    <tableColumn id="25" name="HOURS CALCULATED" totalsRowFunction="sum" dataDxfId="19" totalsRowDxfId="8"/>
    <tableColumn id="6" name="HOURS PAID" dataDxfId="18" totalsRowDxfId="7"/>
    <tableColumn id="5" name="AMOUNT TO BE PAID" dataDxfId="17" totalsRowDxfId="6"/>
    <tableColumn id="26" name="OWING HOURS" totalsRowFunction="sum" dataDxfId="16" totalsRowDxfId="5"/>
    <tableColumn id="30" name="Gross_x000a_HOURS" totalsRowFunction="sum" dataDxfId="15" totalsRowDxfId="4">
      <calculatedColumnFormula>Employees[[#This Row],[HOURS CALCULATED]]+Employees[[#This Row],[OWING HOURS]]-Employees[[#This Row],[HOURS PAID]]</calculatedColumnFormula>
    </tableColumn>
    <tableColumn id="31" name="Ded's AMOUNT" totalsRowFunction="sum" dataDxfId="14" totalsRowDxfId="3"/>
    <tableColumn id="4" name="COMMENTS" dataDxfId="13" totalsRowDxfId="2"/>
    <tableColumn id="33" name="Net Pay" dataDxfId="12" totalsRowDxfId="1"/>
    <tableColumn id="24" name=" " dataDxfId="11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X13"/>
  <sheetViews>
    <sheetView showGridLines="0" topLeftCell="A2" zoomScaleNormal="100" workbookViewId="0">
      <pane xSplit="3" topLeftCell="N1" activePane="topRight" state="frozen"/>
      <selection pane="topRight" activeCell="C14" sqref="C14"/>
    </sheetView>
  </sheetViews>
  <sheetFormatPr defaultRowHeight="18.75" customHeight="1" x14ac:dyDescent="0.2"/>
  <cols>
    <col min="1" max="1" width="1.42578125" customWidth="1"/>
    <col min="2" max="2" width="10.28515625" customWidth="1"/>
    <col min="3" max="3" width="31" customWidth="1"/>
    <col min="4" max="4" width="12.42578125" customWidth="1"/>
    <col min="5" max="7" width="10.5703125" customWidth="1"/>
    <col min="8" max="8" width="11.28515625" customWidth="1"/>
    <col min="9" max="9" width="12.7109375" customWidth="1"/>
    <col min="10" max="10" width="13.7109375" customWidth="1"/>
    <col min="11" max="11" width="14.28515625" customWidth="1"/>
    <col min="12" max="12" width="13.7109375" customWidth="1"/>
    <col min="13" max="13" width="2.85546875" customWidth="1"/>
    <col min="14" max="14" width="10.28515625" customWidth="1"/>
    <col min="15" max="15" width="10" customWidth="1"/>
    <col min="16" max="16" width="12.42578125" customWidth="1"/>
    <col min="17" max="17" width="11.28515625" customWidth="1"/>
    <col min="18" max="18" width="16.85546875" customWidth="1"/>
    <col min="19" max="19" width="14.7109375" customWidth="1"/>
    <col min="20" max="20" width="12.85546875" customWidth="1"/>
    <col min="21" max="21" width="16" customWidth="1"/>
    <col min="22" max="22" width="13.28515625" customWidth="1"/>
    <col min="23" max="23" width="13.85546875" customWidth="1"/>
    <col min="24" max="24" width="13.28515625" customWidth="1"/>
  </cols>
  <sheetData>
    <row r="1" spans="2:24" ht="42" customHeight="1" thickBot="1" x14ac:dyDescent="0.25">
      <c r="B1" s="20" t="s">
        <v>33</v>
      </c>
      <c r="C1" s="21"/>
      <c r="D1" s="21"/>
      <c r="E1" s="21"/>
      <c r="F1" s="21"/>
      <c r="G1" s="21"/>
      <c r="H1" s="21"/>
      <c r="I1" s="21"/>
      <c r="J1" s="21"/>
      <c r="K1" s="47" t="s">
        <v>46</v>
      </c>
      <c r="L1" s="50">
        <v>41372</v>
      </c>
      <c r="M1" s="21"/>
      <c r="N1" s="48" t="s">
        <v>45</v>
      </c>
      <c r="O1" s="21"/>
      <c r="P1" s="49" t="s">
        <v>53</v>
      </c>
      <c r="Q1" s="21"/>
      <c r="R1" s="21"/>
      <c r="S1" s="21"/>
      <c r="T1" s="21"/>
      <c r="U1" s="21"/>
      <c r="V1" s="21"/>
      <c r="W1" s="21"/>
      <c r="X1" s="21"/>
    </row>
    <row r="2" spans="2:24" ht="12" customHeight="1" x14ac:dyDescent="0.25">
      <c r="B2" s="1"/>
      <c r="H2" s="15"/>
      <c r="P2" s="19"/>
    </row>
    <row r="3" spans="2:24" ht="30.75" customHeight="1" x14ac:dyDescent="0.25">
      <c r="B3" s="16" t="s">
        <v>3</v>
      </c>
      <c r="C3" s="16" t="s">
        <v>14</v>
      </c>
      <c r="D3" s="37" t="s">
        <v>44</v>
      </c>
      <c r="E3" s="17" t="s">
        <v>4</v>
      </c>
      <c r="F3" s="17" t="s">
        <v>12</v>
      </c>
      <c r="G3" s="17" t="s">
        <v>6</v>
      </c>
      <c r="H3" s="17" t="s">
        <v>7</v>
      </c>
      <c r="I3" s="17" t="s">
        <v>13</v>
      </c>
      <c r="J3" s="17" t="s">
        <v>41</v>
      </c>
      <c r="K3" s="17" t="s">
        <v>47</v>
      </c>
      <c r="L3" s="17" t="s">
        <v>11</v>
      </c>
      <c r="M3" s="10" t="s">
        <v>10</v>
      </c>
      <c r="N3" s="17" t="s">
        <v>0</v>
      </c>
      <c r="O3" s="17" t="s">
        <v>43</v>
      </c>
      <c r="P3" s="17" t="s">
        <v>40</v>
      </c>
      <c r="Q3" s="17" t="s">
        <v>39</v>
      </c>
      <c r="R3" s="17" t="s">
        <v>38</v>
      </c>
      <c r="S3" s="17" t="s">
        <v>42</v>
      </c>
      <c r="T3" s="17" t="s">
        <v>37</v>
      </c>
      <c r="U3" s="17" t="s">
        <v>34</v>
      </c>
      <c r="V3" s="17" t="s">
        <v>21</v>
      </c>
      <c r="W3" s="17" t="s">
        <v>36</v>
      </c>
      <c r="X3" s="17" t="s">
        <v>35</v>
      </c>
    </row>
    <row r="4" spans="2:24" ht="18.75" customHeight="1" x14ac:dyDescent="0.2">
      <c r="B4" s="18">
        <v>1001</v>
      </c>
      <c r="C4" s="18" t="s">
        <v>24</v>
      </c>
      <c r="D4" s="38">
        <v>50</v>
      </c>
      <c r="E4" s="4">
        <v>5</v>
      </c>
      <c r="F4" s="4">
        <v>1</v>
      </c>
      <c r="G4" s="4"/>
      <c r="H4" s="56"/>
      <c r="I4" s="11">
        <f>SUM(Employees56[[#This Row],[Reg Hours Worked]:[Sick
Hours]])*Employees56[[#This Row],[Hourly Wage]]+Employees56[[#This Row],[Overtime Hours]]*Employees56[[#This Row],[Overtime Rate]]</f>
        <v>560</v>
      </c>
      <c r="J4" s="11">
        <f>Employees56[[#This Row],[Gross
Pay]]*Employees56[[#This Row],[Total Taxes Withheld]] + Employees56[[#This Row],[Total Reg.
Deductions]]</f>
        <v>273.08000000000004</v>
      </c>
      <c r="K4" s="57">
        <v>20</v>
      </c>
      <c r="L4" s="11">
        <f>Employees56[[#This Row],[Gross
Pay]]-Employees56[[#This Row],[Taxes and Ded''s]]-Employees56[[#This Row],[Other
Ded''s]]</f>
        <v>266.91999999999996</v>
      </c>
      <c r="M4" s="6"/>
      <c r="N4" s="56">
        <v>10</v>
      </c>
      <c r="O4" s="4">
        <v>1</v>
      </c>
      <c r="P4" s="4">
        <v>4</v>
      </c>
      <c r="Q4" s="5">
        <v>2.3E-2</v>
      </c>
      <c r="R4" s="58">
        <v>0.28000000000000003</v>
      </c>
      <c r="S4" s="58">
        <v>6.3E-2</v>
      </c>
      <c r="T4" s="58">
        <v>1.4500000000000001E-2</v>
      </c>
      <c r="U4" s="59">
        <f>SUM(Employees56[[#This Row],[State
Tax]:[Medicare
Tax]])</f>
        <v>0.38050000000000006</v>
      </c>
      <c r="V4" s="57">
        <v>20</v>
      </c>
      <c r="W4" s="57">
        <v>40</v>
      </c>
      <c r="X4" s="14">
        <f>SUM(Employees56[[#This Row],[Insurance Deduction]:[Other Reg. Deduction]])</f>
        <v>60</v>
      </c>
    </row>
    <row r="5" spans="2:24" ht="18.75" customHeight="1" x14ac:dyDescent="0.2">
      <c r="B5" s="18">
        <v>1002</v>
      </c>
      <c r="C5" s="18" t="s">
        <v>25</v>
      </c>
      <c r="D5" s="38">
        <v>40</v>
      </c>
      <c r="E5" s="4"/>
      <c r="F5" s="4"/>
      <c r="G5" s="4"/>
      <c r="H5" s="56"/>
      <c r="I5" s="11">
        <f>SUM(Employees56[[#This Row],[Reg Hours Worked]:[Sick
Hours]])*Employees56[[#This Row],[Hourly Wage]]+Employees56[[#This Row],[Overtime Hours]]*Employees56[[#This Row],[Overtime Rate]]</f>
        <v>320</v>
      </c>
      <c r="J5" s="11">
        <f>Employees56[[#This Row],[Gross
Pay]]*Employees56[[#This Row],[Total Taxes Withheld]] + Employees56[[#This Row],[Total Reg.
Deductions]]</f>
        <v>131.76000000000002</v>
      </c>
      <c r="K5" s="57"/>
      <c r="L5" s="11">
        <f>Employees56[[#This Row],[Gross
Pay]]-Employees56[[#This Row],[Taxes and Ded''s]]-Employees56[[#This Row],[Other
Ded''s]]</f>
        <v>188.23999999999998</v>
      </c>
      <c r="M5" s="7"/>
      <c r="N5" s="56">
        <v>8</v>
      </c>
      <c r="O5" s="4">
        <v>1</v>
      </c>
      <c r="P5" s="4">
        <v>1</v>
      </c>
      <c r="Q5" s="5">
        <v>2.3E-2</v>
      </c>
      <c r="R5" s="58">
        <v>0.28000000000000003</v>
      </c>
      <c r="S5" s="58">
        <v>6.3E-2</v>
      </c>
      <c r="T5" s="58">
        <v>1.4500000000000001E-2</v>
      </c>
      <c r="U5" s="59">
        <f>SUM(Employees56[[#This Row],[State
Tax]:[Medicare
Tax]])</f>
        <v>0.38050000000000006</v>
      </c>
      <c r="V5" s="57">
        <v>0</v>
      </c>
      <c r="W5" s="57">
        <v>10</v>
      </c>
      <c r="X5" s="14">
        <f>SUM(Employees56[[#This Row],[Insurance Deduction]:[Other Reg. Deduction]])</f>
        <v>10</v>
      </c>
    </row>
    <row r="6" spans="2:24" ht="18.75" customHeight="1" x14ac:dyDescent="0.2">
      <c r="B6" s="18">
        <v>1003</v>
      </c>
      <c r="C6" s="18" t="s">
        <v>26</v>
      </c>
      <c r="D6" s="38">
        <v>35</v>
      </c>
      <c r="E6" s="4">
        <v>3</v>
      </c>
      <c r="F6" s="4"/>
      <c r="G6" s="4"/>
      <c r="H6" s="56"/>
      <c r="I6" s="11">
        <f>SUM(Employees56[[#This Row],[Reg Hours Worked]:[Sick
Hours]])*Employees56[[#This Row],[Hourly Wage]]+Employees56[[#This Row],[Overtime Hours]]*Employees56[[#This Row],[Overtime Rate]]</f>
        <v>532</v>
      </c>
      <c r="J6" s="11">
        <f>Employees56[[#This Row],[Gross
Pay]]*Employees56[[#This Row],[Total Taxes Withheld]] + Employees56[[#This Row],[Total Reg.
Deductions]]</f>
        <v>240.42600000000004</v>
      </c>
      <c r="K6" s="57"/>
      <c r="L6" s="11">
        <f>Employees56[[#This Row],[Gross
Pay]]-Employees56[[#This Row],[Taxes and Ded''s]]-Employees56[[#This Row],[Other
Ded''s]]</f>
        <v>291.57399999999996</v>
      </c>
      <c r="M6" s="7"/>
      <c r="N6" s="56">
        <v>14</v>
      </c>
      <c r="O6" s="4">
        <v>1</v>
      </c>
      <c r="P6" s="4">
        <v>3</v>
      </c>
      <c r="Q6" s="5">
        <v>2.3E-2</v>
      </c>
      <c r="R6" s="58">
        <v>0.28000000000000003</v>
      </c>
      <c r="S6" s="58">
        <v>6.3E-2</v>
      </c>
      <c r="T6" s="58">
        <v>1.4500000000000001E-2</v>
      </c>
      <c r="U6" s="59">
        <f>SUM(Employees56[[#This Row],[State
Tax]:[Medicare
Tax]])</f>
        <v>0.38050000000000006</v>
      </c>
      <c r="V6" s="57">
        <v>18</v>
      </c>
      <c r="W6" s="57">
        <v>20</v>
      </c>
      <c r="X6" s="14">
        <f>SUM(Employees56[[#This Row],[Insurance Deduction]:[Other Reg. Deduction]])</f>
        <v>38</v>
      </c>
    </row>
    <row r="7" spans="2:24" ht="18.75" customHeight="1" x14ac:dyDescent="0.2">
      <c r="B7" s="18">
        <v>1008</v>
      </c>
      <c r="C7" s="18" t="s">
        <v>27</v>
      </c>
      <c r="D7" s="38">
        <v>50</v>
      </c>
      <c r="E7" s="4">
        <v>5</v>
      </c>
      <c r="F7" s="4">
        <v>1</v>
      </c>
      <c r="G7" s="4"/>
      <c r="H7" s="56"/>
      <c r="I7" s="11">
        <f>SUM(Employees56[[#This Row],[Reg Hours Worked]:[Sick
Hours]])*Employees56[[#This Row],[Hourly Wage]]+Employees56[[#This Row],[Overtime Hours]]*Employees56[[#This Row],[Overtime Rate]]</f>
        <v>1120</v>
      </c>
      <c r="J7" s="11">
        <f>Employees56[[#This Row],[Gross
Pay]]*Employees56[[#This Row],[Total Taxes Withheld]] + Employees56[[#This Row],[Total Reg.
Deductions]]</f>
        <v>441.16000000000008</v>
      </c>
      <c r="K7" s="57"/>
      <c r="L7" s="11">
        <f>Employees56[[#This Row],[Gross
Pay]]-Employees56[[#This Row],[Taxes and Ded''s]]-Employees56[[#This Row],[Other
Ded''s]]</f>
        <v>678.83999999999992</v>
      </c>
      <c r="M7" s="7"/>
      <c r="N7" s="56">
        <v>20</v>
      </c>
      <c r="O7" s="4">
        <v>1</v>
      </c>
      <c r="P7" s="4">
        <v>0</v>
      </c>
      <c r="Q7" s="5">
        <v>2.3E-2</v>
      </c>
      <c r="R7" s="58">
        <v>0.28000000000000003</v>
      </c>
      <c r="S7" s="58">
        <v>6.3E-2</v>
      </c>
      <c r="T7" s="58">
        <v>1.4500000000000001E-2</v>
      </c>
      <c r="U7" s="59">
        <f>SUM(Employees56[[#This Row],[State
Tax]:[Medicare
Tax]])</f>
        <v>0.38050000000000006</v>
      </c>
      <c r="V7" s="57">
        <v>15</v>
      </c>
      <c r="W7" s="57"/>
      <c r="X7" s="14">
        <f>SUM(Employees56[[#This Row],[Insurance Deduction]:[Other Reg. Deduction]])</f>
        <v>15</v>
      </c>
    </row>
    <row r="8" spans="2:24" ht="18.75" customHeight="1" x14ac:dyDescent="0.2">
      <c r="B8" s="18">
        <v>1011</v>
      </c>
      <c r="C8" s="18" t="s">
        <v>28</v>
      </c>
      <c r="D8" s="38">
        <v>40</v>
      </c>
      <c r="E8" s="4"/>
      <c r="F8" s="4"/>
      <c r="G8" s="4">
        <v>2</v>
      </c>
      <c r="H8" s="56">
        <v>15</v>
      </c>
      <c r="I8" s="11">
        <f>SUM(Employees56[[#This Row],[Reg Hours Worked]:[Sick
Hours]])*Employees56[[#This Row],[Hourly Wage]]+Employees56[[#This Row],[Overtime Hours]]*Employees56[[#This Row],[Overtime Rate]]</f>
        <v>430</v>
      </c>
      <c r="J8" s="11">
        <f>Employees56[[#This Row],[Gross
Pay]]*Employees56[[#This Row],[Total Taxes Withheld]] + Employees56[[#This Row],[Total Reg.
Deductions]]</f>
        <v>223.61500000000004</v>
      </c>
      <c r="K8" s="57"/>
      <c r="L8" s="11">
        <f>Employees56[[#This Row],[Gross
Pay]]-Employees56[[#This Row],[Taxes and Ded''s]]-Employees56[[#This Row],[Other
Ded''s]]</f>
        <v>206.38499999999996</v>
      </c>
      <c r="M8" s="7"/>
      <c r="N8" s="56">
        <v>10</v>
      </c>
      <c r="O8" s="4">
        <v>1</v>
      </c>
      <c r="P8" s="4">
        <v>0</v>
      </c>
      <c r="Q8" s="5">
        <v>2.3E-2</v>
      </c>
      <c r="R8" s="58">
        <v>0.28000000000000003</v>
      </c>
      <c r="S8" s="58">
        <v>6.3E-2</v>
      </c>
      <c r="T8" s="58">
        <v>1.4500000000000001E-2</v>
      </c>
      <c r="U8" s="59">
        <f>SUM(Employees56[[#This Row],[State
Tax]:[Medicare
Tax]])</f>
        <v>0.38050000000000006</v>
      </c>
      <c r="V8" s="57">
        <v>20</v>
      </c>
      <c r="W8" s="57">
        <v>40</v>
      </c>
      <c r="X8" s="14">
        <f>SUM(Employees56[[#This Row],[Insurance Deduction]:[Other Reg. Deduction]])</f>
        <v>60</v>
      </c>
    </row>
    <row r="9" spans="2:24" ht="18.75" customHeight="1" x14ac:dyDescent="0.2">
      <c r="B9" s="18">
        <v>1012</v>
      </c>
      <c r="C9" s="18" t="s">
        <v>29</v>
      </c>
      <c r="D9" s="38">
        <v>40</v>
      </c>
      <c r="E9" s="4">
        <v>5</v>
      </c>
      <c r="F9" s="4">
        <v>1</v>
      </c>
      <c r="G9" s="4"/>
      <c r="H9" s="56"/>
      <c r="I9" s="11">
        <f>SUM(Employees56[[#This Row],[Reg Hours Worked]:[Sick
Hours]])*Employees56[[#This Row],[Hourly Wage]]+Employees56[[#This Row],[Overtime Hours]]*Employees56[[#This Row],[Overtime Rate]]</f>
        <v>552</v>
      </c>
      <c r="J9" s="11">
        <f>Employees56[[#This Row],[Gross
Pay]]*Employees56[[#This Row],[Total Taxes Withheld]] + Employees56[[#This Row],[Total Reg.
Deductions]]</f>
        <v>270.03600000000006</v>
      </c>
      <c r="K9" s="57"/>
      <c r="L9" s="11">
        <f>Employees56[[#This Row],[Gross
Pay]]-Employees56[[#This Row],[Taxes and Ded''s]]-Employees56[[#This Row],[Other
Ded''s]]</f>
        <v>281.96399999999994</v>
      </c>
      <c r="M9" s="7"/>
      <c r="N9" s="56">
        <v>12</v>
      </c>
      <c r="O9" s="4">
        <v>1</v>
      </c>
      <c r="P9" s="4">
        <v>4</v>
      </c>
      <c r="Q9" s="5">
        <v>2.3E-2</v>
      </c>
      <c r="R9" s="58">
        <v>0.28000000000000003</v>
      </c>
      <c r="S9" s="58">
        <v>6.3E-2</v>
      </c>
      <c r="T9" s="58">
        <v>1.4500000000000001E-2</v>
      </c>
      <c r="U9" s="59">
        <f>SUM(Employees56[[#This Row],[State
Tax]:[Medicare
Tax]])</f>
        <v>0.38050000000000006</v>
      </c>
      <c r="V9" s="57">
        <v>20</v>
      </c>
      <c r="W9" s="57">
        <v>40</v>
      </c>
      <c r="X9" s="14">
        <f>SUM(Employees56[[#This Row],[Insurance Deduction]:[Other Reg. Deduction]])</f>
        <v>60</v>
      </c>
    </row>
    <row r="10" spans="2:24" ht="18.75" customHeight="1" x14ac:dyDescent="0.2">
      <c r="B10" s="18">
        <v>1025</v>
      </c>
      <c r="C10" s="18" t="s">
        <v>30</v>
      </c>
      <c r="D10" s="38">
        <v>36</v>
      </c>
      <c r="E10" s="4"/>
      <c r="F10" s="4">
        <v>2</v>
      </c>
      <c r="G10" s="4">
        <v>1</v>
      </c>
      <c r="H10" s="56">
        <v>18</v>
      </c>
      <c r="I10" s="11">
        <f>SUM(Employees56[[#This Row],[Reg Hours Worked]:[Sick
Hours]])*Employees56[[#This Row],[Hourly Wage]]+Employees56[[#This Row],[Overtime Hours]]*Employees56[[#This Row],[Overtime Rate]]</f>
        <v>474</v>
      </c>
      <c r="J10" s="11">
        <f>Employees56[[#This Row],[Gross
Pay]]*Employees56[[#This Row],[Total Taxes Withheld]] + Employees56[[#This Row],[Total Reg.
Deductions]]</f>
        <v>225.35700000000003</v>
      </c>
      <c r="K10" s="57">
        <v>25</v>
      </c>
      <c r="L10" s="11">
        <f>Employees56[[#This Row],[Gross
Pay]]-Employees56[[#This Row],[Taxes and Ded''s]]-Employees56[[#This Row],[Other
Ded''s]]</f>
        <v>223.64299999999997</v>
      </c>
      <c r="M10" s="7"/>
      <c r="N10" s="56">
        <v>12</v>
      </c>
      <c r="O10" s="4">
        <v>1</v>
      </c>
      <c r="P10" s="4">
        <v>2</v>
      </c>
      <c r="Q10" s="5">
        <v>2.3E-2</v>
      </c>
      <c r="R10" s="58">
        <v>0.28000000000000003</v>
      </c>
      <c r="S10" s="58">
        <v>6.3E-2</v>
      </c>
      <c r="T10" s="58">
        <v>1.4500000000000001E-2</v>
      </c>
      <c r="U10" s="59">
        <f>SUM(Employees56[[#This Row],[State
Tax]:[Medicare
Tax]])</f>
        <v>0.38050000000000006</v>
      </c>
      <c r="V10" s="57">
        <v>25</v>
      </c>
      <c r="W10" s="57">
        <v>20</v>
      </c>
      <c r="X10" s="14">
        <f>SUM(Employees56[[#This Row],[Insurance Deduction]:[Other Reg. Deduction]])</f>
        <v>45</v>
      </c>
    </row>
    <row r="11" spans="2:24" ht="18.75" customHeight="1" x14ac:dyDescent="0.2">
      <c r="B11" s="18">
        <v>1032</v>
      </c>
      <c r="C11" s="18" t="s">
        <v>31</v>
      </c>
      <c r="D11" s="38">
        <v>40</v>
      </c>
      <c r="E11" s="4">
        <v>5</v>
      </c>
      <c r="F11" s="4">
        <v>1</v>
      </c>
      <c r="G11" s="4"/>
      <c r="H11" s="56"/>
      <c r="I11" s="11">
        <f>SUM(Employees56[[#This Row],[Reg Hours Worked]:[Sick
Hours]])*Employees56[[#This Row],[Hourly Wage]]+Employees56[[#This Row],[Overtime Hours]]*Employees56[[#This Row],[Overtime Rate]]</f>
        <v>460</v>
      </c>
      <c r="J11" s="11">
        <f>Employees56[[#This Row],[Gross
Pay]]*Employees56[[#This Row],[Total Taxes Withheld]] + Employees56[[#This Row],[Total Reg.
Deductions]]</f>
        <v>175.03000000000003</v>
      </c>
      <c r="K11" s="57">
        <v>50</v>
      </c>
      <c r="L11" s="11">
        <f>Employees56[[#This Row],[Gross
Pay]]-Employees56[[#This Row],[Taxes and Ded''s]]-Employees56[[#This Row],[Other
Ded''s]]</f>
        <v>234.96999999999997</v>
      </c>
      <c r="M11" s="7"/>
      <c r="N11" s="56">
        <v>10</v>
      </c>
      <c r="O11" s="4">
        <v>1</v>
      </c>
      <c r="P11" s="4">
        <v>3</v>
      </c>
      <c r="Q11" s="5">
        <v>2.3E-2</v>
      </c>
      <c r="R11" s="58">
        <v>0.28000000000000003</v>
      </c>
      <c r="S11" s="58">
        <v>6.3E-2</v>
      </c>
      <c r="T11" s="58">
        <v>1.4500000000000001E-2</v>
      </c>
      <c r="U11" s="59">
        <f>SUM(Employees56[[#This Row],[State
Tax]:[Medicare
Tax]])</f>
        <v>0.38050000000000006</v>
      </c>
      <c r="V11" s="57"/>
      <c r="W11" s="57"/>
      <c r="X11" s="14">
        <f>SUM(Employees56[[#This Row],[Insurance Deduction]:[Other Reg. Deduction]])</f>
        <v>0</v>
      </c>
    </row>
    <row r="12" spans="2:24" ht="18.75" customHeight="1" x14ac:dyDescent="0.2">
      <c r="B12" s="18">
        <v>1049</v>
      </c>
      <c r="C12" s="18" t="s">
        <v>32</v>
      </c>
      <c r="D12" s="38">
        <v>40</v>
      </c>
      <c r="E12" s="4">
        <v>1</v>
      </c>
      <c r="F12" s="4"/>
      <c r="G12" s="4"/>
      <c r="H12" s="56"/>
      <c r="I12" s="11">
        <f>SUM(Employees56[[#This Row],[Reg Hours Worked]:[Sick
Hours]])*Employees56[[#This Row],[Hourly Wage]]+Employees56[[#This Row],[Overtime Hours]]*Employees56[[#This Row],[Overtime Rate]]</f>
        <v>615</v>
      </c>
      <c r="J12" s="11">
        <f>Employees56[[#This Row],[Gross
Pay]]*Employees56[[#This Row],[Total Taxes Withheld]] + Employees56[[#This Row],[Total Reg.
Deductions]]</f>
        <v>259.00750000000005</v>
      </c>
      <c r="K12" s="57">
        <v>23</v>
      </c>
      <c r="L12" s="11">
        <f>Employees56[[#This Row],[Gross
Pay]]-Employees56[[#This Row],[Taxes and Ded''s]]-Employees56[[#This Row],[Other
Ded''s]]</f>
        <v>332.99249999999995</v>
      </c>
      <c r="M12" s="8"/>
      <c r="N12" s="56">
        <v>15</v>
      </c>
      <c r="O12" s="4">
        <v>1</v>
      </c>
      <c r="P12" s="4">
        <v>2</v>
      </c>
      <c r="Q12" s="5">
        <v>2.3E-2</v>
      </c>
      <c r="R12" s="58">
        <v>0.28000000000000003</v>
      </c>
      <c r="S12" s="58">
        <v>6.3E-2</v>
      </c>
      <c r="T12" s="58">
        <v>1.4500000000000001E-2</v>
      </c>
      <c r="U12" s="59">
        <f>SUM(Employees56[[#This Row],[State
Tax]:[Medicare
Tax]])</f>
        <v>0.38050000000000006</v>
      </c>
      <c r="V12" s="57">
        <v>25</v>
      </c>
      <c r="W12" s="57"/>
      <c r="X12" s="14">
        <f>SUM(Employees56[[#This Row],[Insurance Deduction]:[Other Reg. Deduction]])</f>
        <v>25</v>
      </c>
    </row>
    <row r="13" spans="2:24" ht="18.75" customHeight="1" x14ac:dyDescent="0.2">
      <c r="B13" s="18" t="s">
        <v>48</v>
      </c>
      <c r="C13" s="18">
        <f>SUBTOTAL(103,Employees56[Employee Name])</f>
        <v>9</v>
      </c>
      <c r="D13" s="38">
        <f>SUBTOTAL(109,Employees56[Reg Hours Worked])</f>
        <v>371</v>
      </c>
      <c r="E13" s="4">
        <f>SUBTOTAL(109,Employees56[Vacation Hours])</f>
        <v>24</v>
      </c>
      <c r="F13" s="4">
        <f>SUBTOTAL(109,Employees56[Sick
Hours])</f>
        <v>6</v>
      </c>
      <c r="G13" s="4">
        <f>SUBTOTAL(109,Employees56[Overtime Hours])</f>
        <v>3</v>
      </c>
      <c r="H13" s="4"/>
      <c r="I13" s="12">
        <f>SUBTOTAL(109,Employees56[Gross
Pay])</f>
        <v>5063</v>
      </c>
      <c r="J13" s="12">
        <f>SUBTOTAL(109,Employees56[Taxes and Ded''s])</f>
        <v>2239.4715000000001</v>
      </c>
      <c r="K13" s="12">
        <f>SUBTOTAL(109,Employees56[Other
Ded''s])</f>
        <v>118</v>
      </c>
      <c r="L13" s="12">
        <f>SUBTOTAL(109,Employees56[Net Pay])</f>
        <v>2705.5284999999994</v>
      </c>
      <c r="M13" s="9"/>
      <c r="N13" s="4"/>
      <c r="O13" s="4"/>
      <c r="P13" s="4"/>
      <c r="Q13" s="4"/>
      <c r="R13" s="4"/>
      <c r="S13" s="4"/>
      <c r="T13" s="4"/>
      <c r="U13" s="4"/>
      <c r="V13" s="13">
        <f>SUBTOTAL(109,Employees56[Insurance Deduction])</f>
        <v>143</v>
      </c>
      <c r="W13" s="13">
        <f>SUBTOTAL(109,Employees56[Other Reg. Deduction])</f>
        <v>170</v>
      </c>
      <c r="X13" s="12">
        <f>SUBTOTAL(109,Employees56[Total Reg.
Deductions])</f>
        <v>313</v>
      </c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zoomScaleNormal="100" workbookViewId="0">
      <pane xSplit="3" topLeftCell="D1" activePane="topRight" state="frozen"/>
      <selection pane="topRight" activeCell="H10" sqref="H10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20" t="s">
        <v>102</v>
      </c>
      <c r="C1" s="21"/>
      <c r="D1" s="21"/>
      <c r="E1" s="21"/>
      <c r="F1" s="21"/>
      <c r="G1" s="21"/>
      <c r="H1" s="21"/>
      <c r="I1" s="21"/>
      <c r="J1" s="76" t="s">
        <v>45</v>
      </c>
      <c r="K1" s="80" t="s">
        <v>57</v>
      </c>
      <c r="L1" s="79"/>
      <c r="P1" s="21"/>
      <c r="Q1" s="21"/>
      <c r="R1" s="21"/>
      <c r="S1" s="21"/>
      <c r="T1" s="21"/>
      <c r="U1" s="21"/>
      <c r="V1" s="21"/>
    </row>
    <row r="2" spans="2:22" ht="12" customHeight="1" x14ac:dyDescent="0.25">
      <c r="B2" s="1"/>
      <c r="M2" s="61"/>
      <c r="O2" s="19"/>
    </row>
    <row r="3" spans="2:22" ht="30.75" customHeight="1" x14ac:dyDescent="0.25">
      <c r="B3" s="63" t="s">
        <v>3</v>
      </c>
      <c r="C3" s="63" t="s">
        <v>14</v>
      </c>
      <c r="D3" s="64" t="s">
        <v>82</v>
      </c>
      <c r="E3" s="64" t="s">
        <v>105</v>
      </c>
      <c r="F3" s="64" t="s">
        <v>85</v>
      </c>
      <c r="G3" s="64" t="s">
        <v>83</v>
      </c>
      <c r="H3" s="64" t="s">
        <v>86</v>
      </c>
      <c r="I3" s="64" t="s">
        <v>92</v>
      </c>
      <c r="J3" s="64" t="s">
        <v>94</v>
      </c>
      <c r="K3" s="64" t="s">
        <v>11</v>
      </c>
      <c r="L3" s="10" t="s">
        <v>10</v>
      </c>
    </row>
    <row r="4" spans="2:22" ht="18.75" customHeight="1" x14ac:dyDescent="0.2">
      <c r="B4" s="65">
        <v>1001</v>
      </c>
      <c r="C4" s="65" t="s">
        <v>87</v>
      </c>
      <c r="D4" s="65">
        <v>0</v>
      </c>
      <c r="E4" s="65">
        <v>0</v>
      </c>
      <c r="F4" s="65"/>
      <c r="G4" s="65"/>
      <c r="H4" s="66">
        <f>Employees9[[#This Row],[HOURS CALCULATED]]+Employees9[[#This Row],[OWING HOURS]]-Employees9[[#This Row],[HOURS PAID]]</f>
        <v>0</v>
      </c>
      <c r="I4" s="66">
        <v>280</v>
      </c>
      <c r="J4" s="66" t="s">
        <v>103</v>
      </c>
      <c r="K4" s="66"/>
      <c r="L4" s="6"/>
    </row>
    <row r="5" spans="2:22" ht="18.75" customHeight="1" x14ac:dyDescent="0.2">
      <c r="B5" s="65">
        <v>1002</v>
      </c>
      <c r="C5" s="65" t="s">
        <v>80</v>
      </c>
      <c r="D5" s="65">
        <v>0</v>
      </c>
      <c r="E5" s="65">
        <v>0</v>
      </c>
      <c r="F5" s="65"/>
      <c r="G5" s="65"/>
      <c r="H5" s="66">
        <f>Employees9[[#This Row],[HOURS CALCULATED]]+Employees9[[#This Row],[OWING HOURS]]-Employees9[[#This Row],[HOURS PAID]]</f>
        <v>0</v>
      </c>
      <c r="I5" s="66">
        <v>280</v>
      </c>
      <c r="J5" s="66" t="s">
        <v>103</v>
      </c>
      <c r="K5" s="66"/>
      <c r="L5" s="7"/>
    </row>
    <row r="6" spans="2:22" ht="18.75" customHeight="1" x14ac:dyDescent="0.2">
      <c r="B6" s="65">
        <v>1003</v>
      </c>
      <c r="C6" s="65" t="s">
        <v>88</v>
      </c>
      <c r="D6" s="65">
        <v>0</v>
      </c>
      <c r="E6" s="65">
        <v>40</v>
      </c>
      <c r="F6" s="65"/>
      <c r="G6" s="65">
        <v>-2</v>
      </c>
      <c r="H6" s="66">
        <f>Employees9[[#This Row],[HOURS CALCULATED]]+Employees9[[#This Row],[OWING HOURS]]-Employees9[[#This Row],[HOURS PAID]]</f>
        <v>-42</v>
      </c>
      <c r="I6" s="66">
        <f>425.5</f>
        <v>425.5</v>
      </c>
      <c r="J6" s="66" t="s">
        <v>97</v>
      </c>
      <c r="K6" s="66"/>
      <c r="L6" s="7"/>
    </row>
    <row r="7" spans="2:22" ht="18.75" customHeight="1" x14ac:dyDescent="0.2">
      <c r="B7" s="65">
        <v>1004</v>
      </c>
      <c r="C7" s="65" t="s">
        <v>64</v>
      </c>
      <c r="D7" s="65">
        <v>0</v>
      </c>
      <c r="E7" s="65">
        <v>40</v>
      </c>
      <c r="F7" s="65"/>
      <c r="G7" s="65">
        <v>-15.5</v>
      </c>
      <c r="H7" s="66">
        <f>Employees9[[#This Row],[HOURS CALCULATED]]+Employees9[[#This Row],[OWING HOURS]]-Employees9[[#This Row],[HOURS PAID]]</f>
        <v>-55.5</v>
      </c>
      <c r="I7" s="66">
        <f>500+500+60</f>
        <v>1060</v>
      </c>
      <c r="J7" s="66" t="s">
        <v>103</v>
      </c>
      <c r="K7" s="66"/>
      <c r="L7" s="7"/>
    </row>
    <row r="8" spans="2:22" ht="18.75" customHeight="1" x14ac:dyDescent="0.2">
      <c r="B8" s="65">
        <v>1005</v>
      </c>
      <c r="C8" s="65" t="s">
        <v>61</v>
      </c>
      <c r="D8" s="65">
        <v>81.44</v>
      </c>
      <c r="E8" s="65">
        <v>30</v>
      </c>
      <c r="F8" s="65"/>
      <c r="G8" s="65">
        <v>-92</v>
      </c>
      <c r="H8" s="66">
        <f>Employees9[[#This Row],[HOURS CALCULATED]]+Employees9[[#This Row],[OWING HOURS]]-Employees9[[#This Row],[HOURS PAID]]</f>
        <v>-40.56</v>
      </c>
      <c r="I8" s="66">
        <f>425.5</f>
        <v>425.5</v>
      </c>
      <c r="J8" s="66" t="s">
        <v>97</v>
      </c>
      <c r="K8" s="66"/>
      <c r="L8" s="7"/>
    </row>
    <row r="9" spans="2:22" ht="18.75" customHeight="1" x14ac:dyDescent="0.2">
      <c r="B9" s="65">
        <v>1006</v>
      </c>
      <c r="C9" s="65" t="s">
        <v>89</v>
      </c>
      <c r="D9" s="65">
        <v>0</v>
      </c>
      <c r="E9" s="65">
        <v>40</v>
      </c>
      <c r="F9" s="65"/>
      <c r="G9" s="65">
        <v>-2</v>
      </c>
      <c r="H9" s="66">
        <f>Employees9[[#This Row],[HOURS CALCULATED]]+Employees9[[#This Row],[OWING HOURS]]-Employees9[[#This Row],[HOURS PAID]]</f>
        <v>-42</v>
      </c>
      <c r="I9" s="66">
        <f>425.5</f>
        <v>425.5</v>
      </c>
      <c r="J9" s="66" t="s">
        <v>97</v>
      </c>
      <c r="K9" s="66"/>
      <c r="L9" s="7"/>
    </row>
    <row r="10" spans="2:22" ht="18.75" customHeight="1" x14ac:dyDescent="0.2">
      <c r="B10" s="65">
        <v>1007</v>
      </c>
      <c r="C10" s="65" t="s">
        <v>79</v>
      </c>
      <c r="D10" s="65">
        <f>20+25+35</f>
        <v>80</v>
      </c>
      <c r="E10" s="65">
        <v>70</v>
      </c>
      <c r="F10" s="65"/>
      <c r="G10" s="65">
        <f>-70+26</f>
        <v>-44</v>
      </c>
      <c r="H10" s="66">
        <f>Employees9[[#This Row],[HOURS CALCULATED]]+Employees9[[#This Row],[OWING HOURS]]-Employees9[[#This Row],[HOURS PAID]]</f>
        <v>-34</v>
      </c>
      <c r="I10" s="66">
        <f>425.5+300</f>
        <v>725.5</v>
      </c>
      <c r="J10" s="66" t="s">
        <v>99</v>
      </c>
      <c r="K10" s="66"/>
      <c r="L10" s="7"/>
    </row>
    <row r="11" spans="2:22" ht="18.75" customHeight="1" x14ac:dyDescent="0.2">
      <c r="B11" s="65">
        <v>1008</v>
      </c>
      <c r="C11" s="65" t="s">
        <v>62</v>
      </c>
      <c r="D11" s="65">
        <f>53.54+20+25+35</f>
        <v>133.54</v>
      </c>
      <c r="E11" s="65">
        <v>75.459999999999994</v>
      </c>
      <c r="F11" s="65"/>
      <c r="G11" s="65">
        <v>-58.08</v>
      </c>
      <c r="H11" s="66">
        <f>Employees9[[#This Row],[HOURS CALCULATED]]+Employees9[[#This Row],[OWING HOURS]]-Employees9[[#This Row],[HOURS PAID]]</f>
        <v>0</v>
      </c>
      <c r="I11" s="66">
        <f>425.5</f>
        <v>425.5</v>
      </c>
      <c r="J11" s="66" t="s">
        <v>97</v>
      </c>
      <c r="K11" s="66"/>
      <c r="L11" s="7"/>
    </row>
    <row r="12" spans="2:22" ht="18.75" customHeight="1" x14ac:dyDescent="0.2">
      <c r="B12" s="65" t="s">
        <v>48</v>
      </c>
      <c r="C12" s="65">
        <f>SUBTOTAL(103,Employees9[Employee Name])</f>
        <v>8</v>
      </c>
      <c r="D12" s="65">
        <f>SUBTOTAL(109,Employees9[HOURS CALCULATED])</f>
        <v>294.98</v>
      </c>
      <c r="E12" s="65">
        <f>SUBTOTAL(109,Employees9[HOURS PAID])</f>
        <v>295.45999999999998</v>
      </c>
      <c r="F12" s="65">
        <f>SUBTOTAL(109,Employees9[AMOUNT TO BE PAID])</f>
        <v>0</v>
      </c>
      <c r="G12" s="65">
        <f>SUBTOTAL(109,Employees9[OWING HOURS])</f>
        <v>-213.57999999999998</v>
      </c>
      <c r="H12" s="69"/>
      <c r="I12" s="69" t="e">
        <f>SUBTOTAL(109,Employees9 Employees9[ Ded''s AMOUNT] )</f>
        <v>#NAME?</v>
      </c>
      <c r="J12" s="69"/>
      <c r="K12" s="69"/>
      <c r="L12" s="9"/>
    </row>
    <row r="16" spans="2:22" ht="18.75" customHeight="1" x14ac:dyDescent="0.2">
      <c r="G16" t="s">
        <v>104</v>
      </c>
    </row>
    <row r="43" spans="13:23" ht="18.75" customHeight="1" x14ac:dyDescent="0.2"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8"/>
  <sheetViews>
    <sheetView showGridLines="0" zoomScaleNormal="100" workbookViewId="0">
      <pane xSplit="3" topLeftCell="D1" activePane="topRight" state="frozen"/>
      <selection pane="topRight" activeCell="G7" sqref="G7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8" width="12.7109375" customWidth="1"/>
    <col min="9" max="9" width="11.7109375" customWidth="1"/>
    <col min="10" max="10" width="27.42578125" customWidth="1"/>
    <col min="11" max="11" width="13.7109375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3" ht="42" customHeight="1" thickBot="1" x14ac:dyDescent="0.25">
      <c r="B1" s="20" t="s">
        <v>102</v>
      </c>
      <c r="C1" s="21"/>
      <c r="D1" s="21"/>
      <c r="E1" s="21"/>
      <c r="F1" s="21"/>
      <c r="G1" s="21"/>
      <c r="H1" s="21"/>
      <c r="I1" s="21"/>
      <c r="J1" s="76" t="s">
        <v>45</v>
      </c>
      <c r="K1" s="75" t="s">
        <v>57</v>
      </c>
      <c r="L1" s="74"/>
      <c r="M1" s="78"/>
      <c r="P1" s="21"/>
      <c r="Q1" s="21"/>
      <c r="R1" s="21"/>
      <c r="S1" s="21"/>
      <c r="T1" s="21"/>
      <c r="U1" s="21"/>
      <c r="V1" s="21"/>
    </row>
    <row r="2" spans="2:23" ht="12" customHeight="1" x14ac:dyDescent="0.25">
      <c r="B2" s="1"/>
      <c r="M2" s="61"/>
      <c r="O2" s="19"/>
    </row>
    <row r="3" spans="2:23" ht="30.75" customHeight="1" x14ac:dyDescent="0.25">
      <c r="B3" s="63" t="s">
        <v>3</v>
      </c>
      <c r="C3" s="63" t="s">
        <v>14</v>
      </c>
      <c r="D3" s="64" t="s">
        <v>82</v>
      </c>
      <c r="E3" s="64" t="s">
        <v>105</v>
      </c>
      <c r="F3" s="64" t="s">
        <v>83</v>
      </c>
      <c r="G3" s="64" t="s">
        <v>86</v>
      </c>
      <c r="H3" s="64" t="s">
        <v>81</v>
      </c>
      <c r="I3" s="64" t="s">
        <v>84</v>
      </c>
      <c r="J3" s="64" t="s">
        <v>94</v>
      </c>
      <c r="K3" s="64" t="s">
        <v>11</v>
      </c>
      <c r="L3" s="10" t="s">
        <v>10</v>
      </c>
    </row>
    <row r="4" spans="2:23" ht="18.75" customHeight="1" x14ac:dyDescent="0.2">
      <c r="B4" s="65">
        <v>1001</v>
      </c>
      <c r="C4" s="65" t="s">
        <v>76</v>
      </c>
      <c r="D4" s="65">
        <v>42</v>
      </c>
      <c r="E4" s="65">
        <v>70</v>
      </c>
      <c r="F4" s="65">
        <v>-112</v>
      </c>
      <c r="G4" s="87">
        <f>Employees8[[#This Row],[HOURS CALCULATED]]+Employees8[[#This Row],[OWING HOURS]]-Employees8[[#This Row],[HOURS PAID]]</f>
        <v>-140</v>
      </c>
      <c r="H4" s="66"/>
      <c r="I4" s="66"/>
      <c r="J4" s="66"/>
      <c r="K4" s="66"/>
      <c r="L4" s="6"/>
    </row>
    <row r="5" spans="2:23" ht="18.75" customHeight="1" x14ac:dyDescent="0.2">
      <c r="B5" s="65">
        <v>1002</v>
      </c>
      <c r="C5" s="65" t="s">
        <v>78</v>
      </c>
      <c r="D5" s="65">
        <v>70</v>
      </c>
      <c r="E5" s="65">
        <v>70</v>
      </c>
      <c r="F5" s="65">
        <v>13.82</v>
      </c>
      <c r="G5" s="88">
        <f>Employees8[[#This Row],[HOURS CALCULATED]]+Employees8[[#This Row],[OWING HOURS]]-Employees8[[#This Row],[HOURS PAID]]</f>
        <v>13.819999999999993</v>
      </c>
      <c r="H5" s="66"/>
      <c r="I5" s="66">
        <f>500+250</f>
        <v>750</v>
      </c>
      <c r="J5" s="66" t="s">
        <v>101</v>
      </c>
      <c r="K5" s="66"/>
      <c r="L5" s="7"/>
    </row>
    <row r="6" spans="2:23" ht="18.75" customHeight="1" x14ac:dyDescent="0.2">
      <c r="B6" s="65">
        <v>1003</v>
      </c>
      <c r="C6" s="65" t="s">
        <v>77</v>
      </c>
      <c r="D6" s="65">
        <v>70</v>
      </c>
      <c r="E6" s="65">
        <v>69</v>
      </c>
      <c r="F6" s="65">
        <v>-1</v>
      </c>
      <c r="G6" s="88">
        <f>Employees8[[#This Row],[HOURS CALCULATED]]+Employees8[[#This Row],[OWING HOURS]]-Employees8[[#This Row],[HOURS PAID]]</f>
        <v>0</v>
      </c>
      <c r="H6" s="66"/>
      <c r="I6" s="66">
        <f>1058+612.58+112.5</f>
        <v>1783.08</v>
      </c>
      <c r="J6" s="66" t="s">
        <v>100</v>
      </c>
      <c r="K6" s="66"/>
      <c r="L6" s="7"/>
    </row>
    <row r="7" spans="2:23" ht="18.75" customHeight="1" x14ac:dyDescent="0.2">
      <c r="B7" s="65" t="s">
        <v>48</v>
      </c>
      <c r="C7" s="65">
        <f>SUBTOTAL(103,Employees8[Employee Name])</f>
        <v>3</v>
      </c>
      <c r="D7" s="65">
        <f>SUBTOTAL(103,Employees8[HOURS CALCULATED])</f>
        <v>3</v>
      </c>
      <c r="E7" s="65">
        <f>SUBTOTAL(109,Employees8[HOURS PAID])</f>
        <v>209</v>
      </c>
      <c r="F7" s="65">
        <f>SUBTOTAL(109,Employees8[OWING HOURS])</f>
        <v>-99.18</v>
      </c>
      <c r="G7" s="65">
        <f>SUBTOTAL(109,Employees8[Gross
HOURS])</f>
        <v>-126.18</v>
      </c>
      <c r="H7" s="65"/>
      <c r="I7" s="89">
        <f>SUBTOTAL(109,Employees8[PREVIOUS Ded''s])</f>
        <v>2533.08</v>
      </c>
      <c r="J7" s="65"/>
      <c r="K7" s="65">
        <f>SUBTOTAL(103,Employees8[Net Pay])</f>
        <v>0</v>
      </c>
      <c r="L7" s="9"/>
    </row>
    <row r="8" spans="2:23" ht="18.75" customHeight="1" x14ac:dyDescent="0.2"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W22"/>
  <sheetViews>
    <sheetView showGridLines="0" tabSelected="1" topLeftCell="A2" zoomScaleNormal="100" workbookViewId="0">
      <pane xSplit="3" topLeftCell="D1" activePane="topRight" state="frozen"/>
      <selection pane="topRight" activeCell="I6" sqref="I6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6" width="15.28515625" customWidth="1"/>
    <col min="7" max="7" width="14" customWidth="1"/>
    <col min="8" max="8" width="16.42578125" style="82" customWidth="1"/>
    <col min="9" max="9" width="17.28515625" customWidth="1"/>
    <col min="10" max="10" width="22.28515625" style="70" customWidth="1"/>
    <col min="11" max="11" width="12" customWidth="1"/>
    <col min="12" max="12" width="2.85546875" customWidth="1"/>
    <col min="13" max="13" width="10.28515625" customWidth="1"/>
    <col min="14" max="14" width="10.42578125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20" t="s">
        <v>102</v>
      </c>
      <c r="C1" s="21"/>
      <c r="D1" s="21"/>
      <c r="E1" s="21"/>
      <c r="F1" s="21"/>
      <c r="G1" s="21"/>
      <c r="H1" s="81"/>
      <c r="I1" s="21"/>
      <c r="J1" s="77" t="s">
        <v>45</v>
      </c>
      <c r="K1" s="75" t="s">
        <v>57</v>
      </c>
      <c r="L1" s="74"/>
      <c r="M1" s="78"/>
      <c r="P1" s="21"/>
      <c r="Q1" s="21"/>
      <c r="R1" s="21"/>
      <c r="S1" s="21"/>
      <c r="T1" s="21"/>
      <c r="U1" s="21"/>
      <c r="V1" s="21"/>
    </row>
    <row r="2" spans="2:22" ht="12" customHeight="1" x14ac:dyDescent="0.25">
      <c r="B2" s="1"/>
      <c r="M2" s="61"/>
      <c r="O2" s="19"/>
    </row>
    <row r="3" spans="2:22" ht="30.75" customHeight="1" x14ac:dyDescent="0.25">
      <c r="B3" s="63" t="s">
        <v>3</v>
      </c>
      <c r="C3" s="63" t="s">
        <v>14</v>
      </c>
      <c r="D3" s="64" t="s">
        <v>82</v>
      </c>
      <c r="E3" s="64" t="s">
        <v>105</v>
      </c>
      <c r="F3" s="64" t="s">
        <v>85</v>
      </c>
      <c r="G3" s="64" t="s">
        <v>83</v>
      </c>
      <c r="H3" s="83" t="s">
        <v>86</v>
      </c>
      <c r="I3" s="64" t="s">
        <v>93</v>
      </c>
      <c r="J3" s="64" t="s">
        <v>94</v>
      </c>
      <c r="K3" s="64" t="s">
        <v>11</v>
      </c>
      <c r="L3" s="10" t="s">
        <v>10</v>
      </c>
    </row>
    <row r="4" spans="2:22" ht="18.75" customHeight="1" x14ac:dyDescent="0.2">
      <c r="B4" s="65">
        <v>1001</v>
      </c>
      <c r="C4" s="65" t="s">
        <v>58</v>
      </c>
      <c r="D4" s="65">
        <v>157.32</v>
      </c>
      <c r="E4" s="65">
        <v>80</v>
      </c>
      <c r="F4" s="65"/>
      <c r="G4" s="65">
        <v>-101.5</v>
      </c>
      <c r="H4" s="84">
        <f>Employees[[#This Row],[HOURS CALCULATED]]+Employees[[#This Row],[OWING HOURS]]-Employees[[#This Row],[HOURS PAID]]</f>
        <v>-24.180000000000007</v>
      </c>
      <c r="I4" s="66">
        <v>170</v>
      </c>
      <c r="J4" s="71" t="s">
        <v>95</v>
      </c>
      <c r="K4" s="66"/>
      <c r="L4" s="6"/>
    </row>
    <row r="5" spans="2:22" ht="18.75" customHeight="1" x14ac:dyDescent="0.2">
      <c r="B5" s="65">
        <v>1002</v>
      </c>
      <c r="C5" s="65" t="s">
        <v>59</v>
      </c>
      <c r="D5" s="65">
        <v>157.32</v>
      </c>
      <c r="E5" s="65">
        <v>80</v>
      </c>
      <c r="F5" s="65"/>
      <c r="G5" s="65">
        <v>-129.01</v>
      </c>
      <c r="H5" s="84">
        <f>Employees[[#This Row],[HOURS CALCULATED]]+Employees[[#This Row],[OWING HOURS]]-Employees[[#This Row],[HOURS PAID]]</f>
        <v>-51.69</v>
      </c>
      <c r="I5" s="66">
        <v>0</v>
      </c>
      <c r="J5" s="71"/>
      <c r="K5" s="66"/>
      <c r="L5" s="7"/>
    </row>
    <row r="6" spans="2:22" ht="18.75" customHeight="1" x14ac:dyDescent="0.2">
      <c r="B6" s="65">
        <v>1003</v>
      </c>
      <c r="C6" s="65" t="s">
        <v>60</v>
      </c>
      <c r="D6" s="65">
        <v>155</v>
      </c>
      <c r="E6" s="65">
        <v>70</v>
      </c>
      <c r="F6" s="65"/>
      <c r="G6" s="65">
        <v>-54.76</v>
      </c>
      <c r="H6" s="84">
        <f>Employees[[#This Row],[HOURS CALCULATED]]+Employees[[#This Row],[OWING HOURS]]-Employees[[#This Row],[HOURS PAID]]</f>
        <v>30.240000000000009</v>
      </c>
      <c r="I6" s="66">
        <v>2500</v>
      </c>
      <c r="J6" s="71" t="s">
        <v>108</v>
      </c>
      <c r="K6" s="66"/>
      <c r="L6" s="7"/>
    </row>
    <row r="7" spans="2:22" ht="18.75" customHeight="1" x14ac:dyDescent="0.2">
      <c r="B7" s="65">
        <v>1004</v>
      </c>
      <c r="C7" s="65" t="s">
        <v>75</v>
      </c>
      <c r="D7" s="65">
        <v>145.41999999999999</v>
      </c>
      <c r="E7" s="65">
        <v>70</v>
      </c>
      <c r="F7" s="65"/>
      <c r="G7" s="65">
        <v>-74.430000000000007</v>
      </c>
      <c r="H7" s="84">
        <f>Employees[[#This Row],[HOURS CALCULATED]]+Employees[[#This Row],[OWING HOURS]]-Employees[[#This Row],[HOURS PAID]]</f>
        <v>0.98999999999998067</v>
      </c>
      <c r="I7" s="66">
        <f>1500+529.5</f>
        <v>2029.5</v>
      </c>
      <c r="J7" s="71" t="s">
        <v>96</v>
      </c>
      <c r="K7" s="66"/>
      <c r="L7" s="7"/>
    </row>
    <row r="8" spans="2:22" ht="18.75" customHeight="1" x14ac:dyDescent="0.2">
      <c r="B8" s="65">
        <v>1007</v>
      </c>
      <c r="C8" s="65" t="s">
        <v>63</v>
      </c>
      <c r="D8" s="65">
        <v>0</v>
      </c>
      <c r="E8" s="65">
        <v>66.010000000000005</v>
      </c>
      <c r="F8" s="65"/>
      <c r="G8" s="65">
        <v>66.010000000000005</v>
      </c>
      <c r="H8" s="84">
        <f>Employees[[#This Row],[HOURS CALCULATED]]+Employees[[#This Row],[OWING HOURS]]-Employees[[#This Row],[HOURS PAID]]</f>
        <v>0</v>
      </c>
      <c r="I8" s="66">
        <v>0</v>
      </c>
      <c r="J8" s="71"/>
      <c r="K8" s="66"/>
      <c r="L8" s="7"/>
    </row>
    <row r="9" spans="2:22" ht="18.75" customHeight="1" x14ac:dyDescent="0.2">
      <c r="B9" s="65">
        <v>1009</v>
      </c>
      <c r="C9" s="65" t="s">
        <v>65</v>
      </c>
      <c r="D9" s="65">
        <v>161.97999999999999</v>
      </c>
      <c r="E9" s="65">
        <v>70</v>
      </c>
      <c r="F9" s="65"/>
      <c r="G9" s="65">
        <v>1.68</v>
      </c>
      <c r="H9" s="84">
        <f>Employees[[#This Row],[HOURS CALCULATED]]+Employees[[#This Row],[OWING HOURS]]-Employees[[#This Row],[HOURS PAID]]</f>
        <v>93.66</v>
      </c>
      <c r="I9" s="66">
        <v>500</v>
      </c>
      <c r="J9" s="71" t="s">
        <v>106</v>
      </c>
      <c r="K9" s="66"/>
      <c r="L9" s="7"/>
    </row>
    <row r="10" spans="2:22" ht="18.75" customHeight="1" x14ac:dyDescent="0.2">
      <c r="B10" s="65">
        <v>1010</v>
      </c>
      <c r="C10" s="65" t="s">
        <v>66</v>
      </c>
      <c r="D10" s="65">
        <v>103.13</v>
      </c>
      <c r="E10" s="65">
        <v>42.43</v>
      </c>
      <c r="F10" s="65"/>
      <c r="G10" s="65">
        <v>-60.7</v>
      </c>
      <c r="H10" s="84">
        <f>Employees[[#This Row],[HOURS CALCULATED]]+Employees[[#This Row],[OWING HOURS]]-Employees[[#This Row],[HOURS PAID]]</f>
        <v>0</v>
      </c>
      <c r="I10" s="66">
        <v>560</v>
      </c>
      <c r="J10" s="72" t="s">
        <v>98</v>
      </c>
      <c r="K10" s="66"/>
      <c r="L10" s="8"/>
    </row>
    <row r="11" spans="2:22" ht="18.75" customHeight="1" x14ac:dyDescent="0.2">
      <c r="B11" s="65">
        <v>1011</v>
      </c>
      <c r="C11" s="67" t="s">
        <v>67</v>
      </c>
      <c r="D11" s="67">
        <v>111.29</v>
      </c>
      <c r="E11" s="67">
        <v>30</v>
      </c>
      <c r="F11" s="67"/>
      <c r="G11" s="67">
        <v>-96.41</v>
      </c>
      <c r="H11" s="85">
        <f>Employees[[#This Row],[HOURS CALCULATED]]+Employees[[#This Row],[OWING HOURS]]-Employees[[#This Row],[HOURS PAID]]</f>
        <v>-15.11999999999999</v>
      </c>
      <c r="I11" s="68">
        <f>1600-787+250+250</f>
        <v>1313</v>
      </c>
      <c r="J11" s="72" t="s">
        <v>98</v>
      </c>
      <c r="K11" s="68"/>
      <c r="L11" s="60"/>
    </row>
    <row r="12" spans="2:22" ht="18.75" customHeight="1" x14ac:dyDescent="0.2">
      <c r="B12" s="65">
        <v>1012</v>
      </c>
      <c r="C12" s="67" t="s">
        <v>68</v>
      </c>
      <c r="D12" s="67">
        <v>111.29</v>
      </c>
      <c r="E12" s="67">
        <v>30</v>
      </c>
      <c r="F12" s="67"/>
      <c r="G12" s="67">
        <v>-96.41</v>
      </c>
      <c r="H12" s="85">
        <f>Employees[[#This Row],[HOURS CALCULATED]]+Employees[[#This Row],[OWING HOURS]]-Employees[[#This Row],[HOURS PAID]]</f>
        <v>-15.11999999999999</v>
      </c>
      <c r="I12" s="68">
        <f>756.25+250+60+250</f>
        <v>1316.25</v>
      </c>
      <c r="J12" s="72" t="s">
        <v>98</v>
      </c>
      <c r="K12" s="68"/>
      <c r="L12" s="60"/>
    </row>
    <row r="13" spans="2:22" ht="18.75" customHeight="1" x14ac:dyDescent="0.2">
      <c r="B13" s="65">
        <v>1013</v>
      </c>
      <c r="C13" s="67" t="s">
        <v>69</v>
      </c>
      <c r="D13" s="67">
        <v>130.63</v>
      </c>
      <c r="E13" s="67">
        <f>70+46.85</f>
        <v>116.85</v>
      </c>
      <c r="F13" s="67"/>
      <c r="G13" s="67">
        <v>17.399999999999999</v>
      </c>
      <c r="H13" s="85">
        <f>Employees[[#This Row],[HOURS CALCULATED]]+Employees[[#This Row],[OWING HOURS]]-Employees[[#This Row],[HOURS PAID]]</f>
        <v>31.180000000000007</v>
      </c>
      <c r="I13" s="68">
        <v>0</v>
      </c>
      <c r="J13" s="72"/>
      <c r="K13" s="68"/>
      <c r="L13" s="60"/>
    </row>
    <row r="14" spans="2:22" ht="18.75" customHeight="1" x14ac:dyDescent="0.2">
      <c r="B14" s="65">
        <v>1014</v>
      </c>
      <c r="C14" s="67" t="s">
        <v>70</v>
      </c>
      <c r="D14" s="67">
        <v>114.01</v>
      </c>
      <c r="E14" s="67">
        <v>60</v>
      </c>
      <c r="F14" s="67"/>
      <c r="G14" s="67">
        <v>-69</v>
      </c>
      <c r="H14" s="85">
        <f>Employees[[#This Row],[HOURS CALCULATED]]+Employees[[#This Row],[OWING HOURS]]-Employees[[#This Row],[HOURS PAID]]</f>
        <v>-14.989999999999995</v>
      </c>
      <c r="I14" s="68">
        <v>0</v>
      </c>
      <c r="J14" s="72"/>
      <c r="K14" s="68"/>
      <c r="L14" s="60"/>
    </row>
    <row r="15" spans="2:22" ht="18.75" customHeight="1" x14ac:dyDescent="0.2">
      <c r="B15" s="65">
        <v>1015</v>
      </c>
      <c r="C15" s="67" t="s">
        <v>71</v>
      </c>
      <c r="D15" s="67">
        <v>102.83</v>
      </c>
      <c r="E15" s="67">
        <v>40</v>
      </c>
      <c r="F15" s="67"/>
      <c r="G15" s="67">
        <v>-80.12</v>
      </c>
      <c r="H15" s="85">
        <f>Employees[[#This Row],[HOURS CALCULATED]]+Employees[[#This Row],[OWING HOURS]]-Employees[[#This Row],[HOURS PAID]]</f>
        <v>-17.290000000000006</v>
      </c>
      <c r="I15" s="68">
        <v>60</v>
      </c>
      <c r="J15" s="72" t="s">
        <v>98</v>
      </c>
      <c r="K15" s="68"/>
      <c r="L15" s="60"/>
    </row>
    <row r="16" spans="2:22" ht="18.75" customHeight="1" x14ac:dyDescent="0.2">
      <c r="B16" s="65">
        <v>1016</v>
      </c>
      <c r="C16" s="67" t="s">
        <v>72</v>
      </c>
      <c r="D16" s="67">
        <v>84.13</v>
      </c>
      <c r="E16" s="67">
        <v>30</v>
      </c>
      <c r="F16" s="67"/>
      <c r="G16" s="67">
        <v>-81.63</v>
      </c>
      <c r="H16" s="85">
        <f>Employees[[#This Row],[HOURS CALCULATED]]+Employees[[#This Row],[OWING HOURS]]-Employees[[#This Row],[HOURS PAID]]</f>
        <v>-27.5</v>
      </c>
      <c r="I16" s="68">
        <v>0</v>
      </c>
      <c r="J16" s="72"/>
      <c r="K16" s="68"/>
      <c r="L16" s="60"/>
    </row>
    <row r="17" spans="2:23" ht="18.75" customHeight="1" x14ac:dyDescent="0.2">
      <c r="B17" s="65">
        <v>1017</v>
      </c>
      <c r="C17" s="67" t="s">
        <v>73</v>
      </c>
      <c r="D17" s="67">
        <v>139.52000000000001</v>
      </c>
      <c r="E17" s="67">
        <v>70</v>
      </c>
      <c r="F17" s="67"/>
      <c r="G17" s="67">
        <v>-120</v>
      </c>
      <c r="H17" s="85">
        <f>Employees[[#This Row],[HOURS CALCULATED]]+Employees[[#This Row],[OWING HOURS]]-Employees[[#This Row],[HOURS PAID]]</f>
        <v>-50.47999999999999</v>
      </c>
      <c r="I17" s="68">
        <v>100</v>
      </c>
      <c r="J17" s="72" t="s">
        <v>98</v>
      </c>
      <c r="K17" s="68"/>
      <c r="L17" s="60"/>
    </row>
    <row r="18" spans="2:23" ht="18.75" customHeight="1" x14ac:dyDescent="0.2">
      <c r="B18" s="65">
        <v>1018</v>
      </c>
      <c r="C18" s="67" t="s">
        <v>74</v>
      </c>
      <c r="D18" s="67">
        <v>114.15</v>
      </c>
      <c r="E18" s="67">
        <v>60</v>
      </c>
      <c r="F18" s="67"/>
      <c r="G18" s="67">
        <v>-86.71</v>
      </c>
      <c r="H18" s="85">
        <f>Employees[[#This Row],[HOURS CALCULATED]]+Employees[[#This Row],[OWING HOURS]]-Employees[[#This Row],[HOURS PAID]]</f>
        <v>-32.559999999999988</v>
      </c>
      <c r="I18" s="68">
        <v>0</v>
      </c>
      <c r="J18" s="72"/>
      <c r="K18" s="68"/>
      <c r="L18" s="60"/>
    </row>
    <row r="19" spans="2:23" ht="18.75" customHeight="1" x14ac:dyDescent="0.2">
      <c r="B19" s="65">
        <v>1019</v>
      </c>
      <c r="C19" s="67" t="s">
        <v>90</v>
      </c>
      <c r="D19" s="67">
        <v>78.5</v>
      </c>
      <c r="E19" s="67">
        <v>78.5</v>
      </c>
      <c r="F19" s="67"/>
      <c r="G19" s="67"/>
      <c r="H19" s="85">
        <f>Employees[[#This Row],[HOURS CALCULATED]]+Employees[[#This Row],[OWING HOURS]]-Employees[[#This Row],[HOURS PAID]]</f>
        <v>0</v>
      </c>
      <c r="I19" s="68">
        <v>0</v>
      </c>
      <c r="J19" s="72"/>
      <c r="K19" s="68"/>
      <c r="L19" s="60"/>
    </row>
    <row r="20" spans="2:23" ht="18.75" customHeight="1" x14ac:dyDescent="0.2">
      <c r="B20" s="65">
        <v>1020</v>
      </c>
      <c r="C20" s="67" t="s">
        <v>91</v>
      </c>
      <c r="D20" s="67"/>
      <c r="E20" s="67"/>
      <c r="F20" s="67"/>
      <c r="G20" s="67"/>
      <c r="H20" s="85">
        <f>Employees[[#This Row],[HOURS CALCULATED]]+Employees[[#This Row],[OWING HOURS]]-Employees[[#This Row],[HOURS PAID]]</f>
        <v>0</v>
      </c>
      <c r="I20" s="68">
        <f>529+301</f>
        <v>830</v>
      </c>
      <c r="J20" s="72" t="s">
        <v>107</v>
      </c>
      <c r="K20" s="68"/>
      <c r="L20" s="60"/>
    </row>
    <row r="21" spans="2:23" ht="18.75" customHeight="1" x14ac:dyDescent="0.2">
      <c r="B21" s="65" t="s">
        <v>48</v>
      </c>
      <c r="C21" s="65">
        <f>SUBTOTAL(103,Employees[Employee Name])</f>
        <v>17</v>
      </c>
      <c r="D21" s="65">
        <f>SUBTOTAL(109,Employees[HOURS CALCULATED])</f>
        <v>1866.52</v>
      </c>
      <c r="E21" s="65"/>
      <c r="F21" s="65"/>
      <c r="G21" s="65">
        <f>SUBTOTAL(109,Employees[OWING HOURS])</f>
        <v>-965.59</v>
      </c>
      <c r="H21" s="86">
        <f>SUBTOTAL(109,Employees[Gross
HOURS])</f>
        <v>-92.859999999999971</v>
      </c>
      <c r="I21" s="69">
        <f>SUBTOTAL(109,Employees[Ded''s AMOUNT])</f>
        <v>9378.75</v>
      </c>
      <c r="J21" s="73"/>
      <c r="K21" s="69"/>
      <c r="L21" s="9"/>
    </row>
    <row r="22" spans="2:23" ht="18.75" customHeight="1" x14ac:dyDescent="0.2"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27"/>
      <c r="C2" s="28" t="str">
        <f>CompanyName</f>
        <v>FABRIL SOLUTIONS</v>
      </c>
      <c r="D2" s="28"/>
      <c r="E2" s="26"/>
      <c r="F2" s="26"/>
      <c r="G2" s="26"/>
      <c r="H2" s="26"/>
      <c r="I2" s="26"/>
      <c r="J2" s="26"/>
      <c r="K2" s="26"/>
      <c r="L2" s="26"/>
      <c r="M2" s="26"/>
      <c r="N2" s="29"/>
      <c r="O2" s="55"/>
      <c r="P2" s="2"/>
    </row>
    <row r="3" spans="2:16" ht="16.5" customHeight="1" x14ac:dyDescent="0.2">
      <c r="B3" s="30"/>
      <c r="C3" s="36" t="s">
        <v>49</v>
      </c>
      <c r="D3" s="92" t="e">
        <f>PeriodEnding</f>
        <v>#REF!</v>
      </c>
      <c r="E3" s="92"/>
      <c r="F3" s="22"/>
      <c r="G3" s="36" t="s">
        <v>50</v>
      </c>
      <c r="H3" s="90" t="str">
        <f>IFERROR(INDEX(Employees[Employee Name],Stub),"")</f>
        <v>DALJINDER SINGH</v>
      </c>
      <c r="I3" s="90"/>
      <c r="J3" s="23"/>
      <c r="K3" s="36" t="s">
        <v>51</v>
      </c>
      <c r="L3" s="91">
        <f>IFERROR(INDEX(Employees[ID],Stub),"")</f>
        <v>1001</v>
      </c>
      <c r="M3" s="91"/>
      <c r="N3" s="31"/>
      <c r="O3" s="55"/>
      <c r="P3" s="2"/>
    </row>
    <row r="4" spans="2:16" ht="16.5" customHeight="1" x14ac:dyDescent="0.2">
      <c r="B4" s="30"/>
      <c r="C4" s="42" t="s">
        <v>1</v>
      </c>
      <c r="D4" s="51"/>
      <c r="E4" s="44" t="str">
        <f>IFERROR(INDEX(#REF!,Stub),"")</f>
        <v/>
      </c>
      <c r="F4" s="24"/>
      <c r="G4" s="42" t="s">
        <v>2</v>
      </c>
      <c r="H4" s="51"/>
      <c r="I4" s="44" t="str">
        <f>IFERROR(INDEX(#REF!,Stub),"")</f>
        <v/>
      </c>
      <c r="J4" s="24"/>
      <c r="K4" s="42" t="s">
        <v>15</v>
      </c>
      <c r="L4" s="51"/>
      <c r="M4" s="44">
        <f>IFERROR(INDEX(Employees[HOURS CALCULATED],Stub),"")</f>
        <v>157.32</v>
      </c>
      <c r="N4" s="31"/>
      <c r="O4" s="55"/>
      <c r="P4" s="2"/>
    </row>
    <row r="5" spans="2:16" ht="16.5" customHeight="1" x14ac:dyDescent="0.2">
      <c r="B5" s="30"/>
      <c r="C5" s="43" t="s">
        <v>16</v>
      </c>
      <c r="D5" s="52"/>
      <c r="E5" s="45" t="str">
        <f>IFERROR(INDEX(#REF!,Stub),"")</f>
        <v/>
      </c>
      <c r="F5" s="25"/>
      <c r="G5" s="43" t="s">
        <v>7</v>
      </c>
      <c r="H5" s="52"/>
      <c r="I5" s="45" t="str">
        <f>IFERROR(INDEX(#REF!,Stub),"")</f>
        <v/>
      </c>
      <c r="J5" s="25"/>
      <c r="K5" s="43" t="s">
        <v>5</v>
      </c>
      <c r="L5" s="52"/>
      <c r="M5" s="46" t="str">
        <f>IFERROR(INDEX(#REF!,Stub),"")</f>
        <v/>
      </c>
      <c r="N5" s="31"/>
      <c r="O5" s="55"/>
      <c r="P5" s="2"/>
    </row>
    <row r="6" spans="2:16" ht="16.5" customHeight="1" x14ac:dyDescent="0.2">
      <c r="B6" s="30"/>
      <c r="C6" s="43" t="s">
        <v>17</v>
      </c>
      <c r="D6" s="52"/>
      <c r="E6" s="45" t="str">
        <f>IFERROR(INDEX(#REF!,Stub)  *  INDEX(Employees[Gross
HOURS],Stub),"")</f>
        <v/>
      </c>
      <c r="F6" s="25"/>
      <c r="G6" s="43" t="s">
        <v>18</v>
      </c>
      <c r="H6" s="52"/>
      <c r="I6" s="45" t="str">
        <f>IFERROR(INDEX(#REF!,Stub)  *  INDEX(Employees[Gross
HOURS],Stub),"")</f>
        <v/>
      </c>
      <c r="J6" s="25"/>
      <c r="K6" s="43" t="s">
        <v>4</v>
      </c>
      <c r="L6" s="52"/>
      <c r="M6" s="46">
        <f>IFERROR(INDEX(Employees[OWING HOURS],Stub),"")</f>
        <v>-101.5</v>
      </c>
      <c r="N6" s="31"/>
      <c r="O6" s="55"/>
      <c r="P6" s="2"/>
    </row>
    <row r="7" spans="2:16" ht="16.5" customHeight="1" x14ac:dyDescent="0.2">
      <c r="B7" s="30"/>
      <c r="C7" s="43" t="s">
        <v>19</v>
      </c>
      <c r="D7" s="52"/>
      <c r="E7" s="45" t="str">
        <f>IFERROR(INDEX(#REF!,Stub)  *  INDEX(Employees[Gross
HOURS],Stub),"")</f>
        <v/>
      </c>
      <c r="F7" s="25"/>
      <c r="G7" s="43" t="s">
        <v>20</v>
      </c>
      <c r="H7" s="52"/>
      <c r="I7" s="45" t="str">
        <f>IFERROR(INDEX(#REF!,Stub)  *  INDEX(Employees[Gross
HOURS],Stub),"")</f>
        <v/>
      </c>
      <c r="J7" s="25"/>
      <c r="K7" s="43" t="s">
        <v>6</v>
      </c>
      <c r="L7" s="52"/>
      <c r="M7" s="46" t="str">
        <f>IFERROR(INDEX(#REF!,Stub),"")</f>
        <v/>
      </c>
      <c r="N7" s="31"/>
      <c r="O7" s="55"/>
      <c r="P7" s="2"/>
    </row>
    <row r="8" spans="2:16" ht="16.5" customHeight="1" x14ac:dyDescent="0.2">
      <c r="B8" s="30"/>
      <c r="C8" s="43" t="s">
        <v>21</v>
      </c>
      <c r="D8" s="52"/>
      <c r="E8" s="45" t="str">
        <f>IFERROR(INDEX(#REF!,Stub),"")</f>
        <v/>
      </c>
      <c r="F8" s="25"/>
      <c r="G8" s="43" t="s">
        <v>22</v>
      </c>
      <c r="H8" s="52"/>
      <c r="I8" s="45" t="str">
        <f>IFERROR(INDEX(#REF!,Stub),"")</f>
        <v/>
      </c>
      <c r="J8" s="25"/>
      <c r="K8" s="43" t="s">
        <v>8</v>
      </c>
      <c r="L8" s="52"/>
      <c r="M8" s="45">
        <f>IFERROR(INDEX(Employees[Gross
HOURS],Stub),"")</f>
        <v>-24.180000000000007</v>
      </c>
      <c r="N8" s="31"/>
      <c r="O8" s="55"/>
      <c r="P8" s="2"/>
    </row>
    <row r="9" spans="2:16" ht="16.5" customHeight="1" x14ac:dyDescent="0.2">
      <c r="B9" s="30"/>
      <c r="C9" s="93" t="s">
        <v>55</v>
      </c>
      <c r="D9" s="94"/>
      <c r="E9" s="39">
        <f>IFERROR(INDEX(Employees[Ded''s AMOUNT],Stub),"")</f>
        <v>170</v>
      </c>
      <c r="F9" s="25"/>
      <c r="G9" s="43" t="s">
        <v>9</v>
      </c>
      <c r="H9" s="53"/>
      <c r="I9" s="45" t="str">
        <f>IFERROR(INDEX(#REF!,Stub),"")</f>
        <v/>
      </c>
      <c r="J9" s="25"/>
      <c r="K9" s="43" t="s">
        <v>23</v>
      </c>
      <c r="L9" s="53"/>
      <c r="M9" s="45" t="str">
        <f>IFERROR(INDEX(Employees[Ded''s AMOUNT],Stub)  +  INDEX(#REF!,Stub),"")</f>
        <v/>
      </c>
      <c r="N9" s="31"/>
      <c r="O9" s="55"/>
      <c r="P9" s="2"/>
    </row>
    <row r="10" spans="2:16" ht="16.5" customHeight="1" x14ac:dyDescent="0.2">
      <c r="B10" s="30"/>
      <c r="C10" s="95" t="s">
        <v>56</v>
      </c>
      <c r="D10" s="96"/>
      <c r="E10" s="41"/>
      <c r="F10" s="25"/>
      <c r="G10" s="40"/>
      <c r="H10" s="54"/>
      <c r="I10" s="41"/>
      <c r="J10" s="25"/>
      <c r="K10" s="40"/>
      <c r="L10" s="54"/>
      <c r="M10" s="41"/>
      <c r="N10" s="31"/>
      <c r="O10" s="55"/>
      <c r="P10" s="2"/>
    </row>
    <row r="11" spans="2:16" ht="15.75" customHeight="1" x14ac:dyDescent="0.2">
      <c r="B11" s="30"/>
      <c r="C11" s="3"/>
      <c r="D11" s="3"/>
      <c r="E11" s="3"/>
      <c r="F11" s="3"/>
      <c r="G11" s="3"/>
      <c r="H11" s="3"/>
      <c r="I11" s="3"/>
      <c r="J11" s="3"/>
      <c r="K11" s="35" t="s">
        <v>52</v>
      </c>
      <c r="L11" s="35"/>
      <c r="M11" s="34">
        <f>IFERROR(INDEX(Employees[Net Pay],Stub),"")</f>
        <v>0</v>
      </c>
      <c r="N11" s="31"/>
      <c r="O11" s="55"/>
      <c r="P11" s="2"/>
    </row>
    <row r="12" spans="2:16" ht="10.5" customHeight="1" thickBot="1" x14ac:dyDescent="0.25">
      <c r="B12" s="32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3"/>
      <c r="O12" s="55"/>
      <c r="P12" s="2"/>
    </row>
    <row r="13" spans="2:16" ht="15" customHeight="1" thickBot="1" x14ac:dyDescent="0.25">
      <c r="P13" s="2"/>
    </row>
    <row r="14" spans="2:16" ht="27.75" customHeight="1" x14ac:dyDescent="0.2">
      <c r="B14" s="27"/>
      <c r="C14" s="28" t="str">
        <f>CompanyName</f>
        <v>FABRIL SOLUTIONS</v>
      </c>
      <c r="D14" s="28"/>
      <c r="E14" s="26"/>
      <c r="F14" s="26"/>
      <c r="G14" s="26"/>
      <c r="H14" s="26"/>
      <c r="I14" s="26"/>
      <c r="J14" s="26"/>
      <c r="K14" s="26"/>
      <c r="L14" s="26"/>
      <c r="M14" s="26"/>
      <c r="N14" s="29"/>
      <c r="O14" s="55"/>
      <c r="P14" s="2"/>
    </row>
    <row r="15" spans="2:16" ht="16.5" customHeight="1" x14ac:dyDescent="0.2">
      <c r="B15" s="30"/>
      <c r="C15" s="36" t="s">
        <v>49</v>
      </c>
      <c r="D15" s="92" t="e">
        <f>PeriodEnding</f>
        <v>#REF!</v>
      </c>
      <c r="E15" s="92"/>
      <c r="F15" s="22"/>
      <c r="G15" s="36" t="s">
        <v>50</v>
      </c>
      <c r="H15" s="90" t="str">
        <f>IFERROR(INDEX(Employees[Employee Name],Stub),"")</f>
        <v>KARAMJEETH SINGH</v>
      </c>
      <c r="I15" s="90"/>
      <c r="J15" s="23"/>
      <c r="K15" s="36" t="s">
        <v>51</v>
      </c>
      <c r="L15" s="91">
        <f>IFERROR(INDEX(Employees[ID],Stub),"")</f>
        <v>1002</v>
      </c>
      <c r="M15" s="91"/>
      <c r="N15" s="31"/>
      <c r="O15" s="55"/>
      <c r="P15" s="2"/>
    </row>
    <row r="16" spans="2:16" ht="16.5" customHeight="1" x14ac:dyDescent="0.2">
      <c r="B16" s="30"/>
      <c r="C16" s="42" t="s">
        <v>1</v>
      </c>
      <c r="D16" s="51"/>
      <c r="E16" s="44" t="str">
        <f>IFERROR(INDEX(#REF!,Stub),"")</f>
        <v/>
      </c>
      <c r="F16" s="24"/>
      <c r="G16" s="42" t="s">
        <v>2</v>
      </c>
      <c r="H16" s="51"/>
      <c r="I16" s="44" t="str">
        <f>IFERROR(INDEX(#REF!,Stub),"")</f>
        <v/>
      </c>
      <c r="J16" s="24"/>
      <c r="K16" s="42" t="s">
        <v>15</v>
      </c>
      <c r="L16" s="51"/>
      <c r="M16" s="44">
        <f>IFERROR(INDEX(Employees[HOURS CALCULATED],Stub),"")</f>
        <v>157.32</v>
      </c>
      <c r="N16" s="31"/>
      <c r="O16" s="55"/>
      <c r="P16" s="2"/>
    </row>
    <row r="17" spans="2:16" ht="16.5" customHeight="1" x14ac:dyDescent="0.2">
      <c r="B17" s="30"/>
      <c r="C17" s="43" t="s">
        <v>16</v>
      </c>
      <c r="D17" s="52"/>
      <c r="E17" s="45" t="str">
        <f>IFERROR(INDEX(#REF!,Stub),"")</f>
        <v/>
      </c>
      <c r="F17" s="25"/>
      <c r="G17" s="43" t="s">
        <v>7</v>
      </c>
      <c r="H17" s="52"/>
      <c r="I17" s="45" t="str">
        <f>IFERROR(INDEX(#REF!,Stub),"")</f>
        <v/>
      </c>
      <c r="J17" s="25"/>
      <c r="K17" s="43" t="s">
        <v>5</v>
      </c>
      <c r="L17" s="52"/>
      <c r="M17" s="46" t="str">
        <f>IFERROR(INDEX(#REF!,Stub),"")</f>
        <v/>
      </c>
      <c r="N17" s="31"/>
      <c r="O17" s="55"/>
      <c r="P17" s="2"/>
    </row>
    <row r="18" spans="2:16" ht="16.5" customHeight="1" x14ac:dyDescent="0.2">
      <c r="B18" s="30"/>
      <c r="C18" s="43" t="s">
        <v>17</v>
      </c>
      <c r="D18" s="52"/>
      <c r="E18" s="45" t="str">
        <f>IFERROR(INDEX(#REF!,Stub)  *  INDEX(Employees[Gross
HOURS],Stub),"")</f>
        <v/>
      </c>
      <c r="F18" s="25"/>
      <c r="G18" s="43" t="s">
        <v>18</v>
      </c>
      <c r="H18" s="52"/>
      <c r="I18" s="45" t="str">
        <f>IFERROR(INDEX(#REF!,Stub)  *  INDEX(Employees[Gross
HOURS],Stub),"")</f>
        <v/>
      </c>
      <c r="J18" s="25"/>
      <c r="K18" s="43" t="s">
        <v>4</v>
      </c>
      <c r="L18" s="52"/>
      <c r="M18" s="46">
        <f>IFERROR(INDEX(Employees[OWING HOURS],Stub),"")</f>
        <v>-129.01</v>
      </c>
      <c r="N18" s="31"/>
      <c r="O18" s="55"/>
      <c r="P18" s="2"/>
    </row>
    <row r="19" spans="2:16" ht="16.5" customHeight="1" x14ac:dyDescent="0.2">
      <c r="B19" s="30"/>
      <c r="C19" s="43" t="s">
        <v>19</v>
      </c>
      <c r="D19" s="52"/>
      <c r="E19" s="45" t="str">
        <f>IFERROR(INDEX(#REF!,Stub)  *  INDEX(Employees[Gross
HOURS],Stub),"")</f>
        <v/>
      </c>
      <c r="F19" s="25"/>
      <c r="G19" s="43" t="s">
        <v>20</v>
      </c>
      <c r="H19" s="52"/>
      <c r="I19" s="45" t="str">
        <f>IFERROR(INDEX(#REF!,Stub)  *  INDEX(Employees[Gross
HOURS],Stub),"")</f>
        <v/>
      </c>
      <c r="J19" s="25"/>
      <c r="K19" s="43" t="s">
        <v>6</v>
      </c>
      <c r="L19" s="52"/>
      <c r="M19" s="46" t="str">
        <f>IFERROR(INDEX(#REF!,Stub),"")</f>
        <v/>
      </c>
      <c r="N19" s="31"/>
      <c r="O19" s="55"/>
      <c r="P19" s="2"/>
    </row>
    <row r="20" spans="2:16" ht="16.5" customHeight="1" x14ac:dyDescent="0.2">
      <c r="B20" s="30"/>
      <c r="C20" s="43" t="s">
        <v>21</v>
      </c>
      <c r="D20" s="52"/>
      <c r="E20" s="45" t="str">
        <f>IFERROR(INDEX(#REF!,Stub),"")</f>
        <v/>
      </c>
      <c r="F20" s="25"/>
      <c r="G20" s="43" t="s">
        <v>22</v>
      </c>
      <c r="H20" s="52"/>
      <c r="I20" s="45" t="str">
        <f>IFERROR(INDEX(#REF!,Stub),"")</f>
        <v/>
      </c>
      <c r="J20" s="25"/>
      <c r="K20" s="43" t="s">
        <v>8</v>
      </c>
      <c r="L20" s="52"/>
      <c r="M20" s="45">
        <f>IFERROR(INDEX(Employees[Gross
HOURS],Stub),"")</f>
        <v>-51.69</v>
      </c>
      <c r="N20" s="31"/>
      <c r="O20" s="55"/>
      <c r="P20" s="2"/>
    </row>
    <row r="21" spans="2:16" ht="16.5" customHeight="1" x14ac:dyDescent="0.2">
      <c r="B21" s="30"/>
      <c r="C21" s="93" t="s">
        <v>55</v>
      </c>
      <c r="D21" s="94"/>
      <c r="E21" s="39">
        <f>IFERROR(INDEX(Employees[Ded''s AMOUNT],Stub),"")</f>
        <v>0</v>
      </c>
      <c r="F21" s="25"/>
      <c r="G21" s="43" t="s">
        <v>9</v>
      </c>
      <c r="H21" s="53"/>
      <c r="I21" s="45" t="str">
        <f>IFERROR(INDEX(#REF!,Stub),"")</f>
        <v/>
      </c>
      <c r="J21" s="25"/>
      <c r="K21" s="43" t="s">
        <v>23</v>
      </c>
      <c r="L21" s="53"/>
      <c r="M21" s="45" t="str">
        <f>IFERROR(INDEX(Employees[Ded''s AMOUNT],Stub)  +  INDEX(#REF!,Stub),"")</f>
        <v/>
      </c>
      <c r="N21" s="31"/>
      <c r="O21" s="55"/>
      <c r="P21" s="2"/>
    </row>
    <row r="22" spans="2:16" ht="16.5" customHeight="1" x14ac:dyDescent="0.2">
      <c r="B22" s="30"/>
      <c r="C22" s="95" t="s">
        <v>56</v>
      </c>
      <c r="D22" s="96"/>
      <c r="E22" s="41"/>
      <c r="F22" s="25"/>
      <c r="G22" s="40"/>
      <c r="H22" s="54"/>
      <c r="I22" s="41"/>
      <c r="J22" s="25"/>
      <c r="K22" s="40"/>
      <c r="L22" s="54"/>
      <c r="M22" s="41"/>
      <c r="N22" s="31"/>
      <c r="O22" s="55"/>
      <c r="P22" s="2"/>
    </row>
    <row r="23" spans="2:16" ht="15.75" customHeight="1" x14ac:dyDescent="0.2">
      <c r="B23" s="30"/>
      <c r="C23" s="3"/>
      <c r="D23" s="3"/>
      <c r="E23" s="3"/>
      <c r="F23" s="3"/>
      <c r="G23" s="3"/>
      <c r="H23" s="3"/>
      <c r="I23" s="3"/>
      <c r="J23" s="3"/>
      <c r="K23" s="35" t="s">
        <v>52</v>
      </c>
      <c r="L23" s="35"/>
      <c r="M23" s="34">
        <f>IFERROR(INDEX(Employees[Net Pay],Stub),"")</f>
        <v>0</v>
      </c>
      <c r="N23" s="31"/>
      <c r="O23" s="55"/>
      <c r="P23" s="2"/>
    </row>
    <row r="24" spans="2:16" ht="10.5" customHeight="1" thickBot="1" x14ac:dyDescent="0.25">
      <c r="B24" s="3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33"/>
      <c r="O24" s="55"/>
      <c r="P24" s="2"/>
    </row>
    <row r="25" spans="2:16" ht="15" customHeight="1" thickBot="1" x14ac:dyDescent="0.25">
      <c r="P25" s="2"/>
    </row>
    <row r="26" spans="2:16" ht="27.75" customHeight="1" x14ac:dyDescent="0.2">
      <c r="B26" s="27"/>
      <c r="C26" s="28" t="str">
        <f>CompanyName</f>
        <v>FABRIL SOLUTIONS</v>
      </c>
      <c r="D26" s="28"/>
      <c r="E26" s="26"/>
      <c r="F26" s="26"/>
      <c r="G26" s="26"/>
      <c r="H26" s="26"/>
      <c r="I26" s="26"/>
      <c r="J26" s="26"/>
      <c r="K26" s="26"/>
      <c r="L26" s="26"/>
      <c r="M26" s="26"/>
      <c r="N26" s="29"/>
      <c r="O26" s="55"/>
      <c r="P26" s="2"/>
    </row>
    <row r="27" spans="2:16" ht="16.5" customHeight="1" x14ac:dyDescent="0.2">
      <c r="B27" s="30"/>
      <c r="C27" s="36" t="s">
        <v>54</v>
      </c>
      <c r="D27" s="92" t="e">
        <f>PeriodEnding</f>
        <v>#REF!</v>
      </c>
      <c r="E27" s="92"/>
      <c r="F27" s="22"/>
      <c r="G27" s="36" t="s">
        <v>50</v>
      </c>
      <c r="H27" s="90" t="str">
        <f>IFERROR(INDEX(Employees[Employee Name],Stub),"")</f>
        <v>NITHIN</v>
      </c>
      <c r="I27" s="90"/>
      <c r="J27" s="23"/>
      <c r="K27" s="36" t="s">
        <v>51</v>
      </c>
      <c r="L27" s="91">
        <f>IFERROR(INDEX(Employees[ID],Stub),"")</f>
        <v>1003</v>
      </c>
      <c r="M27" s="91"/>
      <c r="N27" s="31"/>
      <c r="O27" s="55"/>
      <c r="P27" s="2"/>
    </row>
    <row r="28" spans="2:16" ht="16.5" customHeight="1" x14ac:dyDescent="0.2">
      <c r="B28" s="30"/>
      <c r="C28" s="42" t="s">
        <v>1</v>
      </c>
      <c r="D28" s="51"/>
      <c r="E28" s="44" t="str">
        <f>IFERROR(INDEX(#REF!,Stub),"")</f>
        <v/>
      </c>
      <c r="F28" s="24"/>
      <c r="G28" s="42" t="s">
        <v>2</v>
      </c>
      <c r="H28" s="51"/>
      <c r="I28" s="44" t="str">
        <f>IFERROR(INDEX(#REF!,Stub),"")</f>
        <v/>
      </c>
      <c r="J28" s="24"/>
      <c r="K28" s="42" t="s">
        <v>15</v>
      </c>
      <c r="L28" s="51"/>
      <c r="M28" s="44">
        <f>IFERROR(INDEX(Employees[HOURS CALCULATED],Stub),"")</f>
        <v>155</v>
      </c>
      <c r="N28" s="31"/>
      <c r="O28" s="55"/>
      <c r="P28" s="2"/>
    </row>
    <row r="29" spans="2:16" ht="16.5" customHeight="1" x14ac:dyDescent="0.2">
      <c r="B29" s="30"/>
      <c r="C29" s="43" t="s">
        <v>16</v>
      </c>
      <c r="D29" s="52"/>
      <c r="E29" s="45" t="str">
        <f>IFERROR(INDEX(#REF!,Stub),"")</f>
        <v/>
      </c>
      <c r="F29" s="25"/>
      <c r="G29" s="43" t="s">
        <v>7</v>
      </c>
      <c r="H29" s="52"/>
      <c r="I29" s="45" t="str">
        <f>IFERROR(INDEX(#REF!,Stub),"")</f>
        <v/>
      </c>
      <c r="J29" s="25"/>
      <c r="K29" s="43" t="s">
        <v>5</v>
      </c>
      <c r="L29" s="52"/>
      <c r="M29" s="46" t="str">
        <f>IFERROR(INDEX(#REF!,Stub),"")</f>
        <v/>
      </c>
      <c r="N29" s="31"/>
      <c r="O29" s="55"/>
      <c r="P29" s="2"/>
    </row>
    <row r="30" spans="2:16" ht="16.5" customHeight="1" x14ac:dyDescent="0.2">
      <c r="B30" s="30"/>
      <c r="C30" s="43" t="s">
        <v>17</v>
      </c>
      <c r="D30" s="52"/>
      <c r="E30" s="45" t="str">
        <f>IFERROR(INDEX(#REF!,Stub)  *  INDEX(Employees[Gross
HOURS],Stub),"")</f>
        <v/>
      </c>
      <c r="F30" s="25"/>
      <c r="G30" s="43" t="s">
        <v>18</v>
      </c>
      <c r="H30" s="52"/>
      <c r="I30" s="45" t="str">
        <f>IFERROR(INDEX(#REF!,Stub)  *  INDEX(Employees[Gross
HOURS],Stub),"")</f>
        <v/>
      </c>
      <c r="J30" s="25"/>
      <c r="K30" s="43" t="s">
        <v>4</v>
      </c>
      <c r="L30" s="52"/>
      <c r="M30" s="46">
        <f>IFERROR(INDEX(Employees[OWING HOURS],Stub),"")</f>
        <v>-54.76</v>
      </c>
      <c r="N30" s="31"/>
      <c r="O30" s="55"/>
      <c r="P30" s="2"/>
    </row>
    <row r="31" spans="2:16" ht="16.5" customHeight="1" x14ac:dyDescent="0.2">
      <c r="B31" s="30"/>
      <c r="C31" s="43" t="s">
        <v>19</v>
      </c>
      <c r="D31" s="52"/>
      <c r="E31" s="45" t="str">
        <f>IFERROR(INDEX(#REF!,Stub)  *  INDEX(Employees[Gross
HOURS],Stub),"")</f>
        <v/>
      </c>
      <c r="F31" s="25"/>
      <c r="G31" s="43" t="s">
        <v>20</v>
      </c>
      <c r="H31" s="52"/>
      <c r="I31" s="45" t="str">
        <f>IFERROR(INDEX(#REF!,Stub)  *  INDEX(Employees[Gross
HOURS],Stub),"")</f>
        <v/>
      </c>
      <c r="J31" s="25"/>
      <c r="K31" s="43" t="s">
        <v>6</v>
      </c>
      <c r="L31" s="52"/>
      <c r="M31" s="46" t="str">
        <f>IFERROR(INDEX(#REF!,Stub),"")</f>
        <v/>
      </c>
      <c r="N31" s="31"/>
      <c r="O31" s="55"/>
      <c r="P31" s="2"/>
    </row>
    <row r="32" spans="2:16" ht="16.5" customHeight="1" x14ac:dyDescent="0.2">
      <c r="B32" s="30"/>
      <c r="C32" s="43" t="s">
        <v>21</v>
      </c>
      <c r="D32" s="52"/>
      <c r="E32" s="45" t="str">
        <f>IFERROR(INDEX(#REF!,Stub),"")</f>
        <v/>
      </c>
      <c r="F32" s="25"/>
      <c r="G32" s="43" t="s">
        <v>22</v>
      </c>
      <c r="H32" s="52"/>
      <c r="I32" s="45" t="str">
        <f>IFERROR(INDEX(#REF!,Stub),"")</f>
        <v/>
      </c>
      <c r="J32" s="25"/>
      <c r="K32" s="43" t="s">
        <v>8</v>
      </c>
      <c r="L32" s="52"/>
      <c r="M32" s="45">
        <f>IFERROR(INDEX(Employees[Gross
HOURS],Stub),"")</f>
        <v>30.240000000000009</v>
      </c>
      <c r="N32" s="31"/>
      <c r="O32" s="55"/>
      <c r="P32" s="2"/>
    </row>
    <row r="33" spans="2:16" ht="16.5" customHeight="1" x14ac:dyDescent="0.2">
      <c r="B33" s="30"/>
      <c r="C33" s="93" t="s">
        <v>55</v>
      </c>
      <c r="D33" s="94"/>
      <c r="E33" s="39">
        <f>IFERROR(INDEX(Employees[Ded''s AMOUNT],Stub),"")</f>
        <v>2500</v>
      </c>
      <c r="F33" s="25"/>
      <c r="G33" s="43" t="s">
        <v>9</v>
      </c>
      <c r="H33" s="53"/>
      <c r="I33" s="45" t="str">
        <f>IFERROR(INDEX(#REF!,Stub),"")</f>
        <v/>
      </c>
      <c r="J33" s="25"/>
      <c r="K33" s="43" t="s">
        <v>23</v>
      </c>
      <c r="L33" s="53"/>
      <c r="M33" s="45" t="str">
        <f>IFERROR(INDEX(Employees[Ded''s AMOUNT],Stub)  +  INDEX(#REF!,Stub),"")</f>
        <v/>
      </c>
      <c r="N33" s="31"/>
      <c r="O33" s="55"/>
      <c r="P33" s="2"/>
    </row>
    <row r="34" spans="2:16" ht="16.5" customHeight="1" x14ac:dyDescent="0.2">
      <c r="B34" s="30"/>
      <c r="C34" s="95" t="s">
        <v>56</v>
      </c>
      <c r="D34" s="96"/>
      <c r="E34" s="41"/>
      <c r="F34" s="25"/>
      <c r="G34" s="40"/>
      <c r="H34" s="54"/>
      <c r="I34" s="41"/>
      <c r="J34" s="25"/>
      <c r="K34" s="40"/>
      <c r="L34" s="54"/>
      <c r="M34" s="41"/>
      <c r="N34" s="31"/>
      <c r="O34" s="55"/>
      <c r="P34" s="2"/>
    </row>
    <row r="35" spans="2:16" ht="15.75" customHeight="1" x14ac:dyDescent="0.2">
      <c r="B35" s="30"/>
      <c r="C35" s="3"/>
      <c r="D35" s="3"/>
      <c r="E35" s="3"/>
      <c r="F35" s="3"/>
      <c r="G35" s="3"/>
      <c r="H35" s="3"/>
      <c r="I35" s="3"/>
      <c r="J35" s="3"/>
      <c r="K35" s="35" t="s">
        <v>52</v>
      </c>
      <c r="L35" s="35"/>
      <c r="M35" s="34">
        <f>IFERROR(INDEX(Employees[Net Pay],Stub),"")</f>
        <v>0</v>
      </c>
      <c r="N35" s="31"/>
      <c r="O35" s="55"/>
      <c r="P35" s="2"/>
    </row>
    <row r="36" spans="2:16" ht="10.5" customHeight="1" thickBot="1" x14ac:dyDescent="0.25">
      <c r="B36" s="3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33"/>
      <c r="O36" s="55"/>
      <c r="P36" s="2"/>
    </row>
    <row r="37" spans="2:16" ht="15" customHeight="1" thickBot="1" x14ac:dyDescent="0.25">
      <c r="P37" s="2"/>
    </row>
    <row r="38" spans="2:16" ht="27.75" customHeight="1" x14ac:dyDescent="0.2">
      <c r="B38" s="27"/>
      <c r="C38" s="28" t="str">
        <f>CompanyName</f>
        <v>FABRIL SOLUTIONS</v>
      </c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9"/>
      <c r="O38" s="55"/>
      <c r="P38" s="2"/>
    </row>
    <row r="39" spans="2:16" ht="16.5" customHeight="1" x14ac:dyDescent="0.2">
      <c r="B39" s="30"/>
      <c r="C39" s="36" t="s">
        <v>49</v>
      </c>
      <c r="D39" s="92" t="e">
        <f>PeriodEnding</f>
        <v>#REF!</v>
      </c>
      <c r="E39" s="92"/>
      <c r="F39" s="22"/>
      <c r="G39" s="36" t="s">
        <v>50</v>
      </c>
      <c r="H39" s="90" t="str">
        <f>IFERROR(INDEX(Employees[Employee Name],Stub),"")</f>
        <v>BABU</v>
      </c>
      <c r="I39" s="90"/>
      <c r="J39" s="23"/>
      <c r="K39" s="36" t="s">
        <v>51</v>
      </c>
      <c r="L39" s="91">
        <f>IFERROR(INDEX(Employees[ID],Stub),"")</f>
        <v>1004</v>
      </c>
      <c r="M39" s="91"/>
      <c r="N39" s="31"/>
      <c r="O39" s="55"/>
      <c r="P39" s="2"/>
    </row>
    <row r="40" spans="2:16" ht="16.5" customHeight="1" x14ac:dyDescent="0.2">
      <c r="B40" s="30"/>
      <c r="C40" s="42" t="s">
        <v>1</v>
      </c>
      <c r="D40" s="51"/>
      <c r="E40" s="44" t="str">
        <f>IFERROR(INDEX(#REF!,Stub),"")</f>
        <v/>
      </c>
      <c r="F40" s="24"/>
      <c r="G40" s="42" t="s">
        <v>2</v>
      </c>
      <c r="H40" s="51"/>
      <c r="I40" s="44" t="str">
        <f>IFERROR(INDEX(#REF!,Stub),"")</f>
        <v/>
      </c>
      <c r="J40" s="24"/>
      <c r="K40" s="42" t="s">
        <v>15</v>
      </c>
      <c r="L40" s="51"/>
      <c r="M40" s="44">
        <f>IFERROR(INDEX(Employees[HOURS CALCULATED],Stub),"")</f>
        <v>145.41999999999999</v>
      </c>
      <c r="N40" s="31"/>
      <c r="O40" s="55"/>
      <c r="P40" s="2"/>
    </row>
    <row r="41" spans="2:16" ht="16.5" customHeight="1" x14ac:dyDescent="0.2">
      <c r="B41" s="30"/>
      <c r="C41" s="43" t="s">
        <v>16</v>
      </c>
      <c r="D41" s="52"/>
      <c r="E41" s="45" t="str">
        <f>IFERROR(INDEX(#REF!,Stub),"")</f>
        <v/>
      </c>
      <c r="F41" s="25"/>
      <c r="G41" s="43" t="s">
        <v>7</v>
      </c>
      <c r="H41" s="52"/>
      <c r="I41" s="45" t="str">
        <f>IFERROR(INDEX(#REF!,Stub),"")</f>
        <v/>
      </c>
      <c r="J41" s="25"/>
      <c r="K41" s="43" t="s">
        <v>5</v>
      </c>
      <c r="L41" s="52"/>
      <c r="M41" s="46" t="str">
        <f>IFERROR(INDEX(#REF!,Stub),"")</f>
        <v/>
      </c>
      <c r="N41" s="31"/>
      <c r="O41" s="55"/>
      <c r="P41" s="2"/>
    </row>
    <row r="42" spans="2:16" ht="16.5" customHeight="1" x14ac:dyDescent="0.2">
      <c r="B42" s="30"/>
      <c r="C42" s="43" t="s">
        <v>17</v>
      </c>
      <c r="D42" s="52"/>
      <c r="E42" s="45" t="str">
        <f>IFERROR(INDEX(#REF!,Stub)  *  INDEX(Employees[Gross
HOURS],Stub),"")</f>
        <v/>
      </c>
      <c r="F42" s="25"/>
      <c r="G42" s="43" t="s">
        <v>18</v>
      </c>
      <c r="H42" s="52"/>
      <c r="I42" s="45" t="str">
        <f>IFERROR(INDEX(#REF!,Stub)  *  INDEX(Employees[Gross
HOURS],Stub),"")</f>
        <v/>
      </c>
      <c r="J42" s="25"/>
      <c r="K42" s="43" t="s">
        <v>4</v>
      </c>
      <c r="L42" s="52"/>
      <c r="M42" s="46">
        <f>IFERROR(INDEX(Employees[OWING HOURS],Stub),"")</f>
        <v>-74.430000000000007</v>
      </c>
      <c r="N42" s="31"/>
      <c r="O42" s="55"/>
      <c r="P42" s="2"/>
    </row>
    <row r="43" spans="2:16" ht="16.5" customHeight="1" x14ac:dyDescent="0.2">
      <c r="B43" s="30"/>
      <c r="C43" s="43" t="s">
        <v>19</v>
      </c>
      <c r="D43" s="52"/>
      <c r="E43" s="45" t="str">
        <f>IFERROR(INDEX(#REF!,Stub)  *  INDEX(Employees[Gross
HOURS],Stub),"")</f>
        <v/>
      </c>
      <c r="F43" s="25"/>
      <c r="G43" s="43" t="s">
        <v>20</v>
      </c>
      <c r="H43" s="52"/>
      <c r="I43" s="45" t="str">
        <f>IFERROR(INDEX(#REF!,Stub)  *  INDEX(Employees[Gross
HOURS],Stub),"")</f>
        <v/>
      </c>
      <c r="J43" s="25"/>
      <c r="K43" s="43" t="s">
        <v>6</v>
      </c>
      <c r="L43" s="52"/>
      <c r="M43" s="46" t="str">
        <f>IFERROR(INDEX(#REF!,Stub),"")</f>
        <v/>
      </c>
      <c r="N43" s="31"/>
      <c r="O43" s="55"/>
      <c r="P43" s="2"/>
    </row>
    <row r="44" spans="2:16" ht="16.5" customHeight="1" x14ac:dyDescent="0.2">
      <c r="B44" s="30"/>
      <c r="C44" s="43" t="s">
        <v>21</v>
      </c>
      <c r="D44" s="52"/>
      <c r="E44" s="45" t="str">
        <f>IFERROR(INDEX(#REF!,Stub),"")</f>
        <v/>
      </c>
      <c r="F44" s="25"/>
      <c r="G44" s="43" t="s">
        <v>22</v>
      </c>
      <c r="H44" s="52"/>
      <c r="I44" s="45" t="str">
        <f>IFERROR(INDEX(#REF!,Stub),"")</f>
        <v/>
      </c>
      <c r="J44" s="25"/>
      <c r="K44" s="43" t="s">
        <v>8</v>
      </c>
      <c r="L44" s="52"/>
      <c r="M44" s="45">
        <f>IFERROR(INDEX(Employees[Gross
HOURS],Stub),"")</f>
        <v>0.98999999999998067</v>
      </c>
      <c r="N44" s="31"/>
      <c r="O44" s="55"/>
      <c r="P44" s="2"/>
    </row>
    <row r="45" spans="2:16" ht="16.5" customHeight="1" x14ac:dyDescent="0.2">
      <c r="B45" s="30"/>
      <c r="C45" s="93" t="s">
        <v>55</v>
      </c>
      <c r="D45" s="94"/>
      <c r="E45" s="39">
        <f>IFERROR(INDEX(Employees[Ded''s AMOUNT],Stub),"")</f>
        <v>2029.5</v>
      </c>
      <c r="F45" s="25"/>
      <c r="G45" s="43" t="s">
        <v>9</v>
      </c>
      <c r="H45" s="53"/>
      <c r="I45" s="45" t="str">
        <f>IFERROR(INDEX(#REF!,Stub),"")</f>
        <v/>
      </c>
      <c r="J45" s="25"/>
      <c r="K45" s="43" t="s">
        <v>23</v>
      </c>
      <c r="L45" s="53"/>
      <c r="M45" s="45" t="str">
        <f>IFERROR(INDEX(Employees[Ded''s AMOUNT],Stub)  +  INDEX(#REF!,Stub),"")</f>
        <v/>
      </c>
      <c r="N45" s="31"/>
      <c r="O45" s="55"/>
      <c r="P45" s="2"/>
    </row>
    <row r="46" spans="2:16" ht="16.5" customHeight="1" x14ac:dyDescent="0.2">
      <c r="B46" s="30"/>
      <c r="C46" s="95" t="s">
        <v>56</v>
      </c>
      <c r="D46" s="96"/>
      <c r="E46" s="41"/>
      <c r="F46" s="25"/>
      <c r="G46" s="40"/>
      <c r="H46" s="54"/>
      <c r="I46" s="41"/>
      <c r="J46" s="25"/>
      <c r="K46" s="40"/>
      <c r="L46" s="54"/>
      <c r="M46" s="41"/>
      <c r="N46" s="31"/>
      <c r="O46" s="55"/>
      <c r="P46" s="2"/>
    </row>
    <row r="47" spans="2:16" ht="15.75" customHeight="1" x14ac:dyDescent="0.2">
      <c r="B47" s="30"/>
      <c r="C47" s="3"/>
      <c r="D47" s="3"/>
      <c r="E47" s="3"/>
      <c r="F47" s="3"/>
      <c r="G47" s="3"/>
      <c r="H47" s="3"/>
      <c r="I47" s="3"/>
      <c r="J47" s="3"/>
      <c r="K47" s="35" t="s">
        <v>52</v>
      </c>
      <c r="L47" s="35"/>
      <c r="M47" s="34">
        <f>IFERROR(INDEX(Employees[Net Pay],Stub),"")</f>
        <v>0</v>
      </c>
      <c r="N47" s="31"/>
      <c r="O47" s="55"/>
      <c r="P47" s="2"/>
    </row>
    <row r="48" spans="2:16" ht="10.5" customHeight="1" thickBot="1" x14ac:dyDescent="0.25">
      <c r="B48" s="3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33"/>
      <c r="O48" s="55"/>
      <c r="P48" s="2"/>
    </row>
    <row r="49" ht="15" customHeight="1" x14ac:dyDescent="0.2"/>
  </sheetData>
  <mergeCells count="20">
    <mergeCell ref="C46:D46"/>
    <mergeCell ref="C33:D33"/>
    <mergeCell ref="C34:D34"/>
    <mergeCell ref="C21:D21"/>
    <mergeCell ref="C22:D22"/>
    <mergeCell ref="D3:E3"/>
    <mergeCell ref="D15:E15"/>
    <mergeCell ref="D27:E27"/>
    <mergeCell ref="D39:E39"/>
    <mergeCell ref="C45:D45"/>
    <mergeCell ref="C9:D9"/>
    <mergeCell ref="C10:D10"/>
    <mergeCell ref="H3:I3"/>
    <mergeCell ref="H15:I15"/>
    <mergeCell ref="H27:I27"/>
    <mergeCell ref="H39:I39"/>
    <mergeCell ref="L39:M39"/>
    <mergeCell ref="L27:M27"/>
    <mergeCell ref="L15:M15"/>
    <mergeCell ref="L3:M3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Payroll Input (3)</vt:lpstr>
      <vt:lpstr>UCG PAY</vt:lpstr>
      <vt:lpstr>ROW PAY</vt:lpstr>
      <vt:lpstr>SDU PAY</vt:lpstr>
      <vt:lpstr>stubs_template</vt:lpstr>
      <vt:lpstr>'Payroll Input (3)'!CompanyName</vt:lpstr>
      <vt:lpstr>'ROW PAY'!CompanyName</vt:lpstr>
      <vt:lpstr>'UCG PAY'!CompanyName</vt:lpstr>
      <vt:lpstr>CompanyName</vt:lpstr>
      <vt:lpstr>'Payroll Input (3)'!PeriodEnding</vt:lpstr>
      <vt:lpstr>'Payroll Input (3)'!Print_Titles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2018-03-27T21:24:12Z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