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5200" windowHeight="12570"/>
  </bookViews>
  <sheets>
    <sheet name="09APRIL" sheetId="12" r:id="rId1"/>
    <sheet name="UCG PAY" sheetId="11" r:id="rId2"/>
    <sheet name="ROW PAY" sheetId="9" r:id="rId3"/>
    <sheet name="SDU PAY" sheetId="3" r:id="rId4"/>
    <sheet name="stubs_template" sheetId="4" state="hidden" r:id="rId5"/>
  </sheets>
  <definedNames>
    <definedName name="CompanyName" localSheetId="2">'ROW PAY'!$J$1</definedName>
    <definedName name="CompanyName" localSheetId="1">'UCG PAY'!$K$1</definedName>
    <definedName name="CompanyName">'SDU PAY'!$M$1</definedName>
    <definedName name="CurrentEmp" localSheetId="2">INDEX(Employees8[Employee Name],[0]!Stub)</definedName>
    <definedName name="CurrentEmp" localSheetId="1">INDEX(Employees9[Employee Name],[0]!Stub)</definedName>
    <definedName name="CurrentEmp">INDEX(Employees[Employee Name],Stub)</definedName>
    <definedName name="PeriodEnding" localSheetId="2">'ROW PAY'!#REF!</definedName>
    <definedName name="PeriodEnding" localSheetId="1">'UCG PAY'!#REF!</definedName>
    <definedName name="PeriodEnding">'SDU PAY'!#REF!</definedName>
    <definedName name="_xlnm.Print_Titles" localSheetId="2">'ROW PAY'!$1:$3</definedName>
    <definedName name="_xlnm.Print_Titles" localSheetId="3">'SDU PAY'!$1:$3</definedName>
    <definedName name="_xlnm.Print_Titles" localSheetId="1">'UCG PAY'!$1:$3</definedName>
    <definedName name="Stub">INT((ROW()-2)/12)+1</definedName>
    <definedName name="StubStruc">stubs_template!$B$37:$N$48</definedName>
    <definedName name="ThePage">stubs_template!$B$1:$N$48</definedName>
  </definedNames>
  <calcPr calcId="162913"/>
</workbook>
</file>

<file path=xl/calcChain.xml><?xml version="1.0" encoding="utf-8"?>
<calcChain xmlns="http://schemas.openxmlformats.org/spreadsheetml/2006/main">
  <c r="D10" i="11" l="1"/>
  <c r="D11" i="11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I5" i="11" l="1"/>
  <c r="I4" i="11"/>
  <c r="I10" i="11"/>
  <c r="G4" i="9"/>
  <c r="F4" i="9"/>
  <c r="G5" i="9"/>
  <c r="I8" i="11" l="1"/>
  <c r="I12" i="11" l="1"/>
  <c r="E12" i="11" l="1"/>
  <c r="E7" i="9"/>
  <c r="H11" i="11"/>
  <c r="G10" i="11"/>
  <c r="H4" i="11"/>
  <c r="H5" i="11"/>
  <c r="H6" i="11"/>
  <c r="H7" i="11"/>
  <c r="H8" i="11"/>
  <c r="H9" i="11"/>
  <c r="H10" i="11"/>
  <c r="E13" i="3"/>
  <c r="G6" i="9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G7" i="9" l="1"/>
  <c r="C7" i="9"/>
  <c r="H5" i="9"/>
  <c r="H7" i="9" s="1"/>
  <c r="H6" i="9"/>
  <c r="I9" i="11"/>
  <c r="I11" i="11"/>
  <c r="I6" i="11"/>
  <c r="I7" i="11"/>
  <c r="K20" i="3"/>
  <c r="K12" i="3"/>
  <c r="K11" i="3"/>
  <c r="K7" i="3"/>
  <c r="D12" i="11"/>
  <c r="F12" i="11"/>
  <c r="G12" i="11"/>
  <c r="F7" i="9"/>
  <c r="D7" i="9"/>
  <c r="C12" i="11"/>
  <c r="M43" i="4" l="1"/>
  <c r="M42" i="4"/>
  <c r="M41" i="4"/>
  <c r="M40" i="4"/>
  <c r="L39" i="4"/>
  <c r="M31" i="4"/>
  <c r="M30" i="4"/>
  <c r="M29" i="4"/>
  <c r="M28" i="4"/>
  <c r="L27" i="4"/>
  <c r="M19" i="4"/>
  <c r="M18" i="4"/>
  <c r="M17" i="4"/>
  <c r="M16" i="4"/>
  <c r="L15" i="4"/>
  <c r="I45" i="4"/>
  <c r="I44" i="4"/>
  <c r="I41" i="4"/>
  <c r="I40" i="4"/>
  <c r="H39" i="4"/>
  <c r="I33" i="4"/>
  <c r="I32" i="4"/>
  <c r="I29" i="4"/>
  <c r="I28" i="4"/>
  <c r="H27" i="4"/>
  <c r="I21" i="4"/>
  <c r="I20" i="4"/>
  <c r="I17" i="4"/>
  <c r="I16" i="4"/>
  <c r="H15" i="4"/>
  <c r="E44" i="4"/>
  <c r="E41" i="4"/>
  <c r="E40" i="4"/>
  <c r="E32" i="4"/>
  <c r="E29" i="4"/>
  <c r="E28" i="4"/>
  <c r="E20" i="4"/>
  <c r="E17" i="4"/>
  <c r="E16" i="4"/>
  <c r="M7" i="4"/>
  <c r="M6" i="4"/>
  <c r="M5" i="4"/>
  <c r="M4" i="4"/>
  <c r="L3" i="4"/>
  <c r="E8" i="4"/>
  <c r="E5" i="4"/>
  <c r="E4" i="4"/>
  <c r="I9" i="4"/>
  <c r="I8" i="4"/>
  <c r="I5" i="4"/>
  <c r="I4" i="4"/>
  <c r="H3" i="4"/>
  <c r="C21" i="3" l="1"/>
  <c r="D39" i="4" l="1"/>
  <c r="C38" i="4"/>
  <c r="D27" i="4"/>
  <c r="C26" i="4"/>
  <c r="D15" i="4"/>
  <c r="C14" i="4"/>
  <c r="D3" i="4"/>
  <c r="C2" i="4"/>
  <c r="I21" i="3"/>
  <c r="D21" i="3"/>
  <c r="K21" i="3" l="1"/>
  <c r="M32" i="4"/>
  <c r="I30" i="4"/>
  <c r="E30" i="4"/>
  <c r="I31" i="4"/>
  <c r="E31" i="4"/>
  <c r="E6" i="4"/>
  <c r="I6" i="4"/>
  <c r="M8" i="4"/>
  <c r="E7" i="4"/>
  <c r="I7" i="4"/>
  <c r="M44" i="4"/>
  <c r="I43" i="4"/>
  <c r="E42" i="4"/>
  <c r="I42" i="4"/>
  <c r="E43" i="4"/>
  <c r="M20" i="4"/>
  <c r="I19" i="4"/>
  <c r="E18" i="4"/>
  <c r="I18" i="4"/>
  <c r="E19" i="4"/>
  <c r="J21" i="3"/>
  <c r="M9" i="4" l="1"/>
  <c r="E9" i="4"/>
  <c r="M33" i="4"/>
  <c r="E33" i="4"/>
  <c r="M23" i="4"/>
  <c r="M21" i="4"/>
  <c r="E21" i="4"/>
  <c r="M45" i="4"/>
  <c r="E45" i="4"/>
  <c r="M35" i="4"/>
  <c r="M11" i="4"/>
  <c r="M47" i="4" l="1"/>
</calcChain>
</file>

<file path=xl/comments1.xml><?xml version="1.0" encoding="utf-8"?>
<comments xmlns="http://schemas.openxmlformats.org/spreadsheetml/2006/main">
  <authors>
    <author>Author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FABRIL 40 HRS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FABRIL 40 HRS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BABU 50HRS DEPOSITED. TOTAL PAID FOR 80HRS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CLEARED ON 07/04/2018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FABRIL 40HRS. BRIGHT + PARAMVEER AMOUNT INTO PV ACCOUNT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VISIONSTREAM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 INTO SUKDEEP AND 20 IN NARINDER ACCOUNT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holiday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GANGA+AVI INTO GANGA ACCOUNT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46.85 HRS (NOT 50 HRS SINCE UNDER 21$ PAY RATE) EQUAL PAY GIVEN TO MANISH AND PRAMOD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DEDUCTING 20 FROM PRABJOTH AND FABRIL 40. TOTAL PAYING 60HOURS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DEDUCTING 30 FROM PRABJOTH AND FABRIL 30. TOTAL PAYING 60 HOURS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vital pay</t>
        </r>
      </text>
    </comment>
  </commentList>
</comments>
</file>

<file path=xl/sharedStrings.xml><?xml version="1.0" encoding="utf-8"?>
<sst xmlns="http://schemas.openxmlformats.org/spreadsheetml/2006/main" count="229" uniqueCount="116">
  <si>
    <t>Tax Status</t>
  </si>
  <si>
    <t>Federal Allowance (From W-4)</t>
  </si>
  <si>
    <t>ID</t>
  </si>
  <si>
    <t>Vacation Hours</t>
  </si>
  <si>
    <t>Sick Hours</t>
  </si>
  <si>
    <t>Overtime Hours</t>
  </si>
  <si>
    <t>Overtime Rate</t>
  </si>
  <si>
    <t>Gross Pay</t>
  </si>
  <si>
    <t>Other Deduction</t>
  </si>
  <si>
    <t xml:space="preserve"> </t>
  </si>
  <si>
    <t>Net Pay</t>
  </si>
  <si>
    <t>Employee Name</t>
  </si>
  <si>
    <t>Hours Worked</t>
  </si>
  <si>
    <t>Hourly Rate</t>
  </si>
  <si>
    <t>Social Security Tax</t>
  </si>
  <si>
    <t xml:space="preserve">Federal Income Tax </t>
  </si>
  <si>
    <t xml:space="preserve">Medicare Tax </t>
  </si>
  <si>
    <t xml:space="preserve">State Tax </t>
  </si>
  <si>
    <t>Insurance Deduction</t>
  </si>
  <si>
    <t>Other Regular Deduction</t>
  </si>
  <si>
    <t xml:space="preserve">Total Taxes and Deductions </t>
  </si>
  <si>
    <t>COMPANY NAME:</t>
  </si>
  <si>
    <t>Totals</t>
  </si>
  <si>
    <t>PERIOD</t>
  </si>
  <si>
    <t>NAME</t>
  </si>
  <si>
    <t>EMPLOYEE ID</t>
  </si>
  <si>
    <t>NET PAY</t>
  </si>
  <si>
    <t>PEROID</t>
  </si>
  <si>
    <t>Total Taxes and</t>
  </si>
  <si>
    <t xml:space="preserve">Regular Deductions </t>
  </si>
  <si>
    <t>FABRIL SOLUTIONS</t>
  </si>
  <si>
    <t>DALJINDER SINGH</t>
  </si>
  <si>
    <t>KARAMJEETH SINGH</t>
  </si>
  <si>
    <t>NITHIN</t>
  </si>
  <si>
    <t>SUKDEEP</t>
  </si>
  <si>
    <t>SHYAM</t>
  </si>
  <si>
    <t>JASMEETH</t>
  </si>
  <si>
    <t>NARINDER</t>
  </si>
  <si>
    <t>PRASANNA</t>
  </si>
  <si>
    <t>SAI SUDHEER</t>
  </si>
  <si>
    <t>GANGA</t>
  </si>
  <si>
    <t>AVINASH</t>
  </si>
  <si>
    <t>PRABJOTH</t>
  </si>
  <si>
    <t>PARDEEP</t>
  </si>
  <si>
    <t>MANISH</t>
  </si>
  <si>
    <t>PRAMOD</t>
  </si>
  <si>
    <t>GURINDERJEETH</t>
  </si>
  <si>
    <t>HARJEETH</t>
  </si>
  <si>
    <t>BABU</t>
  </si>
  <si>
    <t>KRANTHI</t>
  </si>
  <si>
    <t>LOKESH</t>
  </si>
  <si>
    <t>SANTHAN</t>
  </si>
  <si>
    <t>GURVINDER (GARRY)</t>
  </si>
  <si>
    <t>JASDEEP</t>
  </si>
  <si>
    <t>HOURS CALCULATED</t>
  </si>
  <si>
    <t>OWING HOURS</t>
  </si>
  <si>
    <t>PREVIOUS Ded's</t>
  </si>
  <si>
    <t>AMOUNT TO BE PAID</t>
  </si>
  <si>
    <t>Gross
HOURS</t>
  </si>
  <si>
    <t>AMRINDER SINGH</t>
  </si>
  <si>
    <t>GURVINDER (BRIGHT)</t>
  </si>
  <si>
    <t>PARAMVEER SINGH</t>
  </si>
  <si>
    <t>JOSEPH</t>
  </si>
  <si>
    <t>GAGANDEEP SINGH</t>
  </si>
  <si>
    <t xml:space="preserve"> Ded's AMOUNT</t>
  </si>
  <si>
    <t>Ded's AMOUNT</t>
  </si>
  <si>
    <t>COMMENTS</t>
  </si>
  <si>
    <t>FINE FOR SPEEDING</t>
  </si>
  <si>
    <r>
      <rPr>
        <sz val="10"/>
        <color rgb="FFFF0000"/>
        <rFont val="Calibri"/>
        <family val="2"/>
      </rPr>
      <t>1500</t>
    </r>
    <r>
      <rPr>
        <sz val="10"/>
        <color theme="1"/>
        <rFont val="Calibri"/>
        <family val="2"/>
      </rPr>
      <t xml:space="preserve"> HAND LOAN + WTC1 COURSE FEE </t>
    </r>
    <r>
      <rPr>
        <sz val="10"/>
        <color rgb="FFFF0000"/>
        <rFont val="Calibri"/>
        <family val="2"/>
      </rPr>
      <t>529</t>
    </r>
  </si>
  <si>
    <t>STMS COURSE</t>
  </si>
  <si>
    <t>HAND LOAN</t>
  </si>
  <si>
    <t>COURSES+HAND LOAN</t>
  </si>
  <si>
    <t>DRIVING FINE+HANDLOAN</t>
  </si>
  <si>
    <t>PAYROLL CALCULATOR (27/03/2018)</t>
  </si>
  <si>
    <t>HANDLOAN</t>
  </si>
  <si>
    <t>………</t>
  </si>
  <si>
    <t>HOURS PAID</t>
  </si>
  <si>
    <t>COURSES WTC3 AND WTC1</t>
  </si>
  <si>
    <r>
      <t>STMS COURSE FEE</t>
    </r>
    <r>
      <rPr>
        <sz val="10"/>
        <color rgb="FFFF0000"/>
        <rFont val="Calibri"/>
        <family val="2"/>
      </rPr>
      <t xml:space="preserve"> 425.5</t>
    </r>
    <r>
      <rPr>
        <sz val="10"/>
        <color theme="1"/>
        <rFont val="Calibri"/>
        <family val="2"/>
      </rPr>
      <t xml:space="preserve"> + GROCERIES+ college fee </t>
    </r>
    <r>
      <rPr>
        <sz val="10"/>
        <color rgb="FFFF0000"/>
        <rFont val="Calibri"/>
        <family val="2"/>
      </rPr>
      <t>800+ tickets 625+ courses 400</t>
    </r>
  </si>
  <si>
    <t>STMS COURSE+NEGATIVE HOURS PAY</t>
  </si>
  <si>
    <t>PAID STATUS</t>
  </si>
  <si>
    <t>DONE</t>
  </si>
  <si>
    <t>500 PAID AS CASH ON 22/3/2018 WHICH ACCOUNTS FOR 23.8HRS(PAY RATE-21PER HR), PREVIOUS 150 BALANCE TO HOURS=8HRS, TOTAL OWING=127.8+23.8-8=-112, NOW CASH TO BE RETURNED=700$(33.33HRS) ===-112+33.33=-78.67HRS</t>
  </si>
  <si>
    <t>STMS COURSE+HANDLOAN-RETURNED 637 ON 06/03/2018</t>
  </si>
  <si>
    <t>500 PAYED ON 05/04/2018</t>
  </si>
  <si>
    <t>PAY RATE</t>
  </si>
  <si>
    <t>AMOUNT TO BE RETURNED</t>
  </si>
  <si>
    <t>AKHIL SAINI</t>
  </si>
  <si>
    <t>AVINASH NALLAMOTHU</t>
  </si>
  <si>
    <t>BABU NAIK MAYRAJOTU</t>
  </si>
  <si>
    <t>DINESH SINGH RAJPUT</t>
  </si>
  <si>
    <t>GAGAN DEEP SINGH</t>
  </si>
  <si>
    <t>GANGA REDDY NIMMALA</t>
  </si>
  <si>
    <t>GURINDERJEET SINGH</t>
  </si>
  <si>
    <t>GURVINDER SINGH (BRIGHT)</t>
  </si>
  <si>
    <t>GURVINDER SINGH (GARRY)</t>
  </si>
  <si>
    <t>HARINDER SINGH</t>
  </si>
  <si>
    <t>HARJEET SINGH</t>
  </si>
  <si>
    <t>JASDEEP SINGH</t>
  </si>
  <si>
    <t>JASHANPREET SINGH</t>
  </si>
  <si>
    <t>JASMEET SINGH</t>
  </si>
  <si>
    <t>JOSEPH IRUDHAYA ARULNATHAN JOSEPH</t>
  </si>
  <si>
    <t>KARMJEET SINGH</t>
  </si>
  <si>
    <t>KRANTHI KUMAR THOTA</t>
  </si>
  <si>
    <t xml:space="preserve">MANISH KUMAR </t>
  </si>
  <si>
    <t>PARDEEP SINGH</t>
  </si>
  <si>
    <t>PRABHJOT SINGH</t>
  </si>
  <si>
    <t>PRAMOD PRAKASH PANDEY</t>
  </si>
  <si>
    <t>PRASANNA KUMAR VITTAL BAYRI</t>
  </si>
  <si>
    <t>SAI SUDHEER PTHINENI</t>
  </si>
  <si>
    <t>SANTHAN KUMAR KAZA</t>
  </si>
  <si>
    <t>VENKAT NITHIN GORLA</t>
  </si>
  <si>
    <t>VITAL CHOWDARY NALLAPATI</t>
  </si>
  <si>
    <t>YERRAMSETTY LOKESH</t>
  </si>
  <si>
    <t>LIST OF EMPLOYEES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</si>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</sst>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.00_);[Red]\(&quot;$&quot;#,##0.00\)"/>
    <numFmt numFmtId="165" formatCode="&quot;$&quot;#,##0.00"/>
    <numFmt numFmtId="166" formatCode="&quot;$&quot;#,##0.00;;\-"/>
    <numFmt numFmtId="167" formatCode="&quot;$&quot;#,##0.00;\-&quot;$&quot;#,##0.00;\-"/>
    <numFmt numFmtId="168" formatCode="&quot;$&quot;#,##0.00;[Red]&quot;$&quot;#,##0.00"/>
  </numFmts>
  <fonts count="23" x14ac:knownFonts="1">
    <font>
      <sz val="10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8"/>
      <color theme="4"/>
      <name val="Cambria"/>
      <family val="2"/>
      <scheme val="major"/>
    </font>
    <font>
      <b/>
      <sz val="11"/>
      <color theme="3"/>
      <name val="Cambria"/>
      <family val="1"/>
      <scheme val="major"/>
    </font>
    <font>
      <b/>
      <sz val="10"/>
      <color theme="3"/>
      <name val="Cambria"/>
      <family val="1"/>
      <scheme val="major"/>
    </font>
    <font>
      <b/>
      <sz val="9"/>
      <color theme="3"/>
      <name val="Calibri"/>
      <family val="2"/>
      <scheme val="minor"/>
    </font>
    <font>
      <sz val="10"/>
      <color rgb="FFFF0000"/>
      <name val="Calibri"/>
      <family val="2"/>
    </font>
    <font>
      <sz val="2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mbria"/>
      <family val="1"/>
      <scheme val="major"/>
    </font>
    <font>
      <b/>
      <sz val="13"/>
      <color theme="3"/>
      <name val="Cambria"/>
      <family val="1"/>
      <scheme val="major"/>
    </font>
    <font>
      <sz val="15"/>
      <color theme="1"/>
      <name val="Calibri"/>
      <family val="2"/>
    </font>
    <font>
      <b/>
      <sz val="15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92D050"/>
      <name val="Calibri"/>
      <family val="2"/>
    </font>
    <font>
      <b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4" fontId="5" fillId="0" borderId="0" xfId="3" applyNumberFormat="1" applyFill="1" applyBorder="1" applyAlignment="1"/>
    <xf numFmtId="0" fontId="8" fillId="0" borderId="4" xfId="1" applyBorder="1" applyAlignment="1">
      <alignment vertical="center"/>
    </xf>
    <xf numFmtId="0" fontId="0" fillId="0" borderId="4" xfId="0" applyBorder="1">
      <alignment vertical="center"/>
    </xf>
    <xf numFmtId="14" fontId="4" fillId="0" borderId="0" xfId="5" applyNumberFormat="1" applyFill="1" applyBorder="1" applyAlignment="1">
      <alignment horizontal="left" vertical="center" indent="1"/>
    </xf>
    <xf numFmtId="0" fontId="4" fillId="0" borderId="0" xfId="5" applyFill="1" applyBorder="1" applyAlignment="1">
      <alignment horizontal="left" vertical="center" indent="1"/>
    </xf>
    <xf numFmtId="0" fontId="11" fillId="0" borderId="0" xfId="0" applyFont="1" applyFill="1" applyBorder="1" applyAlignment="1">
      <alignment horizontal="left" vertical="center" indent="1"/>
    </xf>
    <xf numFmtId="164" fontId="11" fillId="0" borderId="0" xfId="0" applyNumberFormat="1" applyFont="1" applyFill="1" applyBorder="1" applyAlignment="1">
      <alignment horizontal="left" vertical="center" indent="1"/>
    </xf>
    <xf numFmtId="0" fontId="0" fillId="0" borderId="6" xfId="0" applyBorder="1" applyAlignment="1">
      <alignment vertical="center"/>
    </xf>
    <xf numFmtId="0" fontId="0" fillId="0" borderId="5" xfId="0" applyBorder="1">
      <alignment vertical="center"/>
    </xf>
    <xf numFmtId="0" fontId="8" fillId="0" borderId="6" xfId="1" applyBorder="1" applyAlignme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64" fontId="1" fillId="4" borderId="18" xfId="0" applyNumberFormat="1" applyFont="1" applyFill="1" applyBorder="1" applyAlignment="1">
      <alignment horizontal="right" vertical="center" indent="2"/>
    </xf>
    <xf numFmtId="0" fontId="1" fillId="4" borderId="18" xfId="0" applyFont="1" applyFill="1" applyBorder="1" applyAlignment="1">
      <alignment horizontal="left" vertical="center" indent="1"/>
    </xf>
    <xf numFmtId="0" fontId="10" fillId="0" borderId="0" xfId="4" applyFill="1" applyBorder="1" applyAlignment="1">
      <alignment horizontal="left" vertical="center" indent="1"/>
    </xf>
    <xf numFmtId="168" fontId="6" fillId="0" borderId="15" xfId="0" applyNumberFormat="1" applyFont="1" applyFill="1" applyBorder="1" applyAlignment="1">
      <alignment horizontal="right" vertical="center" indent="2"/>
    </xf>
    <xf numFmtId="0" fontId="6" fillId="0" borderId="16" xfId="0" applyFont="1" applyFill="1" applyBorder="1" applyAlignment="1">
      <alignment horizontal="left" vertical="top" indent="1"/>
    </xf>
    <xf numFmtId="168" fontId="6" fillId="0" borderId="17" xfId="0" applyNumberFormat="1" applyFont="1" applyFill="1" applyBorder="1" applyAlignment="1">
      <alignment horizontal="right" vertical="top" indent="2"/>
    </xf>
    <xf numFmtId="0" fontId="6" fillId="0" borderId="12" xfId="0" applyFont="1" applyFill="1" applyBorder="1" applyAlignment="1">
      <alignment horizontal="left" indent="1"/>
    </xf>
    <xf numFmtId="0" fontId="6" fillId="0" borderId="14" xfId="0" applyFont="1" applyFill="1" applyBorder="1" applyAlignment="1">
      <alignment horizontal="left" indent="1"/>
    </xf>
    <xf numFmtId="0" fontId="6" fillId="0" borderId="13" xfId="0" applyFont="1" applyFill="1" applyBorder="1" applyAlignment="1">
      <alignment horizontal="right" indent="2"/>
    </xf>
    <xf numFmtId="168" fontId="6" fillId="0" borderId="15" xfId="0" applyNumberFormat="1" applyFont="1" applyFill="1" applyBorder="1" applyAlignment="1">
      <alignment horizontal="right" indent="2"/>
    </xf>
    <xf numFmtId="0" fontId="6" fillId="0" borderId="15" xfId="0" applyFont="1" applyFill="1" applyBorder="1" applyAlignment="1">
      <alignment horizontal="right" indent="2"/>
    </xf>
    <xf numFmtId="0" fontId="6" fillId="0" borderId="18" xfId="0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left" vertical="center" indent="1"/>
    </xf>
    <xf numFmtId="0" fontId="6" fillId="0" borderId="19" xfId="0" applyFont="1" applyFill="1" applyBorder="1" applyAlignment="1">
      <alignment horizontal="left" vertical="top" indent="1"/>
    </xf>
    <xf numFmtId="0" fontId="0" fillId="0" borderId="0" xfId="0" applyBorder="1">
      <alignment vertical="center"/>
    </xf>
    <xf numFmtId="0" fontId="0" fillId="3" borderId="2" xfId="0" applyFill="1" applyBorder="1" applyAlignment="1">
      <alignment vertical="center"/>
    </xf>
    <xf numFmtId="0" fontId="0" fillId="0" borderId="6" xfId="0" applyBorder="1">
      <alignment vertical="center"/>
    </xf>
    <xf numFmtId="0" fontId="0" fillId="0" borderId="20" xfId="0" applyBorder="1">
      <alignment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/>
    </xf>
    <xf numFmtId="167" fontId="0" fillId="2" borderId="2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0" fillId="2" borderId="21" xfId="0" applyNumberFormat="1" applyFill="1" applyBorder="1" applyAlignment="1">
      <alignment horizontal="center" vertical="center"/>
    </xf>
    <xf numFmtId="166" fontId="0" fillId="0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67" fontId="0" fillId="2" borderId="21" xfId="0" applyNumberFormat="1" applyFont="1" applyFill="1" applyBorder="1" applyAlignment="1">
      <alignment horizontal="center" vertical="center" wrapText="1"/>
    </xf>
    <xf numFmtId="167" fontId="0" fillId="2" borderId="21" xfId="0" applyNumberFormat="1" applyFill="1" applyBorder="1" applyAlignment="1">
      <alignment horizontal="center" vertical="center" wrapText="1"/>
    </xf>
    <xf numFmtId="166" fontId="0" fillId="0" borderId="21" xfId="0" applyNumberFormat="1" applyFont="1" applyFill="1" applyBorder="1" applyAlignment="1">
      <alignment horizontal="center" vertical="center" wrapText="1"/>
    </xf>
    <xf numFmtId="0" fontId="13" fillId="0" borderId="4" xfId="0" applyFont="1" applyBorder="1">
      <alignment vertical="center"/>
    </xf>
    <xf numFmtId="0" fontId="2" fillId="0" borderId="4" xfId="3" applyFont="1" applyFill="1" applyBorder="1" applyAlignment="1">
      <alignment horizontal="left" vertical="center"/>
    </xf>
    <xf numFmtId="0" fontId="16" fillId="0" borderId="4" xfId="2" applyFont="1" applyBorder="1" applyAlignment="1">
      <alignment horizontal="left" vertical="center"/>
    </xf>
    <xf numFmtId="0" fontId="13" fillId="0" borderId="0" xfId="0" applyFont="1">
      <alignment vertical="center"/>
    </xf>
    <xf numFmtId="0" fontId="18" fillId="0" borderId="4" xfId="0" applyFont="1" applyBorder="1">
      <alignment vertical="center"/>
    </xf>
    <xf numFmtId="0" fontId="19" fillId="0" borderId="4" xfId="3" applyFont="1" applyFill="1" applyBorder="1" applyAlignment="1">
      <alignment horizontal="left" vertical="center"/>
    </xf>
    <xf numFmtId="2" fontId="0" fillId="0" borderId="4" xfId="0" applyNumberFormat="1" applyBorder="1">
      <alignment vertical="center"/>
    </xf>
    <xf numFmtId="2" fontId="0" fillId="0" borderId="0" xfId="0" applyNumberFormat="1">
      <alignment vertical="center"/>
    </xf>
    <xf numFmtId="2" fontId="7" fillId="0" borderId="21" xfId="0" applyNumberFormat="1" applyFont="1" applyFill="1" applyBorder="1" applyAlignment="1">
      <alignment horizontal="center" vertical="center" wrapText="1"/>
    </xf>
    <xf numFmtId="2" fontId="0" fillId="2" borderId="21" xfId="0" applyNumberFormat="1" applyFont="1" applyFill="1" applyBorder="1" applyAlignment="1">
      <alignment horizontal="center" vertical="center"/>
    </xf>
    <xf numFmtId="2" fontId="0" fillId="2" borderId="21" xfId="0" applyNumberFormat="1" applyFill="1" applyBorder="1" applyAlignment="1">
      <alignment horizontal="center" vertical="center"/>
    </xf>
    <xf numFmtId="2" fontId="0" fillId="0" borderId="21" xfId="0" applyNumberFormat="1" applyFont="1" applyFill="1" applyBorder="1" applyAlignment="1">
      <alignment horizontal="center" vertical="center"/>
    </xf>
    <xf numFmtId="167" fontId="0" fillId="0" borderId="21" xfId="0" applyNumberFormat="1" applyFont="1" applyFill="1" applyBorder="1" applyAlignment="1">
      <alignment horizontal="center" vertical="center"/>
    </xf>
    <xf numFmtId="165" fontId="0" fillId="0" borderId="21" xfId="0" applyNumberFormat="1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166" fontId="20" fillId="0" borderId="21" xfId="0" applyNumberFormat="1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17" fillId="0" borderId="4" xfId="2" applyFont="1" applyBorder="1" applyAlignment="1">
      <alignment horizontal="left" vertical="center" wrapText="1"/>
    </xf>
    <xf numFmtId="167" fontId="21" fillId="2" borderId="21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top" wrapText="1" indent="1"/>
    </xf>
    <xf numFmtId="0" fontId="6" fillId="0" borderId="19" xfId="0" applyFont="1" applyFill="1" applyBorder="1" applyAlignment="1">
      <alignment horizontal="left" vertical="top" wrapText="1" indent="1"/>
    </xf>
    <xf numFmtId="0" fontId="6" fillId="0" borderId="14" xfId="0" applyFont="1" applyFill="1" applyBorder="1" applyAlignment="1">
      <alignment horizontal="left" wrapText="1" indent="1"/>
    </xf>
    <xf numFmtId="0" fontId="6" fillId="0" borderId="0" xfId="0" applyFont="1" applyFill="1" applyBorder="1" applyAlignment="1">
      <alignment horizontal="left" wrapText="1" indent="1"/>
    </xf>
    <xf numFmtId="14" fontId="4" fillId="0" borderId="19" xfId="5" applyNumberFormat="1" applyFill="1" applyBorder="1" applyAlignment="1">
      <alignment horizontal="right" vertical="center" indent="2"/>
    </xf>
    <xf numFmtId="0" fontId="5" fillId="0" borderId="19" xfId="5" applyFont="1" applyFill="1" applyBorder="1" applyAlignment="1">
      <alignment horizontal="right" vertical="center" indent="2"/>
    </xf>
    <xf numFmtId="0" fontId="4" fillId="0" borderId="19" xfId="5" applyFill="1" applyBorder="1" applyAlignment="1">
      <alignment horizontal="right" vertical="center" indent="2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/>
    <cellStyle name="Normal" xfId="0" builtinId="0" customBuiltin="1"/>
    <cellStyle name="Title" xfId="1" builtinId="15" customBuiltin="1"/>
  </cellStyles>
  <dxfs count="83">
    <dxf>
      <font>
        <b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alibri"/>
        <scheme val="minor"/>
      </font>
      <alignment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alibri"/>
        <scheme val="minor"/>
      </font>
      <alignment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alibri"/>
        <scheme val="minor"/>
      </font>
      <alignment vertical="bottom" textRotation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 patternType="solid">
          <fgColor theme="4" tint="0.79992065187536243"/>
          <bgColor theme="4" tint="0.79998168889431442"/>
        </patternFill>
      </fill>
    </dxf>
    <dxf>
      <font>
        <b/>
        <i val="0"/>
        <color theme="3"/>
      </font>
    </dxf>
    <dxf>
      <font>
        <color theme="3"/>
      </font>
    </dxf>
    <dxf>
      <font>
        <color theme="1" tint="0.34998626667073579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Payroll Calculator" defaultPivotStyle="PivotStyleLight16">
    <tableStyle name="Payroll Calculator" pivot="0" count="6">
      <tableStyleElement type="wholeTable" dxfId="82"/>
      <tableStyleElement type="headerRow" dxfId="81"/>
      <tableStyleElement type="totalRow" dxfId="80"/>
      <tableStyleElement type="firstRowStripe" dxfId="79"/>
      <tableStyleElement type="secondRowStripe" dxfId="78"/>
      <tableStyleElement type="firstColumnStripe" dxfId="7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Payroll Inpu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171449</xdr:rowOff>
    </xdr:from>
    <xdr:to>
      <xdr:col>7</xdr:col>
      <xdr:colOff>828675</xdr:colOff>
      <xdr:row>0</xdr:row>
      <xdr:rowOff>400050</xdr:rowOff>
    </xdr:to>
    <xdr:sp macro="[0]!BuildPayStubs" textlink="">
      <xdr:nvSpPr>
        <xdr:cNvPr id="2" name="Generate Pay Stubs" descr="Click to generate pay stubs" title="Generate Pay Stubs"/>
        <xdr:cNvSpPr/>
      </xdr:nvSpPr>
      <xdr:spPr>
        <a:xfrm>
          <a:off x="5086350" y="171449"/>
          <a:ext cx="828675" cy="228601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+mn-lt"/>
            </a:rPr>
            <a:t>GENERATE PAY STUBS</a:t>
          </a:r>
        </a:p>
      </xdr:txBody>
    </xdr:sp>
    <xdr:clientData fPrintsWithSheet="0"/>
  </xdr:twoCellAnchor>
  <xdr:twoCellAnchor>
    <xdr:from>
      <xdr:col>11</xdr:col>
      <xdr:colOff>15875</xdr:colOff>
      <xdr:row>2</xdr:row>
      <xdr:rowOff>146844</xdr:rowOff>
    </xdr:from>
    <xdr:to>
      <xdr:col>12</xdr:col>
      <xdr:colOff>0</xdr:colOff>
      <xdr:row>3</xdr:row>
      <xdr:rowOff>19051</xdr:rowOff>
    </xdr:to>
    <xdr:sp macro="" textlink="">
      <xdr:nvSpPr>
        <xdr:cNvPr id="3" name="Filter Cover" descr="&quot;&quot;" title="Filter Cover"/>
        <xdr:cNvSpPr/>
      </xdr:nvSpPr>
      <xdr:spPr>
        <a:xfrm>
          <a:off x="7778750" y="832644"/>
          <a:ext cx="174625" cy="26273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171449</xdr:rowOff>
    </xdr:from>
    <xdr:to>
      <xdr:col>6</xdr:col>
      <xdr:colOff>828675</xdr:colOff>
      <xdr:row>0</xdr:row>
      <xdr:rowOff>400050</xdr:rowOff>
    </xdr:to>
    <xdr:sp macro="[0]!BuildPayStubs" textlink="">
      <xdr:nvSpPr>
        <xdr:cNvPr id="2" name="Generate Pay Stubs" descr="Click to generate pay stubs" title="Generate Pay Stubs"/>
        <xdr:cNvSpPr/>
      </xdr:nvSpPr>
      <xdr:spPr>
        <a:xfrm>
          <a:off x="5086350" y="171449"/>
          <a:ext cx="828675" cy="228601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+mn-lt"/>
            </a:rPr>
            <a:t>GENERATE PAY STUBS</a:t>
          </a:r>
        </a:p>
      </xdr:txBody>
    </xdr:sp>
    <xdr:clientData fPrintsWithSheet="0"/>
  </xdr:twoCellAnchor>
  <xdr:twoCellAnchor>
    <xdr:from>
      <xdr:col>10</xdr:col>
      <xdr:colOff>15875</xdr:colOff>
      <xdr:row>2</xdr:row>
      <xdr:rowOff>146844</xdr:rowOff>
    </xdr:from>
    <xdr:to>
      <xdr:col>11</xdr:col>
      <xdr:colOff>0</xdr:colOff>
      <xdr:row>3</xdr:row>
      <xdr:rowOff>19051</xdr:rowOff>
    </xdr:to>
    <xdr:sp macro="" textlink="">
      <xdr:nvSpPr>
        <xdr:cNvPr id="3" name="Filter Cover" descr="&quot;&quot;" title="Filter Cover"/>
        <xdr:cNvSpPr/>
      </xdr:nvSpPr>
      <xdr:spPr>
        <a:xfrm>
          <a:off x="7778750" y="832644"/>
          <a:ext cx="174625" cy="26273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171449</xdr:rowOff>
    </xdr:from>
    <xdr:to>
      <xdr:col>9</xdr:col>
      <xdr:colOff>828675</xdr:colOff>
      <xdr:row>0</xdr:row>
      <xdr:rowOff>400050</xdr:rowOff>
    </xdr:to>
    <xdr:sp macro="[0]!BuildPayStubs" textlink="">
      <xdr:nvSpPr>
        <xdr:cNvPr id="2" name="Generate Pay Stubs" descr="Click to generate pay stubs" title="Generate Pay Stubs"/>
        <xdr:cNvSpPr/>
      </xdr:nvSpPr>
      <xdr:spPr>
        <a:xfrm>
          <a:off x="5791200" y="171449"/>
          <a:ext cx="1581150" cy="228601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+mn-lt"/>
            </a:rPr>
            <a:t>GENERATE PAY STUBS</a:t>
          </a:r>
        </a:p>
      </xdr:txBody>
    </xdr:sp>
    <xdr:clientData fPrintsWithSheet="0"/>
  </xdr:twoCellAnchor>
  <xdr:twoCellAnchor>
    <xdr:from>
      <xdr:col>13</xdr:col>
      <xdr:colOff>15875</xdr:colOff>
      <xdr:row>2</xdr:row>
      <xdr:rowOff>146844</xdr:rowOff>
    </xdr:from>
    <xdr:to>
      <xdr:col>14</xdr:col>
      <xdr:colOff>0</xdr:colOff>
      <xdr:row>3</xdr:row>
      <xdr:rowOff>19051</xdr:rowOff>
    </xdr:to>
    <xdr:sp macro="" textlink="">
      <xdr:nvSpPr>
        <xdr:cNvPr id="5" name="Filter Cover" descr="&quot;&quot;" title="Filter Cover"/>
        <xdr:cNvSpPr/>
      </xdr:nvSpPr>
      <xdr:spPr>
        <a:xfrm>
          <a:off x="9556750" y="1535907"/>
          <a:ext cx="175142" cy="26114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123824</xdr:colOff>
      <xdr:row>0</xdr:row>
      <xdr:rowOff>171450</xdr:rowOff>
    </xdr:from>
    <xdr:to>
      <xdr:col>17</xdr:col>
      <xdr:colOff>9524</xdr:colOff>
      <xdr:row>1</xdr:row>
      <xdr:rowOff>209550</xdr:rowOff>
    </xdr:to>
    <xdr:sp macro="" textlink="">
      <xdr:nvSpPr>
        <xdr:cNvPr id="2" name="Payroll Input" descr="Click to view the Payroll Input sheet." title="Payroll Input">
          <a:hlinkClick xmlns:r="http://schemas.openxmlformats.org/officeDocument/2006/relationships" r:id="rId1" tooltip="Click to view the Payroll Input sheet."/>
        </xdr:cNvPr>
        <xdr:cNvSpPr/>
      </xdr:nvSpPr>
      <xdr:spPr>
        <a:xfrm>
          <a:off x="8905874" y="171450"/>
          <a:ext cx="1266825" cy="228600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000" b="1">
              <a:solidFill>
                <a:schemeClr val="bg1"/>
              </a:solidFill>
              <a:latin typeface="+mn-lt"/>
              <a:ea typeface="+mn-ea"/>
              <a:cs typeface="+mn-cs"/>
            </a:rPr>
            <a:t>PAYROLL</a:t>
          </a:r>
          <a:r>
            <a:rPr lang="en-US" sz="10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INPUT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2" name="Table2" displayName="Table2" ref="A1:B1048576" totalsRowShown="0" headerRowDxfId="0">
  <autoFilter ref="A1:B1048576"/>
  <tableColumns count="2">
    <tableColumn id="1" name="LIST OF EMPLOYEES"/>
    <tableColumn id="2" name="HOURS PAID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8" name="Employees9" displayName="Employees9" ref="B3:L12" totalsRowCount="1" headerRowDxfId="76" dataDxfId="75" totalsRowDxfId="74">
  <autoFilter ref="B3:L11"/>
  <tableColumns count="11">
    <tableColumn id="1" name="ID" totalsRowLabel="Totals" dataDxfId="73" totalsRowDxfId="72"/>
    <tableColumn id="2" name="Employee Name" totalsRowFunction="count" dataDxfId="71" totalsRowDxfId="70"/>
    <tableColumn id="25" name="HOURS CALCULATED" totalsRowFunction="sum" dataDxfId="69" totalsRowDxfId="68"/>
    <tableColumn id="6" name="HOURS PAID" totalsRowFunction="sum" dataDxfId="67" totalsRowDxfId="66"/>
    <tableColumn id="3" name="AMOUNT TO BE PAID" totalsRowFunction="sum" dataDxfId="65" totalsRowDxfId="64"/>
    <tableColumn id="26" name="OWING HOURS" totalsRowFunction="sum" dataDxfId="63" totalsRowDxfId="62"/>
    <tableColumn id="30" name="Gross_x000a_HOURS" dataDxfId="61" totalsRowDxfId="60">
      <calculatedColumnFormula>Employees9[[#This Row],[HOURS CALCULATED]]+Employees9[[#This Row],[OWING HOURS]]-Employees9[[#This Row],[HOURS PAID]]</calculatedColumnFormula>
    </tableColumn>
    <tableColumn id="31" name=" Ded's AMOUNT" totalsRowFunction="custom" dataDxfId="59" totalsRowDxfId="58">
      <totalsRowFormula>SUBTOTAL(109,Employees9[] Employees9[ Ded''s AMOUNT] )</totalsRowFormula>
    </tableColumn>
    <tableColumn id="4" name="COMMENTS" dataDxfId="57" totalsRowDxfId="56"/>
    <tableColumn id="33" name="PAID STATUS" dataDxfId="55" totalsRowDxfId="54"/>
    <tableColumn id="24" name=" " dataDxfId="53" totalsRowDxfId="52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ables/table3.xml><?xml version="1.0" encoding="utf-8"?>
<table xmlns="http://schemas.openxmlformats.org/spreadsheetml/2006/main" id="7" name="Employees8" displayName="Employees8" ref="B3:K7" totalsRowCount="1" headerRowDxfId="51" dataDxfId="50" totalsRowDxfId="49">
  <autoFilter ref="B3:K6"/>
  <tableColumns count="10">
    <tableColumn id="1" name="ID" totalsRowLabel="Totals" dataDxfId="48" totalsRowDxfId="47"/>
    <tableColumn id="2" name="Employee Name" totalsRowFunction="count" dataDxfId="46" totalsRowDxfId="45"/>
    <tableColumn id="25" name="HOURS CALCULATED" totalsRowFunction="count" dataDxfId="44" totalsRowDxfId="43"/>
    <tableColumn id="3" name="HOURS PAID" totalsRowFunction="sum" dataDxfId="42" totalsRowDxfId="41"/>
    <tableColumn id="26" name="OWING HOURS" totalsRowFunction="sum" dataDxfId="40" totalsRowDxfId="39"/>
    <tableColumn id="30" name="Gross_x000a_HOURS" totalsRowFunction="sum" totalsRowDxfId="38">
      <calculatedColumnFormula>Employees8[[#This Row],[HOURS CALCULATED]]+Employees8[[#This Row],[OWING HOURS]]-Employees8[[#This Row],[HOURS PAID]]</calculatedColumnFormula>
    </tableColumn>
    <tableColumn id="31" name="PREVIOUS Ded's" totalsRowFunction="sum" dataDxfId="37" totalsRowDxfId="36">
      <calculatedColumnFormula>1058+612.58+112.5</calculatedColumnFormula>
    </tableColumn>
    <tableColumn id="4" name="COMMENTS" dataDxfId="35" totalsRowDxfId="34"/>
    <tableColumn id="33" name="PAID STATUS" dataDxfId="33" totalsRowDxfId="32"/>
    <tableColumn id="24" name=" " dataDxfId="31" totalsRowDxfId="30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ables/table4.xml><?xml version="1.0" encoding="utf-8"?>
<table xmlns="http://schemas.openxmlformats.org/spreadsheetml/2006/main" id="1" name="Employees" displayName="Employees" ref="B3:N21" totalsRowCount="1" headerRowDxfId="29" dataDxfId="28" totalsRowDxfId="27">
  <autoFilter ref="B3:N20"/>
  <tableColumns count="13">
    <tableColumn id="1" name="ID" totalsRowLabel="Totals" dataDxfId="26" totalsRowDxfId="25"/>
    <tableColumn id="2" name="Employee Name" totalsRowFunction="count" dataDxfId="24" totalsRowDxfId="23"/>
    <tableColumn id="25" name="HOURS CALCULATED" totalsRowFunction="sum" dataDxfId="22" totalsRowDxfId="21"/>
    <tableColumn id="6" name="HOURS PAID" dataDxfId="20" totalsRowDxfId="19"/>
    <tableColumn id="3" name="PAY RATE" dataDxfId="18" totalsRowDxfId="17"/>
    <tableColumn id="5" name="AMOUNT TO BE PAID" dataDxfId="16" totalsRowDxfId="15">
      <calculatedColumnFormula>Employees[[#This Row],[HOURS PAID]]*Employees[[#This Row],[PAY RATE]]</calculatedColumnFormula>
    </tableColumn>
    <tableColumn id="7" name="AMOUNT TO BE RETURNED" dataDxfId="14" totalsRowDxfId="13"/>
    <tableColumn id="26" name="OWING HOURS" totalsRowFunction="sum" dataDxfId="12" totalsRowDxfId="11"/>
    <tableColumn id="30" name="Gross_x000a_HOURS" totalsRowFunction="sum" dataDxfId="10" totalsRowDxfId="9">
      <calculatedColumnFormula>Employees[[#This Row],[HOURS CALCULATED]]+Employees[[#This Row],[OWING HOURS]]-Employees[[#This Row],[HOURS PAID]]</calculatedColumnFormula>
    </tableColumn>
    <tableColumn id="31" name="Ded's AMOUNT" totalsRowFunction="sum" dataDxfId="8" totalsRowDxfId="7"/>
    <tableColumn id="4" name="COMMENTS" dataDxfId="6" totalsRowDxfId="5"/>
    <tableColumn id="33" name="Net Pay" dataDxfId="4" totalsRowDxfId="3"/>
    <tableColumn id="24" name=" " dataDxfId="2" totalsRowDxfId="1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heme/theme1.xml><?xml version="1.0" encoding="utf-8"?>
<a:theme xmlns:a="http://schemas.openxmlformats.org/drawingml/2006/main" name="Office Theme">
  <a:themeElements>
    <a:clrScheme name="Payroll Calculator">
      <a:dk1>
        <a:sysClr val="windowText" lastClr="000000"/>
      </a:dk1>
      <a:lt1>
        <a:sysClr val="window" lastClr="FFFFFF"/>
      </a:lt1>
      <a:dk2>
        <a:srgbClr val="554B4C"/>
      </a:dk2>
      <a:lt2>
        <a:srgbClr val="EEECE1"/>
      </a:lt2>
      <a:accent1>
        <a:srgbClr val="94BA65"/>
      </a:accent1>
      <a:accent2>
        <a:srgbClr val="938953"/>
      </a:accent2>
      <a:accent3>
        <a:srgbClr val="CF9E1E"/>
      </a:accent3>
      <a:accent4>
        <a:srgbClr val="5E9096"/>
      </a:accent4>
      <a:accent5>
        <a:srgbClr val="92618B"/>
      </a:accent5>
      <a:accent6>
        <a:srgbClr val="C26251"/>
      </a:accent6>
      <a:hlink>
        <a:srgbClr val="5E9096"/>
      </a:hlink>
      <a:folHlink>
        <a:srgbClr val="92618B"/>
      </a:folHlink>
    </a:clrScheme>
    <a:fontScheme name="Payroll Calculator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33"/>
  <sheetViews>
    <sheetView tabSelected="1" topLeftCell="A9" workbookViewId="0">
      <selection activeCell="J10" sqref="J10"/>
    </sheetView>
  </sheetViews>
  <sheetFormatPr defaultRowHeight="12.75" x14ac:dyDescent="0.2"/>
  <cols>
    <col min="1" max="1" width="41.42578125" customWidth="1"/>
    <col min="2" max="2" width="14.5703125" customWidth="1"/>
  </cols>
  <sheetData>
    <row r="1" spans="1:2" x14ac:dyDescent="0.2">
      <c r="A1" s="73" t="s">
        <v>114</v>
      </c>
      <c r="B1" s="73" t="s">
        <v>76</v>
      </c>
    </row>
    <row r="2" spans="1:2" ht="15" x14ac:dyDescent="0.2">
      <c r="A2" s="74" t="s">
        <v>87</v>
      </c>
      <c r="B2" s="47" t="s">
        <v>115</v>
      </c>
    </row>
    <row r="3" spans="1:2" ht="15" x14ac:dyDescent="0.2">
      <c r="A3" s="75" t="s">
        <v>59</v>
      </c>
      <c r="B3" s="47">
        <v>0</v>
      </c>
    </row>
    <row r="4" spans="1:2" ht="15" x14ac:dyDescent="0.2">
      <c r="A4" s="74" t="s">
        <v>88</v>
      </c>
      <c r="B4" s="47">
        <v>60</v>
      </c>
    </row>
    <row r="5" spans="1:2" ht="15" x14ac:dyDescent="0.2">
      <c r="A5" s="75" t="s">
        <v>89</v>
      </c>
      <c r="B5" s="47">
        <v>70</v>
      </c>
    </row>
    <row r="6" spans="1:2" ht="15" x14ac:dyDescent="0.2">
      <c r="A6" s="74" t="s">
        <v>31</v>
      </c>
      <c r="B6" s="47">
        <v>80</v>
      </c>
    </row>
    <row r="7" spans="1:2" ht="15" x14ac:dyDescent="0.2">
      <c r="A7" s="75" t="s">
        <v>90</v>
      </c>
      <c r="B7" s="47" t="s">
        <v>115</v>
      </c>
    </row>
    <row r="8" spans="1:2" ht="15" x14ac:dyDescent="0.2">
      <c r="A8" s="74" t="s">
        <v>91</v>
      </c>
      <c r="B8" s="47" t="s">
        <v>115</v>
      </c>
    </row>
    <row r="9" spans="1:2" ht="15" x14ac:dyDescent="0.2">
      <c r="A9" s="75" t="s">
        <v>92</v>
      </c>
      <c r="B9" s="47">
        <v>60</v>
      </c>
    </row>
    <row r="10" spans="1:2" ht="15" x14ac:dyDescent="0.2">
      <c r="A10" s="74" t="s">
        <v>93</v>
      </c>
      <c r="B10" s="47">
        <v>70</v>
      </c>
    </row>
    <row r="11" spans="1:2" ht="15" x14ac:dyDescent="0.2">
      <c r="A11" s="75" t="s">
        <v>94</v>
      </c>
      <c r="B11" s="47">
        <v>30</v>
      </c>
    </row>
    <row r="12" spans="1:2" ht="15" x14ac:dyDescent="0.2">
      <c r="A12" s="74" t="s">
        <v>95</v>
      </c>
      <c r="B12" s="47">
        <v>70</v>
      </c>
    </row>
    <row r="13" spans="1:2" ht="15" x14ac:dyDescent="0.2">
      <c r="A13" s="75" t="s">
        <v>96</v>
      </c>
      <c r="B13" s="47" t="s">
        <v>115</v>
      </c>
    </row>
    <row r="14" spans="1:2" ht="15" x14ac:dyDescent="0.2">
      <c r="A14" s="74" t="s">
        <v>97</v>
      </c>
      <c r="B14" s="47">
        <v>60</v>
      </c>
    </row>
    <row r="15" spans="1:2" ht="15" x14ac:dyDescent="0.2">
      <c r="A15" s="75" t="s">
        <v>98</v>
      </c>
      <c r="B15" s="47">
        <v>0</v>
      </c>
    </row>
    <row r="16" spans="1:2" ht="15" x14ac:dyDescent="0.2">
      <c r="A16" s="74" t="s">
        <v>99</v>
      </c>
      <c r="B16" s="47" t="s">
        <v>115</v>
      </c>
    </row>
    <row r="17" spans="1:2" ht="15" x14ac:dyDescent="0.2">
      <c r="A17" s="75" t="s">
        <v>100</v>
      </c>
      <c r="B17" s="47">
        <v>35</v>
      </c>
    </row>
    <row r="18" spans="1:2" ht="15" x14ac:dyDescent="0.2">
      <c r="A18" s="74" t="s">
        <v>101</v>
      </c>
      <c r="B18" s="47" t="s">
        <v>115</v>
      </c>
    </row>
    <row r="19" spans="1:2" ht="15" x14ac:dyDescent="0.2">
      <c r="A19" s="75" t="s">
        <v>102</v>
      </c>
      <c r="B19" s="47">
        <v>80</v>
      </c>
    </row>
    <row r="20" spans="1:2" ht="15" x14ac:dyDescent="0.2">
      <c r="A20" s="74" t="s">
        <v>103</v>
      </c>
      <c r="B20" s="47">
        <v>70</v>
      </c>
    </row>
    <row r="21" spans="1:2" ht="15" x14ac:dyDescent="0.2">
      <c r="A21" s="75" t="s">
        <v>104</v>
      </c>
      <c r="B21" s="47">
        <v>60</v>
      </c>
    </row>
    <row r="22" spans="1:2" ht="15" x14ac:dyDescent="0.2">
      <c r="A22" s="74" t="s">
        <v>61</v>
      </c>
      <c r="B22" s="47">
        <v>30</v>
      </c>
    </row>
    <row r="23" spans="1:2" ht="15" x14ac:dyDescent="0.2">
      <c r="A23" s="75" t="s">
        <v>105</v>
      </c>
      <c r="B23" s="47">
        <v>60</v>
      </c>
    </row>
    <row r="24" spans="1:2" ht="15" x14ac:dyDescent="0.2">
      <c r="A24" s="74" t="s">
        <v>106</v>
      </c>
      <c r="B24" s="47">
        <v>70</v>
      </c>
    </row>
    <row r="25" spans="1:2" ht="15" x14ac:dyDescent="0.2">
      <c r="A25" s="75" t="s">
        <v>107</v>
      </c>
      <c r="B25" s="47">
        <v>60</v>
      </c>
    </row>
    <row r="26" spans="1:2" ht="15" x14ac:dyDescent="0.2">
      <c r="A26" s="74" t="s">
        <v>108</v>
      </c>
      <c r="B26" s="47">
        <v>70</v>
      </c>
    </row>
    <row r="27" spans="1:2" ht="15" x14ac:dyDescent="0.2">
      <c r="A27" s="75" t="s">
        <v>109</v>
      </c>
      <c r="B27" s="47">
        <v>60</v>
      </c>
    </row>
    <row r="28" spans="1:2" ht="15" x14ac:dyDescent="0.2">
      <c r="A28" s="74" t="s">
        <v>110</v>
      </c>
      <c r="B28" s="47">
        <v>70</v>
      </c>
    </row>
    <row r="29" spans="1:2" ht="15" x14ac:dyDescent="0.2">
      <c r="A29" s="75" t="s">
        <v>111</v>
      </c>
      <c r="B29" s="47">
        <v>70</v>
      </c>
    </row>
    <row r="30" spans="1:2" ht="15" x14ac:dyDescent="0.2">
      <c r="A30" s="74" t="s">
        <v>112</v>
      </c>
      <c r="B30" s="47">
        <v>70</v>
      </c>
    </row>
    <row r="31" spans="1:2" ht="15" x14ac:dyDescent="0.2">
      <c r="A31" s="75" t="s">
        <v>113</v>
      </c>
      <c r="B31" s="47">
        <v>70</v>
      </c>
    </row>
    <row r="32" spans="1:2" x14ac:dyDescent="0.2">
      <c r="A32" s="47" t="s">
        <v>37</v>
      </c>
      <c r="B32" s="47">
        <v>30</v>
      </c>
    </row>
    <row r="33" spans="1:2" x14ac:dyDescent="0.2">
      <c r="A33" s="47" t="s">
        <v>35</v>
      </c>
      <c r="B33" s="47">
        <v>70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W43"/>
  <sheetViews>
    <sheetView showGridLines="0" topLeftCell="A2" zoomScaleNormal="100" workbookViewId="0">
      <pane xSplit="3" topLeftCell="D1" activePane="topRight" state="frozen"/>
      <selection pane="topRight" activeCell="D4" sqref="D4"/>
    </sheetView>
  </sheetViews>
  <sheetFormatPr defaultRowHeight="18.75" customHeight="1" x14ac:dyDescent="0.2"/>
  <cols>
    <col min="1" max="1" width="2.5703125" customWidth="1"/>
    <col min="2" max="2" width="11.7109375" customWidth="1"/>
    <col min="3" max="3" width="20.42578125" customWidth="1"/>
    <col min="4" max="6" width="15.28515625" customWidth="1"/>
    <col min="7" max="7" width="12" customWidth="1"/>
    <col min="8" max="8" width="12.7109375" customWidth="1"/>
    <col min="9" max="9" width="15.7109375" customWidth="1"/>
    <col min="10" max="10" width="24.7109375" customWidth="1"/>
    <col min="11" max="11" width="13.7109375" customWidth="1"/>
    <col min="12" max="12" width="2.85546875" customWidth="1"/>
    <col min="13" max="13" width="10.28515625" customWidth="1"/>
    <col min="14" max="14" width="10" customWidth="1"/>
    <col min="15" max="15" width="12.42578125" customWidth="1"/>
    <col min="16" max="16" width="11.28515625" customWidth="1"/>
    <col min="17" max="17" width="16.85546875" customWidth="1"/>
    <col min="18" max="18" width="14.7109375" customWidth="1"/>
    <col min="19" max="19" width="12.85546875" customWidth="1"/>
    <col min="20" max="20" width="16" customWidth="1"/>
    <col min="21" max="21" width="13.28515625" customWidth="1"/>
    <col min="22" max="22" width="13.85546875" customWidth="1"/>
    <col min="23" max="23" width="13.28515625" customWidth="1"/>
  </cols>
  <sheetData>
    <row r="1" spans="2:22" ht="42" customHeight="1" thickBot="1" x14ac:dyDescent="0.25">
      <c r="B1" s="10" t="s">
        <v>73</v>
      </c>
      <c r="C1" s="11"/>
      <c r="D1" s="11"/>
      <c r="E1" s="11"/>
      <c r="F1" s="11"/>
      <c r="G1" s="11"/>
      <c r="H1" s="11"/>
      <c r="I1" s="11"/>
      <c r="J1" s="56" t="s">
        <v>21</v>
      </c>
      <c r="K1" s="59" t="s">
        <v>30</v>
      </c>
      <c r="L1" s="58"/>
      <c r="P1" s="11"/>
      <c r="Q1" s="11"/>
      <c r="R1" s="11"/>
      <c r="S1" s="11"/>
      <c r="T1" s="11"/>
      <c r="U1" s="11"/>
      <c r="V1" s="11"/>
    </row>
    <row r="2" spans="2:22" ht="12" customHeight="1" x14ac:dyDescent="0.25">
      <c r="B2" s="1"/>
      <c r="M2" s="41"/>
      <c r="O2" s="9"/>
    </row>
    <row r="3" spans="2:22" ht="30.75" customHeight="1" x14ac:dyDescent="0.25">
      <c r="B3" s="43" t="s">
        <v>2</v>
      </c>
      <c r="C3" s="43" t="s">
        <v>11</v>
      </c>
      <c r="D3" s="44" t="s">
        <v>54</v>
      </c>
      <c r="E3" s="44" t="s">
        <v>76</v>
      </c>
      <c r="F3" s="44" t="s">
        <v>57</v>
      </c>
      <c r="G3" s="44" t="s">
        <v>55</v>
      </c>
      <c r="H3" s="44" t="s">
        <v>58</v>
      </c>
      <c r="I3" s="44" t="s">
        <v>64</v>
      </c>
      <c r="J3" s="44" t="s">
        <v>66</v>
      </c>
      <c r="K3" s="44" t="s">
        <v>80</v>
      </c>
      <c r="L3" s="8" t="s">
        <v>9</v>
      </c>
    </row>
    <row r="4" spans="2:22" ht="18.75" customHeight="1" x14ac:dyDescent="0.2">
      <c r="B4" s="45">
        <v>1001</v>
      </c>
      <c r="C4" s="45" t="s">
        <v>59</v>
      </c>
      <c r="D4" s="45">
        <v>0</v>
      </c>
      <c r="E4" s="45">
        <v>0</v>
      </c>
      <c r="F4" s="45"/>
      <c r="G4" s="45"/>
      <c r="H4" s="46">
        <f>Employees9[[#This Row],[HOURS CALCULATED]]+Employees9[[#This Row],[OWING HOURS]]-Employees9[[#This Row],[HOURS PAID]]</f>
        <v>0</v>
      </c>
      <c r="I4" s="46">
        <f>280+250+350</f>
        <v>880</v>
      </c>
      <c r="J4" s="46" t="s">
        <v>74</v>
      </c>
      <c r="K4" s="46"/>
      <c r="L4" s="4"/>
    </row>
    <row r="5" spans="2:22" ht="18.75" customHeight="1" x14ac:dyDescent="0.2">
      <c r="B5" s="45">
        <v>1002</v>
      </c>
      <c r="C5" s="45" t="s">
        <v>53</v>
      </c>
      <c r="D5" s="45">
        <v>0</v>
      </c>
      <c r="E5" s="45">
        <v>0</v>
      </c>
      <c r="F5" s="45"/>
      <c r="G5" s="45"/>
      <c r="H5" s="46">
        <f>Employees9[[#This Row],[HOURS CALCULATED]]+Employees9[[#This Row],[OWING HOURS]]-Employees9[[#This Row],[HOURS PAID]]</f>
        <v>0</v>
      </c>
      <c r="I5" s="46">
        <f>280+250+350</f>
        <v>880</v>
      </c>
      <c r="J5" s="46" t="s">
        <v>74</v>
      </c>
      <c r="K5" s="46"/>
      <c r="L5" s="5"/>
    </row>
    <row r="6" spans="2:22" ht="18.75" customHeight="1" x14ac:dyDescent="0.2">
      <c r="B6" s="45">
        <v>1003</v>
      </c>
      <c r="C6" s="45" t="s">
        <v>60</v>
      </c>
      <c r="D6" s="45">
        <v>0</v>
      </c>
      <c r="E6" s="45">
        <v>40</v>
      </c>
      <c r="F6" s="45"/>
      <c r="G6" s="45">
        <v>-2</v>
      </c>
      <c r="H6" s="46">
        <f>Employees9[[#This Row],[HOURS CALCULATED]]+Employees9[[#This Row],[OWING HOURS]]-Employees9[[#This Row],[HOURS PAID]]</f>
        <v>-42</v>
      </c>
      <c r="I6" s="46">
        <f>425.5</f>
        <v>425.5</v>
      </c>
      <c r="J6" s="46" t="s">
        <v>69</v>
      </c>
      <c r="K6" s="46"/>
      <c r="L6" s="5"/>
    </row>
    <row r="7" spans="2:22" ht="18.75" customHeight="1" x14ac:dyDescent="0.2">
      <c r="B7" s="45">
        <v>1004</v>
      </c>
      <c r="C7" s="45" t="s">
        <v>37</v>
      </c>
      <c r="D7" s="45">
        <v>0</v>
      </c>
      <c r="E7" s="45">
        <v>40</v>
      </c>
      <c r="F7" s="45"/>
      <c r="G7" s="45">
        <v>-15.5</v>
      </c>
      <c r="H7" s="46">
        <f>Employees9[[#This Row],[HOURS CALCULATED]]+Employees9[[#This Row],[OWING HOURS]]-Employees9[[#This Row],[HOURS PAID]]</f>
        <v>-55.5</v>
      </c>
      <c r="I7" s="46">
        <f>500+500+60</f>
        <v>1060</v>
      </c>
      <c r="J7" s="46" t="s">
        <v>74</v>
      </c>
      <c r="K7" s="46"/>
      <c r="L7" s="5"/>
    </row>
    <row r="8" spans="2:22" ht="18.75" hidden="1" customHeight="1" x14ac:dyDescent="0.2">
      <c r="B8" s="45">
        <v>1005</v>
      </c>
      <c r="C8" s="45" t="s">
        <v>34</v>
      </c>
      <c r="D8" s="45">
        <v>81.44</v>
      </c>
      <c r="E8" s="45">
        <v>30</v>
      </c>
      <c r="F8" s="45"/>
      <c r="G8" s="45">
        <v>-92</v>
      </c>
      <c r="H8" s="46">
        <f>Employees9[[#This Row],[HOURS CALCULATED]]+Employees9[[#This Row],[OWING HOURS]]-Employees9[[#This Row],[HOURS PAID]]</f>
        <v>-40.56</v>
      </c>
      <c r="I8" s="72">
        <f>425.5+760.5+50</f>
        <v>1236</v>
      </c>
      <c r="J8" s="46" t="s">
        <v>79</v>
      </c>
      <c r="K8" s="46" t="s">
        <v>81</v>
      </c>
      <c r="L8" s="5"/>
    </row>
    <row r="9" spans="2:22" ht="18.75" customHeight="1" x14ac:dyDescent="0.2">
      <c r="B9" s="45">
        <v>1006</v>
      </c>
      <c r="C9" s="45" t="s">
        <v>61</v>
      </c>
      <c r="D9" s="45">
        <v>0</v>
      </c>
      <c r="E9" s="45">
        <v>40</v>
      </c>
      <c r="F9" s="45"/>
      <c r="G9" s="45">
        <v>-2</v>
      </c>
      <c r="H9" s="46">
        <f>Employees9[[#This Row],[HOURS CALCULATED]]+Employees9[[#This Row],[OWING HOURS]]-Employees9[[#This Row],[HOURS PAID]]</f>
        <v>-42</v>
      </c>
      <c r="I9" s="46">
        <f>425.5</f>
        <v>425.5</v>
      </c>
      <c r="J9" s="46" t="s">
        <v>69</v>
      </c>
      <c r="K9" s="46"/>
      <c r="L9" s="5"/>
    </row>
    <row r="10" spans="2:22" ht="18.75" customHeight="1" x14ac:dyDescent="0.2">
      <c r="B10" s="45">
        <v>1007</v>
      </c>
      <c r="C10" s="45" t="s">
        <v>52</v>
      </c>
      <c r="D10" s="45">
        <f>20+25+35</f>
        <v>80</v>
      </c>
      <c r="E10" s="45">
        <v>70</v>
      </c>
      <c r="F10" s="45"/>
      <c r="G10" s="45">
        <f>-70+26</f>
        <v>-44</v>
      </c>
      <c r="H10" s="46">
        <f>Employees9[[#This Row],[HOURS CALCULATED]]+Employees9[[#This Row],[OWING HOURS]]-Employees9[[#This Row],[HOURS PAID]]</f>
        <v>-34</v>
      </c>
      <c r="I10" s="46">
        <f>425.5+300-637</f>
        <v>88.5</v>
      </c>
      <c r="J10" s="46" t="s">
        <v>83</v>
      </c>
      <c r="K10" s="46"/>
      <c r="L10" s="5"/>
    </row>
    <row r="11" spans="2:22" ht="18.75" customHeight="1" x14ac:dyDescent="0.2">
      <c r="B11" s="45">
        <v>1008</v>
      </c>
      <c r="C11" s="45" t="s">
        <v>35</v>
      </c>
      <c r="D11" s="45">
        <f>53.54+20+25+35</f>
        <v>133.54</v>
      </c>
      <c r="E11" s="45">
        <v>75.459999999999994</v>
      </c>
      <c r="F11" s="45"/>
      <c r="G11" s="45">
        <v>-58.08</v>
      </c>
      <c r="H11" s="46">
        <f>Employees9[[#This Row],[HOURS CALCULATED]]+Employees9[[#This Row],[OWING HOURS]]-Employees9[[#This Row],[HOURS PAID]]</f>
        <v>0</v>
      </c>
      <c r="I11" s="46">
        <f>425.5</f>
        <v>425.5</v>
      </c>
      <c r="J11" s="46" t="s">
        <v>69</v>
      </c>
      <c r="K11" s="46"/>
      <c r="L11" s="5"/>
    </row>
    <row r="12" spans="2:22" ht="18.75" customHeight="1" x14ac:dyDescent="0.2">
      <c r="B12" s="68" t="s">
        <v>22</v>
      </c>
      <c r="C12" s="68">
        <f>SUBTOTAL(103,Employees9[Employee Name])</f>
        <v>7</v>
      </c>
      <c r="D12" s="68">
        <f>SUBTOTAL(109,Employees9[HOURS CALCULATED])</f>
        <v>213.54</v>
      </c>
      <c r="E12" s="68">
        <f>SUBTOTAL(109,Employees9[HOURS PAID])</f>
        <v>265.45999999999998</v>
      </c>
      <c r="F12" s="68">
        <f>SUBTOTAL(109,Employees9[AMOUNT TO BE PAID])</f>
        <v>0</v>
      </c>
      <c r="G12" s="68">
        <f>SUBTOTAL(109,Employees9[OWING HOURS])</f>
        <v>-121.58</v>
      </c>
      <c r="H12" s="69"/>
      <c r="I12" s="69">
        <f>SUBTOTAL(109,Employees9[] Employees9[ Ded''s AMOUNT] )</f>
        <v>4185</v>
      </c>
      <c r="J12" s="69"/>
      <c r="K12" s="69"/>
      <c r="L12" s="70"/>
    </row>
    <row r="16" spans="2:22" ht="18.75" customHeight="1" x14ac:dyDescent="0.2">
      <c r="G16" t="s">
        <v>75</v>
      </c>
    </row>
    <row r="43" spans="13:23" ht="18.75" customHeight="1" x14ac:dyDescent="0.2"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</row>
  </sheetData>
  <printOptions horizontalCentered="1"/>
  <pageMargins left="0.25" right="0.25" top="0.75" bottom="0.75" header="0.3" footer="0.3"/>
  <pageSetup scale="49" fitToHeight="0" orientation="landscape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V8"/>
  <sheetViews>
    <sheetView showGridLines="0" zoomScaleNormal="100" workbookViewId="0">
      <pane xSplit="3" topLeftCell="D1" activePane="topRight" state="frozen"/>
      <selection pane="topRight" activeCell="B3" sqref="B3"/>
    </sheetView>
  </sheetViews>
  <sheetFormatPr defaultRowHeight="18.75" customHeight="1" x14ac:dyDescent="0.2"/>
  <cols>
    <col min="1" max="1" width="2.5703125" customWidth="1"/>
    <col min="2" max="2" width="11.7109375" customWidth="1"/>
    <col min="3" max="3" width="19.42578125" customWidth="1"/>
    <col min="4" max="5" width="15.28515625" customWidth="1"/>
    <col min="6" max="6" width="12" customWidth="1"/>
    <col min="7" max="7" width="12.7109375" customWidth="1"/>
    <col min="8" max="8" width="11.7109375" customWidth="1"/>
    <col min="9" max="9" width="27.42578125" customWidth="1"/>
    <col min="10" max="10" width="13.7109375" customWidth="1"/>
    <col min="11" max="11" width="2.85546875" customWidth="1"/>
    <col min="12" max="12" width="10.28515625" customWidth="1"/>
    <col min="13" max="13" width="10" customWidth="1"/>
    <col min="14" max="14" width="12.42578125" customWidth="1"/>
    <col min="15" max="15" width="11.28515625" customWidth="1"/>
    <col min="16" max="16" width="16.85546875" customWidth="1"/>
    <col min="17" max="17" width="14.7109375" customWidth="1"/>
    <col min="18" max="18" width="12.85546875" customWidth="1"/>
    <col min="19" max="19" width="16" customWidth="1"/>
    <col min="20" max="20" width="13.28515625" customWidth="1"/>
    <col min="21" max="21" width="13.85546875" customWidth="1"/>
    <col min="22" max="22" width="13.28515625" customWidth="1"/>
  </cols>
  <sheetData>
    <row r="1" spans="2:22" ht="42" customHeight="1" thickBot="1" x14ac:dyDescent="0.25">
      <c r="B1" s="10" t="s">
        <v>73</v>
      </c>
      <c r="C1" s="11"/>
      <c r="D1" s="11"/>
      <c r="E1" s="11"/>
      <c r="F1" s="11"/>
      <c r="G1" s="11"/>
      <c r="H1" s="11"/>
      <c r="I1" s="56" t="s">
        <v>21</v>
      </c>
      <c r="J1" s="55" t="s">
        <v>30</v>
      </c>
      <c r="K1" s="54"/>
      <c r="L1" s="57"/>
      <c r="O1" s="11"/>
      <c r="P1" s="11"/>
      <c r="Q1" s="11"/>
      <c r="R1" s="11"/>
      <c r="S1" s="11"/>
      <c r="T1" s="11"/>
      <c r="U1" s="11"/>
    </row>
    <row r="2" spans="2:22" ht="12" customHeight="1" x14ac:dyDescent="0.25">
      <c r="B2" s="1"/>
      <c r="L2" s="41"/>
      <c r="N2" s="9"/>
    </row>
    <row r="3" spans="2:22" ht="30.75" customHeight="1" x14ac:dyDescent="0.25">
      <c r="B3" s="43" t="s">
        <v>2</v>
      </c>
      <c r="C3" s="43" t="s">
        <v>11</v>
      </c>
      <c r="D3" s="44" t="s">
        <v>54</v>
      </c>
      <c r="E3" s="44" t="s">
        <v>76</v>
      </c>
      <c r="F3" s="44" t="s">
        <v>55</v>
      </c>
      <c r="G3" s="44" t="s">
        <v>58</v>
      </c>
      <c r="H3" s="44" t="s">
        <v>56</v>
      </c>
      <c r="I3" s="44" t="s">
        <v>66</v>
      </c>
      <c r="J3" s="44" t="s">
        <v>80</v>
      </c>
      <c r="K3" s="8" t="s">
        <v>9</v>
      </c>
    </row>
    <row r="4" spans="2:22" ht="18.75" customHeight="1" x14ac:dyDescent="0.2">
      <c r="B4" s="45">
        <v>1001</v>
      </c>
      <c r="C4" s="45" t="s">
        <v>49</v>
      </c>
      <c r="D4" s="45">
        <v>70</v>
      </c>
      <c r="E4" s="45">
        <v>70</v>
      </c>
      <c r="F4" s="45">
        <f>-112+33.33</f>
        <v>-78.67</v>
      </c>
      <c r="G4" s="66">
        <f>Employees8[[#This Row],[HOURS CALCULATED]]+Employees8[[#This Row],[OWING HOURS]]-Employees8[[#This Row],[HOURS PAID]]</f>
        <v>-78.67</v>
      </c>
      <c r="H4" s="46">
        <v>5474.09</v>
      </c>
      <c r="I4" s="51" t="s">
        <v>82</v>
      </c>
      <c r="J4" s="46"/>
      <c r="K4" s="4"/>
    </row>
    <row r="5" spans="2:22" ht="18.75" customHeight="1" x14ac:dyDescent="0.2">
      <c r="B5" s="45">
        <v>1002</v>
      </c>
      <c r="C5" s="45" t="s">
        <v>51</v>
      </c>
      <c r="D5" s="45">
        <v>70</v>
      </c>
      <c r="E5" s="45">
        <v>70</v>
      </c>
      <c r="F5" s="45">
        <v>13.82</v>
      </c>
      <c r="G5" s="66">
        <f>Employees8[[#This Row],[HOURS CALCULATED]]+Employees8[[#This Row],[OWING HOURS]]-Employees8[[#This Row],[HOURS PAID]]</f>
        <v>13.819999999999993</v>
      </c>
      <c r="H5" s="46">
        <f>500+250</f>
        <v>750</v>
      </c>
      <c r="I5" s="46" t="s">
        <v>72</v>
      </c>
      <c r="J5" s="46"/>
      <c r="K5" s="5"/>
    </row>
    <row r="6" spans="2:22" ht="18.75" customHeight="1" x14ac:dyDescent="0.2">
      <c r="B6" s="45">
        <v>1003</v>
      </c>
      <c r="C6" s="45" t="s">
        <v>50</v>
      </c>
      <c r="D6" s="45">
        <v>70</v>
      </c>
      <c r="E6" s="45">
        <v>69</v>
      </c>
      <c r="F6" s="45">
        <v>-1</v>
      </c>
      <c r="G6" s="66">
        <f>Employees8[[#This Row],[HOURS CALCULATED]]+Employees8[[#This Row],[OWING HOURS]]-Employees8[[#This Row],[HOURS PAID]]</f>
        <v>0</v>
      </c>
      <c r="H6" s="46">
        <f>1058+612.58+112.5</f>
        <v>1783.08</v>
      </c>
      <c r="I6" s="46" t="s">
        <v>71</v>
      </c>
      <c r="J6" s="46"/>
      <c r="K6" s="5"/>
    </row>
    <row r="7" spans="2:22" ht="18.75" customHeight="1" x14ac:dyDescent="0.2">
      <c r="B7" s="45" t="s">
        <v>22</v>
      </c>
      <c r="C7" s="45">
        <f>SUBTOTAL(103,Employees8[Employee Name])</f>
        <v>3</v>
      </c>
      <c r="D7" s="45">
        <f>SUBTOTAL(103,Employees8[HOURS CALCULATED])</f>
        <v>3</v>
      </c>
      <c r="E7" s="45">
        <f>SUBTOTAL(109,Employees8[HOURS PAID])</f>
        <v>209</v>
      </c>
      <c r="F7" s="45">
        <f>SUBTOTAL(109,Employees8[OWING HOURS])</f>
        <v>-65.849999999999994</v>
      </c>
      <c r="G7" s="45">
        <f>SUBTOTAL(109,Employees8[Gross
HOURS])</f>
        <v>-64.850000000000009</v>
      </c>
      <c r="H7" s="67">
        <f>SUBTOTAL(109,Employees8[PREVIOUS Ded''s])</f>
        <v>8007.17</v>
      </c>
      <c r="I7" s="45"/>
      <c r="J7" s="45"/>
      <c r="K7" s="7"/>
    </row>
    <row r="8" spans="2:22" ht="18.75" customHeight="1" x14ac:dyDescent="0.2"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</row>
  </sheetData>
  <printOptions horizontalCentered="1"/>
  <pageMargins left="0.25" right="0.25" top="0.75" bottom="0.75" header="0.3" footer="0.3"/>
  <pageSetup scale="49" fitToHeight="0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Y22"/>
  <sheetViews>
    <sheetView showGridLines="0" topLeftCell="A3" zoomScaleNormal="100" workbookViewId="0">
      <pane xSplit="3" topLeftCell="D1" activePane="topRight" state="frozen"/>
      <selection pane="topRight" activeCell="F6" sqref="F6"/>
    </sheetView>
  </sheetViews>
  <sheetFormatPr defaultRowHeight="18.75" customHeight="1" x14ac:dyDescent="0.2"/>
  <cols>
    <col min="1" max="1" width="2.5703125" customWidth="1"/>
    <col min="2" max="2" width="11.7109375" customWidth="1"/>
    <col min="3" max="3" width="19.42578125" customWidth="1"/>
    <col min="4" max="8" width="15.28515625" customWidth="1"/>
    <col min="9" max="9" width="14" customWidth="1"/>
    <col min="10" max="10" width="16.42578125" style="61" customWidth="1"/>
    <col min="11" max="11" width="17.28515625" customWidth="1"/>
    <col min="12" max="12" width="23.140625" style="50" customWidth="1"/>
    <col min="13" max="13" width="12" customWidth="1"/>
    <col min="14" max="14" width="2.85546875" customWidth="1"/>
    <col min="15" max="15" width="10.28515625" customWidth="1"/>
    <col min="16" max="16" width="10.42578125" customWidth="1"/>
    <col min="17" max="17" width="12.42578125" customWidth="1"/>
    <col min="18" max="18" width="11.28515625" customWidth="1"/>
    <col min="19" max="19" width="16.85546875" customWidth="1"/>
    <col min="20" max="20" width="14.7109375" customWidth="1"/>
    <col min="21" max="21" width="12.85546875" customWidth="1"/>
    <col min="22" max="22" width="16" customWidth="1"/>
    <col min="23" max="23" width="13.28515625" customWidth="1"/>
    <col min="24" max="24" width="13.85546875" customWidth="1"/>
    <col min="25" max="25" width="13.28515625" customWidth="1"/>
  </cols>
  <sheetData>
    <row r="1" spans="2:24" ht="42" customHeight="1" thickBot="1" x14ac:dyDescent="0.25">
      <c r="B1" s="10" t="s">
        <v>73</v>
      </c>
      <c r="C1" s="11"/>
      <c r="D1" s="11"/>
      <c r="E1" s="11"/>
      <c r="F1" s="11"/>
      <c r="G1" s="11"/>
      <c r="H1" s="11"/>
      <c r="I1" s="11"/>
      <c r="J1" s="60"/>
      <c r="K1" s="11"/>
      <c r="L1" s="71" t="s">
        <v>21</v>
      </c>
      <c r="M1" s="55" t="s">
        <v>30</v>
      </c>
      <c r="N1" s="54"/>
      <c r="O1" s="57"/>
      <c r="R1" s="11"/>
      <c r="S1" s="11"/>
      <c r="T1" s="11"/>
      <c r="U1" s="11"/>
      <c r="V1" s="11"/>
      <c r="W1" s="11"/>
      <c r="X1" s="11"/>
    </row>
    <row r="2" spans="2:24" ht="12" customHeight="1" x14ac:dyDescent="0.25">
      <c r="B2" s="1"/>
      <c r="O2" s="41"/>
      <c r="Q2" s="9"/>
    </row>
    <row r="3" spans="2:24" ht="30.75" customHeight="1" x14ac:dyDescent="0.25">
      <c r="B3" s="43" t="s">
        <v>2</v>
      </c>
      <c r="C3" s="43" t="s">
        <v>11</v>
      </c>
      <c r="D3" s="44" t="s">
        <v>54</v>
      </c>
      <c r="E3" s="44" t="s">
        <v>76</v>
      </c>
      <c r="F3" s="44" t="s">
        <v>85</v>
      </c>
      <c r="G3" s="44" t="s">
        <v>57</v>
      </c>
      <c r="H3" s="44" t="s">
        <v>86</v>
      </c>
      <c r="I3" s="44" t="s">
        <v>55</v>
      </c>
      <c r="J3" s="62" t="s">
        <v>58</v>
      </c>
      <c r="K3" s="44" t="s">
        <v>65</v>
      </c>
      <c r="L3" s="44" t="s">
        <v>66</v>
      </c>
      <c r="M3" s="44" t="s">
        <v>10</v>
      </c>
      <c r="N3" s="8" t="s">
        <v>9</v>
      </c>
    </row>
    <row r="4" spans="2:24" ht="18.75" customHeight="1" x14ac:dyDescent="0.2">
      <c r="B4" s="45">
        <v>1001</v>
      </c>
      <c r="C4" s="45" t="s">
        <v>31</v>
      </c>
      <c r="D4" s="45">
        <v>171.38</v>
      </c>
      <c r="E4" s="45">
        <v>80</v>
      </c>
      <c r="F4" s="45">
        <v>21.5</v>
      </c>
      <c r="G4" s="45">
        <f>Employees[[#This Row],[HOURS PAID]]*Employees[[#This Row],[PAY RATE]]</f>
        <v>1720</v>
      </c>
      <c r="H4" s="45"/>
      <c r="I4" s="45">
        <v>-101.5</v>
      </c>
      <c r="J4" s="63">
        <f>Employees[[#This Row],[HOURS CALCULATED]]+Employees[[#This Row],[OWING HOURS]]-Employees[[#This Row],[HOURS PAID]]</f>
        <v>-10.120000000000005</v>
      </c>
      <c r="K4" s="46">
        <v>170</v>
      </c>
      <c r="L4" s="51" t="s">
        <v>67</v>
      </c>
      <c r="M4" s="46"/>
      <c r="N4" s="4"/>
    </row>
    <row r="5" spans="2:24" ht="18.75" customHeight="1" x14ac:dyDescent="0.2">
      <c r="B5" s="45">
        <v>1002</v>
      </c>
      <c r="C5" s="45" t="s">
        <v>32</v>
      </c>
      <c r="D5" s="45">
        <v>143.28</v>
      </c>
      <c r="E5" s="45">
        <v>80</v>
      </c>
      <c r="F5" s="45">
        <v>21.5</v>
      </c>
      <c r="G5" s="45">
        <f>Employees[[#This Row],[HOURS PAID]]*Employees[[#This Row],[PAY RATE]]</f>
        <v>1720</v>
      </c>
      <c r="H5" s="45"/>
      <c r="I5" s="45">
        <v>-129.01</v>
      </c>
      <c r="J5" s="63">
        <f>Employees[[#This Row],[HOURS CALCULATED]]+Employees[[#This Row],[OWING HOURS]]-Employees[[#This Row],[HOURS PAID]]</f>
        <v>-65.72999999999999</v>
      </c>
      <c r="K5" s="46">
        <v>0</v>
      </c>
      <c r="L5" s="51"/>
      <c r="M5" s="46"/>
      <c r="N5" s="5"/>
    </row>
    <row r="6" spans="2:24" ht="18.75" customHeight="1" x14ac:dyDescent="0.2">
      <c r="B6" s="45">
        <v>1003</v>
      </c>
      <c r="C6" s="45" t="s">
        <v>33</v>
      </c>
      <c r="D6" s="45">
        <v>155</v>
      </c>
      <c r="E6" s="45">
        <v>70</v>
      </c>
      <c r="F6" s="45">
        <v>21.5</v>
      </c>
      <c r="G6" s="45">
        <f>Employees[[#This Row],[HOURS PAID]]*Employees[[#This Row],[PAY RATE]]</f>
        <v>1505</v>
      </c>
      <c r="H6" s="45"/>
      <c r="I6" s="45">
        <v>-54.76</v>
      </c>
      <c r="J6" s="63">
        <f>Employees[[#This Row],[HOURS CALCULATED]]+Employees[[#This Row],[OWING HOURS]]-Employees[[#This Row],[HOURS PAID]]</f>
        <v>30.240000000000009</v>
      </c>
      <c r="K6" s="46">
        <v>2500</v>
      </c>
      <c r="L6" s="51" t="s">
        <v>78</v>
      </c>
      <c r="M6" s="46"/>
      <c r="N6" s="5"/>
    </row>
    <row r="7" spans="2:24" ht="18.75" customHeight="1" x14ac:dyDescent="0.2">
      <c r="B7" s="45">
        <v>1004</v>
      </c>
      <c r="C7" s="45" t="s">
        <v>48</v>
      </c>
      <c r="D7" s="45">
        <v>145.41999999999999</v>
      </c>
      <c r="E7" s="45">
        <v>70</v>
      </c>
      <c r="F7" s="45">
        <v>18.75</v>
      </c>
      <c r="G7" s="45">
        <f>Employees[[#This Row],[HOURS PAID]]*Employees[[#This Row],[PAY RATE]]</f>
        <v>1312.5</v>
      </c>
      <c r="H7" s="45"/>
      <c r="I7" s="45">
        <v>-74.430000000000007</v>
      </c>
      <c r="J7" s="63">
        <f>Employees[[#This Row],[HOURS CALCULATED]]+Employees[[#This Row],[OWING HOURS]]-Employees[[#This Row],[HOURS PAID]]</f>
        <v>0.98999999999998067</v>
      </c>
      <c r="K7" s="46">
        <f>1500+529.5</f>
        <v>2029.5</v>
      </c>
      <c r="L7" s="51" t="s">
        <v>68</v>
      </c>
      <c r="M7" s="46"/>
      <c r="N7" s="5"/>
    </row>
    <row r="8" spans="2:24" ht="18.75" customHeight="1" x14ac:dyDescent="0.2">
      <c r="B8" s="45">
        <v>1007</v>
      </c>
      <c r="C8" s="45" t="s">
        <v>36</v>
      </c>
      <c r="D8" s="45">
        <v>0</v>
      </c>
      <c r="E8" s="45">
        <v>66.010000000000005</v>
      </c>
      <c r="F8" s="45">
        <v>18.75</v>
      </c>
      <c r="G8" s="45">
        <f>Employees[[#This Row],[HOURS PAID]]*Employees[[#This Row],[PAY RATE]]</f>
        <v>1237.6875</v>
      </c>
      <c r="H8" s="45"/>
      <c r="I8" s="45">
        <v>66.010000000000005</v>
      </c>
      <c r="J8" s="63">
        <f>Employees[[#This Row],[HOURS CALCULATED]]+Employees[[#This Row],[OWING HOURS]]-Employees[[#This Row],[HOURS PAID]]</f>
        <v>0</v>
      </c>
      <c r="K8" s="46">
        <v>0</v>
      </c>
      <c r="L8" s="51"/>
      <c r="M8" s="46"/>
      <c r="N8" s="5"/>
    </row>
    <row r="9" spans="2:24" ht="18.75" customHeight="1" x14ac:dyDescent="0.2">
      <c r="B9" s="45">
        <v>1009</v>
      </c>
      <c r="C9" s="45" t="s">
        <v>38</v>
      </c>
      <c r="D9" s="45">
        <v>161.97999999999999</v>
      </c>
      <c r="E9" s="45">
        <v>70</v>
      </c>
      <c r="F9" s="45">
        <v>18.75</v>
      </c>
      <c r="G9" s="45">
        <f>Employees[[#This Row],[HOURS PAID]]*Employees[[#This Row],[PAY RATE]]</f>
        <v>1312.5</v>
      </c>
      <c r="H9" s="45"/>
      <c r="I9" s="45">
        <v>1.68</v>
      </c>
      <c r="J9" s="63">
        <f>Employees[[#This Row],[HOURS CALCULATED]]+Employees[[#This Row],[OWING HOURS]]-Employees[[#This Row],[HOURS PAID]]</f>
        <v>93.66</v>
      </c>
      <c r="K9" s="46"/>
      <c r="L9" s="51" t="s">
        <v>84</v>
      </c>
      <c r="M9" s="46"/>
      <c r="N9" s="5"/>
    </row>
    <row r="10" spans="2:24" ht="18.75" customHeight="1" x14ac:dyDescent="0.2">
      <c r="B10" s="45">
        <v>1010</v>
      </c>
      <c r="C10" s="45" t="s">
        <v>39</v>
      </c>
      <c r="D10" s="45">
        <v>103.13</v>
      </c>
      <c r="E10" s="45">
        <v>42.43</v>
      </c>
      <c r="F10" s="45">
        <v>18.75</v>
      </c>
      <c r="G10" s="45">
        <f>Employees[[#This Row],[HOURS PAID]]*Employees[[#This Row],[PAY RATE]]</f>
        <v>795.5625</v>
      </c>
      <c r="H10" s="45"/>
      <c r="I10" s="45">
        <v>-60.7</v>
      </c>
      <c r="J10" s="63">
        <f>Employees[[#This Row],[HOURS CALCULATED]]+Employees[[#This Row],[OWING HOURS]]-Employees[[#This Row],[HOURS PAID]]</f>
        <v>0</v>
      </c>
      <c r="K10" s="46">
        <v>560</v>
      </c>
      <c r="L10" s="52" t="s">
        <v>70</v>
      </c>
      <c r="M10" s="46"/>
      <c r="N10" s="6"/>
    </row>
    <row r="11" spans="2:24" ht="18.75" customHeight="1" x14ac:dyDescent="0.2">
      <c r="B11" s="45">
        <v>1011</v>
      </c>
      <c r="C11" s="47" t="s">
        <v>40</v>
      </c>
      <c r="D11" s="47">
        <v>111.29</v>
      </c>
      <c r="E11" s="47">
        <v>30</v>
      </c>
      <c r="F11" s="45">
        <v>18.75</v>
      </c>
      <c r="G11" s="47">
        <f>Employees[[#This Row],[HOURS PAID]]*Employees[[#This Row],[PAY RATE]]</f>
        <v>562.5</v>
      </c>
      <c r="H11" s="47"/>
      <c r="I11" s="47">
        <v>-96.41</v>
      </c>
      <c r="J11" s="64">
        <f>Employees[[#This Row],[HOURS CALCULATED]]+Employees[[#This Row],[OWING HOURS]]-Employees[[#This Row],[HOURS PAID]]</f>
        <v>-15.11999999999999</v>
      </c>
      <c r="K11" s="48">
        <f>1600-787+250+250</f>
        <v>1313</v>
      </c>
      <c r="L11" s="52" t="s">
        <v>70</v>
      </c>
      <c r="M11" s="48"/>
      <c r="N11" s="40"/>
    </row>
    <row r="12" spans="2:24" ht="18.75" customHeight="1" x14ac:dyDescent="0.2">
      <c r="B12" s="45">
        <v>1012</v>
      </c>
      <c r="C12" s="47" t="s">
        <v>41</v>
      </c>
      <c r="D12" s="47">
        <v>111.29</v>
      </c>
      <c r="E12" s="47">
        <v>30</v>
      </c>
      <c r="F12" s="45">
        <v>18.75</v>
      </c>
      <c r="G12" s="47">
        <f>Employees[[#This Row],[HOURS PAID]]*Employees[[#This Row],[PAY RATE]]</f>
        <v>562.5</v>
      </c>
      <c r="H12" s="47"/>
      <c r="I12" s="47">
        <v>-96.41</v>
      </c>
      <c r="J12" s="64">
        <f>Employees[[#This Row],[HOURS CALCULATED]]+Employees[[#This Row],[OWING HOURS]]-Employees[[#This Row],[HOURS PAID]]</f>
        <v>-15.11999999999999</v>
      </c>
      <c r="K12" s="48">
        <f>756.25+250+60+250</f>
        <v>1316.25</v>
      </c>
      <c r="L12" s="52" t="s">
        <v>70</v>
      </c>
      <c r="M12" s="48"/>
      <c r="N12" s="40"/>
    </row>
    <row r="13" spans="2:24" ht="18.75" customHeight="1" x14ac:dyDescent="0.2">
      <c r="B13" s="45">
        <v>1013</v>
      </c>
      <c r="C13" s="47" t="s">
        <v>42</v>
      </c>
      <c r="D13" s="47">
        <v>130.63</v>
      </c>
      <c r="E13" s="47">
        <f>70+46.85</f>
        <v>116.85</v>
      </c>
      <c r="F13" s="47">
        <v>20</v>
      </c>
      <c r="G13" s="47">
        <f>Employees[[#This Row],[HOURS PAID]]*Employees[[#This Row],[PAY RATE]]</f>
        <v>2337</v>
      </c>
      <c r="H13" s="47"/>
      <c r="I13" s="47">
        <v>17.399999999999999</v>
      </c>
      <c r="J13" s="64">
        <f>Employees[[#This Row],[HOURS CALCULATED]]+Employees[[#This Row],[OWING HOURS]]-Employees[[#This Row],[HOURS PAID]]</f>
        <v>31.180000000000007</v>
      </c>
      <c r="K13" s="48">
        <v>0</v>
      </c>
      <c r="L13" s="52"/>
      <c r="M13" s="48"/>
      <c r="N13" s="40"/>
    </row>
    <row r="14" spans="2:24" ht="18.75" customHeight="1" x14ac:dyDescent="0.2">
      <c r="B14" s="45">
        <v>1014</v>
      </c>
      <c r="C14" s="47" t="s">
        <v>43</v>
      </c>
      <c r="D14" s="47">
        <v>114.01</v>
      </c>
      <c r="E14" s="47">
        <v>60</v>
      </c>
      <c r="F14" s="47">
        <v>18.75</v>
      </c>
      <c r="G14" s="47">
        <f>Employees[[#This Row],[HOURS PAID]]*Employees[[#This Row],[PAY RATE]]</f>
        <v>1125</v>
      </c>
      <c r="H14" s="47"/>
      <c r="I14" s="47">
        <v>-69</v>
      </c>
      <c r="J14" s="64">
        <f>Employees[[#This Row],[HOURS CALCULATED]]+Employees[[#This Row],[OWING HOURS]]-Employees[[#This Row],[HOURS PAID]]</f>
        <v>-14.989999999999995</v>
      </c>
      <c r="K14" s="48">
        <v>0</v>
      </c>
      <c r="L14" s="52"/>
      <c r="M14" s="48"/>
      <c r="N14" s="40"/>
    </row>
    <row r="15" spans="2:24" ht="18.75" customHeight="1" x14ac:dyDescent="0.2">
      <c r="B15" s="45">
        <v>1015</v>
      </c>
      <c r="C15" s="47" t="s">
        <v>44</v>
      </c>
      <c r="D15" s="47">
        <v>102.83</v>
      </c>
      <c r="E15" s="47">
        <v>40</v>
      </c>
      <c r="F15" s="47">
        <v>18.75</v>
      </c>
      <c r="G15" s="47">
        <f>Employees[[#This Row],[HOURS PAID]]*Employees[[#This Row],[PAY RATE]]</f>
        <v>750</v>
      </c>
      <c r="H15" s="47"/>
      <c r="I15" s="47">
        <v>-80.12</v>
      </c>
      <c r="J15" s="64">
        <f>Employees[[#This Row],[HOURS CALCULATED]]+Employees[[#This Row],[OWING HOURS]]-Employees[[#This Row],[HOURS PAID]]</f>
        <v>-17.290000000000006</v>
      </c>
      <c r="K15" s="48">
        <v>60</v>
      </c>
      <c r="L15" s="52" t="s">
        <v>70</v>
      </c>
      <c r="M15" s="48"/>
      <c r="N15" s="40"/>
    </row>
    <row r="16" spans="2:24" ht="18.75" customHeight="1" x14ac:dyDescent="0.2">
      <c r="B16" s="45">
        <v>1016</v>
      </c>
      <c r="C16" s="47" t="s">
        <v>45</v>
      </c>
      <c r="D16" s="47">
        <v>84.13</v>
      </c>
      <c r="E16" s="47">
        <v>30</v>
      </c>
      <c r="F16" s="47">
        <v>18.75</v>
      </c>
      <c r="G16" s="47">
        <f>Employees[[#This Row],[HOURS PAID]]*Employees[[#This Row],[PAY RATE]]</f>
        <v>562.5</v>
      </c>
      <c r="H16" s="47"/>
      <c r="I16" s="47">
        <v>-81.63</v>
      </c>
      <c r="J16" s="64">
        <f>Employees[[#This Row],[HOURS CALCULATED]]+Employees[[#This Row],[OWING HOURS]]-Employees[[#This Row],[HOURS PAID]]</f>
        <v>-27.5</v>
      </c>
      <c r="K16" s="48">
        <v>0</v>
      </c>
      <c r="L16" s="52"/>
      <c r="M16" s="48"/>
      <c r="N16" s="40"/>
    </row>
    <row r="17" spans="2:25" ht="18.75" customHeight="1" x14ac:dyDescent="0.2">
      <c r="B17" s="45">
        <v>1017</v>
      </c>
      <c r="C17" s="47" t="s">
        <v>46</v>
      </c>
      <c r="D17" s="47">
        <v>139.52000000000001</v>
      </c>
      <c r="E17" s="47">
        <v>70</v>
      </c>
      <c r="F17" s="47">
        <v>18.75</v>
      </c>
      <c r="G17" s="47">
        <f>Employees[[#This Row],[HOURS PAID]]*Employees[[#This Row],[PAY RATE]]</f>
        <v>1312.5</v>
      </c>
      <c r="H17" s="47"/>
      <c r="I17" s="47">
        <v>-120</v>
      </c>
      <c r="J17" s="64">
        <f>Employees[[#This Row],[HOURS CALCULATED]]+Employees[[#This Row],[OWING HOURS]]-Employees[[#This Row],[HOURS PAID]]</f>
        <v>-50.47999999999999</v>
      </c>
      <c r="K17" s="48">
        <v>100</v>
      </c>
      <c r="L17" s="52" t="s">
        <v>70</v>
      </c>
      <c r="M17" s="48"/>
      <c r="N17" s="40"/>
    </row>
    <row r="18" spans="2:25" ht="18.75" customHeight="1" x14ac:dyDescent="0.2">
      <c r="B18" s="45">
        <v>1018</v>
      </c>
      <c r="C18" s="47" t="s">
        <v>47</v>
      </c>
      <c r="D18" s="47">
        <v>114.15</v>
      </c>
      <c r="E18" s="47">
        <v>60</v>
      </c>
      <c r="F18" s="47">
        <v>18.75</v>
      </c>
      <c r="G18" s="47">
        <f>Employees[[#This Row],[HOURS PAID]]*Employees[[#This Row],[PAY RATE]]</f>
        <v>1125</v>
      </c>
      <c r="H18" s="47"/>
      <c r="I18" s="47">
        <v>-86.71</v>
      </c>
      <c r="J18" s="64">
        <f>Employees[[#This Row],[HOURS CALCULATED]]+Employees[[#This Row],[OWING HOURS]]-Employees[[#This Row],[HOURS PAID]]</f>
        <v>-32.559999999999988</v>
      </c>
      <c r="K18" s="48">
        <v>0</v>
      </c>
      <c r="L18" s="52"/>
      <c r="M18" s="48"/>
      <c r="N18" s="40"/>
    </row>
    <row r="19" spans="2:25" ht="18.75" customHeight="1" x14ac:dyDescent="0.2">
      <c r="B19" s="45">
        <v>1019</v>
      </c>
      <c r="C19" s="47" t="s">
        <v>62</v>
      </c>
      <c r="D19" s="47">
        <v>78.5</v>
      </c>
      <c r="E19" s="47">
        <v>78.5</v>
      </c>
      <c r="F19" s="47">
        <v>18.75</v>
      </c>
      <c r="G19" s="47">
        <f>Employees[[#This Row],[HOURS PAID]]*Employees[[#This Row],[PAY RATE]]</f>
        <v>1471.875</v>
      </c>
      <c r="H19" s="47"/>
      <c r="I19" s="47"/>
      <c r="J19" s="64">
        <f>Employees[[#This Row],[HOURS CALCULATED]]+Employees[[#This Row],[OWING HOURS]]-Employees[[#This Row],[HOURS PAID]]</f>
        <v>0</v>
      </c>
      <c r="K19" s="48">
        <v>0</v>
      </c>
      <c r="L19" s="52"/>
      <c r="M19" s="48"/>
      <c r="N19" s="40"/>
    </row>
    <row r="20" spans="2:25" ht="18.75" customHeight="1" x14ac:dyDescent="0.2">
      <c r="B20" s="45">
        <v>1020</v>
      </c>
      <c r="C20" s="47" t="s">
        <v>63</v>
      </c>
      <c r="D20" s="47"/>
      <c r="E20" s="47"/>
      <c r="F20" s="47">
        <v>18.75</v>
      </c>
      <c r="G20" s="47">
        <f>Employees[[#This Row],[HOURS PAID]]*Employees[[#This Row],[PAY RATE]]</f>
        <v>0</v>
      </c>
      <c r="H20" s="47"/>
      <c r="I20" s="47"/>
      <c r="J20" s="64">
        <f>Employees[[#This Row],[HOURS CALCULATED]]+Employees[[#This Row],[OWING HOURS]]-Employees[[#This Row],[HOURS PAID]]</f>
        <v>0</v>
      </c>
      <c r="K20" s="48">
        <f>529+301</f>
        <v>830</v>
      </c>
      <c r="L20" s="52" t="s">
        <v>77</v>
      </c>
      <c r="M20" s="48"/>
      <c r="N20" s="40"/>
    </row>
    <row r="21" spans="2:25" ht="18.75" customHeight="1" x14ac:dyDescent="0.2">
      <c r="B21" s="45" t="s">
        <v>22</v>
      </c>
      <c r="C21" s="45">
        <f>SUBTOTAL(103,Employees[Employee Name])</f>
        <v>17</v>
      </c>
      <c r="D21" s="45">
        <f>SUBTOTAL(109,Employees[HOURS CALCULATED])</f>
        <v>1866.54</v>
      </c>
      <c r="E21" s="45"/>
      <c r="F21" s="45"/>
      <c r="G21" s="45"/>
      <c r="H21" s="45"/>
      <c r="I21" s="45">
        <f>SUBTOTAL(109,Employees[OWING HOURS])</f>
        <v>-965.59</v>
      </c>
      <c r="J21" s="65">
        <f>SUBTOTAL(109,Employees[Gross
HOURS])</f>
        <v>-92.839999999999961</v>
      </c>
      <c r="K21" s="49">
        <f>SUBTOTAL(109,Employees[Ded''s AMOUNT])</f>
        <v>8878.75</v>
      </c>
      <c r="L21" s="53"/>
      <c r="M21" s="49"/>
      <c r="N21" s="7"/>
    </row>
    <row r="22" spans="2:25" ht="18.75" customHeight="1" x14ac:dyDescent="0.2"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</sheetData>
  <printOptions horizontalCentered="1"/>
  <pageMargins left="0.25" right="0.25" top="0.75" bottom="0.75" header="0.3" footer="0.3"/>
  <pageSetup scale="49" fitToHeight="0" orientation="landscape" r:id="rId1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B1:P49"/>
  <sheetViews>
    <sheetView showGridLines="0" zoomScaleNormal="100" workbookViewId="0"/>
  </sheetViews>
  <sheetFormatPr defaultRowHeight="12.75" x14ac:dyDescent="0.2"/>
  <cols>
    <col min="1" max="1" width="2.7109375" customWidth="1"/>
    <col min="2" max="2" width="2.42578125" customWidth="1"/>
    <col min="3" max="3" width="9.42578125" customWidth="1"/>
    <col min="4" max="4" width="13.28515625" customWidth="1"/>
    <col min="5" max="5" width="14.28515625" customWidth="1"/>
    <col min="6" max="6" width="2.28515625" customWidth="1"/>
    <col min="7" max="7" width="8.5703125" customWidth="1"/>
    <col min="8" max="8" width="17.7109375" customWidth="1"/>
    <col min="9" max="9" width="18.85546875" customWidth="1"/>
    <col min="10" max="10" width="2.28515625" customWidth="1"/>
    <col min="11" max="11" width="15.28515625" customWidth="1"/>
    <col min="12" max="12" width="7.28515625" customWidth="1"/>
    <col min="13" max="13" width="14.28515625" customWidth="1"/>
    <col min="14" max="15" width="2.42578125" customWidth="1"/>
  </cols>
  <sheetData>
    <row r="1" spans="2:16" ht="15" customHeight="1" thickBot="1" x14ac:dyDescent="0.25">
      <c r="P1" s="2"/>
    </row>
    <row r="2" spans="2:16" ht="27.75" customHeight="1" x14ac:dyDescent="0.2">
      <c r="B2" s="17"/>
      <c r="C2" s="18" t="str">
        <f>CompanyName</f>
        <v>FABRIL SOLUTIONS</v>
      </c>
      <c r="D2" s="18"/>
      <c r="E2" s="16"/>
      <c r="F2" s="16"/>
      <c r="G2" s="16"/>
      <c r="H2" s="16"/>
      <c r="I2" s="16"/>
      <c r="J2" s="16"/>
      <c r="K2" s="16"/>
      <c r="L2" s="16"/>
      <c r="M2" s="16"/>
      <c r="N2" s="19"/>
      <c r="O2" s="39"/>
      <c r="P2" s="2"/>
    </row>
    <row r="3" spans="2:16" ht="16.5" customHeight="1" x14ac:dyDescent="0.2">
      <c r="B3" s="20"/>
      <c r="C3" s="26" t="s">
        <v>23</v>
      </c>
      <c r="D3" s="80" t="e">
        <f>PeriodEnding</f>
        <v>#REF!</v>
      </c>
      <c r="E3" s="80"/>
      <c r="F3" s="12"/>
      <c r="G3" s="26" t="s">
        <v>24</v>
      </c>
      <c r="H3" s="81" t="str">
        <f>IFERROR(INDEX(Employees[Employee Name],Stub),"")</f>
        <v>DALJINDER SINGH</v>
      </c>
      <c r="I3" s="81"/>
      <c r="J3" s="13"/>
      <c r="K3" s="26" t="s">
        <v>25</v>
      </c>
      <c r="L3" s="82">
        <f>IFERROR(INDEX(Employees[ID],Stub),"")</f>
        <v>1001</v>
      </c>
      <c r="M3" s="82"/>
      <c r="N3" s="21"/>
      <c r="O3" s="39"/>
      <c r="P3" s="2"/>
    </row>
    <row r="4" spans="2:16" ht="16.5" customHeight="1" x14ac:dyDescent="0.2">
      <c r="B4" s="20"/>
      <c r="C4" s="30" t="s">
        <v>0</v>
      </c>
      <c r="D4" s="35"/>
      <c r="E4" s="32" t="str">
        <f>IFERROR(INDEX(#REF!,Stub),"")</f>
        <v/>
      </c>
      <c r="F4" s="14"/>
      <c r="G4" s="30" t="s">
        <v>1</v>
      </c>
      <c r="H4" s="35"/>
      <c r="I4" s="32" t="str">
        <f>IFERROR(INDEX(#REF!,Stub),"")</f>
        <v/>
      </c>
      <c r="J4" s="14"/>
      <c r="K4" s="30" t="s">
        <v>12</v>
      </c>
      <c r="L4" s="35"/>
      <c r="M4" s="32">
        <f>IFERROR(INDEX(Employees[HOURS CALCULATED],Stub),"")</f>
        <v>171.38</v>
      </c>
      <c r="N4" s="21"/>
      <c r="O4" s="39"/>
      <c r="P4" s="2"/>
    </row>
    <row r="5" spans="2:16" ht="16.5" customHeight="1" x14ac:dyDescent="0.2">
      <c r="B5" s="20"/>
      <c r="C5" s="31" t="s">
        <v>13</v>
      </c>
      <c r="D5" s="36"/>
      <c r="E5" s="33" t="str">
        <f>IFERROR(INDEX(#REF!,Stub),"")</f>
        <v/>
      </c>
      <c r="F5" s="15"/>
      <c r="G5" s="31" t="s">
        <v>6</v>
      </c>
      <c r="H5" s="36"/>
      <c r="I5" s="33" t="str">
        <f>IFERROR(INDEX(#REF!,Stub),"")</f>
        <v/>
      </c>
      <c r="J5" s="15"/>
      <c r="K5" s="31" t="s">
        <v>4</v>
      </c>
      <c r="L5" s="36"/>
      <c r="M5" s="34" t="str">
        <f>IFERROR(INDEX(#REF!,Stub),"")</f>
        <v/>
      </c>
      <c r="N5" s="21"/>
      <c r="O5" s="39"/>
      <c r="P5" s="2"/>
    </row>
    <row r="6" spans="2:16" ht="16.5" customHeight="1" x14ac:dyDescent="0.2">
      <c r="B6" s="20"/>
      <c r="C6" s="31" t="s">
        <v>14</v>
      </c>
      <c r="D6" s="36"/>
      <c r="E6" s="33" t="str">
        <f>IFERROR(INDEX(#REF!,Stub)  *  INDEX(Employees[Gross
HOURS],Stub),"")</f>
        <v/>
      </c>
      <c r="F6" s="15"/>
      <c r="G6" s="31" t="s">
        <v>15</v>
      </c>
      <c r="H6" s="36"/>
      <c r="I6" s="33" t="str">
        <f>IFERROR(INDEX(#REF!,Stub)  *  INDEX(Employees[Gross
HOURS],Stub),"")</f>
        <v/>
      </c>
      <c r="J6" s="15"/>
      <c r="K6" s="31" t="s">
        <v>3</v>
      </c>
      <c r="L6" s="36"/>
      <c r="M6" s="34">
        <f>IFERROR(INDEX(Employees[OWING HOURS],Stub),"")</f>
        <v>-101.5</v>
      </c>
      <c r="N6" s="21"/>
      <c r="O6" s="39"/>
      <c r="P6" s="2"/>
    </row>
    <row r="7" spans="2:16" ht="16.5" customHeight="1" x14ac:dyDescent="0.2">
      <c r="B7" s="20"/>
      <c r="C7" s="31" t="s">
        <v>16</v>
      </c>
      <c r="D7" s="36"/>
      <c r="E7" s="33" t="str">
        <f>IFERROR(INDEX(#REF!,Stub)  *  INDEX(Employees[Gross
HOURS],Stub),"")</f>
        <v/>
      </c>
      <c r="F7" s="15"/>
      <c r="G7" s="31" t="s">
        <v>17</v>
      </c>
      <c r="H7" s="36"/>
      <c r="I7" s="33" t="str">
        <f>IFERROR(INDEX(#REF!,Stub)  *  INDEX(Employees[Gross
HOURS],Stub),"")</f>
        <v/>
      </c>
      <c r="J7" s="15"/>
      <c r="K7" s="31" t="s">
        <v>5</v>
      </c>
      <c r="L7" s="36"/>
      <c r="M7" s="34" t="str">
        <f>IFERROR(INDEX(#REF!,Stub),"")</f>
        <v/>
      </c>
      <c r="N7" s="21"/>
      <c r="O7" s="39"/>
      <c r="P7" s="2"/>
    </row>
    <row r="8" spans="2:16" ht="16.5" customHeight="1" x14ac:dyDescent="0.2">
      <c r="B8" s="20"/>
      <c r="C8" s="31" t="s">
        <v>18</v>
      </c>
      <c r="D8" s="36"/>
      <c r="E8" s="33" t="str">
        <f>IFERROR(INDEX(#REF!,Stub),"")</f>
        <v/>
      </c>
      <c r="F8" s="15"/>
      <c r="G8" s="31" t="s">
        <v>19</v>
      </c>
      <c r="H8" s="36"/>
      <c r="I8" s="33" t="str">
        <f>IFERROR(INDEX(#REF!,Stub),"")</f>
        <v/>
      </c>
      <c r="J8" s="15"/>
      <c r="K8" s="31" t="s">
        <v>7</v>
      </c>
      <c r="L8" s="36"/>
      <c r="M8" s="33">
        <f>IFERROR(INDEX(Employees[Gross
HOURS],Stub),"")</f>
        <v>-10.120000000000005</v>
      </c>
      <c r="N8" s="21"/>
      <c r="O8" s="39"/>
      <c r="P8" s="2"/>
    </row>
    <row r="9" spans="2:16" ht="16.5" customHeight="1" x14ac:dyDescent="0.2">
      <c r="B9" s="20"/>
      <c r="C9" s="78" t="s">
        <v>28</v>
      </c>
      <c r="D9" s="79"/>
      <c r="E9" s="27">
        <f>IFERROR(INDEX(Employees[Ded''s AMOUNT],Stub),"")</f>
        <v>170</v>
      </c>
      <c r="F9" s="15"/>
      <c r="G9" s="31" t="s">
        <v>8</v>
      </c>
      <c r="H9" s="37"/>
      <c r="I9" s="33" t="str">
        <f>IFERROR(INDEX(#REF!,Stub),"")</f>
        <v/>
      </c>
      <c r="J9" s="15"/>
      <c r="K9" s="31" t="s">
        <v>20</v>
      </c>
      <c r="L9" s="37"/>
      <c r="M9" s="33" t="str">
        <f>IFERROR(INDEX(Employees[Ded''s AMOUNT],Stub)  +  INDEX(#REF!,Stub),"")</f>
        <v/>
      </c>
      <c r="N9" s="21"/>
      <c r="O9" s="39"/>
      <c r="P9" s="2"/>
    </row>
    <row r="10" spans="2:16" ht="16.5" customHeight="1" x14ac:dyDescent="0.2">
      <c r="B10" s="20"/>
      <c r="C10" s="76" t="s">
        <v>29</v>
      </c>
      <c r="D10" s="77"/>
      <c r="E10" s="29"/>
      <c r="F10" s="15"/>
      <c r="G10" s="28"/>
      <c r="H10" s="38"/>
      <c r="I10" s="29"/>
      <c r="J10" s="15"/>
      <c r="K10" s="28"/>
      <c r="L10" s="38"/>
      <c r="M10" s="29"/>
      <c r="N10" s="21"/>
      <c r="O10" s="39"/>
      <c r="P10" s="2"/>
    </row>
    <row r="11" spans="2:16" ht="15.75" customHeight="1" x14ac:dyDescent="0.2">
      <c r="B11" s="20"/>
      <c r="C11" s="3"/>
      <c r="D11" s="3"/>
      <c r="E11" s="3"/>
      <c r="F11" s="3"/>
      <c r="G11" s="3"/>
      <c r="H11" s="3"/>
      <c r="I11" s="3"/>
      <c r="J11" s="3"/>
      <c r="K11" s="25" t="s">
        <v>26</v>
      </c>
      <c r="L11" s="25"/>
      <c r="M11" s="24">
        <f>IFERROR(INDEX(Employees[Net Pay],Stub),"")</f>
        <v>0</v>
      </c>
      <c r="N11" s="21"/>
      <c r="O11" s="39"/>
      <c r="P11" s="2"/>
    </row>
    <row r="12" spans="2:16" ht="10.5" customHeight="1" thickBot="1" x14ac:dyDescent="0.25">
      <c r="B12" s="22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23"/>
      <c r="O12" s="39"/>
      <c r="P12" s="2"/>
    </row>
    <row r="13" spans="2:16" ht="15" customHeight="1" thickBot="1" x14ac:dyDescent="0.25">
      <c r="P13" s="2"/>
    </row>
    <row r="14" spans="2:16" ht="27.75" customHeight="1" x14ac:dyDescent="0.2">
      <c r="B14" s="17"/>
      <c r="C14" s="18" t="str">
        <f>CompanyName</f>
        <v>FABRIL SOLUTIONS</v>
      </c>
      <c r="D14" s="18"/>
      <c r="E14" s="16"/>
      <c r="F14" s="16"/>
      <c r="G14" s="16"/>
      <c r="H14" s="16"/>
      <c r="I14" s="16"/>
      <c r="J14" s="16"/>
      <c r="K14" s="16"/>
      <c r="L14" s="16"/>
      <c r="M14" s="16"/>
      <c r="N14" s="19"/>
      <c r="O14" s="39"/>
      <c r="P14" s="2"/>
    </row>
    <row r="15" spans="2:16" ht="16.5" customHeight="1" x14ac:dyDescent="0.2">
      <c r="B15" s="20"/>
      <c r="C15" s="26" t="s">
        <v>23</v>
      </c>
      <c r="D15" s="80" t="e">
        <f>PeriodEnding</f>
        <v>#REF!</v>
      </c>
      <c r="E15" s="80"/>
      <c r="F15" s="12"/>
      <c r="G15" s="26" t="s">
        <v>24</v>
      </c>
      <c r="H15" s="81" t="str">
        <f>IFERROR(INDEX(Employees[Employee Name],Stub),"")</f>
        <v>KARAMJEETH SINGH</v>
      </c>
      <c r="I15" s="81"/>
      <c r="J15" s="13"/>
      <c r="K15" s="26" t="s">
        <v>25</v>
      </c>
      <c r="L15" s="82">
        <f>IFERROR(INDEX(Employees[ID],Stub),"")</f>
        <v>1002</v>
      </c>
      <c r="M15" s="82"/>
      <c r="N15" s="21"/>
      <c r="O15" s="39"/>
      <c r="P15" s="2"/>
    </row>
    <row r="16" spans="2:16" ht="16.5" customHeight="1" x14ac:dyDescent="0.2">
      <c r="B16" s="20"/>
      <c r="C16" s="30" t="s">
        <v>0</v>
      </c>
      <c r="D16" s="35"/>
      <c r="E16" s="32" t="str">
        <f>IFERROR(INDEX(#REF!,Stub),"")</f>
        <v/>
      </c>
      <c r="F16" s="14"/>
      <c r="G16" s="30" t="s">
        <v>1</v>
      </c>
      <c r="H16" s="35"/>
      <c r="I16" s="32" t="str">
        <f>IFERROR(INDEX(#REF!,Stub),"")</f>
        <v/>
      </c>
      <c r="J16" s="14"/>
      <c r="K16" s="30" t="s">
        <v>12</v>
      </c>
      <c r="L16" s="35"/>
      <c r="M16" s="32">
        <f>IFERROR(INDEX(Employees[HOURS CALCULATED],Stub),"")</f>
        <v>143.28</v>
      </c>
      <c r="N16" s="21"/>
      <c r="O16" s="39"/>
      <c r="P16" s="2"/>
    </row>
    <row r="17" spans="2:16" ht="16.5" customHeight="1" x14ac:dyDescent="0.2">
      <c r="B17" s="20"/>
      <c r="C17" s="31" t="s">
        <v>13</v>
      </c>
      <c r="D17" s="36"/>
      <c r="E17" s="33" t="str">
        <f>IFERROR(INDEX(#REF!,Stub),"")</f>
        <v/>
      </c>
      <c r="F17" s="15"/>
      <c r="G17" s="31" t="s">
        <v>6</v>
      </c>
      <c r="H17" s="36"/>
      <c r="I17" s="33" t="str">
        <f>IFERROR(INDEX(#REF!,Stub),"")</f>
        <v/>
      </c>
      <c r="J17" s="15"/>
      <c r="K17" s="31" t="s">
        <v>4</v>
      </c>
      <c r="L17" s="36"/>
      <c r="M17" s="34" t="str">
        <f>IFERROR(INDEX(#REF!,Stub),"")</f>
        <v/>
      </c>
      <c r="N17" s="21"/>
      <c r="O17" s="39"/>
      <c r="P17" s="2"/>
    </row>
    <row r="18" spans="2:16" ht="16.5" customHeight="1" x14ac:dyDescent="0.2">
      <c r="B18" s="20"/>
      <c r="C18" s="31" t="s">
        <v>14</v>
      </c>
      <c r="D18" s="36"/>
      <c r="E18" s="33" t="str">
        <f>IFERROR(INDEX(#REF!,Stub)  *  INDEX(Employees[Gross
HOURS],Stub),"")</f>
        <v/>
      </c>
      <c r="F18" s="15"/>
      <c r="G18" s="31" t="s">
        <v>15</v>
      </c>
      <c r="H18" s="36"/>
      <c r="I18" s="33" t="str">
        <f>IFERROR(INDEX(#REF!,Stub)  *  INDEX(Employees[Gross
HOURS],Stub),"")</f>
        <v/>
      </c>
      <c r="J18" s="15"/>
      <c r="K18" s="31" t="s">
        <v>3</v>
      </c>
      <c r="L18" s="36"/>
      <c r="M18" s="34">
        <f>IFERROR(INDEX(Employees[OWING HOURS],Stub),"")</f>
        <v>-129.01</v>
      </c>
      <c r="N18" s="21"/>
      <c r="O18" s="39"/>
      <c r="P18" s="2"/>
    </row>
    <row r="19" spans="2:16" ht="16.5" customHeight="1" x14ac:dyDescent="0.2">
      <c r="B19" s="20"/>
      <c r="C19" s="31" t="s">
        <v>16</v>
      </c>
      <c r="D19" s="36"/>
      <c r="E19" s="33" t="str">
        <f>IFERROR(INDEX(#REF!,Stub)  *  INDEX(Employees[Gross
HOURS],Stub),"")</f>
        <v/>
      </c>
      <c r="F19" s="15"/>
      <c r="G19" s="31" t="s">
        <v>17</v>
      </c>
      <c r="H19" s="36"/>
      <c r="I19" s="33" t="str">
        <f>IFERROR(INDEX(#REF!,Stub)  *  INDEX(Employees[Gross
HOURS],Stub),"")</f>
        <v/>
      </c>
      <c r="J19" s="15"/>
      <c r="K19" s="31" t="s">
        <v>5</v>
      </c>
      <c r="L19" s="36"/>
      <c r="M19" s="34" t="str">
        <f>IFERROR(INDEX(#REF!,Stub),"")</f>
        <v/>
      </c>
      <c r="N19" s="21"/>
      <c r="O19" s="39"/>
      <c r="P19" s="2"/>
    </row>
    <row r="20" spans="2:16" ht="16.5" customHeight="1" x14ac:dyDescent="0.2">
      <c r="B20" s="20"/>
      <c r="C20" s="31" t="s">
        <v>18</v>
      </c>
      <c r="D20" s="36"/>
      <c r="E20" s="33" t="str">
        <f>IFERROR(INDEX(#REF!,Stub),"")</f>
        <v/>
      </c>
      <c r="F20" s="15"/>
      <c r="G20" s="31" t="s">
        <v>19</v>
      </c>
      <c r="H20" s="36"/>
      <c r="I20" s="33" t="str">
        <f>IFERROR(INDEX(#REF!,Stub),"")</f>
        <v/>
      </c>
      <c r="J20" s="15"/>
      <c r="K20" s="31" t="s">
        <v>7</v>
      </c>
      <c r="L20" s="36"/>
      <c r="M20" s="33">
        <f>IFERROR(INDEX(Employees[Gross
HOURS],Stub),"")</f>
        <v>-65.72999999999999</v>
      </c>
      <c r="N20" s="21"/>
      <c r="O20" s="39"/>
      <c r="P20" s="2"/>
    </row>
    <row r="21" spans="2:16" ht="16.5" customHeight="1" x14ac:dyDescent="0.2">
      <c r="B21" s="20"/>
      <c r="C21" s="78" t="s">
        <v>28</v>
      </c>
      <c r="D21" s="79"/>
      <c r="E21" s="27">
        <f>IFERROR(INDEX(Employees[Ded''s AMOUNT],Stub),"")</f>
        <v>0</v>
      </c>
      <c r="F21" s="15"/>
      <c r="G21" s="31" t="s">
        <v>8</v>
      </c>
      <c r="H21" s="37"/>
      <c r="I21" s="33" t="str">
        <f>IFERROR(INDEX(#REF!,Stub),"")</f>
        <v/>
      </c>
      <c r="J21" s="15"/>
      <c r="K21" s="31" t="s">
        <v>20</v>
      </c>
      <c r="L21" s="37"/>
      <c r="M21" s="33" t="str">
        <f>IFERROR(INDEX(Employees[Ded''s AMOUNT],Stub)  +  INDEX(#REF!,Stub),"")</f>
        <v/>
      </c>
      <c r="N21" s="21"/>
      <c r="O21" s="39"/>
      <c r="P21" s="2"/>
    </row>
    <row r="22" spans="2:16" ht="16.5" customHeight="1" x14ac:dyDescent="0.2">
      <c r="B22" s="20"/>
      <c r="C22" s="76" t="s">
        <v>29</v>
      </c>
      <c r="D22" s="77"/>
      <c r="E22" s="29"/>
      <c r="F22" s="15"/>
      <c r="G22" s="28"/>
      <c r="H22" s="38"/>
      <c r="I22" s="29"/>
      <c r="J22" s="15"/>
      <c r="K22" s="28"/>
      <c r="L22" s="38"/>
      <c r="M22" s="29"/>
      <c r="N22" s="21"/>
      <c r="O22" s="39"/>
      <c r="P22" s="2"/>
    </row>
    <row r="23" spans="2:16" ht="15.75" customHeight="1" x14ac:dyDescent="0.2">
      <c r="B23" s="20"/>
      <c r="C23" s="3"/>
      <c r="D23" s="3"/>
      <c r="E23" s="3"/>
      <c r="F23" s="3"/>
      <c r="G23" s="3"/>
      <c r="H23" s="3"/>
      <c r="I23" s="3"/>
      <c r="J23" s="3"/>
      <c r="K23" s="25" t="s">
        <v>26</v>
      </c>
      <c r="L23" s="25"/>
      <c r="M23" s="24">
        <f>IFERROR(INDEX(Employees[Net Pay],Stub),"")</f>
        <v>0</v>
      </c>
      <c r="N23" s="21"/>
      <c r="O23" s="39"/>
      <c r="P23" s="2"/>
    </row>
    <row r="24" spans="2:16" ht="10.5" customHeight="1" thickBot="1" x14ac:dyDescent="0.25">
      <c r="B24" s="2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23"/>
      <c r="O24" s="39"/>
      <c r="P24" s="2"/>
    </row>
    <row r="25" spans="2:16" ht="15" customHeight="1" thickBot="1" x14ac:dyDescent="0.25">
      <c r="P25" s="2"/>
    </row>
    <row r="26" spans="2:16" ht="27.75" customHeight="1" x14ac:dyDescent="0.2">
      <c r="B26" s="17"/>
      <c r="C26" s="18" t="str">
        <f>CompanyName</f>
        <v>FABRIL SOLUTIONS</v>
      </c>
      <c r="D26" s="18"/>
      <c r="E26" s="16"/>
      <c r="F26" s="16"/>
      <c r="G26" s="16"/>
      <c r="H26" s="16"/>
      <c r="I26" s="16"/>
      <c r="J26" s="16"/>
      <c r="K26" s="16"/>
      <c r="L26" s="16"/>
      <c r="M26" s="16"/>
      <c r="N26" s="19"/>
      <c r="O26" s="39"/>
      <c r="P26" s="2"/>
    </row>
    <row r="27" spans="2:16" ht="16.5" customHeight="1" x14ac:dyDescent="0.2">
      <c r="B27" s="20"/>
      <c r="C27" s="26" t="s">
        <v>27</v>
      </c>
      <c r="D27" s="80" t="e">
        <f>PeriodEnding</f>
        <v>#REF!</v>
      </c>
      <c r="E27" s="80"/>
      <c r="F27" s="12"/>
      <c r="G27" s="26" t="s">
        <v>24</v>
      </c>
      <c r="H27" s="81" t="str">
        <f>IFERROR(INDEX(Employees[Employee Name],Stub),"")</f>
        <v>NITHIN</v>
      </c>
      <c r="I27" s="81"/>
      <c r="J27" s="13"/>
      <c r="K27" s="26" t="s">
        <v>25</v>
      </c>
      <c r="L27" s="82">
        <f>IFERROR(INDEX(Employees[ID],Stub),"")</f>
        <v>1003</v>
      </c>
      <c r="M27" s="82"/>
      <c r="N27" s="21"/>
      <c r="O27" s="39"/>
      <c r="P27" s="2"/>
    </row>
    <row r="28" spans="2:16" ht="16.5" customHeight="1" x14ac:dyDescent="0.2">
      <c r="B28" s="20"/>
      <c r="C28" s="30" t="s">
        <v>0</v>
      </c>
      <c r="D28" s="35"/>
      <c r="E28" s="32" t="str">
        <f>IFERROR(INDEX(#REF!,Stub),"")</f>
        <v/>
      </c>
      <c r="F28" s="14"/>
      <c r="G28" s="30" t="s">
        <v>1</v>
      </c>
      <c r="H28" s="35"/>
      <c r="I28" s="32" t="str">
        <f>IFERROR(INDEX(#REF!,Stub),"")</f>
        <v/>
      </c>
      <c r="J28" s="14"/>
      <c r="K28" s="30" t="s">
        <v>12</v>
      </c>
      <c r="L28" s="35"/>
      <c r="M28" s="32">
        <f>IFERROR(INDEX(Employees[HOURS CALCULATED],Stub),"")</f>
        <v>155</v>
      </c>
      <c r="N28" s="21"/>
      <c r="O28" s="39"/>
      <c r="P28" s="2"/>
    </row>
    <row r="29" spans="2:16" ht="16.5" customHeight="1" x14ac:dyDescent="0.2">
      <c r="B29" s="20"/>
      <c r="C29" s="31" t="s">
        <v>13</v>
      </c>
      <c r="D29" s="36"/>
      <c r="E29" s="33" t="str">
        <f>IFERROR(INDEX(#REF!,Stub),"")</f>
        <v/>
      </c>
      <c r="F29" s="15"/>
      <c r="G29" s="31" t="s">
        <v>6</v>
      </c>
      <c r="H29" s="36"/>
      <c r="I29" s="33" t="str">
        <f>IFERROR(INDEX(#REF!,Stub),"")</f>
        <v/>
      </c>
      <c r="J29" s="15"/>
      <c r="K29" s="31" t="s">
        <v>4</v>
      </c>
      <c r="L29" s="36"/>
      <c r="M29" s="34" t="str">
        <f>IFERROR(INDEX(#REF!,Stub),"")</f>
        <v/>
      </c>
      <c r="N29" s="21"/>
      <c r="O29" s="39"/>
      <c r="P29" s="2"/>
    </row>
    <row r="30" spans="2:16" ht="16.5" customHeight="1" x14ac:dyDescent="0.2">
      <c r="B30" s="20"/>
      <c r="C30" s="31" t="s">
        <v>14</v>
      </c>
      <c r="D30" s="36"/>
      <c r="E30" s="33" t="str">
        <f>IFERROR(INDEX(#REF!,Stub)  *  INDEX(Employees[Gross
HOURS],Stub),"")</f>
        <v/>
      </c>
      <c r="F30" s="15"/>
      <c r="G30" s="31" t="s">
        <v>15</v>
      </c>
      <c r="H30" s="36"/>
      <c r="I30" s="33" t="str">
        <f>IFERROR(INDEX(#REF!,Stub)  *  INDEX(Employees[Gross
HOURS],Stub),"")</f>
        <v/>
      </c>
      <c r="J30" s="15"/>
      <c r="K30" s="31" t="s">
        <v>3</v>
      </c>
      <c r="L30" s="36"/>
      <c r="M30" s="34">
        <f>IFERROR(INDEX(Employees[OWING HOURS],Stub),"")</f>
        <v>-54.76</v>
      </c>
      <c r="N30" s="21"/>
      <c r="O30" s="39"/>
      <c r="P30" s="2"/>
    </row>
    <row r="31" spans="2:16" ht="16.5" customHeight="1" x14ac:dyDescent="0.2">
      <c r="B31" s="20"/>
      <c r="C31" s="31" t="s">
        <v>16</v>
      </c>
      <c r="D31" s="36"/>
      <c r="E31" s="33" t="str">
        <f>IFERROR(INDEX(#REF!,Stub)  *  INDEX(Employees[Gross
HOURS],Stub),"")</f>
        <v/>
      </c>
      <c r="F31" s="15"/>
      <c r="G31" s="31" t="s">
        <v>17</v>
      </c>
      <c r="H31" s="36"/>
      <c r="I31" s="33" t="str">
        <f>IFERROR(INDEX(#REF!,Stub)  *  INDEX(Employees[Gross
HOURS],Stub),"")</f>
        <v/>
      </c>
      <c r="J31" s="15"/>
      <c r="K31" s="31" t="s">
        <v>5</v>
      </c>
      <c r="L31" s="36"/>
      <c r="M31" s="34" t="str">
        <f>IFERROR(INDEX(#REF!,Stub),"")</f>
        <v/>
      </c>
      <c r="N31" s="21"/>
      <c r="O31" s="39"/>
      <c r="P31" s="2"/>
    </row>
    <row r="32" spans="2:16" ht="16.5" customHeight="1" x14ac:dyDescent="0.2">
      <c r="B32" s="20"/>
      <c r="C32" s="31" t="s">
        <v>18</v>
      </c>
      <c r="D32" s="36"/>
      <c r="E32" s="33" t="str">
        <f>IFERROR(INDEX(#REF!,Stub),"")</f>
        <v/>
      </c>
      <c r="F32" s="15"/>
      <c r="G32" s="31" t="s">
        <v>19</v>
      </c>
      <c r="H32" s="36"/>
      <c r="I32" s="33" t="str">
        <f>IFERROR(INDEX(#REF!,Stub),"")</f>
        <v/>
      </c>
      <c r="J32" s="15"/>
      <c r="K32" s="31" t="s">
        <v>7</v>
      </c>
      <c r="L32" s="36"/>
      <c r="M32" s="33">
        <f>IFERROR(INDEX(Employees[Gross
HOURS],Stub),"")</f>
        <v>30.240000000000009</v>
      </c>
      <c r="N32" s="21"/>
      <c r="O32" s="39"/>
      <c r="P32" s="2"/>
    </row>
    <row r="33" spans="2:16" ht="16.5" customHeight="1" x14ac:dyDescent="0.2">
      <c r="B33" s="20"/>
      <c r="C33" s="78" t="s">
        <v>28</v>
      </c>
      <c r="D33" s="79"/>
      <c r="E33" s="27">
        <f>IFERROR(INDEX(Employees[Ded''s AMOUNT],Stub),"")</f>
        <v>2500</v>
      </c>
      <c r="F33" s="15"/>
      <c r="G33" s="31" t="s">
        <v>8</v>
      </c>
      <c r="H33" s="37"/>
      <c r="I33" s="33" t="str">
        <f>IFERROR(INDEX(#REF!,Stub),"")</f>
        <v/>
      </c>
      <c r="J33" s="15"/>
      <c r="K33" s="31" t="s">
        <v>20</v>
      </c>
      <c r="L33" s="37"/>
      <c r="M33" s="33" t="str">
        <f>IFERROR(INDEX(Employees[Ded''s AMOUNT],Stub)  +  INDEX(#REF!,Stub),"")</f>
        <v/>
      </c>
      <c r="N33" s="21"/>
      <c r="O33" s="39"/>
      <c r="P33" s="2"/>
    </row>
    <row r="34" spans="2:16" ht="16.5" customHeight="1" x14ac:dyDescent="0.2">
      <c r="B34" s="20"/>
      <c r="C34" s="76" t="s">
        <v>29</v>
      </c>
      <c r="D34" s="77"/>
      <c r="E34" s="29"/>
      <c r="F34" s="15"/>
      <c r="G34" s="28"/>
      <c r="H34" s="38"/>
      <c r="I34" s="29"/>
      <c r="J34" s="15"/>
      <c r="K34" s="28"/>
      <c r="L34" s="38"/>
      <c r="M34" s="29"/>
      <c r="N34" s="21"/>
      <c r="O34" s="39"/>
      <c r="P34" s="2"/>
    </row>
    <row r="35" spans="2:16" ht="15.75" customHeight="1" x14ac:dyDescent="0.2">
      <c r="B35" s="20"/>
      <c r="C35" s="3"/>
      <c r="D35" s="3"/>
      <c r="E35" s="3"/>
      <c r="F35" s="3"/>
      <c r="G35" s="3"/>
      <c r="H35" s="3"/>
      <c r="I35" s="3"/>
      <c r="J35" s="3"/>
      <c r="K35" s="25" t="s">
        <v>26</v>
      </c>
      <c r="L35" s="25"/>
      <c r="M35" s="24">
        <f>IFERROR(INDEX(Employees[Net Pay],Stub),"")</f>
        <v>0</v>
      </c>
      <c r="N35" s="21"/>
      <c r="O35" s="39"/>
      <c r="P35" s="2"/>
    </row>
    <row r="36" spans="2:16" ht="10.5" customHeight="1" thickBot="1" x14ac:dyDescent="0.25">
      <c r="B36" s="2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23"/>
      <c r="O36" s="39"/>
      <c r="P36" s="2"/>
    </row>
    <row r="37" spans="2:16" ht="15" customHeight="1" thickBot="1" x14ac:dyDescent="0.25">
      <c r="P37" s="2"/>
    </row>
    <row r="38" spans="2:16" ht="27.75" customHeight="1" x14ac:dyDescent="0.2">
      <c r="B38" s="17"/>
      <c r="C38" s="18" t="str">
        <f>CompanyName</f>
        <v>FABRIL SOLUTIONS</v>
      </c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9"/>
      <c r="O38" s="39"/>
      <c r="P38" s="2"/>
    </row>
    <row r="39" spans="2:16" ht="16.5" customHeight="1" x14ac:dyDescent="0.2">
      <c r="B39" s="20"/>
      <c r="C39" s="26" t="s">
        <v>23</v>
      </c>
      <c r="D39" s="80" t="e">
        <f>PeriodEnding</f>
        <v>#REF!</v>
      </c>
      <c r="E39" s="80"/>
      <c r="F39" s="12"/>
      <c r="G39" s="26" t="s">
        <v>24</v>
      </c>
      <c r="H39" s="81" t="str">
        <f>IFERROR(INDEX(Employees[Employee Name],Stub),"")</f>
        <v>BABU</v>
      </c>
      <c r="I39" s="81"/>
      <c r="J39" s="13"/>
      <c r="K39" s="26" t="s">
        <v>25</v>
      </c>
      <c r="L39" s="82">
        <f>IFERROR(INDEX(Employees[ID],Stub),"")</f>
        <v>1004</v>
      </c>
      <c r="M39" s="82"/>
      <c r="N39" s="21"/>
      <c r="O39" s="39"/>
      <c r="P39" s="2"/>
    </row>
    <row r="40" spans="2:16" ht="16.5" customHeight="1" x14ac:dyDescent="0.2">
      <c r="B40" s="20"/>
      <c r="C40" s="30" t="s">
        <v>0</v>
      </c>
      <c r="D40" s="35"/>
      <c r="E40" s="32" t="str">
        <f>IFERROR(INDEX(#REF!,Stub),"")</f>
        <v/>
      </c>
      <c r="F40" s="14"/>
      <c r="G40" s="30" t="s">
        <v>1</v>
      </c>
      <c r="H40" s="35"/>
      <c r="I40" s="32" t="str">
        <f>IFERROR(INDEX(#REF!,Stub),"")</f>
        <v/>
      </c>
      <c r="J40" s="14"/>
      <c r="K40" s="30" t="s">
        <v>12</v>
      </c>
      <c r="L40" s="35"/>
      <c r="M40" s="32">
        <f>IFERROR(INDEX(Employees[HOURS CALCULATED],Stub),"")</f>
        <v>145.41999999999999</v>
      </c>
      <c r="N40" s="21"/>
      <c r="O40" s="39"/>
      <c r="P40" s="2"/>
    </row>
    <row r="41" spans="2:16" ht="16.5" customHeight="1" x14ac:dyDescent="0.2">
      <c r="B41" s="20"/>
      <c r="C41" s="31" t="s">
        <v>13</v>
      </c>
      <c r="D41" s="36"/>
      <c r="E41" s="33" t="str">
        <f>IFERROR(INDEX(#REF!,Stub),"")</f>
        <v/>
      </c>
      <c r="F41" s="15"/>
      <c r="G41" s="31" t="s">
        <v>6</v>
      </c>
      <c r="H41" s="36"/>
      <c r="I41" s="33" t="str">
        <f>IFERROR(INDEX(#REF!,Stub),"")</f>
        <v/>
      </c>
      <c r="J41" s="15"/>
      <c r="K41" s="31" t="s">
        <v>4</v>
      </c>
      <c r="L41" s="36"/>
      <c r="M41" s="34" t="str">
        <f>IFERROR(INDEX(#REF!,Stub),"")</f>
        <v/>
      </c>
      <c r="N41" s="21"/>
      <c r="O41" s="39"/>
      <c r="P41" s="2"/>
    </row>
    <row r="42" spans="2:16" ht="16.5" customHeight="1" x14ac:dyDescent="0.2">
      <c r="B42" s="20"/>
      <c r="C42" s="31" t="s">
        <v>14</v>
      </c>
      <c r="D42" s="36"/>
      <c r="E42" s="33" t="str">
        <f>IFERROR(INDEX(#REF!,Stub)  *  INDEX(Employees[Gross
HOURS],Stub),"")</f>
        <v/>
      </c>
      <c r="F42" s="15"/>
      <c r="G42" s="31" t="s">
        <v>15</v>
      </c>
      <c r="H42" s="36"/>
      <c r="I42" s="33" t="str">
        <f>IFERROR(INDEX(#REF!,Stub)  *  INDEX(Employees[Gross
HOURS],Stub),"")</f>
        <v/>
      </c>
      <c r="J42" s="15"/>
      <c r="K42" s="31" t="s">
        <v>3</v>
      </c>
      <c r="L42" s="36"/>
      <c r="M42" s="34">
        <f>IFERROR(INDEX(Employees[OWING HOURS],Stub),"")</f>
        <v>-74.430000000000007</v>
      </c>
      <c r="N42" s="21"/>
      <c r="O42" s="39"/>
      <c r="P42" s="2"/>
    </row>
    <row r="43" spans="2:16" ht="16.5" customHeight="1" x14ac:dyDescent="0.2">
      <c r="B43" s="20"/>
      <c r="C43" s="31" t="s">
        <v>16</v>
      </c>
      <c r="D43" s="36"/>
      <c r="E43" s="33" t="str">
        <f>IFERROR(INDEX(#REF!,Stub)  *  INDEX(Employees[Gross
HOURS],Stub),"")</f>
        <v/>
      </c>
      <c r="F43" s="15"/>
      <c r="G43" s="31" t="s">
        <v>17</v>
      </c>
      <c r="H43" s="36"/>
      <c r="I43" s="33" t="str">
        <f>IFERROR(INDEX(#REF!,Stub)  *  INDEX(Employees[Gross
HOURS],Stub),"")</f>
        <v/>
      </c>
      <c r="J43" s="15"/>
      <c r="K43" s="31" t="s">
        <v>5</v>
      </c>
      <c r="L43" s="36"/>
      <c r="M43" s="34" t="str">
        <f>IFERROR(INDEX(#REF!,Stub),"")</f>
        <v/>
      </c>
      <c r="N43" s="21"/>
      <c r="O43" s="39"/>
      <c r="P43" s="2"/>
    </row>
    <row r="44" spans="2:16" ht="16.5" customHeight="1" x14ac:dyDescent="0.2">
      <c r="B44" s="20"/>
      <c r="C44" s="31" t="s">
        <v>18</v>
      </c>
      <c r="D44" s="36"/>
      <c r="E44" s="33" t="str">
        <f>IFERROR(INDEX(#REF!,Stub),"")</f>
        <v/>
      </c>
      <c r="F44" s="15"/>
      <c r="G44" s="31" t="s">
        <v>19</v>
      </c>
      <c r="H44" s="36"/>
      <c r="I44" s="33" t="str">
        <f>IFERROR(INDEX(#REF!,Stub),"")</f>
        <v/>
      </c>
      <c r="J44" s="15"/>
      <c r="K44" s="31" t="s">
        <v>7</v>
      </c>
      <c r="L44" s="36"/>
      <c r="M44" s="33">
        <f>IFERROR(INDEX(Employees[Gross
HOURS],Stub),"")</f>
        <v>0.98999999999998067</v>
      </c>
      <c r="N44" s="21"/>
      <c r="O44" s="39"/>
      <c r="P44" s="2"/>
    </row>
    <row r="45" spans="2:16" ht="16.5" customHeight="1" x14ac:dyDescent="0.2">
      <c r="B45" s="20"/>
      <c r="C45" s="78" t="s">
        <v>28</v>
      </c>
      <c r="D45" s="79"/>
      <c r="E45" s="27">
        <f>IFERROR(INDEX(Employees[Ded''s AMOUNT],Stub),"")</f>
        <v>2029.5</v>
      </c>
      <c r="F45" s="15"/>
      <c r="G45" s="31" t="s">
        <v>8</v>
      </c>
      <c r="H45" s="37"/>
      <c r="I45" s="33" t="str">
        <f>IFERROR(INDEX(#REF!,Stub),"")</f>
        <v/>
      </c>
      <c r="J45" s="15"/>
      <c r="K45" s="31" t="s">
        <v>20</v>
      </c>
      <c r="L45" s="37"/>
      <c r="M45" s="33" t="str">
        <f>IFERROR(INDEX(Employees[Ded''s AMOUNT],Stub)  +  INDEX(#REF!,Stub),"")</f>
        <v/>
      </c>
      <c r="N45" s="21"/>
      <c r="O45" s="39"/>
      <c r="P45" s="2"/>
    </row>
    <row r="46" spans="2:16" ht="16.5" customHeight="1" x14ac:dyDescent="0.2">
      <c r="B46" s="20"/>
      <c r="C46" s="76" t="s">
        <v>29</v>
      </c>
      <c r="D46" s="77"/>
      <c r="E46" s="29"/>
      <c r="F46" s="15"/>
      <c r="G46" s="28"/>
      <c r="H46" s="38"/>
      <c r="I46" s="29"/>
      <c r="J46" s="15"/>
      <c r="K46" s="28"/>
      <c r="L46" s="38"/>
      <c r="M46" s="29"/>
      <c r="N46" s="21"/>
      <c r="O46" s="39"/>
      <c r="P46" s="2"/>
    </row>
    <row r="47" spans="2:16" ht="15.75" customHeight="1" x14ac:dyDescent="0.2">
      <c r="B47" s="20"/>
      <c r="C47" s="3"/>
      <c r="D47" s="3"/>
      <c r="E47" s="3"/>
      <c r="F47" s="3"/>
      <c r="G47" s="3"/>
      <c r="H47" s="3"/>
      <c r="I47" s="3"/>
      <c r="J47" s="3"/>
      <c r="K47" s="25" t="s">
        <v>26</v>
      </c>
      <c r="L47" s="25"/>
      <c r="M47" s="24">
        <f>IFERROR(INDEX(Employees[Net Pay],Stub),"")</f>
        <v>0</v>
      </c>
      <c r="N47" s="21"/>
      <c r="O47" s="39"/>
      <c r="P47" s="2"/>
    </row>
    <row r="48" spans="2:16" ht="10.5" customHeight="1" thickBot="1" x14ac:dyDescent="0.25">
      <c r="B48" s="2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23"/>
      <c r="O48" s="39"/>
      <c r="P48" s="2"/>
    </row>
    <row r="49" ht="15" customHeight="1" x14ac:dyDescent="0.2"/>
  </sheetData>
  <mergeCells count="20">
    <mergeCell ref="H3:I3"/>
    <mergeCell ref="H15:I15"/>
    <mergeCell ref="H27:I27"/>
    <mergeCell ref="H39:I39"/>
    <mergeCell ref="L39:M39"/>
    <mergeCell ref="L27:M27"/>
    <mergeCell ref="L15:M15"/>
    <mergeCell ref="L3:M3"/>
    <mergeCell ref="D3:E3"/>
    <mergeCell ref="D15:E15"/>
    <mergeCell ref="D27:E27"/>
    <mergeCell ref="D39:E39"/>
    <mergeCell ref="C45:D45"/>
    <mergeCell ref="C9:D9"/>
    <mergeCell ref="C10:D10"/>
    <mergeCell ref="C46:D46"/>
    <mergeCell ref="C33:D33"/>
    <mergeCell ref="C34:D34"/>
    <mergeCell ref="C21:D21"/>
    <mergeCell ref="C22:D22"/>
  </mergeCells>
  <printOptions horizontalCentered="1"/>
  <pageMargins left="0.25" right="0.25" top="0.5" bottom="0.5" header="0.3" footer="0.3"/>
  <pageSetup scale="86" fitToWidth="0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16B4335-69EE-4932-AE69-C68F7AAA65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09APRIL</vt:lpstr>
      <vt:lpstr>UCG PAY</vt:lpstr>
      <vt:lpstr>ROW PAY</vt:lpstr>
      <vt:lpstr>SDU PAY</vt:lpstr>
      <vt:lpstr>stubs_template</vt:lpstr>
      <vt:lpstr>'ROW PAY'!CompanyName</vt:lpstr>
      <vt:lpstr>'UCG PAY'!CompanyName</vt:lpstr>
      <vt:lpstr>CompanyName</vt:lpstr>
      <vt:lpstr>'ROW PAY'!Print_Titles</vt:lpstr>
      <vt:lpstr>'SDU PAY'!Print_Titles</vt:lpstr>
      <vt:lpstr>'UCG PAY'!Print_Titles</vt:lpstr>
      <vt:lpstr>StubStruc</vt:lpstr>
      <vt:lpstr>ThePage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2018-03-20T04:54:55Z</dcterms:created>
  <dcterms:modified xsi:type="dcterms:W3CDTF">2018-04-11T02:59:32Z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TC029300449991</vt:lpwstr>
  </property>
</Properties>
</file>