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AY\OneDrive\Desktop\"/>
    </mc:Choice>
  </mc:AlternateContent>
  <bookViews>
    <workbookView xWindow="0" yWindow="0" windowWidth="28800" windowHeight="11760" activeTab="3"/>
  </bookViews>
  <sheets>
    <sheet name="Project Tracker" sheetId="1" r:id="rId1"/>
    <sheet name="Setup" sheetId="2" r:id="rId2"/>
    <sheet name="FM list" sheetId="4" r:id="rId3"/>
    <sheet name="Row Build Project" sheetId="3" r:id="rId4"/>
    <sheet name="Sheet1" sheetId="5" r:id="rId5"/>
  </sheets>
  <definedNames>
    <definedName name="CategoryList">Setup!$B$5:$B$10</definedName>
    <definedName name="ColumnTitle1">'Project Tracker'!$B$4</definedName>
    <definedName name="ColumnTitle2">CategoryAndEmployeeTable[[#Headers],[Category Name]]</definedName>
    <definedName name="EmployeeList">Setup!$C$5:$C$10</definedName>
    <definedName name="FFFF">'FM list'!$A$1:$D$47</definedName>
    <definedName name="FlagPercent">'Project Tracker'!$D$2</definedName>
    <definedName name="FMdetails">Table4[#All]</definedName>
    <definedName name="_xlnm.Print_Titles" localSheetId="0">'Project Tracker'!$4:$4</definedName>
  </definedNames>
  <calcPr calcId="162913"/>
</workbook>
</file>

<file path=xl/calcChain.xml><?xml version="1.0" encoding="utf-8"?>
<calcChain xmlns="http://schemas.openxmlformats.org/spreadsheetml/2006/main">
  <c r="O5" i="3" l="1"/>
  <c r="O8" i="3"/>
  <c r="O6" i="3" l="1"/>
  <c r="O7" i="3"/>
  <c r="O9" i="3"/>
  <c r="O10" i="3"/>
  <c r="O11" i="3"/>
  <c r="O12" i="3"/>
  <c r="O13" i="3"/>
  <c r="O14" i="3"/>
  <c r="O15" i="3"/>
  <c r="O16" i="3"/>
  <c r="O17" i="3"/>
  <c r="O18" i="3"/>
  <c r="O19" i="3"/>
  <c r="O20" i="3"/>
  <c r="O21" i="3"/>
  <c r="N7" i="3" l="1"/>
  <c r="N17" i="3"/>
  <c r="N18" i="3"/>
  <c r="N19" i="3"/>
  <c r="N20" i="3"/>
  <c r="N21" i="3"/>
  <c r="N13" i="3"/>
  <c r="N14" i="3"/>
  <c r="N15" i="3"/>
  <c r="N16" i="3"/>
  <c r="N9" i="3"/>
  <c r="N10" i="3"/>
  <c r="N11" i="3"/>
  <c r="N12" i="3"/>
  <c r="K5" i="1" l="1"/>
  <c r="K6" i="1"/>
  <c r="K7" i="1"/>
  <c r="K8" i="1"/>
  <c r="K9" i="1"/>
  <c r="K10" i="1"/>
  <c r="K11" i="1"/>
  <c r="K12" i="1"/>
  <c r="K13" i="1"/>
  <c r="H13" i="1"/>
  <c r="N13" i="1"/>
  <c r="M13" i="1" l="1"/>
  <c r="J12" i="1"/>
  <c r="J11" i="1"/>
  <c r="J10" i="1"/>
  <c r="J9" i="1"/>
  <c r="J8" i="1"/>
  <c r="J7" i="1"/>
  <c r="J6" i="1"/>
  <c r="J5" i="1"/>
  <c r="I12" i="1"/>
  <c r="I11" i="1"/>
  <c r="I10" i="1"/>
  <c r="I9" i="1"/>
  <c r="I8" i="1"/>
  <c r="I7" i="1"/>
  <c r="I6" i="1"/>
  <c r="I5" i="1"/>
  <c r="N9" i="1" l="1"/>
  <c r="N6" i="1"/>
  <c r="N10" i="1"/>
  <c r="N7" i="1"/>
  <c r="N11" i="1"/>
  <c r="N8" i="1"/>
  <c r="N12" i="1"/>
  <c r="F6" i="1"/>
  <c r="E6" i="1"/>
  <c r="F5" i="1"/>
  <c r="E5" i="1"/>
  <c r="E9" i="1"/>
  <c r="F12" i="1" l="1"/>
  <c r="E12" i="1"/>
  <c r="F11" i="1"/>
  <c r="E11" i="1"/>
  <c r="F10" i="1"/>
  <c r="E10" i="1"/>
  <c r="F9" i="1"/>
  <c r="F8" i="1"/>
  <c r="E8" i="1"/>
  <c r="E7" i="1"/>
  <c r="F7" i="1"/>
  <c r="H12" i="1" l="1"/>
  <c r="M12" i="1" s="1"/>
  <c r="H11" i="1"/>
  <c r="M11" i="1" s="1"/>
  <c r="H10" i="1"/>
  <c r="M10" i="1" s="1"/>
  <c r="H9" i="1"/>
  <c r="H8" i="1"/>
  <c r="H7" i="1"/>
  <c r="H6" i="1"/>
  <c r="H5" i="1"/>
  <c r="M6" i="1" l="1"/>
  <c r="M7" i="1"/>
  <c r="M8" i="1"/>
  <c r="M9" i="1"/>
  <c r="N5" i="1"/>
  <c r="M5" i="1" l="1"/>
</calcChain>
</file>

<file path=xl/sharedStrings.xml><?xml version="1.0" encoding="utf-8"?>
<sst xmlns="http://schemas.openxmlformats.org/spreadsheetml/2006/main" count="313" uniqueCount="146">
  <si>
    <t>Project</t>
  </si>
  <si>
    <t>Category</t>
  </si>
  <si>
    <t>Assigned To</t>
  </si>
  <si>
    <t>Employee 1</t>
  </si>
  <si>
    <t>Employee 2</t>
  </si>
  <si>
    <t>Employee 3</t>
  </si>
  <si>
    <t>Employee 4</t>
  </si>
  <si>
    <t>Setup</t>
  </si>
  <si>
    <t>Project Tracker</t>
  </si>
  <si>
    <t xml:space="preserve">Percent Over/Under to Flag: </t>
  </si>
  <si>
    <t>Notes</t>
  </si>
  <si>
    <t>Category 1</t>
  </si>
  <si>
    <t>Category 2</t>
  </si>
  <si>
    <t>Category 3</t>
  </si>
  <si>
    <t>Category 4</t>
  </si>
  <si>
    <t>Category 5</t>
  </si>
  <si>
    <t>Category 6</t>
  </si>
  <si>
    <t>Project 1</t>
  </si>
  <si>
    <t>Project 2</t>
  </si>
  <si>
    <t>Project 3</t>
  </si>
  <si>
    <t>Project 4</t>
  </si>
  <si>
    <t>Project 5</t>
  </si>
  <si>
    <t>Project 6</t>
  </si>
  <si>
    <t>Project 7</t>
  </si>
  <si>
    <t>Project 8</t>
  </si>
  <si>
    <t>Estimated
Start</t>
  </si>
  <si>
    <t>Actual
Finish</t>
  </si>
  <si>
    <t>Estimated 
Finish</t>
  </si>
  <si>
    <t>Employee Name</t>
  </si>
  <si>
    <t>Category Name</t>
  </si>
  <si>
    <t>Estimated Work (in hours)</t>
  </si>
  <si>
    <t>Actual Work (in hours)</t>
  </si>
  <si>
    <t>Actual Duration (in days)</t>
  </si>
  <si>
    <t>Estimated Duration (in days)</t>
  </si>
  <si>
    <t>Flag icon for Over/Under Actual Work (in hours)</t>
  </si>
  <si>
    <t>Flag icon for Over/Under Actual Duration (in days)</t>
  </si>
  <si>
    <t>Actual 
Start</t>
  </si>
  <si>
    <t>project 9</t>
  </si>
  <si>
    <t>Project Name</t>
  </si>
  <si>
    <t xml:space="preserve">Patch/Area </t>
  </si>
  <si>
    <t>Work ID</t>
  </si>
  <si>
    <t>HCK: A: Bradbury RD - AKL - 134, Unit 1 (NGA-ROW) - Telecom Retail (129940)</t>
  </si>
  <si>
    <t>AVD: A: Blockhouse Bay RD - AKL - 242, Unit C(NGA-ROW) - Telecom Retail (133975)</t>
  </si>
  <si>
    <t>POY: A: Marine Parade - AKL - 69(NGA-ROW) - Telecom Retail (133054)</t>
  </si>
  <si>
    <t>GDW: A: Riddell RD - AKL - 153B(NGA-ROW) - Telecom Retail (133661)</t>
  </si>
  <si>
    <t>PUK: A: Helvetia RD - AKL - 81C(NGA-ROW) - Telecom Retail (132877)</t>
  </si>
  <si>
    <t>PUK: A: Oakwood PL - AKL - 8B(NGA-ROW) - Vodafone (132820)</t>
  </si>
  <si>
    <t>Payment</t>
  </si>
  <si>
    <t>Field Manager</t>
  </si>
  <si>
    <t>FM Email ID</t>
  </si>
  <si>
    <t>Greg Tuanau</t>
  </si>
  <si>
    <t>Gregory.Tuanau@visionstream.co.nz</t>
  </si>
  <si>
    <t>Davlyn Brider</t>
  </si>
  <si>
    <t>Davlyn.Brider@visionstream.co.nz</t>
  </si>
  <si>
    <t>Andrew McKinnon</t>
  </si>
  <si>
    <t>Andrew.Mckinnon@visionstream.co.nz</t>
  </si>
  <si>
    <t>Neil Panther</t>
  </si>
  <si>
    <t>Neil.Panther@visionstream.co.nz</t>
  </si>
  <si>
    <t>Target Date</t>
  </si>
  <si>
    <t>HCK: Bert Wilson PL - AKL - 27A(NGA-ROW) - CallPlus (132054)</t>
  </si>
  <si>
    <t>GDW: A: Tarawera TCE - AKL - 11D(NGA-ROW) - Vodafone (133555)</t>
  </si>
  <si>
    <t>POY: A: Sackville ST - AKL - 48, Unit 2(NGA-ROW) - Vodafone (132526)</t>
  </si>
  <si>
    <t>HCK: A: Renlee PL - AKL - 17(NGA-ROW) - CallPlus (127520)</t>
  </si>
  <si>
    <t>OH: Panama RD - WLG - 392(NGA-ROW) - CallPlus (133174)</t>
  </si>
  <si>
    <t>MAB: A: New North RD - AKL - 739(NGA-ROW) - CallPlus (133862)</t>
  </si>
  <si>
    <t>PAK: A: Keri Vista RISE - AKL - 35A(NGA-ROW) - Vodafone (134222)</t>
  </si>
  <si>
    <t>PAK: A: Keri Vista RISE - AKL - 125(NGA-ROW) - Snap (133968)</t>
  </si>
  <si>
    <t>Job Status</t>
  </si>
  <si>
    <t>Completed</t>
  </si>
  <si>
    <t>Started</t>
  </si>
  <si>
    <t>Comments</t>
  </si>
  <si>
    <t>IFDB to be installed</t>
  </si>
  <si>
    <t>OSB TO BE DONE</t>
  </si>
  <si>
    <t>Modification in plan</t>
  </si>
  <si>
    <t>Kranthi</t>
  </si>
  <si>
    <t>Santhan</t>
  </si>
  <si>
    <t>Lokesh</t>
  </si>
  <si>
    <t>Garry</t>
  </si>
  <si>
    <t>To be started</t>
  </si>
  <si>
    <t>Areas Covered</t>
  </si>
  <si>
    <t>Phone Number</t>
  </si>
  <si>
    <t>Email Address</t>
  </si>
  <si>
    <t>027 205 1919</t>
  </si>
  <si>
    <t>027 839 2400</t>
  </si>
  <si>
    <t>Regan Foai</t>
  </si>
  <si>
    <t>027 704 6965</t>
  </si>
  <si>
    <t>Regan.Foai@visionstream.co.nz</t>
  </si>
  <si>
    <t>Graeme Bell</t>
  </si>
  <si>
    <t>027 482 7348</t>
  </si>
  <si>
    <t>graeme.bell@visionstream.co.nz</t>
  </si>
  <si>
    <t>Glenn Harrison</t>
  </si>
  <si>
    <t>027 596 9134</t>
  </si>
  <si>
    <t>Glenn.Harrison@visionstream.co.nz</t>
  </si>
  <si>
    <t>027 262 8318</t>
  </si>
  <si>
    <t>027 614 1974</t>
  </si>
  <si>
    <t>27 704 6965</t>
  </si>
  <si>
    <t>27 596 9134</t>
  </si>
  <si>
    <t>PUK-NP07</t>
  </si>
  <si>
    <t>HCK-NP07</t>
  </si>
  <si>
    <t>PGA-NP07</t>
  </si>
  <si>
    <t>MNR-NP07</t>
  </si>
  <si>
    <t>PAK-NP07</t>
  </si>
  <si>
    <t>WH-NP07</t>
  </si>
  <si>
    <t>WKU-NP07</t>
  </si>
  <si>
    <t>ETM-NP07</t>
  </si>
  <si>
    <t>MKY-NP07</t>
  </si>
  <si>
    <t>MRE-NP07</t>
  </si>
  <si>
    <t>OAA-NP07</t>
  </si>
  <si>
    <t>OH-NP07</t>
  </si>
  <si>
    <t>POP-NP07</t>
  </si>
  <si>
    <t>MAB-NP08</t>
  </si>
  <si>
    <t>MOD-NP08</t>
  </si>
  <si>
    <t>MTL-NP08</t>
  </si>
  <si>
    <t>ON-NP08</t>
  </si>
  <si>
    <t>TIS-NP08</t>
  </si>
  <si>
    <t>TMK-NP08</t>
  </si>
  <si>
    <t>BD-NP09</t>
  </si>
  <si>
    <t>BKL-NP09</t>
  </si>
  <si>
    <t>GLF-NP09</t>
  </si>
  <si>
    <t>MSY-NP09</t>
  </si>
  <si>
    <t>ALY-NP09</t>
  </si>
  <si>
    <t>BSY-NP09</t>
  </si>
  <si>
    <t>DA-NP09</t>
  </si>
  <si>
    <t>FOR-NP09</t>
  </si>
  <si>
    <t>GNH-NP09</t>
  </si>
  <si>
    <t>TBY-NP09</t>
  </si>
  <si>
    <t>TNA-NP09</t>
  </si>
  <si>
    <t>HBC-NP10</t>
  </si>
  <si>
    <t>RDB-NP10</t>
  </si>
  <si>
    <t>AT-NP08</t>
  </si>
  <si>
    <t>ELL-NP08</t>
  </si>
  <si>
    <t>GDW-NP08</t>
  </si>
  <si>
    <t>POY-NP08</t>
  </si>
  <si>
    <t>RUE-NP08</t>
  </si>
  <si>
    <t>SHB-NP08</t>
  </si>
  <si>
    <t>AVD-NP08</t>
  </si>
  <si>
    <t>NLN-NP08</t>
  </si>
  <si>
    <t>GLE-NP09</t>
  </si>
  <si>
    <t>HSN-NP09</t>
  </si>
  <si>
    <t>KME-NP09</t>
  </si>
  <si>
    <t>TAT-NP09</t>
  </si>
  <si>
    <t>TGN-NP09</t>
  </si>
  <si>
    <t>WEI-NP09</t>
  </si>
  <si>
    <t>PGA: A: Grassways AVE - AKL - 34, Unit B (NGA-ROW) - Telecom Retail (131078)</t>
  </si>
  <si>
    <t>HCK: A: Marendellas DR - AKL - 15 (NGA-ROW) - Telecom Retail (130744)</t>
  </si>
  <si>
    <t>PUK: A: Brownlee PL - AKL - 16(NGA-ROW) - Vodafone (133655)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</si>
</sst>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Over/Under flag&quot;;&quot;&quot;;&quot;&quot;"/>
    <numFmt numFmtId="165" formatCode="&quot;$&quot;#,##0.00"/>
  </numFmts>
  <fonts count="19"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u/>
      <sz val="11"/>
      <color theme="10"/>
      <name val="Century Gothic"/>
      <family val="2"/>
      <scheme val="minor"/>
    </font>
    <font>
      <sz val="10"/>
      <color rgb="FF000000"/>
      <name val="Arial"/>
      <family val="2"/>
    </font>
    <font>
      <sz val="11"/>
      <name val="Century Gothic"/>
      <family val="2"/>
      <scheme val="minor"/>
    </font>
    <font>
      <u/>
      <sz val="11"/>
      <name val="Century Gothic"/>
      <family val="2"/>
      <scheme val="minor"/>
    </font>
    <font>
      <sz val="10"/>
      <name val="Century Gothic"/>
      <family val="2"/>
      <scheme val="minor"/>
    </font>
    <font>
      <u/>
      <sz val="11"/>
      <color theme="2" tint="-0.89989928891872917"/>
      <name val="Century Gothic"/>
      <family val="2"/>
      <scheme val="minor"/>
    </font>
    <font>
      <b/>
      <sz val="10"/>
      <color rgb="FF000000"/>
      <name val="Arial"/>
      <family val="2"/>
    </font>
    <font>
      <sz val="11"/>
      <name val="Century Gothic"/>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FF"/>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xf numFmtId="0" fontId="11" fillId="0" borderId="0" applyNumberFormat="0" applyFill="0" applyBorder="0" applyAlignment="0" applyProtection="0"/>
  </cellStyleXfs>
  <cellXfs count="96">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6" fillId="0" borderId="0" xfId="6" applyNumberFormat="1" applyBorder="1">
      <alignment horizontal="left" vertical="center" wrapText="1" indent="1"/>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3" fontId="8" fillId="2" borderId="0" xfId="14" applyBorder="1">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164" fontId="9" fillId="0" borderId="4" xfId="12" applyFill="1">
      <alignment horizontal="right" vertical="center"/>
    </xf>
    <xf numFmtId="3" fontId="8" fillId="2" borderId="0" xfId="14">
      <alignment horizontal="left" vertical="center" indent="1"/>
    </xf>
    <xf numFmtId="14" fontId="6" fillId="0" borderId="5" xfId="11" applyNumberFormat="1">
      <alignment horizontal="left" vertical="center" wrapText="1" indent="2"/>
    </xf>
    <xf numFmtId="3" fontId="8" fillId="2" borderId="6" xfId="15">
      <alignment horizontal="left" vertical="center" indent="1"/>
    </xf>
    <xf numFmtId="0" fontId="13" fillId="0" borderId="7" xfId="0" applyFont="1" applyBorder="1" applyAlignment="1">
      <alignment horizontal="center" vertical="center" wrapText="1"/>
    </xf>
    <xf numFmtId="14" fontId="13" fillId="0" borderId="7" xfId="0" applyNumberFormat="1" applyFont="1" applyBorder="1" applyAlignment="1">
      <alignment horizontal="center" vertical="center" wrapText="1"/>
    </xf>
    <xf numFmtId="0" fontId="13" fillId="0" borderId="7" xfId="5" applyFont="1" applyBorder="1" applyAlignment="1">
      <alignment horizontal="center" vertical="center" wrapText="1"/>
    </xf>
    <xf numFmtId="14" fontId="13" fillId="0" borderId="7" xfId="8" applyNumberFormat="1" applyFont="1" applyBorder="1" applyAlignment="1" applyProtection="1">
      <alignment horizontal="center" vertical="center" wrapText="1"/>
    </xf>
    <xf numFmtId="3" fontId="13" fillId="2" borderId="7" xfId="15" applyFont="1" applyBorder="1" applyAlignment="1">
      <alignment horizontal="center" vertical="center" wrapText="1"/>
    </xf>
    <xf numFmtId="0" fontId="6" fillId="0" borderId="0" xfId="6" applyAlignment="1" applyProtection="1">
      <alignment horizontal="center" vertical="center" wrapText="1"/>
    </xf>
    <xf numFmtId="0" fontId="6" fillId="0" borderId="0" xfId="6" applyBorder="1" applyAlignment="1">
      <alignment horizontal="center" vertical="center" wrapText="1"/>
    </xf>
    <xf numFmtId="14" fontId="6" fillId="0" borderId="0" xfId="6" applyNumberFormat="1" applyBorder="1" applyAlignment="1">
      <alignment horizontal="center" vertical="center" wrapText="1"/>
    </xf>
    <xf numFmtId="3" fontId="6" fillId="0" borderId="0" xfId="6" applyNumberFormat="1" applyBorder="1" applyAlignment="1">
      <alignment horizontal="center" vertical="center" wrapText="1"/>
    </xf>
    <xf numFmtId="0" fontId="6" fillId="0" borderId="0" xfId="6" applyNumberFormat="1" applyBorder="1" applyAlignment="1">
      <alignment horizontal="center" vertical="center" wrapText="1"/>
    </xf>
    <xf numFmtId="0" fontId="6" fillId="0" borderId="0" xfId="6" applyNumberFormat="1" applyFont="1" applyBorder="1" applyAlignment="1">
      <alignment horizontal="center" vertical="center" wrapText="1"/>
    </xf>
    <xf numFmtId="14" fontId="6" fillId="0" borderId="5" xfId="6" applyNumberFormat="1" applyBorder="1" applyAlignment="1">
      <alignment horizontal="center" vertical="center" wrapText="1"/>
    </xf>
    <xf numFmtId="0" fontId="0" fillId="0" borderId="0" xfId="0" applyAlignment="1" applyProtection="1">
      <alignment horizontal="center" vertical="center" wrapText="1"/>
    </xf>
    <xf numFmtId="164" fontId="10" fillId="0" borderId="0" xfId="10" applyAlignment="1">
      <alignment horizontal="center" vertical="center" wrapText="1"/>
    </xf>
    <xf numFmtId="14" fontId="14" fillId="0" borderId="7" xfId="16" applyNumberFormat="1" applyFont="1" applyBorder="1" applyAlignment="1" applyProtection="1">
      <alignment horizontal="center" vertical="center" wrapText="1"/>
    </xf>
    <xf numFmtId="165" fontId="0" fillId="0" borderId="0" xfId="8" applyNumberFormat="1" applyFont="1" applyAlignment="1" applyProtection="1">
      <alignment vertical="center"/>
    </xf>
    <xf numFmtId="165" fontId="6" fillId="0" borderId="0" xfId="6" applyNumberFormat="1" applyBorder="1" applyAlignment="1">
      <alignment horizontal="center" vertical="center" wrapText="1"/>
    </xf>
    <xf numFmtId="0" fontId="16" fillId="0" borderId="0" xfId="5" applyFont="1">
      <alignment horizontal="left" vertical="center" wrapText="1" indent="1"/>
    </xf>
    <xf numFmtId="0" fontId="13" fillId="0" borderId="7" xfId="5" applyFont="1" applyBorder="1" applyAlignment="1" applyProtection="1">
      <alignment horizontal="center" vertical="center" wrapText="1"/>
    </xf>
    <xf numFmtId="14" fontId="13" fillId="0" borderId="7" xfId="8" applyFont="1" applyBorder="1" applyAlignment="1" applyProtection="1">
      <alignment horizontal="center" vertical="center" wrapText="1"/>
    </xf>
    <xf numFmtId="3" fontId="13" fillId="0" borderId="7" xfId="4" applyFont="1" applyBorder="1" applyAlignment="1" applyProtection="1">
      <alignment horizontal="center" vertical="center" wrapText="1"/>
    </xf>
    <xf numFmtId="164" fontId="13" fillId="0" borderId="7" xfId="12" applyFont="1" applyFill="1" applyBorder="1" applyAlignment="1">
      <alignment horizontal="center" vertical="center" wrapText="1"/>
    </xf>
    <xf numFmtId="14" fontId="13" fillId="2" borderId="7" xfId="14" applyNumberFormat="1" applyFont="1" applyBorder="1" applyAlignment="1">
      <alignment horizontal="center" vertical="center" wrapText="1"/>
    </xf>
    <xf numFmtId="165" fontId="13" fillId="0" borderId="7" xfId="8" applyNumberFormat="1" applyFont="1" applyBorder="1" applyAlignment="1" applyProtection="1">
      <alignment horizontal="center" vertical="center" wrapText="1"/>
    </xf>
    <xf numFmtId="14" fontId="15" fillId="0" borderId="7" xfId="8" applyFont="1" applyBorder="1" applyAlignment="1">
      <alignment horizontal="center" vertical="center" wrapText="1"/>
    </xf>
    <xf numFmtId="164" fontId="13" fillId="0" borderId="7" xfId="12" applyFont="1" applyBorder="1" applyAlignment="1">
      <alignment horizontal="center" vertical="center" wrapText="1"/>
    </xf>
    <xf numFmtId="0" fontId="13" fillId="0" borderId="7" xfId="0" applyFont="1" applyBorder="1" applyAlignment="1" applyProtection="1">
      <alignment horizontal="center" vertical="center" wrapText="1"/>
    </xf>
    <xf numFmtId="165" fontId="13" fillId="0" borderId="7" xfId="8" applyNumberFormat="1" applyFont="1" applyBorder="1" applyAlignment="1">
      <alignment horizontal="center" vertical="center" wrapText="1"/>
    </xf>
    <xf numFmtId="3" fontId="13" fillId="0" borderId="7" xfId="4" applyFont="1" applyBorder="1" applyAlignment="1">
      <alignment horizontal="center" vertical="center" wrapText="1"/>
    </xf>
    <xf numFmtId="0" fontId="12" fillId="4" borderId="7" xfId="0" applyFont="1" applyFill="1" applyBorder="1" applyAlignment="1">
      <alignment horizontal="center" vertical="center"/>
    </xf>
    <xf numFmtId="49" fontId="12" fillId="4" borderId="7" xfId="0" applyNumberFormat="1" applyFont="1" applyFill="1" applyBorder="1" applyAlignment="1">
      <alignment horizontal="center" vertical="center"/>
    </xf>
    <xf numFmtId="0" fontId="11" fillId="4" borderId="7" xfId="16" applyFill="1" applyBorder="1" applyAlignment="1">
      <alignment horizontal="center" vertical="center"/>
    </xf>
    <xf numFmtId="0" fontId="17" fillId="4" borderId="8" xfId="0" applyFont="1" applyFill="1" applyBorder="1" applyAlignment="1">
      <alignment horizontal="center" vertical="center"/>
    </xf>
    <xf numFmtId="0" fontId="17" fillId="4" borderId="0" xfId="0" applyFont="1" applyFill="1" applyBorder="1" applyAlignment="1">
      <alignment horizontal="center" vertical="center"/>
    </xf>
    <xf numFmtId="0" fontId="0" fillId="0" borderId="9" xfId="0" applyBorder="1" applyAlignment="1">
      <alignment vertical="center"/>
    </xf>
    <xf numFmtId="0" fontId="0" fillId="0" borderId="0" xfId="0" applyAlignment="1">
      <alignment vertical="center"/>
    </xf>
    <xf numFmtId="0" fontId="0" fillId="4" borderId="7" xfId="0" applyFill="1" applyBorder="1" applyAlignment="1">
      <alignment vertical="center"/>
    </xf>
    <xf numFmtId="0" fontId="0" fillId="4" borderId="0" xfId="0" applyFill="1" applyAlignment="1">
      <alignment vertical="center"/>
    </xf>
    <xf numFmtId="3" fontId="13" fillId="2" borderId="7" xfId="15" quotePrefix="1" applyFont="1" applyBorder="1" applyAlignment="1">
      <alignment horizontal="center" vertical="center" wrapText="1"/>
    </xf>
    <xf numFmtId="0" fontId="13" fillId="0" borderId="7" xfId="5" quotePrefix="1" applyFont="1" applyBorder="1" applyAlignment="1" applyProtection="1">
      <alignment horizontal="center" vertical="center" wrapText="1"/>
    </xf>
    <xf numFmtId="0" fontId="18" fillId="0" borderId="7" xfId="5" applyFont="1" applyBorder="1" applyAlignment="1" applyProtection="1">
      <alignment horizontal="center" vertical="center" wrapText="1"/>
    </xf>
    <xf numFmtId="0" fontId="18" fillId="0" borderId="7" xfId="5" applyNumberFormat="1" applyFont="1" applyBorder="1" applyAlignment="1" applyProtection="1">
      <alignment horizontal="center" vertical="center" wrapText="1"/>
    </xf>
    <xf numFmtId="165" fontId="18" fillId="0" borderId="7" xfId="8" applyNumberFormat="1" applyFont="1" applyBorder="1" applyAlignment="1" applyProtection="1">
      <alignment horizontal="center" vertical="center" wrapText="1"/>
    </xf>
    <xf numFmtId="14" fontId="18" fillId="0" borderId="7" xfId="8" applyFont="1" applyBorder="1" applyAlignment="1" applyProtection="1">
      <alignment horizontal="center" vertical="center" wrapText="1"/>
    </xf>
    <xf numFmtId="14" fontId="18" fillId="0" borderId="7" xfId="8" applyNumberFormat="1" applyFont="1" applyBorder="1" applyAlignment="1" applyProtection="1">
      <alignment horizontal="center" vertical="center" wrapText="1"/>
    </xf>
    <xf numFmtId="3" fontId="18" fillId="0" borderId="7" xfId="4" applyFont="1" applyBorder="1" applyAlignment="1" applyProtection="1">
      <alignment horizontal="center" vertical="center" wrapText="1"/>
    </xf>
    <xf numFmtId="3" fontId="18" fillId="2" borderId="7" xfId="15" applyFont="1" applyBorder="1" applyAlignment="1">
      <alignment horizontal="center" vertical="center" wrapText="1"/>
    </xf>
    <xf numFmtId="164" fontId="18" fillId="0" borderId="7" xfId="12" applyFont="1" applyFill="1" applyBorder="1" applyAlignment="1">
      <alignment horizontal="center" vertical="center" wrapText="1"/>
    </xf>
    <xf numFmtId="14" fontId="18" fillId="2" borderId="7" xfId="14" applyNumberFormat="1" applyFont="1" applyBorder="1" applyAlignment="1">
      <alignment horizontal="center" vertical="center" wrapText="1"/>
    </xf>
    <xf numFmtId="0" fontId="18" fillId="2" borderId="7" xfId="15" applyNumberFormat="1" applyFont="1" applyBorder="1" applyAlignment="1">
      <alignment horizontal="center" vertical="center" wrapText="1"/>
    </xf>
    <xf numFmtId="3" fontId="18" fillId="0" borderId="7" xfId="0" applyNumberFormat="1" applyFont="1" applyBorder="1" applyAlignment="1" applyProtection="1">
      <alignment horizontal="center" vertical="center" wrapText="1"/>
    </xf>
    <xf numFmtId="0" fontId="18" fillId="0" borderId="7" xfId="0" applyFont="1" applyBorder="1" applyAlignment="1" applyProtection="1">
      <alignment horizontal="center" vertical="center" wrapText="1"/>
    </xf>
    <xf numFmtId="0" fontId="0" fillId="0" borderId="7" xfId="0" applyFont="1" applyFill="1" applyBorder="1" applyAlignment="1">
      <alignment horizontal="center" vertical="center"/>
    </xf>
    <xf numFmtId="0" fontId="13" fillId="0" borderId="10" xfId="5" applyFont="1" applyBorder="1" applyAlignment="1" applyProtection="1">
      <alignment horizontal="center" vertical="center" wrapText="1"/>
    </xf>
    <xf numFmtId="0" fontId="13" fillId="0" borderId="10" xfId="5" applyFont="1" applyBorder="1" applyAlignment="1">
      <alignment horizontal="center" vertical="center" wrapText="1"/>
    </xf>
    <xf numFmtId="165" fontId="13" fillId="0" borderId="10" xfId="8" applyNumberFormat="1" applyFont="1" applyBorder="1" applyAlignment="1" applyProtection="1">
      <alignment horizontal="center" vertical="center" wrapText="1"/>
    </xf>
    <xf numFmtId="14" fontId="13" fillId="0" borderId="10" xfId="8" applyFont="1" applyBorder="1" applyAlignment="1" applyProtection="1">
      <alignment horizontal="center" vertical="center" wrapText="1"/>
    </xf>
    <xf numFmtId="14" fontId="13" fillId="0" borderId="10" xfId="0" applyNumberFormat="1" applyFont="1" applyBorder="1" applyAlignment="1">
      <alignment horizontal="center" vertical="center" wrapText="1"/>
    </xf>
    <xf numFmtId="3" fontId="13" fillId="0" borderId="10" xfId="4" applyFont="1" applyBorder="1" applyAlignment="1" applyProtection="1">
      <alignment horizontal="center" vertical="center" wrapText="1"/>
    </xf>
    <xf numFmtId="3" fontId="13" fillId="2" borderId="10" xfId="15" applyFont="1" applyBorder="1" applyAlignment="1">
      <alignment horizontal="center" vertical="center" wrapText="1"/>
    </xf>
    <xf numFmtId="14" fontId="13" fillId="0" borderId="10" xfId="8" applyNumberFormat="1" applyFont="1" applyBorder="1" applyAlignment="1" applyProtection="1">
      <alignment horizontal="center" vertical="center" wrapText="1"/>
    </xf>
    <xf numFmtId="164" fontId="13" fillId="0" borderId="10" xfId="12" applyFont="1" applyFill="1" applyBorder="1" applyAlignment="1">
      <alignment horizontal="center" vertical="center" wrapText="1"/>
    </xf>
    <xf numFmtId="14" fontId="13" fillId="2" borderId="10" xfId="14" applyNumberFormat="1" applyFont="1" applyBorder="1" applyAlignment="1">
      <alignment horizontal="center" vertical="center" wrapText="1"/>
    </xf>
    <xf numFmtId="3" fontId="13" fillId="2" borderId="10" xfId="15" quotePrefix="1" applyFont="1" applyBorder="1" applyAlignment="1">
      <alignment horizontal="center" vertical="center" wrapText="1"/>
    </xf>
    <xf numFmtId="14" fontId="14" fillId="0" borderId="10" xfId="16" applyNumberFormat="1" applyFont="1" applyBorder="1" applyAlignment="1" applyProtection="1">
      <alignment horizontal="center" vertical="center" wrapText="1"/>
    </xf>
    <xf numFmtId="0" fontId="13" fillId="0" borderId="10" xfId="0" applyFont="1" applyBorder="1" applyAlignment="1" applyProtection="1">
      <alignment horizontal="center" vertical="center" wrapText="1"/>
    </xf>
    <xf numFmtId="0" fontId="13" fillId="0" borderId="10" xfId="0" applyFont="1" applyBorder="1" applyAlignment="1">
      <alignment horizontal="center" vertical="center" wrapText="1"/>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45">
    <dxf>
      <font>
        <b/>
        <i val="0"/>
        <color theme="4" tint="-0.499984740745262"/>
      </font>
    </dxf>
    <dxf>
      <font>
        <b/>
        <i val="0"/>
        <color theme="4" tint="-0.499984740745262"/>
      </font>
    </dxf>
    <dxf>
      <font>
        <b/>
        <i val="0"/>
        <color theme="4" tint="-0.499984740745262"/>
      </font>
    </dxf>
    <dxf>
      <font>
        <b/>
        <i val="0"/>
        <color theme="4" tint="-0.499984740745262"/>
      </font>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strike val="0"/>
        <outline val="0"/>
        <shadow val="0"/>
        <vertAlign val="baseline"/>
        <sz val="11"/>
        <color auto="1"/>
        <name val="Century Gothic"/>
        <scheme val="minor"/>
      </font>
      <numFmt numFmtId="165" formatCode="&quot;$&quot;#,##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theme="9"/>
        </bottom>
      </border>
    </dxf>
    <dxf>
      <font>
        <strike val="0"/>
        <outline val="0"/>
        <shadow val="0"/>
        <vertAlign val="baseline"/>
        <sz val="11"/>
        <color auto="1"/>
        <name val="Century Gothic"/>
        <scheme val="minor"/>
      </font>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b/>
        <i val="0"/>
        <color theme="4" tint="-0.499984740745262"/>
      </font>
    </dxf>
    <dxf>
      <font>
        <b/>
        <i val="0"/>
        <color theme="4" tint="-0.499984740745262"/>
      </font>
    </dxf>
    <dxf>
      <font>
        <b/>
        <i val="0"/>
        <color theme="4" tint="-0.499984740745262"/>
      </font>
    </dxf>
    <dxf>
      <font>
        <b/>
        <i val="0"/>
        <color theme="4" tint="-0.499984740745262"/>
      </font>
    </dxf>
    <dxf>
      <font>
        <color rgb="FF9C0006"/>
      </font>
      <fill>
        <patternFill>
          <bgColor rgb="FFFFC7CE"/>
        </patternFill>
      </fill>
    </dxf>
    <dxf>
      <font>
        <b/>
        <i val="0"/>
        <color theme="4" tint="-0.499984740745262"/>
      </font>
    </dxf>
    <dxf>
      <font>
        <b/>
        <i val="0"/>
        <color theme="4" tint="-0.499984740745262"/>
      </font>
    </dxf>
    <dxf>
      <font>
        <b/>
        <i val="0"/>
        <color theme="4" tint="-0.499984740745262"/>
      </font>
    </dxf>
    <dxf>
      <font>
        <b/>
        <i val="0"/>
        <color theme="4" tint="-0.499984740745262"/>
      </font>
    </dxf>
    <dxf>
      <font>
        <b val="0"/>
        <i val="0"/>
        <strike val="0"/>
        <condense val="0"/>
        <extend val="0"/>
        <outline val="0"/>
        <shadow val="0"/>
        <u val="none"/>
        <vertAlign val="baseline"/>
        <sz val="10"/>
        <color rgb="FF000000"/>
        <name val="Arial"/>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0"/>
        <color rgb="FF000000"/>
        <name val="Arial"/>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
      <numFmt numFmtId="0" formatCode="General"/>
    </dxf>
    <dxf>
      <numFmt numFmtId="164" formatCode="&quot;Over/Under flag&quot;;&quot;&quot;;&quot;&quot;"/>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44"/>
      <tableStyleElement type="headerRow" dxfId="4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_rels/drawing3.xml.rels><?xml version="1.0" encoding="UTF-8" standalone="yes"?>
<Relationships xmlns="http://schemas.openxmlformats.org/package/2006/relationships"><Relationship Id="rId1" Type="http://schemas.openxmlformats.org/officeDocument/2006/relationships/hyperlink" Target="#Setup!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2</xdr:col>
      <xdr:colOff>152866</xdr:colOff>
      <xdr:row>2</xdr:row>
      <xdr:rowOff>74296</xdr:rowOff>
    </xdr:to>
    <xdr:sp macro="" textlink="">
      <xdr:nvSpPr>
        <xdr:cNvPr id="2"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200491" y="825501"/>
          <a:ext cx="914400"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tables/table1.xml><?xml version="1.0" encoding="utf-8"?>
<table xmlns="http://schemas.openxmlformats.org/spreadsheetml/2006/main" id="1" name="ProjectTracker" displayName="ProjectTracker" ref="B4:O13" totalsRowShown="0" tableBorderDxfId="42" headerRowCellStyle="Heading 2">
  <autoFilter ref="B4:O13"/>
  <tableColumns count="14">
    <tableColumn id="1" name="Project" dataCellStyle="Text"/>
    <tableColumn id="2" name="Category" dataCellStyle="Text"/>
    <tableColumn id="3" name="Assigned To" dataCellStyle="Text"/>
    <tableColumn id="4" name="Estimated_x000a_Start" dataCellStyle="Date"/>
    <tableColumn id="5" name="Estimated _x000a_Finish" dataCellStyle="Date"/>
    <tableColumn id="6" name="Estimated Work (in hours)" dataCellStyle="Numbers"/>
    <tableColumn id="7" name="Estimated Duration (in days)" dataCellStyle="Estimated duration">
      <calculatedColumnFormula>IF(COUNTA('Project Tracker'!$E5,'Project Tracker'!$F5)&lt;&gt;2,"",DAYS360('Project Tracker'!$E5,'Project Tracker'!$F5,FALSE))</calculatedColumnFormula>
    </tableColumn>
    <tableColumn id="8" name="Actual _x000a_Start" dataCellStyle="Actual Start"/>
    <tableColumn id="9" name="Actual_x000a_Finish" dataCellStyle="Date"/>
    <tableColumn id="13" name="Flag icon for Over/Under Actual Work (in hours)" dataDxfId="41"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name="Actual Work (in hours)" dataCellStyle="Numbers"/>
    <tableColumn id="14" name="Flag icon for Over/Under Actual Duration (in days)"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name="Actual Duration (in days)" dataCellStyle="Grey Column">
      <calculatedColumnFormula>IF(COUNTA('Project Tracker'!$I5,'Project Tracker'!$J5)&lt;&gt;2,"",DAYS360('Project Tracker'!$I5,'Project Tracker'!$J5,FALSE))</calculatedColumnFormula>
    </tableColumn>
    <tableColumn id="12" name="Notes" dataDxfId="4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10" totalsRowShown="0" headerRowCellStyle="Heading 2" dataCellStyle="Text">
  <autoFilter ref="B4:C10"/>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ables/table3.xml><?xml version="1.0" encoding="utf-8"?>
<table xmlns="http://schemas.openxmlformats.org/spreadsheetml/2006/main" id="4" name="Table4" displayName="Table4" ref="B1:D47" totalsRowShown="0" headerRowDxfId="39" dataDxfId="37" headerRowBorderDxfId="38" tableBorderDxfId="36">
  <autoFilter ref="B1:D47"/>
  <tableColumns count="3">
    <tableColumn id="1" name="Field Manager" dataDxfId="35"/>
    <tableColumn id="3" name="Phone Number" dataDxfId="34"/>
    <tableColumn id="4" name="Email Address" dataDxfId="33"/>
  </tableColumns>
  <tableStyleInfo name="Custom Table Style" showFirstColumn="0" showLastColumn="0" showRowStripes="1" showColumnStripes="0"/>
</table>
</file>

<file path=xl/tables/table4.xml><?xml version="1.0" encoding="utf-8"?>
<table xmlns="http://schemas.openxmlformats.org/spreadsheetml/2006/main" id="2" name="ProjectTracker3" displayName="ProjectTracker3" ref="A4:P21" totalsRowShown="0" headerRowDxfId="22" dataDxfId="21" tableBorderDxfId="20" headerRowCellStyle="Heading 2">
  <autoFilter ref="A4:P21"/>
  <sortState ref="A5:P21">
    <sortCondition ref="G4:G21"/>
  </sortState>
  <tableColumns count="16">
    <tableColumn id="1" name="Patch/Area " dataDxfId="19" dataCellStyle="Text"/>
    <tableColumn id="2" name="Work ID" dataDxfId="18" dataCellStyle="Text"/>
    <tableColumn id="15" name="Project Name" dataDxfId="17" dataCellStyle="Text"/>
    <tableColumn id="3" name="Assigned To" dataDxfId="16" dataCellStyle="Text"/>
    <tableColumn id="4" name="Payment" dataDxfId="15" dataCellStyle="Date"/>
    <tableColumn id="18" name="Job Status" dataDxfId="14" dataCellStyle="Date"/>
    <tableColumn id="5" name="Target Date" dataDxfId="13" dataCellStyle="Date"/>
    <tableColumn id="6" name="Estimated Work (in hours)" dataDxfId="12" dataCellStyle="Numbers"/>
    <tableColumn id="7" name="Estimated Duration (in days)" dataDxfId="11" dataCellStyle="Estimated duration"/>
    <tableColumn id="9" name="Actual_x000a_Finish" dataDxfId="10" dataCellStyle="Date"/>
    <tableColumn id="10" name="Actual Work (in hours)" dataDxfId="9" dataCellStyle="Numbers"/>
    <tableColumn id="14" name="Flag icon for Over/Under Actual Duration (in days)" dataDxfId="8" dataCellStyle="Flag"/>
    <tableColumn id="11" name="Actual Duration (in days)" dataDxfId="7" dataCellStyle="Grey Column"/>
    <tableColumn id="12" name="Field Manager" dataDxfId="6" dataCellStyle="Estimated duration"/>
    <tableColumn id="17" name="FM Email ID" dataDxfId="5">
      <calculatedColumnFormula>VLOOKUP(A4,FFFF,4,0)</calculatedColumnFormula>
    </tableColumn>
    <tableColumn id="19" name="Comments" dataDxfId="4"/>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Davlyn.Brider@visionstream.co.nz" TargetMode="External"/><Relationship Id="rId13" Type="http://schemas.openxmlformats.org/officeDocument/2006/relationships/hyperlink" Target="mailto:Regan.Foai@visionstream.co.nz" TargetMode="External"/><Relationship Id="rId3" Type="http://schemas.openxmlformats.org/officeDocument/2006/relationships/hyperlink" Target="mailto:Regan.Foai@visionstream.co.nz" TargetMode="External"/><Relationship Id="rId7" Type="http://schemas.openxmlformats.org/officeDocument/2006/relationships/hyperlink" Target="mailto:Davlyn.Brider@visionstream.co.nz" TargetMode="External"/><Relationship Id="rId12" Type="http://schemas.openxmlformats.org/officeDocument/2006/relationships/hyperlink" Target="mailto:Regan.Foai@visionstream.co.nz" TargetMode="External"/><Relationship Id="rId2" Type="http://schemas.openxmlformats.org/officeDocument/2006/relationships/hyperlink" Target="mailto:Neil.Panther@visionstream.co.nz" TargetMode="External"/><Relationship Id="rId16" Type="http://schemas.openxmlformats.org/officeDocument/2006/relationships/table" Target="../tables/table3.xml"/><Relationship Id="rId1" Type="http://schemas.openxmlformats.org/officeDocument/2006/relationships/hyperlink" Target="mailto:Gregory.Tuanau@visionstream.co.nz" TargetMode="External"/><Relationship Id="rId6" Type="http://schemas.openxmlformats.org/officeDocument/2006/relationships/hyperlink" Target="mailto:Andrew.Mckinnon@visionstream.co.nz" TargetMode="External"/><Relationship Id="rId11" Type="http://schemas.openxmlformats.org/officeDocument/2006/relationships/hyperlink" Target="mailto:graeme.bell@visionstream.co.nz" TargetMode="External"/><Relationship Id="rId5" Type="http://schemas.openxmlformats.org/officeDocument/2006/relationships/hyperlink" Target="mailto:Glenn.Harrison@visionstream.co.nz" TargetMode="External"/><Relationship Id="rId15" Type="http://schemas.openxmlformats.org/officeDocument/2006/relationships/hyperlink" Target="mailto:Neil.Panther@visionstream.co.nz" TargetMode="External"/><Relationship Id="rId10" Type="http://schemas.openxmlformats.org/officeDocument/2006/relationships/hyperlink" Target="mailto:Glenn.Harrison@visionstream.co.nz" TargetMode="External"/><Relationship Id="rId4" Type="http://schemas.openxmlformats.org/officeDocument/2006/relationships/hyperlink" Target="mailto:graeme.bell@visionstream.co.nz" TargetMode="External"/><Relationship Id="rId9" Type="http://schemas.openxmlformats.org/officeDocument/2006/relationships/hyperlink" Target="mailto:Andrew.Mckinnon@visionstream.co.nz" TargetMode="External"/><Relationship Id="rId14" Type="http://schemas.openxmlformats.org/officeDocument/2006/relationships/hyperlink" Target="mailto:Gregory.Tuanau@visionstream.co.nz"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13"/>
  <sheetViews>
    <sheetView showGridLines="0" zoomScaleNormal="100" workbookViewId="0">
      <pane ySplit="4" topLeftCell="A5" activePane="bottomLeft" state="frozen"/>
      <selection pane="bottomLeft"/>
    </sheetView>
  </sheetViews>
  <sheetFormatPr defaultColWidth="9" defaultRowHeight="30" customHeight="1" x14ac:dyDescent="0.3"/>
  <cols>
    <col min="1" max="1" width="2.625" style="1" customWidth="1"/>
    <col min="2" max="4" width="22.625" style="1" customWidth="1"/>
    <col min="5" max="6" width="15.625" style="2" customWidth="1"/>
    <col min="7" max="8" width="12.625" style="1" customWidth="1"/>
    <col min="9" max="10" width="15.625" style="2" customWidth="1"/>
    <col min="11" max="11" width="2.875" style="2" customWidth="1"/>
    <col min="12" max="12" width="12.625" style="1" customWidth="1"/>
    <col min="13" max="13" width="2.875" style="1" customWidth="1"/>
    <col min="14" max="14" width="12.625" style="1" customWidth="1"/>
    <col min="15" max="15" width="25.625" style="1" customWidth="1"/>
    <col min="16" max="16" width="2.625" style="1" customWidth="1"/>
    <col min="17" max="16384" width="9" style="1"/>
  </cols>
  <sheetData>
    <row r="1" spans="1:15" ht="65.099999999999994" customHeight="1" x14ac:dyDescent="0.3">
      <c r="B1" s="8" t="s">
        <v>8</v>
      </c>
      <c r="C1"/>
    </row>
    <row r="2" spans="1:15" ht="20.25" customHeight="1" x14ac:dyDescent="0.3">
      <c r="A2" s="3"/>
      <c r="B2" s="8"/>
      <c r="C2" s="4" t="s">
        <v>9</v>
      </c>
      <c r="D2" s="5">
        <v>0.25</v>
      </c>
    </row>
    <row r="3" spans="1:15" ht="20.25" customHeight="1" x14ac:dyDescent="0.3">
      <c r="G3"/>
      <c r="H3"/>
    </row>
    <row r="4" spans="1:15" ht="54.95" customHeight="1" x14ac:dyDescent="0.3">
      <c r="B4" s="6" t="s">
        <v>0</v>
      </c>
      <c r="C4" s="6" t="s">
        <v>1</v>
      </c>
      <c r="D4" s="6" t="s">
        <v>2</v>
      </c>
      <c r="E4" s="9" t="s">
        <v>25</v>
      </c>
      <c r="F4" s="9" t="s">
        <v>27</v>
      </c>
      <c r="G4" s="10" t="s">
        <v>30</v>
      </c>
      <c r="H4" s="11" t="s">
        <v>33</v>
      </c>
      <c r="I4" s="27" t="s">
        <v>36</v>
      </c>
      <c r="J4" s="9" t="s">
        <v>26</v>
      </c>
      <c r="K4" s="16" t="s">
        <v>34</v>
      </c>
      <c r="L4" s="10" t="s">
        <v>31</v>
      </c>
      <c r="M4" s="16" t="s">
        <v>35</v>
      </c>
      <c r="N4" s="10" t="s">
        <v>32</v>
      </c>
      <c r="O4" s="6" t="s">
        <v>10</v>
      </c>
    </row>
    <row r="5" spans="1:15" ht="30" customHeight="1" x14ac:dyDescent="0.3">
      <c r="B5" s="14" t="s">
        <v>17</v>
      </c>
      <c r="C5" s="14" t="s">
        <v>11</v>
      </c>
      <c r="D5" s="14" t="s">
        <v>3</v>
      </c>
      <c r="E5" s="18">
        <f ca="1">TODAY()-65</f>
        <v>43115</v>
      </c>
      <c r="F5" s="18">
        <f ca="1">TODAY()-5</f>
        <v>43175</v>
      </c>
      <c r="G5" s="15">
        <v>210</v>
      </c>
      <c r="H5" s="28">
        <f ca="1">IF(COUNTA('Project Tracker'!$E5,'Project Tracker'!$F5)&lt;&gt;2,"",DAYS360('Project Tracker'!$E5,'Project Tracker'!$F5,FALSE))</f>
        <v>61</v>
      </c>
      <c r="I5" s="19">
        <f ca="1">TODAY()-65</f>
        <v>43115</v>
      </c>
      <c r="J5" s="18">
        <f ca="1">TODAY()</f>
        <v>43180</v>
      </c>
      <c r="K5" s="17">
        <f>IFERROR(IF(ProjectTracker[Actual Work (in hours)]=0,"",IF(ABS((ProjectTracker[[#This Row],[Actual Work (in hours)]]-ProjectTracker[[#This Row],[Estimated Work (in hours)]])/ProjectTracker[[#This Row],[Estimated Work (in hours)]])&gt;FlagPercent,1,0)),"")</f>
        <v>1</v>
      </c>
      <c r="L5" s="15">
        <v>300</v>
      </c>
      <c r="M5" s="17">
        <f ca="1">IFERROR(IF(ProjectTracker[Actual Duration (in days)]=0,"",IF(ABS((ProjectTracker[[#This Row],[Actual Duration (in days)]]-ProjectTracker[[#This Row],[Estimated Duration (in days)]])/ProjectTracker[[#This Row],[Estimated Duration (in days)]])&gt;FlagPercent,1,0)),"")</f>
        <v>0</v>
      </c>
      <c r="N5" s="20">
        <f ca="1">IF(COUNTA('Project Tracker'!$I5,'Project Tracker'!$J5)&lt;&gt;2,"",DAYS360('Project Tracker'!$I5,'Project Tracker'!$J5,FALSE))</f>
        <v>66</v>
      </c>
      <c r="O5" s="14"/>
    </row>
    <row r="6" spans="1:15" ht="30" customHeight="1" x14ac:dyDescent="0.3">
      <c r="B6" s="14" t="s">
        <v>18</v>
      </c>
      <c r="C6" s="14" t="s">
        <v>12</v>
      </c>
      <c r="D6" s="14" t="s">
        <v>6</v>
      </c>
      <c r="E6" s="18">
        <f ca="1">TODAY()-41</f>
        <v>43139</v>
      </c>
      <c r="F6" s="18">
        <f ca="1">TODAY()-10</f>
        <v>43170</v>
      </c>
      <c r="G6" s="15">
        <v>400</v>
      </c>
      <c r="H6" s="28">
        <f ca="1">IF(COUNTA('Project Tracker'!$E6,'Project Tracker'!$F6)&lt;&gt;2,"",DAYS360('Project Tracker'!$E6,'Project Tracker'!$F6,FALSE))</f>
        <v>33</v>
      </c>
      <c r="I6" s="19">
        <f ca="1">TODAY()-41</f>
        <v>43139</v>
      </c>
      <c r="J6" s="18">
        <f ca="1">TODAY()-7</f>
        <v>43173</v>
      </c>
      <c r="K6" s="17">
        <f>IFERROR(IF(ProjectTracker[Actual Work (in hours)]=0,"",IF(ABS((ProjectTracker[[#This Row],[Actual Work (in hours)]]-ProjectTracker[[#This Row],[Estimated Work (in hours)]])/ProjectTracker[[#This Row],[Estimated Work (in hours)]])&gt;FlagPercent,1,0)),"")</f>
        <v>0</v>
      </c>
      <c r="L6" s="15">
        <v>390</v>
      </c>
      <c r="M6" s="17">
        <f ca="1">IFERROR(IF(ProjectTracker[Actual Duration (in days)]=0,"",IF(ABS((ProjectTracker[[#This Row],[Actual Duration (in days)]]-ProjectTracker[[#This Row],[Estimated Duration (in days)]])/ProjectTracker[[#This Row],[Estimated Duration (in days)]])&gt;FlagPercent,1,0)),"")</f>
        <v>0</v>
      </c>
      <c r="N6" s="20">
        <f ca="1">IF(COUNTA('Project Tracker'!$I6,'Project Tracker'!$J6)&lt;&gt;2,"",DAYS360('Project Tracker'!$I6,'Project Tracker'!$J6,FALSE))</f>
        <v>36</v>
      </c>
      <c r="O6" s="14"/>
    </row>
    <row r="7" spans="1:15" ht="30" customHeight="1" x14ac:dyDescent="0.3">
      <c r="B7" s="14" t="s">
        <v>19</v>
      </c>
      <c r="C7" s="14" t="s">
        <v>11</v>
      </c>
      <c r="D7" s="14" t="s">
        <v>4</v>
      </c>
      <c r="E7" s="18">
        <f ca="1">TODAY()-100</f>
        <v>43080</v>
      </c>
      <c r="F7" s="18">
        <f ca="1">TODAY()-40</f>
        <v>43140</v>
      </c>
      <c r="G7" s="15">
        <v>500</v>
      </c>
      <c r="H7" s="28">
        <f ca="1">IF(COUNTA('Project Tracker'!$E7,'Project Tracker'!$F7)&lt;&gt;2,"",DAYS360('Project Tracker'!$E7,'Project Tracker'!$F7,FALSE))</f>
        <v>58</v>
      </c>
      <c r="I7" s="19">
        <f ca="1">TODAY()-100</f>
        <v>43080</v>
      </c>
      <c r="J7" s="18">
        <f ca="1">TODAY()-27</f>
        <v>43153</v>
      </c>
      <c r="K7" s="17">
        <f>IFERROR(IF(ProjectTracker[Actual Work (in hours)]=0,"",IF(ABS((ProjectTracker[[#This Row],[Actual Work (in hours)]]-ProjectTracker[[#This Row],[Estimated Work (in hours)]])/ProjectTracker[[#This Row],[Estimated Work (in hours)]])&gt;FlagPercent,1,0)),"")</f>
        <v>0</v>
      </c>
      <c r="L7" s="15">
        <v>500</v>
      </c>
      <c r="M7" s="17">
        <f ca="1">IFERROR(IF(ProjectTracker[Actual Duration (in days)]=0,"",IF(ABS((ProjectTracker[[#This Row],[Actual Duration (in days)]]-ProjectTracker[[#This Row],[Estimated Duration (in days)]])/ProjectTracker[[#This Row],[Estimated Duration (in days)]])&gt;FlagPercent,1,0)),"")</f>
        <v>0</v>
      </c>
      <c r="N7" s="20">
        <f ca="1">IF(COUNTA('Project Tracker'!$I7,'Project Tracker'!$J7)&lt;&gt;2,"",DAYS360('Project Tracker'!$I7,'Project Tracker'!$J7,FALSE))</f>
        <v>71</v>
      </c>
      <c r="O7" s="14"/>
    </row>
    <row r="8" spans="1:15" ht="30" customHeight="1" x14ac:dyDescent="0.3">
      <c r="B8" s="14" t="s">
        <v>20</v>
      </c>
      <c r="C8" s="14" t="s">
        <v>12</v>
      </c>
      <c r="D8" s="14" t="s">
        <v>5</v>
      </c>
      <c r="E8" s="18">
        <f ca="1">TODAY()-90</f>
        <v>43090</v>
      </c>
      <c r="F8" s="18">
        <f ca="1">TODAY()-80</f>
        <v>43100</v>
      </c>
      <c r="G8" s="15">
        <v>250</v>
      </c>
      <c r="H8" s="28">
        <f ca="1">IF(COUNTA('Project Tracker'!$E8,'Project Tracker'!$F8)&lt;&gt;2,"",DAYS360('Project Tracker'!$E8,'Project Tracker'!$F8,FALSE))</f>
        <v>10</v>
      </c>
      <c r="I8" s="19">
        <f ca="1">TODAY()-90</f>
        <v>43090</v>
      </c>
      <c r="J8" s="18">
        <f ca="1">TODAY()-71</f>
        <v>43109</v>
      </c>
      <c r="K8" s="17">
        <f>IFERROR(IF(ProjectTracker[Actual Work (in hours)]=0,"",IF(ABS((ProjectTracker[[#This Row],[Actual Work (in hours)]]-ProjectTracker[[#This Row],[Estimated Work (in hours)]])/ProjectTracker[[#This Row],[Estimated Work (in hours)]])&gt;FlagPercent,1,0)),"")</f>
        <v>0</v>
      </c>
      <c r="L8" s="15">
        <v>276</v>
      </c>
      <c r="M8" s="17">
        <f ca="1">IFERROR(IF(ProjectTracker[Actual Duration (in days)]=0,"",IF(ABS((ProjectTracker[[#This Row],[Actual Duration (in days)]]-ProjectTracker[[#This Row],[Estimated Duration (in days)]])/ProjectTracker[[#This Row],[Estimated Duration (in days)]])&gt;FlagPercent,1,0)),"")</f>
        <v>1</v>
      </c>
      <c r="N8" s="20">
        <f ca="1">IF(COUNTA('Project Tracker'!$I8,'Project Tracker'!$J8)&lt;&gt;2,"",DAYS360('Project Tracker'!$I8,'Project Tracker'!$J8,FALSE))</f>
        <v>18</v>
      </c>
      <c r="O8" s="14"/>
    </row>
    <row r="9" spans="1:15" ht="30" customHeight="1" x14ac:dyDescent="0.3">
      <c r="B9" s="14" t="s">
        <v>21</v>
      </c>
      <c r="C9" s="14" t="s">
        <v>13</v>
      </c>
      <c r="D9" s="14" t="s">
        <v>4</v>
      </c>
      <c r="E9" s="18">
        <f ca="1">TODAY()-90</f>
        <v>43090</v>
      </c>
      <c r="F9" s="18">
        <f ca="1">TODAY()-50</f>
        <v>43130</v>
      </c>
      <c r="G9" s="15">
        <v>300</v>
      </c>
      <c r="H9" s="28">
        <f ca="1">IF(COUNTA('Project Tracker'!$E9,'Project Tracker'!$F9)&lt;&gt;2,"",DAYS360('Project Tracker'!$E9,'Project Tracker'!$F9,FALSE))</f>
        <v>39</v>
      </c>
      <c r="I9" s="19">
        <f ca="1">TODAY()-90</f>
        <v>43090</v>
      </c>
      <c r="J9" s="18">
        <f ca="1">TODAY()-44</f>
        <v>43136</v>
      </c>
      <c r="K9" s="17">
        <f>IFERROR(IF(ProjectTracker[Actual Work (in hours)]=0,"",IF(ABS((ProjectTracker[[#This Row],[Actual Work (in hours)]]-ProjectTracker[[#This Row],[Estimated Work (in hours)]])/ProjectTracker[[#This Row],[Estimated Work (in hours)]])&gt;FlagPercent,1,0)),"")</f>
        <v>0</v>
      </c>
      <c r="L9" s="15">
        <v>310</v>
      </c>
      <c r="M9" s="17">
        <f ca="1">IFERROR(IF(ProjectTracker[Actual Duration (in days)]=0,"",IF(ABS((ProjectTracker[[#This Row],[Actual Duration (in days)]]-ProjectTracker[[#This Row],[Estimated Duration (in days)]])/ProjectTracker[[#This Row],[Estimated Duration (in days)]])&gt;FlagPercent,1,0)),"")</f>
        <v>0</v>
      </c>
      <c r="N9" s="20">
        <f ca="1">IF(COUNTA('Project Tracker'!$I9,'Project Tracker'!$J9)&lt;&gt;2,"",DAYS360('Project Tracker'!$I9,'Project Tracker'!$J9,FALSE))</f>
        <v>44</v>
      </c>
      <c r="O9" s="14"/>
    </row>
    <row r="10" spans="1:15" ht="30" customHeight="1" x14ac:dyDescent="0.3">
      <c r="B10" s="14" t="s">
        <v>22</v>
      </c>
      <c r="C10" s="14" t="s">
        <v>14</v>
      </c>
      <c r="D10" s="14" t="s">
        <v>6</v>
      </c>
      <c r="E10" s="18">
        <f ca="1">TODAY()-60</f>
        <v>43120</v>
      </c>
      <c r="F10" s="18">
        <f ca="1">TODAY()-50</f>
        <v>43130</v>
      </c>
      <c r="G10" s="15">
        <v>500</v>
      </c>
      <c r="H10" s="28">
        <f ca="1">IF(COUNTA('Project Tracker'!$E10,'Project Tracker'!$F10)&lt;&gt;2,"",DAYS360('Project Tracker'!$E10,'Project Tracker'!$F10,FALSE))</f>
        <v>10</v>
      </c>
      <c r="I10" s="19">
        <f ca="1">TODAY()-60</f>
        <v>43120</v>
      </c>
      <c r="J10" s="18">
        <f ca="1">TODAY()-45</f>
        <v>43135</v>
      </c>
      <c r="K10" s="17">
        <f>IFERROR(IF(ProjectTracker[Actual Work (in hours)]=0,"",IF(ABS((ProjectTracker[[#This Row],[Actual Work (in hours)]]-ProjectTracker[[#This Row],[Estimated Work (in hours)]])/ProjectTracker[[#This Row],[Estimated Work (in hours)]])&gt;FlagPercent,1,0)),"")</f>
        <v>0</v>
      </c>
      <c r="L10" s="15">
        <v>510</v>
      </c>
      <c r="M10" s="17">
        <f ca="1">IFERROR(IF(ProjectTracker[Actual Duration (in days)]=0,"",IF(ABS((ProjectTracker[[#This Row],[Actual Duration (in days)]]-ProjectTracker[[#This Row],[Estimated Duration (in days)]])/ProjectTracker[[#This Row],[Estimated Duration (in days)]])&gt;FlagPercent,1,0)),"")</f>
        <v>1</v>
      </c>
      <c r="N10" s="20">
        <f ca="1">IF(COUNTA('Project Tracker'!$I10,'Project Tracker'!$J10)&lt;&gt;2,"",DAYS360('Project Tracker'!$I10,'Project Tracker'!$J10,FALSE))</f>
        <v>14</v>
      </c>
      <c r="O10" s="14"/>
    </row>
    <row r="11" spans="1:15" ht="30" customHeight="1" x14ac:dyDescent="0.3">
      <c r="B11" s="14" t="s">
        <v>23</v>
      </c>
      <c r="C11" s="14" t="s">
        <v>15</v>
      </c>
      <c r="D11" s="14" t="s">
        <v>3</v>
      </c>
      <c r="E11" s="18">
        <f ca="1">TODAY()-44</f>
        <v>43136</v>
      </c>
      <c r="F11" s="18">
        <f ca="1">TODAY()-20</f>
        <v>43160</v>
      </c>
      <c r="G11" s="15">
        <v>750</v>
      </c>
      <c r="H11" s="28">
        <f ca="1">IF(COUNTA('Project Tracker'!$E11,'Project Tracker'!$F11)&lt;&gt;2,"",DAYS360('Project Tracker'!$E11,'Project Tracker'!$F11,FALSE))</f>
        <v>26</v>
      </c>
      <c r="I11" s="19">
        <f ca="1">TODAY()-44</f>
        <v>43136</v>
      </c>
      <c r="J11" s="18">
        <f ca="1">TODAY()-15</f>
        <v>43165</v>
      </c>
      <c r="K11" s="17">
        <f>IFERROR(IF(ProjectTracker[Actual Work (in hours)]=0,"",IF(ABS((ProjectTracker[[#This Row],[Actual Work (in hours)]]-ProjectTracker[[#This Row],[Estimated Work (in hours)]])/ProjectTracker[[#This Row],[Estimated Work (in hours)]])&gt;FlagPercent,1,0)),"")</f>
        <v>0</v>
      </c>
      <c r="L11" s="15">
        <v>790</v>
      </c>
      <c r="M11" s="17">
        <f ca="1">IFERROR(IF(ProjectTracker[Actual Duration (in days)]=0,"",IF(ABS((ProjectTracker[[#This Row],[Actual Duration (in days)]]-ProjectTracker[[#This Row],[Estimated Duration (in days)]])/ProjectTracker[[#This Row],[Estimated Duration (in days)]])&gt;FlagPercent,1,0)),"")</f>
        <v>0</v>
      </c>
      <c r="N11" s="20">
        <f ca="1">IF(COUNTA('Project Tracker'!$I11,'Project Tracker'!$J11)&lt;&gt;2,"",DAYS360('Project Tracker'!$I11,'Project Tracker'!$J11,FALSE))</f>
        <v>31</v>
      </c>
      <c r="O11" s="14"/>
    </row>
    <row r="12" spans="1:15" ht="30" customHeight="1" x14ac:dyDescent="0.3">
      <c r="B12" s="14" t="s">
        <v>24</v>
      </c>
      <c r="C12" s="14" t="s">
        <v>12</v>
      </c>
      <c r="D12" s="14" t="s">
        <v>3</v>
      </c>
      <c r="E12" s="18">
        <f ca="1">TODAY()-39</f>
        <v>43141</v>
      </c>
      <c r="F12" s="18">
        <f ca="1">TODAY()</f>
        <v>43180</v>
      </c>
      <c r="G12" s="15">
        <v>450</v>
      </c>
      <c r="H12" s="28">
        <f ca="1">IF(COUNTA('Project Tracker'!$E12,'Project Tracker'!$F12)&lt;&gt;2,"",DAYS360('Project Tracker'!$E12,'Project Tracker'!$F12,FALSE))</f>
        <v>41</v>
      </c>
      <c r="I12" s="19">
        <f ca="1">TODAY()-45</f>
        <v>43135</v>
      </c>
      <c r="J12" s="18">
        <f ca="1">TODAY()-5</f>
        <v>43175</v>
      </c>
      <c r="K12" s="17">
        <f>IFERROR(IF(ProjectTracker[Actual Work (in hours)]=0,"",IF(ABS((ProjectTracker[[#This Row],[Actual Work (in hours)]]-ProjectTracker[[#This Row],[Estimated Work (in hours)]])/ProjectTracker[[#This Row],[Estimated Work (in hours)]])&gt;FlagPercent,1,0)),"")</f>
        <v>0</v>
      </c>
      <c r="L12" s="15">
        <v>430</v>
      </c>
      <c r="M12" s="17">
        <f ca="1">IFERROR(IF(ProjectTracker[Actual Duration (in days)]=0,"",IF(ABS((ProjectTracker[[#This Row],[Actual Duration (in days)]]-ProjectTracker[[#This Row],[Estimated Duration (in days)]])/ProjectTracker[[#This Row],[Estimated Duration (in days)]])&gt;FlagPercent,1,0)),"")</f>
        <v>0</v>
      </c>
      <c r="N12" s="20">
        <f ca="1">IF(COUNTA('Project Tracker'!$I12,'Project Tracker'!$J12)&lt;&gt;2,"",DAYS360('Project Tracker'!$I12,'Project Tracker'!$J12,FALSE))</f>
        <v>42</v>
      </c>
      <c r="O12" s="14"/>
    </row>
    <row r="13" spans="1:15" ht="30" customHeight="1" x14ac:dyDescent="0.3">
      <c r="B13" s="21" t="s">
        <v>37</v>
      </c>
      <c r="C13" s="21" t="s">
        <v>14</v>
      </c>
      <c r="D13" s="14" t="s">
        <v>3</v>
      </c>
      <c r="E13" s="22">
        <v>42405</v>
      </c>
      <c r="F13" s="22">
        <v>42530</v>
      </c>
      <c r="G13" s="23">
        <v>250</v>
      </c>
      <c r="H13" s="28">
        <f>IF(COUNTA('Project Tracker'!$E13,'Project Tracker'!$F13)&lt;&gt;2,"",DAYS360('Project Tracker'!$E13,'Project Tracker'!$F13,FALSE))</f>
        <v>124</v>
      </c>
      <c r="I13" s="24">
        <v>42434</v>
      </c>
      <c r="J13" s="22">
        <v>42495</v>
      </c>
      <c r="K13" s="25">
        <f>IFERROR(IF(ProjectTracker[Actual Work (in hours)]=0,"",IF(ABS((ProjectTracker[[#This Row],[Actual Work (in hours)]]-ProjectTracker[[#This Row],[Estimated Work (in hours)]])/ProjectTracker[[#This Row],[Estimated Work (in hours)]])&gt;FlagPercent,1,0)),"")</f>
        <v>0</v>
      </c>
      <c r="L13" s="23">
        <v>200</v>
      </c>
      <c r="M13" s="17">
        <f>IFERROR(IF(ProjectTracker[Actual Duration (in days)]=0,"",IF(ABS((ProjectTracker[[#This Row],[Actual Duration (in days)]]-ProjectTracker[[#This Row],[Estimated Duration (in days)]])/ProjectTracker[[#This Row],[Estimated Duration (in days)]])&gt;FlagPercent,1,0)),"")</f>
        <v>1</v>
      </c>
      <c r="N13" s="26">
        <f>IF(COUNTA('Project Tracker'!$I13,'Project Tracker'!$J13)&lt;&gt;2,"",DAYS360('Project Tracker'!$I13,'Project Tracker'!$J13,FALSE))</f>
        <v>60</v>
      </c>
      <c r="O13" s="21"/>
    </row>
  </sheetData>
  <conditionalFormatting sqref="L5:L13">
    <cfRule type="expression" dxfId="32" priority="6">
      <formula>(ABS((L5-G5))/G5)&gt;FlagPercent</formula>
    </cfRule>
  </conditionalFormatting>
  <conditionalFormatting sqref="N5:N13">
    <cfRule type="expression" dxfId="31" priority="8">
      <formula>(ABS((N5-H5))/H5)&gt;FlagPercent</formula>
    </cfRule>
  </conditionalFormatting>
  <dataValidations count="20">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Customizable over/under percent used for highlighting the actual work in hours and days in the project table that are over or under this number" sqref="D2"/>
    <dataValidation type="list" allowBlank="1" showInputMessage="1" showErrorMessage="1" error="Select a category from the list or create a new category to display in this list from the Setup worksheet." sqref="C6:C13">
      <formula1>CategoryList</formula1>
    </dataValidation>
    <dataValidation type="list" allowBlank="1" showInputMessage="1" showErrorMessage="1" error="Select an employee from the list or create a new employee to display in this list from the Setup worksheet." sqref="D6:D13">
      <formula1>EmployeeList</formula1>
    </dataValidation>
    <dataValidation type="list" allowBlank="1" showInputMessage="1" showErrorMessage="1" error="Select an employee from the list or create a new employee to display in this list from the Setup worksheet." sqref="D5">
      <formula1>EmployeeList</formula1>
    </dataValidation>
    <dataValidation type="list" allowBlank="1" showInputMessage="1" showErrorMessage="1" error="Select a category from the list or create a new category to display in this list from the Setup worksheet." sqref="C5">
      <formula1>CategoryList</formula1>
    </dataValidation>
    <dataValidation allowBlank="1" showInputMessage="1" showErrorMessage="1" prompt="Enter project names in this column" sqref="B4"/>
    <dataValidation allowBlank="1" showInputMessage="1" showErrorMessage="1" prompt="Select Category name from the dropdown list in each cell in this column. Options in this list are defined in the Setup worksheet. Press ALT+DOWN ARROW to navigate the list, then ENTER to make a selection" sqref="C4"/>
    <dataValidation allowBlank="1" showInputMessage="1" showErrorMessage="1" prompt="Select the Employee name from the dropdown list in each cell in this column. Options are defined in the Setup worksheet. Press ALT+DOWN ARROW to navigate the list, then ENTER to make a selection" sqref="D4"/>
    <dataValidation allowBlank="1" showInputMessage="1" showErrorMessage="1" prompt="Enter the estimated project start date in this column" sqref="E4"/>
    <dataValidation allowBlank="1" showInputMessage="1" showErrorMessage="1" prompt="Enter the estimated project finish date in this column" sqref="F4"/>
    <dataValidation allowBlank="1" showInputMessage="1" showErrorMessage="1" prompt="Enter estimated project work in hours" sqref="G4"/>
    <dataValidation allowBlank="1" showInputMessage="1" showErrorMessage="1" prompt="Enter estimated duration of the project in days in this column" sqref="H4"/>
    <dataValidation allowBlank="1" showInputMessage="1" showErrorMessage="1" prompt="Enter the actual project start date in this column" sqref="I4"/>
    <dataValidation allowBlank="1" showInputMessage="1" showErrorMessage="1" prompt="Enter the actual project finish date in this column" sqref="J4"/>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K4"/>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M4"/>
    <dataValidation allowBlank="1" showInputMessage="1" showErrorMessage="1" prompt="Enter the actual project work in hours. Values that meet the Over/Under criteria are highlighted bold, red and generate a flag icon in column K at left" sqref="L4"/>
    <dataValidation allowBlank="1" showInputMessage="1" showErrorMessage="1" prompt="Enter the actual project duration in days. Values that meet the Over/Under criteria are highlighted bold, red and generate a flag icon in column M at left" sqref="N4"/>
    <dataValidation allowBlank="1" showInputMessage="1" showErrorMessage="1" prompt="Enter notes for projects in this column" sqref="O4"/>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N13 K1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K5:K13</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0"/>
  <sheetViews>
    <sheetView showGridLines="0" zoomScaleNormal="100" workbookViewId="0">
      <pane ySplit="4" topLeftCell="A5" activePane="bottomLeft" state="frozen"/>
      <selection pane="bottomLeft" activeCell="B4" sqref="B4"/>
    </sheetView>
  </sheetViews>
  <sheetFormatPr defaultRowHeight="30" customHeight="1" x14ac:dyDescent="0.3"/>
  <cols>
    <col min="1" max="1" width="2.625" customWidth="1"/>
    <col min="2" max="3" width="25.625" customWidth="1"/>
    <col min="4" max="4" width="2.625" customWidth="1"/>
  </cols>
  <sheetData>
    <row r="1" spans="2:3" ht="65.099999999999994" customHeight="1" x14ac:dyDescent="0.3">
      <c r="B1" s="12" t="s">
        <v>7</v>
      </c>
    </row>
    <row r="2" spans="2:3" ht="20.25" customHeight="1" x14ac:dyDescent="0.3"/>
    <row r="3" spans="2:3" ht="20.25" customHeight="1" x14ac:dyDescent="0.3"/>
    <row r="4" spans="2:3" ht="50.1" customHeight="1" x14ac:dyDescent="0.3">
      <c r="B4" s="7" t="s">
        <v>29</v>
      </c>
      <c r="C4" s="7" t="s">
        <v>28</v>
      </c>
    </row>
    <row r="5" spans="2:3" ht="30" customHeight="1" x14ac:dyDescent="0.3">
      <c r="B5" s="13" t="s">
        <v>11</v>
      </c>
      <c r="C5" s="13" t="s">
        <v>74</v>
      </c>
    </row>
    <row r="6" spans="2:3" ht="30" customHeight="1" x14ac:dyDescent="0.3">
      <c r="B6" s="13" t="s">
        <v>12</v>
      </c>
      <c r="C6" s="13" t="s">
        <v>75</v>
      </c>
    </row>
    <row r="7" spans="2:3" ht="30" customHeight="1" x14ac:dyDescent="0.3">
      <c r="B7" s="13" t="s">
        <v>13</v>
      </c>
      <c r="C7" s="13" t="s">
        <v>76</v>
      </c>
    </row>
    <row r="8" spans="2:3" ht="30" customHeight="1" x14ac:dyDescent="0.3">
      <c r="B8" s="13" t="s">
        <v>14</v>
      </c>
      <c r="C8" s="13" t="s">
        <v>77</v>
      </c>
    </row>
    <row r="9" spans="2:3" ht="30" customHeight="1" x14ac:dyDescent="0.3">
      <c r="B9" s="13" t="s">
        <v>15</v>
      </c>
      <c r="C9" s="13"/>
    </row>
    <row r="10" spans="2:3" ht="30" customHeight="1" x14ac:dyDescent="0.3">
      <c r="B10" s="13" t="s">
        <v>16</v>
      </c>
      <c r="C10" s="46"/>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election sqref="A1:D47"/>
    </sheetView>
  </sheetViews>
  <sheetFormatPr defaultRowHeight="16.5" x14ac:dyDescent="0.3"/>
  <cols>
    <col min="1" max="1" width="22.625" style="64" customWidth="1"/>
    <col min="2" max="2" width="14.125" style="64" customWidth="1"/>
    <col min="3" max="3" width="10.625" style="64" customWidth="1"/>
    <col min="4" max="4" width="36.875" style="64" customWidth="1"/>
    <col min="5" max="5" width="53.5" style="63" customWidth="1"/>
    <col min="6" max="16384" width="9" style="64"/>
  </cols>
  <sheetData>
    <row r="1" spans="1:5" x14ac:dyDescent="0.3">
      <c r="A1" s="61" t="s">
        <v>79</v>
      </c>
      <c r="B1" s="61" t="s">
        <v>48</v>
      </c>
      <c r="C1" s="61" t="s">
        <v>80</v>
      </c>
      <c r="D1" s="62" t="s">
        <v>81</v>
      </c>
    </row>
    <row r="2" spans="1:5" x14ac:dyDescent="0.3">
      <c r="A2" s="58" t="s">
        <v>98</v>
      </c>
      <c r="B2" s="58" t="s">
        <v>50</v>
      </c>
      <c r="C2" s="59" t="s">
        <v>82</v>
      </c>
      <c r="D2" s="60" t="s">
        <v>51</v>
      </c>
    </row>
    <row r="3" spans="1:5" x14ac:dyDescent="0.3">
      <c r="A3" s="58" t="s">
        <v>99</v>
      </c>
      <c r="B3" s="58" t="s">
        <v>50</v>
      </c>
      <c r="C3" s="59" t="s">
        <v>82</v>
      </c>
      <c r="D3" s="60" t="s">
        <v>51</v>
      </c>
    </row>
    <row r="4" spans="1:5" x14ac:dyDescent="0.3">
      <c r="A4" s="58" t="s">
        <v>100</v>
      </c>
      <c r="B4" s="58" t="s">
        <v>56</v>
      </c>
      <c r="C4" s="59" t="s">
        <v>83</v>
      </c>
      <c r="D4" s="60" t="s">
        <v>57</v>
      </c>
      <c r="E4" s="65"/>
    </row>
    <row r="5" spans="1:5" x14ac:dyDescent="0.3">
      <c r="A5" s="58" t="s">
        <v>101</v>
      </c>
      <c r="B5" s="58" t="s">
        <v>56</v>
      </c>
      <c r="C5" s="59" t="s">
        <v>83</v>
      </c>
      <c r="D5" s="60" t="s">
        <v>57</v>
      </c>
      <c r="E5" s="64"/>
    </row>
    <row r="6" spans="1:5" x14ac:dyDescent="0.3">
      <c r="A6" s="58" t="s">
        <v>97</v>
      </c>
      <c r="B6" s="58" t="s">
        <v>56</v>
      </c>
      <c r="C6" s="59" t="s">
        <v>83</v>
      </c>
      <c r="D6" s="60" t="s">
        <v>57</v>
      </c>
      <c r="E6" s="64"/>
    </row>
    <row r="7" spans="1:5" x14ac:dyDescent="0.3">
      <c r="A7" s="58" t="s">
        <v>102</v>
      </c>
      <c r="B7" s="58" t="s">
        <v>56</v>
      </c>
      <c r="C7" s="59" t="s">
        <v>83</v>
      </c>
      <c r="D7" s="60" t="s">
        <v>57</v>
      </c>
      <c r="E7" s="64"/>
    </row>
    <row r="8" spans="1:5" x14ac:dyDescent="0.3">
      <c r="A8" s="58" t="s">
        <v>103</v>
      </c>
      <c r="B8" s="58" t="s">
        <v>56</v>
      </c>
      <c r="C8" s="59" t="s">
        <v>83</v>
      </c>
      <c r="D8" s="60" t="s">
        <v>57</v>
      </c>
      <c r="E8" s="64"/>
    </row>
    <row r="9" spans="1:5" x14ac:dyDescent="0.3">
      <c r="A9" s="58" t="s">
        <v>104</v>
      </c>
      <c r="B9" s="58" t="s">
        <v>84</v>
      </c>
      <c r="C9" s="59" t="s">
        <v>85</v>
      </c>
      <c r="D9" s="60" t="s">
        <v>86</v>
      </c>
      <c r="E9" s="64"/>
    </row>
    <row r="10" spans="1:5" x14ac:dyDescent="0.3">
      <c r="A10" s="58" t="s">
        <v>105</v>
      </c>
      <c r="B10" s="58" t="s">
        <v>84</v>
      </c>
      <c r="C10" s="59" t="s">
        <v>85</v>
      </c>
      <c r="D10" s="60" t="s">
        <v>86</v>
      </c>
      <c r="E10" s="64"/>
    </row>
    <row r="11" spans="1:5" x14ac:dyDescent="0.3">
      <c r="A11" s="58" t="s">
        <v>106</v>
      </c>
      <c r="B11" s="58" t="s">
        <v>84</v>
      </c>
      <c r="C11" s="59" t="s">
        <v>95</v>
      </c>
      <c r="D11" s="60" t="s">
        <v>86</v>
      </c>
      <c r="E11" s="64"/>
    </row>
    <row r="12" spans="1:5" x14ac:dyDescent="0.3">
      <c r="A12" s="58" t="s">
        <v>107</v>
      </c>
      <c r="B12" s="58" t="s">
        <v>84</v>
      </c>
      <c r="C12" s="59" t="s">
        <v>95</v>
      </c>
      <c r="D12" s="60" t="s">
        <v>86</v>
      </c>
      <c r="E12" s="64"/>
    </row>
    <row r="13" spans="1:5" x14ac:dyDescent="0.3">
      <c r="A13" s="58" t="s">
        <v>108</v>
      </c>
      <c r="B13" s="58" t="s">
        <v>84</v>
      </c>
      <c r="C13" s="59" t="s">
        <v>95</v>
      </c>
      <c r="D13" s="60" t="s">
        <v>86</v>
      </c>
      <c r="E13" s="64"/>
    </row>
    <row r="14" spans="1:5" x14ac:dyDescent="0.3">
      <c r="A14" s="58" t="s">
        <v>109</v>
      </c>
      <c r="B14" s="58" t="s">
        <v>84</v>
      </c>
      <c r="C14" s="59" t="s">
        <v>95</v>
      </c>
      <c r="D14" s="60" t="s">
        <v>86</v>
      </c>
      <c r="E14" s="64"/>
    </row>
    <row r="15" spans="1:5" x14ac:dyDescent="0.3">
      <c r="A15" s="58" t="s">
        <v>110</v>
      </c>
      <c r="B15" s="58" t="s">
        <v>84</v>
      </c>
      <c r="C15" s="59" t="s">
        <v>95</v>
      </c>
      <c r="D15" s="60" t="s">
        <v>86</v>
      </c>
      <c r="E15" s="66"/>
    </row>
    <row r="16" spans="1:5" x14ac:dyDescent="0.3">
      <c r="A16" s="58" t="s">
        <v>111</v>
      </c>
      <c r="B16" s="58" t="s">
        <v>84</v>
      </c>
      <c r="C16" s="59" t="s">
        <v>95</v>
      </c>
      <c r="D16" s="60" t="s">
        <v>86</v>
      </c>
    </row>
    <row r="17" spans="1:4" x14ac:dyDescent="0.3">
      <c r="A17" s="58" t="s">
        <v>112</v>
      </c>
      <c r="B17" s="58" t="s">
        <v>84</v>
      </c>
      <c r="C17" s="59" t="s">
        <v>95</v>
      </c>
      <c r="D17" s="60" t="s">
        <v>86</v>
      </c>
    </row>
    <row r="18" spans="1:4" x14ac:dyDescent="0.3">
      <c r="A18" s="58" t="s">
        <v>113</v>
      </c>
      <c r="B18" s="58" t="s">
        <v>84</v>
      </c>
      <c r="C18" s="59" t="s">
        <v>95</v>
      </c>
      <c r="D18" s="60" t="s">
        <v>86</v>
      </c>
    </row>
    <row r="19" spans="1:4" x14ac:dyDescent="0.3">
      <c r="A19" s="58" t="s">
        <v>114</v>
      </c>
      <c r="B19" s="58" t="s">
        <v>84</v>
      </c>
      <c r="C19" s="59" t="s">
        <v>95</v>
      </c>
      <c r="D19" s="60" t="s">
        <v>86</v>
      </c>
    </row>
    <row r="20" spans="1:4" x14ac:dyDescent="0.3">
      <c r="A20" s="58" t="s">
        <v>115</v>
      </c>
      <c r="B20" s="58" t="s">
        <v>84</v>
      </c>
      <c r="C20" s="59" t="s">
        <v>95</v>
      </c>
      <c r="D20" s="60" t="s">
        <v>86</v>
      </c>
    </row>
    <row r="21" spans="1:4" x14ac:dyDescent="0.3">
      <c r="A21" s="58" t="s">
        <v>116</v>
      </c>
      <c r="B21" s="58" t="s">
        <v>87</v>
      </c>
      <c r="C21" s="59" t="s">
        <v>88</v>
      </c>
      <c r="D21" s="60" t="s">
        <v>89</v>
      </c>
    </row>
    <row r="22" spans="1:4" x14ac:dyDescent="0.3">
      <c r="A22" s="58" t="s">
        <v>117</v>
      </c>
      <c r="B22" s="58" t="s">
        <v>87</v>
      </c>
      <c r="C22" s="59" t="s">
        <v>88</v>
      </c>
      <c r="D22" s="60" t="s">
        <v>89</v>
      </c>
    </row>
    <row r="23" spans="1:4" x14ac:dyDescent="0.3">
      <c r="A23" s="58" t="s">
        <v>118</v>
      </c>
      <c r="B23" s="58" t="s">
        <v>87</v>
      </c>
      <c r="C23" s="59" t="s">
        <v>88</v>
      </c>
      <c r="D23" s="60" t="s">
        <v>89</v>
      </c>
    </row>
    <row r="24" spans="1:4" x14ac:dyDescent="0.3">
      <c r="A24" s="58" t="s">
        <v>119</v>
      </c>
      <c r="B24" s="58" t="s">
        <v>87</v>
      </c>
      <c r="C24" s="59" t="s">
        <v>88</v>
      </c>
      <c r="D24" s="60" t="s">
        <v>89</v>
      </c>
    </row>
    <row r="25" spans="1:4" x14ac:dyDescent="0.3">
      <c r="A25" s="58" t="s">
        <v>120</v>
      </c>
      <c r="B25" s="58" t="s">
        <v>90</v>
      </c>
      <c r="C25" s="59" t="s">
        <v>91</v>
      </c>
      <c r="D25" s="60" t="s">
        <v>92</v>
      </c>
    </row>
    <row r="26" spans="1:4" x14ac:dyDescent="0.3">
      <c r="A26" s="58" t="s">
        <v>121</v>
      </c>
      <c r="B26" s="58" t="s">
        <v>90</v>
      </c>
      <c r="C26" s="59" t="s">
        <v>91</v>
      </c>
      <c r="D26" s="60" t="s">
        <v>92</v>
      </c>
    </row>
    <row r="27" spans="1:4" x14ac:dyDescent="0.3">
      <c r="A27" s="58" t="s">
        <v>122</v>
      </c>
      <c r="B27" s="58" t="s">
        <v>90</v>
      </c>
      <c r="C27" s="59" t="s">
        <v>91</v>
      </c>
      <c r="D27" s="60" t="s">
        <v>92</v>
      </c>
    </row>
    <row r="28" spans="1:4" x14ac:dyDescent="0.3">
      <c r="A28" s="58" t="s">
        <v>123</v>
      </c>
      <c r="B28" s="58" t="s">
        <v>90</v>
      </c>
      <c r="C28" s="59" t="s">
        <v>91</v>
      </c>
      <c r="D28" s="60" t="s">
        <v>92</v>
      </c>
    </row>
    <row r="29" spans="1:4" x14ac:dyDescent="0.3">
      <c r="A29" s="58" t="s">
        <v>124</v>
      </c>
      <c r="B29" s="58" t="s">
        <v>90</v>
      </c>
      <c r="C29" s="59" t="s">
        <v>91</v>
      </c>
      <c r="D29" s="60" t="s">
        <v>92</v>
      </c>
    </row>
    <row r="30" spans="1:4" x14ac:dyDescent="0.3">
      <c r="A30" s="58" t="s">
        <v>125</v>
      </c>
      <c r="B30" s="58" t="s">
        <v>90</v>
      </c>
      <c r="C30" s="59" t="s">
        <v>96</v>
      </c>
      <c r="D30" s="60" t="s">
        <v>92</v>
      </c>
    </row>
    <row r="31" spans="1:4" x14ac:dyDescent="0.3">
      <c r="A31" s="58" t="s">
        <v>126</v>
      </c>
      <c r="B31" s="58" t="s">
        <v>90</v>
      </c>
      <c r="C31" s="59" t="s">
        <v>96</v>
      </c>
      <c r="D31" s="60" t="s">
        <v>92</v>
      </c>
    </row>
    <row r="32" spans="1:4" x14ac:dyDescent="0.3">
      <c r="A32" s="58" t="s">
        <v>127</v>
      </c>
      <c r="B32" s="58" t="s">
        <v>90</v>
      </c>
      <c r="C32" s="59" t="s">
        <v>96</v>
      </c>
      <c r="D32" s="60" t="s">
        <v>92</v>
      </c>
    </row>
    <row r="33" spans="1:4" x14ac:dyDescent="0.3">
      <c r="A33" s="58" t="s">
        <v>128</v>
      </c>
      <c r="B33" s="58" t="s">
        <v>90</v>
      </c>
      <c r="C33" s="59" t="s">
        <v>96</v>
      </c>
      <c r="D33" s="60" t="s">
        <v>92</v>
      </c>
    </row>
    <row r="34" spans="1:4" x14ac:dyDescent="0.3">
      <c r="A34" s="58" t="s">
        <v>129</v>
      </c>
      <c r="B34" s="58" t="s">
        <v>54</v>
      </c>
      <c r="C34" s="59" t="s">
        <v>93</v>
      </c>
      <c r="D34" s="60" t="s">
        <v>55</v>
      </c>
    </row>
    <row r="35" spans="1:4" x14ac:dyDescent="0.3">
      <c r="A35" s="58" t="s">
        <v>130</v>
      </c>
      <c r="B35" s="58" t="s">
        <v>54</v>
      </c>
      <c r="C35" s="59" t="s">
        <v>93</v>
      </c>
      <c r="D35" s="60" t="s">
        <v>55</v>
      </c>
    </row>
    <row r="36" spans="1:4" x14ac:dyDescent="0.3">
      <c r="A36" s="58" t="s">
        <v>131</v>
      </c>
      <c r="B36" s="58" t="s">
        <v>54</v>
      </c>
      <c r="C36" s="59" t="s">
        <v>93</v>
      </c>
      <c r="D36" s="60" t="s">
        <v>55</v>
      </c>
    </row>
    <row r="37" spans="1:4" x14ac:dyDescent="0.3">
      <c r="A37" s="58" t="s">
        <v>132</v>
      </c>
      <c r="B37" s="58" t="s">
        <v>54</v>
      </c>
      <c r="C37" s="59" t="s">
        <v>93</v>
      </c>
      <c r="D37" s="60" t="s">
        <v>55</v>
      </c>
    </row>
    <row r="38" spans="1:4" x14ac:dyDescent="0.3">
      <c r="A38" s="58" t="s">
        <v>133</v>
      </c>
      <c r="B38" s="58" t="s">
        <v>54</v>
      </c>
      <c r="C38" s="59" t="s">
        <v>93</v>
      </c>
      <c r="D38" s="60" t="s">
        <v>55</v>
      </c>
    </row>
    <row r="39" spans="1:4" x14ac:dyDescent="0.3">
      <c r="A39" s="58" t="s">
        <v>134</v>
      </c>
      <c r="B39" s="58" t="s">
        <v>54</v>
      </c>
      <c r="C39" s="59" t="s">
        <v>93</v>
      </c>
      <c r="D39" s="60" t="s">
        <v>55</v>
      </c>
    </row>
    <row r="40" spans="1:4" x14ac:dyDescent="0.3">
      <c r="A40" s="58" t="s">
        <v>135</v>
      </c>
      <c r="B40" s="58" t="s">
        <v>52</v>
      </c>
      <c r="C40" s="59" t="s">
        <v>94</v>
      </c>
      <c r="D40" s="60" t="s">
        <v>53</v>
      </c>
    </row>
    <row r="41" spans="1:4" x14ac:dyDescent="0.3">
      <c r="A41" s="58" t="s">
        <v>136</v>
      </c>
      <c r="B41" s="58" t="s">
        <v>52</v>
      </c>
      <c r="C41" s="59" t="s">
        <v>94</v>
      </c>
      <c r="D41" s="60" t="s">
        <v>53</v>
      </c>
    </row>
    <row r="42" spans="1:4" x14ac:dyDescent="0.3">
      <c r="A42" s="58" t="s">
        <v>137</v>
      </c>
      <c r="B42" s="58" t="s">
        <v>52</v>
      </c>
      <c r="C42" s="59" t="s">
        <v>94</v>
      </c>
      <c r="D42" s="60" t="s">
        <v>53</v>
      </c>
    </row>
    <row r="43" spans="1:4" x14ac:dyDescent="0.3">
      <c r="A43" s="58" t="s">
        <v>138</v>
      </c>
      <c r="B43" s="58" t="s">
        <v>52</v>
      </c>
      <c r="C43" s="59" t="s">
        <v>94</v>
      </c>
      <c r="D43" s="60" t="s">
        <v>53</v>
      </c>
    </row>
    <row r="44" spans="1:4" x14ac:dyDescent="0.3">
      <c r="A44" s="58" t="s">
        <v>139</v>
      </c>
      <c r="B44" s="58" t="s">
        <v>52</v>
      </c>
      <c r="C44" s="59" t="s">
        <v>94</v>
      </c>
      <c r="D44" s="60" t="s">
        <v>53</v>
      </c>
    </row>
    <row r="45" spans="1:4" x14ac:dyDescent="0.3">
      <c r="A45" s="58" t="s">
        <v>140</v>
      </c>
      <c r="B45" s="58" t="s">
        <v>52</v>
      </c>
      <c r="C45" s="59" t="s">
        <v>94</v>
      </c>
      <c r="D45" s="60" t="s">
        <v>53</v>
      </c>
    </row>
    <row r="46" spans="1:4" x14ac:dyDescent="0.3">
      <c r="A46" s="58" t="s">
        <v>141</v>
      </c>
      <c r="B46" s="58" t="s">
        <v>52</v>
      </c>
      <c r="C46" s="59" t="s">
        <v>94</v>
      </c>
      <c r="D46" s="60" t="s">
        <v>53</v>
      </c>
    </row>
    <row r="47" spans="1:4" x14ac:dyDescent="0.3">
      <c r="A47" s="58" t="s">
        <v>142</v>
      </c>
      <c r="B47" s="58" t="s">
        <v>52</v>
      </c>
      <c r="C47" s="59" t="s">
        <v>94</v>
      </c>
      <c r="D47" s="60" t="s">
        <v>53</v>
      </c>
    </row>
  </sheetData>
  <hyperlinks>
    <hyperlink ref="D2" r:id="rId1" display="mailto:Gregory.Tuanau@visionstream.co.nz"/>
    <hyperlink ref="D4" r:id="rId2" display="mailto:Neil.Panther@visionstream.co.nz"/>
    <hyperlink ref="D9" r:id="rId3" display="mailto:Regan.Foai@visionstream.co.nz"/>
    <hyperlink ref="D21" r:id="rId4" display="mailto:graeme.bell@visionstream.co.nz"/>
    <hyperlink ref="D25" r:id="rId5" display="mailto:Glenn.Harrison@visionstream.co.nz"/>
    <hyperlink ref="D34" r:id="rId6" display="mailto:Andrew.Mckinnon@visionstream.co.nz"/>
    <hyperlink ref="D40" r:id="rId7" display="mailto:Davlyn.Brider@visionstream.co.nz"/>
    <hyperlink ref="D41:D47" r:id="rId8" display="mailto:Davlyn.Brider@visionstream.co.nz"/>
    <hyperlink ref="D35:D39" r:id="rId9" display="mailto:Andrew.Mckinnon@visionstream.co.nz"/>
    <hyperlink ref="D26:D33" r:id="rId10" display="mailto:Glenn.Harrison@visionstream.co.nz"/>
    <hyperlink ref="D22:D24" r:id="rId11" display="mailto:graeme.bell@visionstream.co.nz"/>
    <hyperlink ref="D10:D19" r:id="rId12" display="mailto:Regan.Foai@visionstream.co.nz"/>
    <hyperlink ref="D20" r:id="rId13" display="mailto:Regan.Foai@visionstream.co.nz"/>
    <hyperlink ref="D3" r:id="rId14" display="mailto:Gregory.Tuanau@visionstream.co.nz"/>
    <hyperlink ref="D5:D8" r:id="rId15" display="mailto:Neil.Panther@visionstream.co.nz"/>
  </hyperlinks>
  <pageMargins left="0.7" right="0.7" top="0.75" bottom="0.75" header="0.3" footer="0.3"/>
  <tableParts count="1">
    <tablePart r:id="rId1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abSelected="1" topLeftCell="A13" workbookViewId="0">
      <selection activeCell="F13" sqref="F13"/>
    </sheetView>
  </sheetViews>
  <sheetFormatPr defaultColWidth="9" defaultRowHeight="30" customHeight="1" x14ac:dyDescent="0.3"/>
  <cols>
    <col min="1" max="1" width="12" style="1" customWidth="1"/>
    <col min="2" max="2" width="10" style="1" customWidth="1"/>
    <col min="3" max="3" width="29.875" style="1" customWidth="1"/>
    <col min="4" max="4" width="15" style="1" customWidth="1"/>
    <col min="5" max="5" width="10.625" style="44" customWidth="1"/>
    <col min="6" max="6" width="13.375" style="2" customWidth="1"/>
    <col min="7" max="7" width="12.25" style="2" customWidth="1"/>
    <col min="8" max="8" width="9" style="1" customWidth="1"/>
    <col min="9" max="9" width="8.875" style="1" customWidth="1"/>
    <col min="10" max="10" width="15.625" style="2" customWidth="1"/>
    <col min="11" max="11" width="12.625" style="1" customWidth="1"/>
    <col min="12" max="12" width="4" style="1" customWidth="1"/>
    <col min="13" max="13" width="10" style="1" customWidth="1"/>
    <col min="14" max="14" width="23.375" style="1" customWidth="1"/>
    <col min="15" max="15" width="12.5" style="1" customWidth="1"/>
    <col min="16" max="16" width="14.625" style="1" customWidth="1"/>
    <col min="17" max="16384" width="9" style="1"/>
  </cols>
  <sheetData>
    <row r="1" spans="1:16" ht="65.099999999999994" customHeight="1" x14ac:dyDescent="0.3">
      <c r="A1" s="8" t="s">
        <v>8</v>
      </c>
      <c r="B1"/>
      <c r="C1"/>
    </row>
    <row r="2" spans="1:16" ht="20.25" customHeight="1" x14ac:dyDescent="0.3">
      <c r="A2" s="8"/>
      <c r="C2" s="4" t="s">
        <v>9</v>
      </c>
      <c r="D2" s="5"/>
    </row>
    <row r="3" spans="1:16" ht="20.25" customHeight="1" x14ac:dyDescent="0.3">
      <c r="H3"/>
      <c r="I3"/>
    </row>
    <row r="4" spans="1:16" s="41" customFormat="1" ht="54.95" customHeight="1" x14ac:dyDescent="0.3">
      <c r="A4" s="35" t="s">
        <v>39</v>
      </c>
      <c r="B4" s="35" t="s">
        <v>40</v>
      </c>
      <c r="C4" s="35" t="s">
        <v>38</v>
      </c>
      <c r="D4" s="35" t="s">
        <v>2</v>
      </c>
      <c r="E4" s="45" t="s">
        <v>47</v>
      </c>
      <c r="F4" s="36" t="s">
        <v>67</v>
      </c>
      <c r="G4" s="36" t="s">
        <v>58</v>
      </c>
      <c r="H4" s="37" t="s">
        <v>30</v>
      </c>
      <c r="I4" s="38" t="s">
        <v>33</v>
      </c>
      <c r="J4" s="36" t="s">
        <v>26</v>
      </c>
      <c r="K4" s="37" t="s">
        <v>31</v>
      </c>
      <c r="L4" s="42" t="s">
        <v>35</v>
      </c>
      <c r="M4" s="37" t="s">
        <v>32</v>
      </c>
      <c r="N4" s="39" t="s">
        <v>48</v>
      </c>
      <c r="O4" s="40" t="s">
        <v>49</v>
      </c>
      <c r="P4" s="34" t="s">
        <v>70</v>
      </c>
    </row>
    <row r="5" spans="1:16" ht="30" customHeight="1" x14ac:dyDescent="0.3">
      <c r="A5" s="69"/>
      <c r="B5" s="69">
        <v>133655</v>
      </c>
      <c r="C5" s="69" t="s">
        <v>145</v>
      </c>
      <c r="D5" s="70"/>
      <c r="E5" s="71">
        <v>5611</v>
      </c>
      <c r="F5" s="72" t="s">
        <v>68</v>
      </c>
      <c r="G5" s="73">
        <v>43174</v>
      </c>
      <c r="H5" s="74"/>
      <c r="I5" s="75"/>
      <c r="J5" s="73">
        <v>43174</v>
      </c>
      <c r="K5" s="74"/>
      <c r="L5" s="76"/>
      <c r="M5" s="77"/>
      <c r="N5" s="78"/>
      <c r="O5" s="79" t="e">
        <f>VLOOKUP(A4,FFFF,4,0)</f>
        <v>#N/A</v>
      </c>
      <c r="P5" s="80"/>
    </row>
    <row r="6" spans="1:16" ht="30" customHeight="1" x14ac:dyDescent="0.3">
      <c r="A6" s="69"/>
      <c r="B6" s="81">
        <v>131078</v>
      </c>
      <c r="C6" s="31" t="s">
        <v>143</v>
      </c>
      <c r="D6" s="70"/>
      <c r="E6" s="71">
        <v>1652</v>
      </c>
      <c r="F6" s="72" t="s">
        <v>68</v>
      </c>
      <c r="G6" s="73">
        <v>43182</v>
      </c>
      <c r="H6" s="74"/>
      <c r="I6" s="75"/>
      <c r="J6" s="73">
        <v>43150</v>
      </c>
      <c r="K6" s="74"/>
      <c r="L6" s="76"/>
      <c r="M6" s="77"/>
      <c r="N6" s="78"/>
      <c r="O6" s="79" t="e">
        <f>VLOOKUP(A5,FFFF,4,0)</f>
        <v>#N/A</v>
      </c>
      <c r="P6" s="80"/>
    </row>
    <row r="7" spans="1:16" ht="30" customHeight="1" x14ac:dyDescent="0.3">
      <c r="A7" s="47" t="s">
        <v>98</v>
      </c>
      <c r="B7" s="31">
        <v>132054</v>
      </c>
      <c r="C7" s="31" t="s">
        <v>59</v>
      </c>
      <c r="D7" s="68"/>
      <c r="E7" s="52">
        <v>5527</v>
      </c>
      <c r="F7" s="48" t="s">
        <v>69</v>
      </c>
      <c r="G7" s="30">
        <v>43185</v>
      </c>
      <c r="H7" s="49"/>
      <c r="I7" s="33"/>
      <c r="J7" s="32"/>
      <c r="K7" s="49"/>
      <c r="L7" s="50"/>
      <c r="M7" s="51"/>
      <c r="N7" s="67" t="str">
        <f>VLOOKUP(A7,FFFF,2,0)</f>
        <v>Greg Tuanau</v>
      </c>
      <c r="O7" s="67" t="str">
        <f>VLOOKUP(A7,FFFF,4,0)</f>
        <v>Gregory.Tuanau@visionstream.co.nz</v>
      </c>
      <c r="P7" s="29" t="s">
        <v>71</v>
      </c>
    </row>
    <row r="8" spans="1:16" ht="30" customHeight="1" x14ac:dyDescent="0.3">
      <c r="A8" s="69"/>
      <c r="B8" s="81">
        <v>130744</v>
      </c>
      <c r="C8" s="31" t="s">
        <v>144</v>
      </c>
      <c r="D8" s="70"/>
      <c r="E8" s="71">
        <v>856</v>
      </c>
      <c r="F8" s="72" t="s">
        <v>68</v>
      </c>
      <c r="G8" s="73">
        <v>43186</v>
      </c>
      <c r="H8" s="74"/>
      <c r="I8" s="75"/>
      <c r="J8" s="73">
        <v>43152</v>
      </c>
      <c r="K8" s="74"/>
      <c r="L8" s="76"/>
      <c r="M8" s="77"/>
      <c r="N8" s="78"/>
      <c r="O8" s="79" t="str">
        <f>VLOOKUP(A7,FFFF,4,0)</f>
        <v>Gregory.Tuanau@visionstream.co.nz</v>
      </c>
      <c r="P8" s="80"/>
    </row>
    <row r="9" spans="1:16" ht="30" customHeight="1" x14ac:dyDescent="0.3">
      <c r="A9" s="47" t="s">
        <v>98</v>
      </c>
      <c r="B9" s="29">
        <v>129940</v>
      </c>
      <c r="C9" s="29" t="s">
        <v>41</v>
      </c>
      <c r="D9" s="68"/>
      <c r="E9" s="56">
        <v>2041</v>
      </c>
      <c r="F9" s="53" t="s">
        <v>68</v>
      </c>
      <c r="G9" s="30">
        <v>43188</v>
      </c>
      <c r="H9" s="57"/>
      <c r="I9" s="33"/>
      <c r="J9" s="30">
        <v>43153</v>
      </c>
      <c r="K9" s="57"/>
      <c r="L9" s="54"/>
      <c r="M9" s="51"/>
      <c r="N9" s="67" t="str">
        <f>VLOOKUP(A9,FFFF,2,0)</f>
        <v>Greg Tuanau</v>
      </c>
      <c r="O9" s="43" t="e">
        <f>VLOOKUP(A8,FFFF,4,0)</f>
        <v>#N/A</v>
      </c>
      <c r="P9" s="55"/>
    </row>
    <row r="10" spans="1:16" ht="30" customHeight="1" x14ac:dyDescent="0.3">
      <c r="A10" s="47" t="s">
        <v>135</v>
      </c>
      <c r="B10" s="29">
        <v>133975</v>
      </c>
      <c r="C10" s="29" t="s">
        <v>42</v>
      </c>
      <c r="D10" s="68"/>
      <c r="E10" s="56">
        <v>2890</v>
      </c>
      <c r="F10" s="53" t="s">
        <v>68</v>
      </c>
      <c r="G10" s="30">
        <v>43188</v>
      </c>
      <c r="H10" s="57"/>
      <c r="I10" s="33"/>
      <c r="J10" s="30">
        <v>43158</v>
      </c>
      <c r="K10" s="57"/>
      <c r="L10" s="54"/>
      <c r="M10" s="51"/>
      <c r="N10" s="67" t="str">
        <f>VLOOKUP(A10,FFFF,2,0)</f>
        <v>Davlyn Brider</v>
      </c>
      <c r="O10" s="43" t="str">
        <f>VLOOKUP(A9,FFFF,4,0)</f>
        <v>Gregory.Tuanau@visionstream.co.nz</v>
      </c>
      <c r="P10" s="55"/>
    </row>
    <row r="11" spans="1:16" ht="30" customHeight="1" x14ac:dyDescent="0.3">
      <c r="A11" s="47" t="s">
        <v>131</v>
      </c>
      <c r="B11" s="29">
        <v>133661</v>
      </c>
      <c r="C11" s="29" t="s">
        <v>44</v>
      </c>
      <c r="D11" s="68"/>
      <c r="E11" s="56">
        <v>1847</v>
      </c>
      <c r="F11" s="53" t="s">
        <v>68</v>
      </c>
      <c r="G11" s="30">
        <v>43188</v>
      </c>
      <c r="H11" s="57"/>
      <c r="I11" s="33"/>
      <c r="J11" s="30">
        <v>43165</v>
      </c>
      <c r="K11" s="57"/>
      <c r="L11" s="54"/>
      <c r="M11" s="51"/>
      <c r="N11" s="67" t="str">
        <f>VLOOKUP(A11,FFFF,2,0)</f>
        <v>Andrew McKinnon</v>
      </c>
      <c r="O11" s="43" t="str">
        <f>VLOOKUP(A10,FFFF,4,0)</f>
        <v>Davlyn.Brider@visionstream.co.nz</v>
      </c>
      <c r="P11" s="55"/>
    </row>
    <row r="12" spans="1:16" ht="30" customHeight="1" x14ac:dyDescent="0.3">
      <c r="A12" s="47" t="s">
        <v>131</v>
      </c>
      <c r="B12" s="31">
        <v>133555</v>
      </c>
      <c r="C12" s="31" t="s">
        <v>60</v>
      </c>
      <c r="D12" s="68"/>
      <c r="E12" s="52">
        <v>3961</v>
      </c>
      <c r="F12" s="48" t="s">
        <v>69</v>
      </c>
      <c r="G12" s="30">
        <v>43192</v>
      </c>
      <c r="H12" s="49"/>
      <c r="I12" s="33"/>
      <c r="J12" s="32"/>
      <c r="K12" s="49"/>
      <c r="L12" s="50"/>
      <c r="M12" s="51"/>
      <c r="N12" s="67" t="str">
        <f>VLOOKUP(A12,FFFF,2,0)</f>
        <v>Andrew McKinnon</v>
      </c>
      <c r="O12" s="43" t="str">
        <f>VLOOKUP(A11,FFFF,4,0)</f>
        <v>Andrew.Mckinnon@visionstream.co.nz</v>
      </c>
      <c r="P12" s="29"/>
    </row>
    <row r="13" spans="1:16" ht="30" customHeight="1" x14ac:dyDescent="0.3">
      <c r="A13" s="47" t="s">
        <v>132</v>
      </c>
      <c r="B13" s="31">
        <v>132526</v>
      </c>
      <c r="C13" s="31" t="s">
        <v>61</v>
      </c>
      <c r="D13" s="47"/>
      <c r="E13" s="52">
        <v>1372</v>
      </c>
      <c r="F13" s="48" t="s">
        <v>69</v>
      </c>
      <c r="G13" s="30">
        <v>43195</v>
      </c>
      <c r="H13" s="49"/>
      <c r="I13" s="33"/>
      <c r="J13" s="32"/>
      <c r="K13" s="49"/>
      <c r="L13" s="50"/>
      <c r="M13" s="51"/>
      <c r="N13" s="67" t="str">
        <f>VLOOKUP(A13,FFFF,2,0)</f>
        <v>Andrew McKinnon</v>
      </c>
      <c r="O13" s="43" t="str">
        <f>VLOOKUP(A12,FFFF,4,0)</f>
        <v>Andrew.Mckinnon@visionstream.co.nz</v>
      </c>
      <c r="P13" s="29" t="s">
        <v>72</v>
      </c>
    </row>
    <row r="14" spans="1:16" ht="30" customHeight="1" x14ac:dyDescent="0.3">
      <c r="A14" s="47" t="s">
        <v>132</v>
      </c>
      <c r="B14" s="29">
        <v>133054</v>
      </c>
      <c r="C14" s="29" t="s">
        <v>43</v>
      </c>
      <c r="D14" s="31"/>
      <c r="E14" s="56">
        <v>1655</v>
      </c>
      <c r="F14" s="53" t="s">
        <v>68</v>
      </c>
      <c r="G14" s="30">
        <v>43196</v>
      </c>
      <c r="H14" s="57"/>
      <c r="I14" s="33"/>
      <c r="J14" s="30">
        <v>43162</v>
      </c>
      <c r="K14" s="57"/>
      <c r="L14" s="54"/>
      <c r="M14" s="51"/>
      <c r="N14" s="67" t="str">
        <f>VLOOKUP(A14,FFFF,2,0)</f>
        <v>Andrew McKinnon</v>
      </c>
      <c r="O14" s="43" t="str">
        <f>VLOOKUP(A13,FFFF,4,0)</f>
        <v>Andrew.Mckinnon@visionstream.co.nz</v>
      </c>
      <c r="P14" s="55"/>
    </row>
    <row r="15" spans="1:16" ht="30" customHeight="1" x14ac:dyDescent="0.3">
      <c r="A15" s="47" t="s">
        <v>98</v>
      </c>
      <c r="B15" s="31">
        <v>127520</v>
      </c>
      <c r="C15" s="31" t="s">
        <v>62</v>
      </c>
      <c r="D15" s="47"/>
      <c r="E15" s="52">
        <v>5968</v>
      </c>
      <c r="F15" s="48" t="s">
        <v>78</v>
      </c>
      <c r="G15" s="30">
        <v>43196</v>
      </c>
      <c r="H15" s="49"/>
      <c r="I15" s="33"/>
      <c r="J15" s="32"/>
      <c r="K15" s="49"/>
      <c r="L15" s="50"/>
      <c r="M15" s="51"/>
      <c r="N15" s="67" t="str">
        <f>VLOOKUP(A15,FFFF,2,0)</f>
        <v>Greg Tuanau</v>
      </c>
      <c r="O15" s="43" t="str">
        <f>VLOOKUP(A14,FFFF,4,0)</f>
        <v>Andrew.Mckinnon@visionstream.co.nz</v>
      </c>
      <c r="P15" s="29"/>
    </row>
    <row r="16" spans="1:16" ht="30" customHeight="1" x14ac:dyDescent="0.3">
      <c r="A16" s="47" t="s">
        <v>108</v>
      </c>
      <c r="B16" s="31">
        <v>133174</v>
      </c>
      <c r="C16" s="31" t="s">
        <v>63</v>
      </c>
      <c r="D16" s="47"/>
      <c r="E16" s="52">
        <v>1880</v>
      </c>
      <c r="F16" s="48" t="s">
        <v>78</v>
      </c>
      <c r="G16" s="30">
        <v>43199</v>
      </c>
      <c r="H16" s="49"/>
      <c r="I16" s="33"/>
      <c r="J16" s="32"/>
      <c r="K16" s="49"/>
      <c r="L16" s="50"/>
      <c r="M16" s="51"/>
      <c r="N16" s="67" t="str">
        <f>VLOOKUP(A16,FFFF,2,0)</f>
        <v>Regan Foai</v>
      </c>
      <c r="O16" s="43" t="str">
        <f>VLOOKUP(A15,FFFF,4,0)</f>
        <v>Gregory.Tuanau@visionstream.co.nz</v>
      </c>
      <c r="P16" s="29"/>
    </row>
    <row r="17" spans="1:16" ht="30" customHeight="1" x14ac:dyDescent="0.3">
      <c r="A17" s="47" t="s">
        <v>97</v>
      </c>
      <c r="B17" s="29">
        <v>132820</v>
      </c>
      <c r="C17" s="29" t="s">
        <v>46</v>
      </c>
      <c r="D17" s="31"/>
      <c r="E17" s="56">
        <v>918</v>
      </c>
      <c r="F17" s="53" t="s">
        <v>68</v>
      </c>
      <c r="G17" s="30">
        <v>43203</v>
      </c>
      <c r="H17" s="57"/>
      <c r="I17" s="33"/>
      <c r="J17" s="30">
        <v>43173</v>
      </c>
      <c r="K17" s="57"/>
      <c r="L17" s="54"/>
      <c r="M17" s="51"/>
      <c r="N17" s="67" t="str">
        <f>VLOOKUP(A17,FFFF,2,0)</f>
        <v>Neil Panther</v>
      </c>
      <c r="O17" s="43" t="str">
        <f>VLOOKUP(A16,FFFF,4,0)</f>
        <v>Regan.Foai@visionstream.co.nz</v>
      </c>
      <c r="P17" s="55"/>
    </row>
    <row r="18" spans="1:16" ht="30" customHeight="1" x14ac:dyDescent="0.3">
      <c r="A18" s="47" t="s">
        <v>97</v>
      </c>
      <c r="B18" s="29">
        <v>132877</v>
      </c>
      <c r="C18" s="29" t="s">
        <v>45</v>
      </c>
      <c r="D18" s="31"/>
      <c r="E18" s="56">
        <v>866</v>
      </c>
      <c r="F18" s="53" t="s">
        <v>68</v>
      </c>
      <c r="G18" s="30">
        <v>43206</v>
      </c>
      <c r="H18" s="57"/>
      <c r="I18" s="33"/>
      <c r="J18" s="30">
        <v>43172</v>
      </c>
      <c r="K18" s="57"/>
      <c r="L18" s="54"/>
      <c r="M18" s="51"/>
      <c r="N18" s="67" t="str">
        <f>VLOOKUP(A18,FFFF,2,0)</f>
        <v>Neil Panther</v>
      </c>
      <c r="O18" s="43" t="str">
        <f>VLOOKUP(A17,FFFF,4,0)</f>
        <v>Neil.Panther@visionstream.co.nz</v>
      </c>
      <c r="P18" s="55"/>
    </row>
    <row r="19" spans="1:16" ht="30" customHeight="1" x14ac:dyDescent="0.3">
      <c r="A19" s="82" t="s">
        <v>110</v>
      </c>
      <c r="B19" s="31">
        <v>133862</v>
      </c>
      <c r="C19" s="31" t="s">
        <v>64</v>
      </c>
      <c r="D19" s="82"/>
      <c r="E19" s="84">
        <v>2394</v>
      </c>
      <c r="F19" s="85" t="s">
        <v>78</v>
      </c>
      <c r="G19" s="86">
        <v>43207</v>
      </c>
      <c r="H19" s="87"/>
      <c r="I19" s="88"/>
      <c r="J19" s="89"/>
      <c r="K19" s="87"/>
      <c r="L19" s="90"/>
      <c r="M19" s="91"/>
      <c r="N19" s="92" t="str">
        <f>VLOOKUP(A19,FFFF,2,0)</f>
        <v>Regan Foai</v>
      </c>
      <c r="O19" s="93" t="str">
        <f>VLOOKUP(A18,FFFF,4,0)</f>
        <v>Neil.Panther@visionstream.co.nz</v>
      </c>
      <c r="P19" s="95" t="s">
        <v>73</v>
      </c>
    </row>
    <row r="20" spans="1:16" ht="30" customHeight="1" x14ac:dyDescent="0.3">
      <c r="A20" s="82" t="s">
        <v>101</v>
      </c>
      <c r="B20" s="31">
        <v>134222</v>
      </c>
      <c r="C20" s="31" t="s">
        <v>65</v>
      </c>
      <c r="D20" s="82"/>
      <c r="E20" s="84">
        <v>1284</v>
      </c>
      <c r="F20" s="85" t="s">
        <v>68</v>
      </c>
      <c r="G20" s="86">
        <v>43208</v>
      </c>
      <c r="H20" s="87"/>
      <c r="I20" s="88"/>
      <c r="J20" s="89">
        <v>43178</v>
      </c>
      <c r="K20" s="87"/>
      <c r="L20" s="90"/>
      <c r="M20" s="91"/>
      <c r="N20" s="92" t="str">
        <f>VLOOKUP(A20,FFFF,2,0)</f>
        <v>Neil Panther</v>
      </c>
      <c r="O20" s="93" t="str">
        <f>VLOOKUP(A19,FFFF,4,0)</f>
        <v>Regan.Foai@visionstream.co.nz</v>
      </c>
      <c r="P20" s="94"/>
    </row>
    <row r="21" spans="1:16" ht="30" customHeight="1" x14ac:dyDescent="0.3">
      <c r="A21" s="82" t="s">
        <v>101</v>
      </c>
      <c r="B21" s="83">
        <v>133968</v>
      </c>
      <c r="C21" s="83" t="s">
        <v>66</v>
      </c>
      <c r="D21" s="82"/>
      <c r="E21" s="84">
        <v>1676</v>
      </c>
      <c r="F21" s="85" t="s">
        <v>68</v>
      </c>
      <c r="G21" s="86">
        <v>43210</v>
      </c>
      <c r="H21" s="87"/>
      <c r="I21" s="88"/>
      <c r="J21" s="89">
        <v>43175</v>
      </c>
      <c r="K21" s="87"/>
      <c r="L21" s="90"/>
      <c r="M21" s="91"/>
      <c r="N21" s="92" t="str">
        <f>VLOOKUP(A21,FFFF,2,0)</f>
        <v>Neil Panther</v>
      </c>
      <c r="O21" s="93" t="str">
        <f>VLOOKUP(A20,FFFF,4,0)</f>
        <v>Neil.Panther@visionstream.co.nz</v>
      </c>
      <c r="P21" s="94"/>
    </row>
  </sheetData>
  <conditionalFormatting sqref="K5:K21">
    <cfRule type="expression" dxfId="3" priority="3">
      <formula>(ABS((K5-H5))/H5)&gt;FlagPercent</formula>
    </cfRule>
  </conditionalFormatting>
  <conditionalFormatting sqref="M5:M21">
    <cfRule type="expression" dxfId="2" priority="4">
      <formula>(ABS((M5-I5))/I5)&gt;FlagPercent</formula>
    </cfRule>
  </conditionalFormatting>
  <conditionalFormatting sqref="B1:B19 B21:B1048576">
    <cfRule type="duplicateValues" dxfId="28" priority="2"/>
  </conditionalFormatting>
  <conditionalFormatting sqref="B20">
    <cfRule type="duplicateValues" dxfId="23" priority="1"/>
  </conditionalFormatting>
  <dataValidations count="15">
    <dataValidation allowBlank="1" showInputMessage="1" showErrorMessage="1" prompt="Enter the actual project duration in days. Values that meet the Over/Under criteria are highlighted bold, red and generate a flag icon in column M at left" sqref="M4"/>
    <dataValidation allowBlank="1" showInputMessage="1" showErrorMessage="1" prompt="Enter the actual project work in hours. Values that meet the Over/Under criteria are highlighted bold, red and generate a flag icon in column K at left" sqref="K4"/>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L4"/>
    <dataValidation allowBlank="1" showInputMessage="1" showErrorMessage="1" prompt="Enter the actual project finish date in this column" sqref="J4"/>
    <dataValidation allowBlank="1" showInputMessage="1" showErrorMessage="1" prompt="Enter the actual project start date in this column" sqref="O4"/>
    <dataValidation allowBlank="1" showInputMessage="1" showErrorMessage="1" prompt="Enter estimated project work in hours" sqref="H4"/>
    <dataValidation allowBlank="1" showInputMessage="1" showErrorMessage="1" prompt="Enter the estimated project finish date in this column" sqref="G4"/>
    <dataValidation allowBlank="1" showInputMessage="1" showErrorMessage="1" prompt="Enter the estimated project start date in this column" sqref="E4:F4"/>
    <dataValidation allowBlank="1" showInputMessage="1" showErrorMessage="1" prompt="Select the Employee name from the dropdown list in each cell in this column. Options are defined in the Setup worksheet. Press ALT+DOWN ARROW to navigate the list, then ENTER to make a selection" sqref="D4"/>
    <dataValidation allowBlank="1" showInputMessage="1" showErrorMessage="1" prompt="Select Category name from the dropdown list in each cell in this column. Options in this list are defined in the Setup worksheet. Press ALT+DOWN ARROW to navigate the list, then ENTER to make a selection" sqref="B4:C4"/>
    <dataValidation allowBlank="1" showInputMessage="1" showErrorMessage="1" prompt="Enter project names in this column" sqref="A4"/>
    <dataValidation allowBlank="1" showInputMessage="1" showErrorMessage="1" prompt="Customizable over/under percent used for highlighting the actual work in hours and days in the project table that are over or under this number" sqref="D2"/>
    <dataValidation allowBlank="1" showInputMessage="1" showErrorMessage="1" prompt="Enter estimated duration of the project in days in this column" sqref="I4 N4"/>
    <dataValidation type="list" allowBlank="1" showInputMessage="1" showErrorMessage="1" error="Select a category from the list or create a new category to display in this list from the Setup worksheet." sqref="B5:C21">
      <formula1>CategoryList</formula1>
    </dataValidation>
    <dataValidation type="list" allowBlank="1" showInputMessage="1" showErrorMessage="1" error="Select an employee from the list or create a new employee to display in this list from the Setup worksheet." sqref="D5:D21">
      <formula1>EmployeeList</formula1>
    </dataValidation>
  </dataValidations>
  <pageMargins left="0.7" right="0.7" top="0.75" bottom="0.75" header="0.3" footer="0.3"/>
  <pageSetup paperSize="9" orientation="portrait" horizontalDpi="4294967293" verticalDpi="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45" id="{74DBA39B-407E-422A-ADDF-BB8DE10411E7}">
            <x14:iconSet custom="1">
              <x14:cfvo type="percent">
                <xm:f>0</xm:f>
              </x14:cfvo>
              <x14:cfvo type="num">
                <xm:f>0</xm:f>
              </x14:cfvo>
              <x14:cfvo type="num">
                <xm:f>1</xm:f>
              </x14:cfvo>
              <x14:cfIcon iconSet="NoIcons" iconId="0"/>
              <x14:cfIcon iconSet="NoIcons" iconId="0"/>
              <x14:cfIcon iconSet="3Flags" iconId="0"/>
            </x14:iconSet>
          </x14:cfRule>
          <xm:sqref>L5:L21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Project Tracker</vt:lpstr>
      <vt:lpstr>Setup</vt:lpstr>
      <vt:lpstr>FM list</vt:lpstr>
      <vt:lpstr>Row Build Project</vt:lpstr>
      <vt:lpstr>Sheet1</vt:lpstr>
      <vt:lpstr>CategoryList</vt:lpstr>
      <vt:lpstr>ColumnTitle1</vt:lpstr>
      <vt:lpstr>ColumnTitle2</vt:lpstr>
      <vt:lpstr>EmployeeList</vt:lpstr>
      <vt:lpstr>FFFF</vt:lpstr>
      <vt:lpstr>FlagPercent</vt:lpstr>
      <vt:lpstr>FMdetails</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JAY</cp:lastModifiedBy>
  <dcterms:created xsi:type="dcterms:W3CDTF">2016-08-03T05:15:41Z</dcterms:created>
  <dcterms:modified xsi:type="dcterms:W3CDTF">2018-03-21T06:33:52Z</dcterms:modified>
</cp:coreProperties>
</file>